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5.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6.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7.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8.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9.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drawings/drawing10.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drawings/drawing11.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drawings/drawing12.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13.xml" ContentType="application/vnd.openxmlformats-officedocument.drawing+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drawings/drawing14.xml" ContentType="application/vnd.openxmlformats-officedocument.drawing+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drawings/drawing15.xml" ContentType="application/vnd.openxmlformats-officedocument.drawing+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drawings/drawing16.xml" ContentType="application/vnd.openxmlformats-officedocument.drawing+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drawings/drawing17.xml" ContentType="application/vnd.openxmlformats-officedocument.drawing+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drawings/drawing18.xml" ContentType="application/vnd.openxmlformats-officedocument.drawing+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drawings/drawing19.xml" ContentType="application/vnd.openxmlformats-officedocument.drawing+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20.xml" ContentType="application/vnd.openxmlformats-officedocument.drawing+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drawings/drawing21.xml" ContentType="application/vnd.openxmlformats-officedocument.drawing+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drawings/drawing22.xml" ContentType="application/vnd.openxmlformats-officedocument.drawing+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drawings/drawing23.xml" ContentType="application/vnd.openxmlformats-officedocument.drawing+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drawings/drawing24.xml" ContentType="application/vnd.openxmlformats-officedocument.drawing+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drawings/drawing25.xml" ContentType="application/vnd.openxmlformats-officedocument.drawing+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drawings/drawing26.xml" ContentType="application/vnd.openxmlformats-officedocument.drawing+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defaultThemeVersion="202300"/>
  <mc:AlternateContent xmlns:mc="http://schemas.openxmlformats.org/markup-compatibility/2006">
    <mc:Choice Requires="x15">
      <x15ac:absPath xmlns:x15ac="http://schemas.microsoft.com/office/spreadsheetml/2010/11/ac" url="C:\Users\Juan.Castillo\Desktop\Macro Test\"/>
    </mc:Choice>
  </mc:AlternateContent>
  <xr:revisionPtr revIDLastSave="0" documentId="13_ncr:1_{ADC07537-3BE9-4CB8-B5DC-131F3762833C}" xr6:coauthVersionLast="47" xr6:coauthVersionMax="47" xr10:uidLastSave="{00000000-0000-0000-0000-000000000000}"/>
  <bookViews>
    <workbookView xWindow="-108" yWindow="-108" windowWidth="23256" windowHeight="12456" activeTab="1" xr2:uid="{2FE57B85-6AD4-4713-BCE9-6C3D00584C33}"/>
  </bookViews>
  <sheets>
    <sheet name="Divs" sheetId="2" r:id="rId1"/>
    <sheet name="ASM" sheetId="18" r:id="rId2"/>
    <sheet name="AUS" sheetId="5" r:id="rId3"/>
    <sheet name="CCK" sheetId="26" r:id="rId4"/>
    <sheet name="CKI" sheetId="16" r:id="rId5"/>
    <sheet name="CXR" sheetId="25" r:id="rId6"/>
    <sheet name="FJI" sheetId="14" r:id="rId7"/>
    <sheet name="GUM" sheetId="23" r:id="rId8"/>
    <sheet name="KIR" sheetId="27" r:id="rId9"/>
    <sheet name="MIC" sheetId="12" r:id="rId10"/>
    <sheet name="MHL" sheetId="9" r:id="rId11"/>
    <sheet name="MNP" sheetId="17" r:id="rId12"/>
    <sheet name="NCL" sheetId="15" r:id="rId13"/>
    <sheet name="NFK" sheetId="31" r:id="rId14"/>
    <sheet name="NIU" sheetId="21" r:id="rId15"/>
    <sheet name="NRU" sheetId="22" r:id="rId16"/>
    <sheet name="NZE" sheetId="33" r:id="rId17"/>
    <sheet name="PAU" sheetId="10" r:id="rId18"/>
    <sheet name="PCN" sheetId="30" r:id="rId19"/>
    <sheet name="PLY" sheetId="11" r:id="rId20"/>
    <sheet name="PNG" sheetId="13" r:id="rId21"/>
    <sheet name="SOL" sheetId="19" r:id="rId22"/>
    <sheet name="SMO" sheetId="28" r:id="rId23"/>
    <sheet name="TON" sheetId="29" r:id="rId24"/>
    <sheet name="TUV" sheetId="20" r:id="rId25"/>
    <sheet name="VUT" sheetId="24" r:id="rId26"/>
    <sheet name="WLF" sheetId="8" r:id="rId27"/>
  </sheets>
  <definedNames>
    <definedName name="_xlnm._FilterDatabase" localSheetId="1" hidden="1">ASM!$A$1:$IY$3</definedName>
    <definedName name="_xlnm._FilterDatabase" localSheetId="2" hidden="1">AUS!$A$1:$IY$65</definedName>
    <definedName name="_xlnm._FilterDatabase" localSheetId="3" hidden="1">CCK!$A$1:$IY$3</definedName>
    <definedName name="_xlnm._FilterDatabase" localSheetId="4" hidden="1">CKI!$A$1:$IY$5</definedName>
    <definedName name="_xlnm._FilterDatabase" localSheetId="5" hidden="1">CXR!$A$1:$IY$3</definedName>
    <definedName name="_xlnm._FilterDatabase" localSheetId="6" hidden="1">FJI!$A$1:$IY$6</definedName>
    <definedName name="_xlnm._FilterDatabase" localSheetId="7" hidden="1">GUM!$A$1:$IY$3</definedName>
    <definedName name="_xlnm._FilterDatabase" localSheetId="8" hidden="1">KIR!$A$1:$IY$3</definedName>
    <definedName name="_xlnm._FilterDatabase" localSheetId="10" hidden="1">MHL!$A$1:$IY$49</definedName>
    <definedName name="_xlnm._FilterDatabase" localSheetId="9" hidden="1">MIC!$A$1:$IY$47</definedName>
    <definedName name="_xlnm._FilterDatabase" localSheetId="11" hidden="1">MNP!$A$1:$IY$4</definedName>
    <definedName name="_xlnm._FilterDatabase" localSheetId="12" hidden="1">NCL!$A$1:$IY$48</definedName>
    <definedName name="_xlnm._FilterDatabase" localSheetId="13" hidden="1">NFK!$A$1:$IY$8</definedName>
    <definedName name="_xlnm._FilterDatabase" localSheetId="14" hidden="1">NIU!$A$1:$IY$4</definedName>
    <definedName name="_xlnm._FilterDatabase" localSheetId="15" hidden="1">NRU!$A$1:$IY$3</definedName>
    <definedName name="_xlnm._FilterDatabase" localSheetId="16" hidden="1">NZE!$A$1:$IY$2</definedName>
    <definedName name="_xlnm._FilterDatabase" localSheetId="17" hidden="1">PAU!$A$1:$IY$11</definedName>
    <definedName name="_xlnm._FilterDatabase" localSheetId="18" hidden="1">PCN!$A$1:$IY$3</definedName>
    <definedName name="_xlnm._FilterDatabase" localSheetId="19" hidden="1">PLY!$A$1:$IY$50</definedName>
    <definedName name="_xlnm._FilterDatabase" localSheetId="20" hidden="1">PNG!$A$1:$IY$5</definedName>
    <definedName name="_xlnm._FilterDatabase" localSheetId="22" hidden="1">SMO!$A$1:$IY$3</definedName>
    <definedName name="_xlnm._FilterDatabase" localSheetId="21" hidden="1">SOL!$A$1:$IY$44</definedName>
    <definedName name="_xlnm._FilterDatabase" localSheetId="23" hidden="1">TON!$A$1:$IY$2</definedName>
    <definedName name="_xlnm._FilterDatabase" localSheetId="24" hidden="1">TUV!$A$1:$IY$4</definedName>
    <definedName name="_xlnm._FilterDatabase" localSheetId="25" hidden="1">VUT!$A$1:$IY$3</definedName>
    <definedName name="_xlnm._FilterDatabase" localSheetId="26" hidden="1">WLF!$A$1:$IY$50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13" i="10" l="1"/>
  <c r="J12" i="10"/>
  <c r="J11" i="10"/>
  <c r="J10" i="10"/>
  <c r="J9" i="10"/>
  <c r="J8" i="10"/>
  <c r="HI8" i="10" s="1"/>
  <c r="J7" i="10"/>
  <c r="J6" i="10"/>
  <c r="J5" i="10"/>
  <c r="J4" i="10"/>
  <c r="J3" i="10"/>
  <c r="J2" i="10"/>
  <c r="J8" i="30"/>
  <c r="J7" i="30"/>
  <c r="J6" i="30"/>
  <c r="J5" i="30"/>
  <c r="J4" i="30"/>
  <c r="J3" i="30"/>
  <c r="J2" i="30"/>
  <c r="HI2" i="30" s="1"/>
  <c r="J11" i="11"/>
  <c r="J10" i="11"/>
  <c r="J9" i="11"/>
  <c r="J8" i="11"/>
  <c r="J7" i="11"/>
  <c r="J6" i="11"/>
  <c r="J5" i="11"/>
  <c r="J4" i="11"/>
  <c r="J3" i="11"/>
  <c r="J2" i="11"/>
  <c r="J8" i="13"/>
  <c r="J7" i="13"/>
  <c r="J6" i="13"/>
  <c r="J5" i="13"/>
  <c r="J4" i="13"/>
  <c r="J3" i="13"/>
  <c r="J2" i="13"/>
  <c r="HL5" i="13"/>
  <c r="HL4" i="13"/>
  <c r="J5" i="19"/>
  <c r="J4" i="19"/>
  <c r="J3" i="19"/>
  <c r="J2" i="19"/>
  <c r="J5" i="28"/>
  <c r="J4" i="28"/>
  <c r="J3" i="28"/>
  <c r="J2" i="28"/>
  <c r="J4" i="29"/>
  <c r="J3" i="29"/>
  <c r="J2" i="29"/>
  <c r="J4" i="20"/>
  <c r="J3" i="20"/>
  <c r="J2" i="20"/>
  <c r="J3" i="24"/>
  <c r="J2" i="24"/>
  <c r="J5" i="8"/>
  <c r="HI5" i="8" s="1"/>
  <c r="J4" i="8"/>
  <c r="J3" i="8"/>
  <c r="J2" i="8"/>
  <c r="GI17" i="33"/>
  <c r="GH17" i="33"/>
  <c r="GG17" i="33"/>
  <c r="GE17" i="33"/>
  <c r="J17" i="33"/>
  <c r="HX16" i="33" a="1"/>
  <c r="HX16" i="33" s="1"/>
  <c r="IW16" i="33" s="1"/>
  <c r="HW16" i="33" a="1"/>
  <c r="HW16" i="33" s="1"/>
  <c r="IV16" i="33" s="1"/>
  <c r="HV16" i="33" a="1"/>
  <c r="HV16" i="33" s="1"/>
  <c r="IU16" i="33" s="1"/>
  <c r="HU16" i="33" a="1"/>
  <c r="HU16" i="33" s="1"/>
  <c r="IT16" i="33" s="1"/>
  <c r="HT16" i="33" a="1"/>
  <c r="HT16" i="33" s="1"/>
  <c r="IS16" i="33" s="1"/>
  <c r="HS16" i="33" a="1"/>
  <c r="HS16" i="33" s="1"/>
  <c r="IR16" i="33" s="1"/>
  <c r="HR16" i="33" a="1"/>
  <c r="HR16" i="33" s="1"/>
  <c r="IQ16" i="33" s="1"/>
  <c r="HQ16" i="33" a="1"/>
  <c r="HQ16" i="33" s="1"/>
  <c r="IP16" i="33" s="1"/>
  <c r="HP16" i="33" a="1"/>
  <c r="HP16" i="33" s="1"/>
  <c r="IO16" i="33" s="1"/>
  <c r="HL16" i="33"/>
  <c r="HJ16" i="33"/>
  <c r="HH16" i="33"/>
  <c r="HB16" i="33"/>
  <c r="HA16" i="33"/>
  <c r="GZ16" i="33"/>
  <c r="GY16" i="33"/>
  <c r="GX16" i="33"/>
  <c r="GW16" i="33"/>
  <c r="GV16" i="33"/>
  <c r="GU16" i="33"/>
  <c r="GT16" i="33"/>
  <c r="GP16" i="33"/>
  <c r="GI16" i="33"/>
  <c r="GH16" i="33"/>
  <c r="GG16" i="33"/>
  <c r="GF16" i="33"/>
  <c r="GE16" i="33"/>
  <c r="GB16" i="33"/>
  <c r="GA16" i="33"/>
  <c r="FZ16" i="33"/>
  <c r="FY16" i="33"/>
  <c r="FW16" i="33"/>
  <c r="FV16" i="33"/>
  <c r="FU16" i="33"/>
  <c r="FT16" i="33"/>
  <c r="FS16" i="33"/>
  <c r="FR16" i="33"/>
  <c r="FQ16" i="33"/>
  <c r="FJ16" i="33"/>
  <c r="FI16" i="33"/>
  <c r="FH16" i="33"/>
  <c r="FG16" i="33"/>
  <c r="FF16" i="33"/>
  <c r="FP16" i="33" s="1"/>
  <c r="FE16" i="33"/>
  <c r="FO16" i="33" s="1"/>
  <c r="FD16" i="33"/>
  <c r="FB16" i="33"/>
  <c r="FA16" i="33"/>
  <c r="EZ16" i="33"/>
  <c r="EY16" i="33"/>
  <c r="EX16" i="33"/>
  <c r="EW16" i="33"/>
  <c r="EV16" i="33"/>
  <c r="EU16" i="33"/>
  <c r="ET16" i="33"/>
  <c r="ES16" i="33"/>
  <c r="ER16" i="33"/>
  <c r="EQ16" i="33"/>
  <c r="EP16" i="33"/>
  <c r="EO16" i="33"/>
  <c r="EN16" i="33"/>
  <c r="EM16" i="33"/>
  <c r="EL16" i="33"/>
  <c r="EK16" i="33"/>
  <c r="EJ16" i="33"/>
  <c r="EI16" i="33"/>
  <c r="EH16" i="33"/>
  <c r="EG16" i="33"/>
  <c r="EF16" i="33"/>
  <c r="EE16" i="33"/>
  <c r="ED16" i="33"/>
  <c r="EC16" i="33"/>
  <c r="EB16" i="33"/>
  <c r="EA16" i="33"/>
  <c r="DU16" i="33"/>
  <c r="DT16" i="33"/>
  <c r="DS16" i="33"/>
  <c r="DR16" i="33"/>
  <c r="DQ16" i="33"/>
  <c r="DP16" i="33"/>
  <c r="DO16" i="33"/>
  <c r="DN16" i="33"/>
  <c r="DK16" i="33"/>
  <c r="DJ16" i="33"/>
  <c r="DI16" i="33"/>
  <c r="DH16" i="33"/>
  <c r="DG16" i="33"/>
  <c r="DF16" i="33"/>
  <c r="DE16" i="33"/>
  <c r="DD16" i="33"/>
  <c r="DB16" i="33"/>
  <c r="DA16" i="33"/>
  <c r="CV16" i="33"/>
  <c r="CU16" i="33"/>
  <c r="CT16" i="33"/>
  <c r="CS16" i="33"/>
  <c r="GN16" i="33" s="1"/>
  <c r="CR16" i="33"/>
  <c r="GM16" i="33" s="1"/>
  <c r="CQ16" i="33"/>
  <c r="GL16" i="33" s="1"/>
  <c r="CP16" i="33"/>
  <c r="GJ16" i="33" s="1"/>
  <c r="GK16" i="33" s="1"/>
  <c r="CO16" i="33"/>
  <c r="DZ16" i="33" s="1"/>
  <c r="CN16" i="33"/>
  <c r="DY16" i="33" s="1"/>
  <c r="CM16" i="33"/>
  <c r="DX16" i="33" s="1"/>
  <c r="CL16" i="33"/>
  <c r="DW16" i="33" s="1"/>
  <c r="CG16" i="33" a="1"/>
  <c r="CG16" i="33" s="1"/>
  <c r="AW16" i="33"/>
  <c r="AV16" i="33"/>
  <c r="J16" i="33"/>
  <c r="G16" i="33"/>
  <c r="HX15" i="33" a="1"/>
  <c r="HX15" i="33" s="1"/>
  <c r="IW15" i="33" s="1"/>
  <c r="HW15" i="33" a="1"/>
  <c r="HW15" i="33" s="1"/>
  <c r="IV15" i="33" s="1"/>
  <c r="HV15" i="33" a="1"/>
  <c r="HV15" i="33" s="1"/>
  <c r="IU15" i="33" s="1"/>
  <c r="HU15" i="33" a="1"/>
  <c r="HU15" i="33" s="1"/>
  <c r="IT15" i="33" s="1"/>
  <c r="HT15" i="33" a="1"/>
  <c r="HT15" i="33" s="1"/>
  <c r="IS15" i="33" s="1"/>
  <c r="HS15" i="33" a="1"/>
  <c r="HS15" i="33" s="1"/>
  <c r="IR15" i="33" s="1"/>
  <c r="HR15" i="33" a="1"/>
  <c r="HR15" i="33" s="1"/>
  <c r="IQ15" i="33" s="1"/>
  <c r="HQ15" i="33" a="1"/>
  <c r="HQ15" i="33" s="1"/>
  <c r="IP15" i="33" s="1"/>
  <c r="HP15" i="33" a="1"/>
  <c r="HP15" i="33" s="1"/>
  <c r="IO15" i="33" s="1"/>
  <c r="HL15" i="33"/>
  <c r="HJ15" i="33"/>
  <c r="HH15" i="33"/>
  <c r="HB15" i="33"/>
  <c r="HA15" i="33"/>
  <c r="GZ15" i="33"/>
  <c r="GY15" i="33"/>
  <c r="GX15" i="33"/>
  <c r="GW15" i="33"/>
  <c r="GV15" i="33"/>
  <c r="GU15" i="33"/>
  <c r="GT15" i="33"/>
  <c r="GP15" i="33"/>
  <c r="GI15" i="33"/>
  <c r="GH15" i="33"/>
  <c r="GG15" i="33"/>
  <c r="GF15" i="33"/>
  <c r="GE15" i="33"/>
  <c r="GB15" i="33"/>
  <c r="GA15" i="33"/>
  <c r="FZ15" i="33"/>
  <c r="FY15" i="33"/>
  <c r="FW15" i="33"/>
  <c r="FV15" i="33"/>
  <c r="FU15" i="33"/>
  <c r="FT15" i="33"/>
  <c r="FS15" i="33"/>
  <c r="FR15" i="33"/>
  <c r="FQ15" i="33"/>
  <c r="FJ15" i="33"/>
  <c r="FI15" i="33"/>
  <c r="FH15" i="33"/>
  <c r="FG15" i="33"/>
  <c r="FF15" i="33"/>
  <c r="FP15" i="33" s="1"/>
  <c r="FE15" i="33"/>
  <c r="FD15" i="33"/>
  <c r="FB15" i="33"/>
  <c r="FA15" i="33"/>
  <c r="EZ15" i="33"/>
  <c r="EY15" i="33"/>
  <c r="EX15" i="33"/>
  <c r="EW15" i="33"/>
  <c r="EV15" i="33"/>
  <c r="EU15" i="33"/>
  <c r="ET15" i="33"/>
  <c r="ES15" i="33"/>
  <c r="ER15" i="33"/>
  <c r="EQ15" i="33"/>
  <c r="EP15" i="33"/>
  <c r="EO15" i="33"/>
  <c r="EN15" i="33"/>
  <c r="EM15" i="33"/>
  <c r="EL15" i="33"/>
  <c r="EK15" i="33"/>
  <c r="EJ15" i="33"/>
  <c r="EI15" i="33"/>
  <c r="EH15" i="33"/>
  <c r="EG15" i="33"/>
  <c r="EF15" i="33"/>
  <c r="EE15" i="33"/>
  <c r="ED15" i="33"/>
  <c r="EC15" i="33"/>
  <c r="EB15" i="33"/>
  <c r="EA15" i="33"/>
  <c r="DU15" i="33"/>
  <c r="DT15" i="33"/>
  <c r="DS15" i="33"/>
  <c r="DR15" i="33"/>
  <c r="DQ15" i="33"/>
  <c r="DP15" i="33"/>
  <c r="DO15" i="33"/>
  <c r="DN15" i="33"/>
  <c r="DK15" i="33"/>
  <c r="DJ15" i="33"/>
  <c r="DI15" i="33"/>
  <c r="DH15" i="33"/>
  <c r="DG15" i="33"/>
  <c r="DF15" i="33"/>
  <c r="DE15" i="33"/>
  <c r="DD15" i="33"/>
  <c r="DB15" i="33"/>
  <c r="DA15" i="33"/>
  <c r="CV15" i="33"/>
  <c r="CU15" i="33"/>
  <c r="CT15" i="33"/>
  <c r="CS15" i="33"/>
  <c r="GN15" i="33" s="1"/>
  <c r="CR15" i="33"/>
  <c r="GM15" i="33" s="1"/>
  <c r="CQ15" i="33"/>
  <c r="GL15" i="33" s="1"/>
  <c r="CP15" i="33"/>
  <c r="GJ15" i="33" s="1"/>
  <c r="GK15" i="33" s="1"/>
  <c r="CO15" i="33"/>
  <c r="DZ15" i="33" s="1"/>
  <c r="CN15" i="33"/>
  <c r="DY15" i="33" s="1"/>
  <c r="CM15" i="33"/>
  <c r="DX15" i="33" s="1"/>
  <c r="CL15" i="33"/>
  <c r="DW15" i="33" s="1"/>
  <c r="CG15" i="33" a="1"/>
  <c r="CG15" i="33" s="1"/>
  <c r="AW15" i="33"/>
  <c r="AV15" i="33"/>
  <c r="J15" i="33"/>
  <c r="G15" i="33"/>
  <c r="HX14" i="33" a="1"/>
  <c r="HX14" i="33" s="1"/>
  <c r="IW14" i="33" s="1"/>
  <c r="HW14" i="33" a="1"/>
  <c r="HW14" i="33" s="1"/>
  <c r="IV14" i="33" s="1"/>
  <c r="HV14" i="33" a="1"/>
  <c r="HV14" i="33" s="1"/>
  <c r="IU14" i="33" s="1"/>
  <c r="HU14" i="33" a="1"/>
  <c r="HU14" i="33" s="1"/>
  <c r="IT14" i="33" s="1"/>
  <c r="HT14" i="33" a="1"/>
  <c r="HT14" i="33" s="1"/>
  <c r="IS14" i="33" s="1"/>
  <c r="HS14" i="33" a="1"/>
  <c r="HS14" i="33" s="1"/>
  <c r="IR14" i="33" s="1"/>
  <c r="HR14" i="33" a="1"/>
  <c r="HR14" i="33" s="1"/>
  <c r="IQ14" i="33" s="1"/>
  <c r="HQ14" i="33" a="1"/>
  <c r="HQ14" i="33" s="1"/>
  <c r="IP14" i="33" s="1"/>
  <c r="HP14" i="33" a="1"/>
  <c r="HP14" i="33" s="1"/>
  <c r="IO14" i="33" s="1"/>
  <c r="HL14" i="33"/>
  <c r="HJ14" i="33"/>
  <c r="HH14" i="33"/>
  <c r="HB14" i="33"/>
  <c r="HA14" i="33"/>
  <c r="GZ14" i="33"/>
  <c r="GY14" i="33"/>
  <c r="GX14" i="33"/>
  <c r="GW14" i="33"/>
  <c r="GV14" i="33"/>
  <c r="GU14" i="33"/>
  <c r="GT14" i="33"/>
  <c r="GP14" i="33"/>
  <c r="GI14" i="33"/>
  <c r="GH14" i="33"/>
  <c r="GG14" i="33"/>
  <c r="GF14" i="33"/>
  <c r="GE14" i="33"/>
  <c r="GB14" i="33"/>
  <c r="GA14" i="33"/>
  <c r="FZ14" i="33"/>
  <c r="FY14" i="33"/>
  <c r="FW14" i="33"/>
  <c r="FV14" i="33"/>
  <c r="FU14" i="33"/>
  <c r="FT14" i="33"/>
  <c r="FS14" i="33"/>
  <c r="FR14" i="33"/>
  <c r="FQ14" i="33"/>
  <c r="FJ14" i="33"/>
  <c r="FI14" i="33"/>
  <c r="FL14" i="33" s="1"/>
  <c r="FH14" i="33"/>
  <c r="FG14" i="33"/>
  <c r="FF14" i="33"/>
  <c r="FP14" i="33" s="1"/>
  <c r="FE14" i="33"/>
  <c r="FD14" i="33"/>
  <c r="FB14" i="33"/>
  <c r="FA14" i="33"/>
  <c r="EZ14" i="33"/>
  <c r="EY14" i="33"/>
  <c r="EX14" i="33"/>
  <c r="EW14" i="33"/>
  <c r="EV14" i="33"/>
  <c r="EU14" i="33"/>
  <c r="ET14" i="33"/>
  <c r="ES14" i="33"/>
  <c r="ER14" i="33"/>
  <c r="EQ14" i="33"/>
  <c r="EP14" i="33"/>
  <c r="EO14" i="33"/>
  <c r="EN14" i="33"/>
  <c r="EM14" i="33"/>
  <c r="EL14" i="33"/>
  <c r="EK14" i="33"/>
  <c r="EJ14" i="33"/>
  <c r="EI14" i="33"/>
  <c r="EH14" i="33"/>
  <c r="EG14" i="33"/>
  <c r="EF14" i="33"/>
  <c r="EE14" i="33"/>
  <c r="ED14" i="33"/>
  <c r="EC14" i="33"/>
  <c r="EB14" i="33"/>
  <c r="EA14" i="33"/>
  <c r="DU14" i="33"/>
  <c r="DT14" i="33"/>
  <c r="DS14" i="33"/>
  <c r="DR14" i="33"/>
  <c r="DQ14" i="33"/>
  <c r="DP14" i="33"/>
  <c r="DO14" i="33"/>
  <c r="DN14" i="33"/>
  <c r="DK14" i="33"/>
  <c r="DJ14" i="33"/>
  <c r="DI14" i="33"/>
  <c r="DH14" i="33"/>
  <c r="DG14" i="33"/>
  <c r="DF14" i="33"/>
  <c r="DE14" i="33"/>
  <c r="DD14" i="33"/>
  <c r="DB14" i="33"/>
  <c r="DA14" i="33"/>
  <c r="CV14" i="33"/>
  <c r="CU14" i="33"/>
  <c r="CT14" i="33"/>
  <c r="CS14" i="33"/>
  <c r="GN14" i="33" s="1"/>
  <c r="CR14" i="33"/>
  <c r="GM14" i="33" s="1"/>
  <c r="CQ14" i="33"/>
  <c r="GL14" i="33" s="1"/>
  <c r="CP14" i="33"/>
  <c r="GJ14" i="33" s="1"/>
  <c r="GK14" i="33" s="1"/>
  <c r="CO14" i="33"/>
  <c r="DZ14" i="33" s="1"/>
  <c r="CN14" i="33"/>
  <c r="DY14" i="33" s="1"/>
  <c r="CM14" i="33"/>
  <c r="DX14" i="33" s="1"/>
  <c r="CL14" i="33"/>
  <c r="DW14" i="33" s="1"/>
  <c r="CG14" i="33" a="1"/>
  <c r="CG14" i="33" s="1"/>
  <c r="AW14" i="33"/>
  <c r="AV14" i="33"/>
  <c r="J14" i="33"/>
  <c r="G14" i="33"/>
  <c r="IL13" i="33"/>
  <c r="HX13" i="33" a="1"/>
  <c r="HX13" i="33" s="1"/>
  <c r="IW13" i="33" s="1"/>
  <c r="HW13" i="33" a="1"/>
  <c r="HW13" i="33" s="1"/>
  <c r="IV13" i="33" s="1"/>
  <c r="HV13" i="33" a="1"/>
  <c r="HV13" i="33" s="1"/>
  <c r="IU13" i="33" s="1"/>
  <c r="HU13" i="33" a="1"/>
  <c r="HU13" i="33" s="1"/>
  <c r="IT13" i="33" s="1"/>
  <c r="HT13" i="33" a="1"/>
  <c r="HT13" i="33" s="1"/>
  <c r="IS13" i="33" s="1"/>
  <c r="HS13" i="33" a="1"/>
  <c r="HS13" i="33" s="1"/>
  <c r="IR13" i="33" s="1"/>
  <c r="HR13" i="33" a="1"/>
  <c r="HR13" i="33" s="1"/>
  <c r="IQ13" i="33" s="1"/>
  <c r="HQ13" i="33" a="1"/>
  <c r="HQ13" i="33" s="1"/>
  <c r="IP13" i="33" s="1"/>
  <c r="HP13" i="33" a="1"/>
  <c r="HP13" i="33" s="1"/>
  <c r="IO13" i="33" s="1"/>
  <c r="HL13" i="33"/>
  <c r="HJ13" i="33"/>
  <c r="HH13" i="33"/>
  <c r="HB13" i="33"/>
  <c r="HA13" i="33"/>
  <c r="GZ13" i="33"/>
  <c r="GY13" i="33"/>
  <c r="GX13" i="33"/>
  <c r="GW13" i="33"/>
  <c r="GV13" i="33"/>
  <c r="GU13" i="33"/>
  <c r="GT13" i="33"/>
  <c r="GP13" i="33"/>
  <c r="GI13" i="33"/>
  <c r="GH13" i="33"/>
  <c r="GG13" i="33"/>
  <c r="GF13" i="33"/>
  <c r="GE13" i="33"/>
  <c r="GD13" i="33"/>
  <c r="GC13" i="33"/>
  <c r="GB13" i="33"/>
  <c r="GA13" i="33"/>
  <c r="FZ13" i="33"/>
  <c r="FY13" i="33"/>
  <c r="FX13" i="33"/>
  <c r="FW13" i="33"/>
  <c r="FV13" i="33"/>
  <c r="FU13" i="33"/>
  <c r="FT13" i="33"/>
  <c r="FS13" i="33"/>
  <c r="FR13" i="33"/>
  <c r="FQ13" i="33"/>
  <c r="FJ13" i="33"/>
  <c r="FI13" i="33"/>
  <c r="FH13" i="33"/>
  <c r="FG13" i="33"/>
  <c r="FF13" i="33"/>
  <c r="FP13" i="33" s="1"/>
  <c r="FE13" i="33"/>
  <c r="FN13" i="33" s="1"/>
  <c r="FD13" i="33"/>
  <c r="FC13" i="33"/>
  <c r="FB13" i="33"/>
  <c r="FA13" i="33"/>
  <c r="EZ13" i="33"/>
  <c r="EY13" i="33"/>
  <c r="EX13" i="33"/>
  <c r="EW13" i="33"/>
  <c r="EV13" i="33"/>
  <c r="EU13" i="33"/>
  <c r="ET13" i="33"/>
  <c r="ES13" i="33"/>
  <c r="ER13" i="33"/>
  <c r="EQ13" i="33"/>
  <c r="EP13" i="33"/>
  <c r="EO13" i="33"/>
  <c r="EN13" i="33"/>
  <c r="EM13" i="33"/>
  <c r="EL13" i="33"/>
  <c r="EK13" i="33"/>
  <c r="EJ13" i="33"/>
  <c r="EI13" i="33"/>
  <c r="EH13" i="33"/>
  <c r="EG13" i="33"/>
  <c r="EF13" i="33"/>
  <c r="EE13" i="33"/>
  <c r="ED13" i="33"/>
  <c r="EC13" i="33"/>
  <c r="EB13" i="33"/>
  <c r="EA13" i="33"/>
  <c r="DV13" i="33"/>
  <c r="DU13" i="33"/>
  <c r="DT13" i="33"/>
  <c r="DS13" i="33"/>
  <c r="DR13" i="33"/>
  <c r="DQ13" i="33"/>
  <c r="DP13" i="33"/>
  <c r="DO13" i="33"/>
  <c r="DN13" i="33"/>
  <c r="DK13" i="33"/>
  <c r="DJ13" i="33"/>
  <c r="DI13" i="33"/>
  <c r="DH13" i="33"/>
  <c r="DG13" i="33"/>
  <c r="DF13" i="33"/>
  <c r="DE13" i="33"/>
  <c r="DD13" i="33"/>
  <c r="DC13" i="33"/>
  <c r="DB13" i="33"/>
  <c r="DA13" i="33"/>
  <c r="CV13" i="33"/>
  <c r="CU13" i="33"/>
  <c r="CT13" i="33"/>
  <c r="CS13" i="33"/>
  <c r="GN13" i="33" s="1"/>
  <c r="CR13" i="33"/>
  <c r="GM13" i="33" s="1"/>
  <c r="CQ13" i="33"/>
  <c r="GL13" i="33" s="1"/>
  <c r="CP13" i="33"/>
  <c r="GJ13" i="33" s="1"/>
  <c r="GK13" i="33" s="1"/>
  <c r="CO13" i="33"/>
  <c r="DZ13" i="33" s="1"/>
  <c r="CN13" i="33"/>
  <c r="DY13" i="33" s="1"/>
  <c r="CM13" i="33"/>
  <c r="DX13" i="33" s="1"/>
  <c r="CL13" i="33"/>
  <c r="DW13" i="33" s="1"/>
  <c r="CG13" i="33" a="1"/>
  <c r="CG13" i="33" s="1"/>
  <c r="CK13" i="33" s="1"/>
  <c r="CZ13" i="33" s="1"/>
  <c r="AW13" i="33"/>
  <c r="AV13" i="33"/>
  <c r="J13" i="33"/>
  <c r="G13" i="33"/>
  <c r="IL12" i="33"/>
  <c r="HX12" i="33" a="1"/>
  <c r="HX12" i="33" s="1"/>
  <c r="IW12" i="33" s="1"/>
  <c r="HW12" i="33" a="1"/>
  <c r="HW12" i="33" s="1"/>
  <c r="IV12" i="33" s="1"/>
  <c r="HV12" i="33" a="1"/>
  <c r="HV12" i="33" s="1"/>
  <c r="IU12" i="33" s="1"/>
  <c r="HU12" i="33" a="1"/>
  <c r="HU12" i="33" s="1"/>
  <c r="IT12" i="33" s="1"/>
  <c r="HT12" i="33" a="1"/>
  <c r="HT12" i="33" s="1"/>
  <c r="IS12" i="33" s="1"/>
  <c r="HS12" i="33" a="1"/>
  <c r="HS12" i="33" s="1"/>
  <c r="IR12" i="33" s="1"/>
  <c r="HR12" i="33" a="1"/>
  <c r="HR12" i="33" s="1"/>
  <c r="IQ12" i="33" s="1"/>
  <c r="HQ12" i="33" a="1"/>
  <c r="HQ12" i="33" s="1"/>
  <c r="IP12" i="33" s="1"/>
  <c r="HP12" i="33" a="1"/>
  <c r="HP12" i="33" s="1"/>
  <c r="IO12" i="33" s="1"/>
  <c r="HL12" i="33"/>
  <c r="HJ12" i="33"/>
  <c r="HH12" i="33"/>
  <c r="HB12" i="33"/>
  <c r="HA12" i="33"/>
  <c r="GZ12" i="33"/>
  <c r="GY12" i="33"/>
  <c r="GX12" i="33"/>
  <c r="GW12" i="33"/>
  <c r="GV12" i="33"/>
  <c r="GU12" i="33"/>
  <c r="GT12" i="33"/>
  <c r="GP12" i="33"/>
  <c r="GI12" i="33"/>
  <c r="GH12" i="33"/>
  <c r="GG12" i="33"/>
  <c r="GF12" i="33"/>
  <c r="GE12" i="33"/>
  <c r="GD12" i="33"/>
  <c r="GC12" i="33"/>
  <c r="GB12" i="33"/>
  <c r="GA12" i="33"/>
  <c r="FZ12" i="33"/>
  <c r="FY12" i="33"/>
  <c r="FX12" i="33"/>
  <c r="FW12" i="33"/>
  <c r="FV12" i="33"/>
  <c r="FU12" i="33"/>
  <c r="FT12" i="33"/>
  <c r="FS12" i="33"/>
  <c r="FR12" i="33"/>
  <c r="FQ12" i="33"/>
  <c r="FJ12" i="33"/>
  <c r="FM12" i="33" s="1"/>
  <c r="FI12" i="33"/>
  <c r="FH12" i="33"/>
  <c r="FG12" i="33"/>
  <c r="FF12" i="33"/>
  <c r="FE12" i="33"/>
  <c r="FO12" i="33" s="1"/>
  <c r="FD12" i="33"/>
  <c r="FC12" i="33"/>
  <c r="FB12" i="33"/>
  <c r="FA12" i="33"/>
  <c r="EZ12" i="33"/>
  <c r="EY12" i="33"/>
  <c r="EX12" i="33"/>
  <c r="EW12" i="33"/>
  <c r="EV12" i="33"/>
  <c r="EU12" i="33"/>
  <c r="ET12" i="33"/>
  <c r="ES12" i="33"/>
  <c r="ER12" i="33"/>
  <c r="EQ12" i="33"/>
  <c r="EP12" i="33"/>
  <c r="EO12" i="33"/>
  <c r="EN12" i="33"/>
  <c r="EM12" i="33"/>
  <c r="EL12" i="33"/>
  <c r="EK12" i="33"/>
  <c r="EJ12" i="33"/>
  <c r="EI12" i="33"/>
  <c r="EH12" i="33"/>
  <c r="EG12" i="33"/>
  <c r="EF12" i="33"/>
  <c r="EE12" i="33"/>
  <c r="ED12" i="33"/>
  <c r="EC12" i="33"/>
  <c r="EB12" i="33"/>
  <c r="EA12" i="33"/>
  <c r="DY12" i="33"/>
  <c r="DV12" i="33"/>
  <c r="DU12" i="33"/>
  <c r="DT12" i="33"/>
  <c r="DS12" i="33"/>
  <c r="DR12" i="33"/>
  <c r="DQ12" i="33"/>
  <c r="DP12" i="33"/>
  <c r="DO12" i="33"/>
  <c r="DN12" i="33"/>
  <c r="DK12" i="33"/>
  <c r="DJ12" i="33"/>
  <c r="DI12" i="33"/>
  <c r="DH12" i="33"/>
  <c r="DG12" i="33"/>
  <c r="DF12" i="33"/>
  <c r="DE12" i="33"/>
  <c r="DD12" i="33"/>
  <c r="DC12" i="33"/>
  <c r="DA12" i="33"/>
  <c r="CV12" i="33"/>
  <c r="CU12" i="33"/>
  <c r="CT12" i="33"/>
  <c r="CS12" i="33"/>
  <c r="GN12" i="33" s="1"/>
  <c r="CR12" i="33"/>
  <c r="GM12" i="33" s="1"/>
  <c r="CQ12" i="33"/>
  <c r="GL12" i="33" s="1"/>
  <c r="CP12" i="33"/>
  <c r="GJ12" i="33" s="1"/>
  <c r="GK12" i="33" s="1"/>
  <c r="CO12" i="33"/>
  <c r="DZ12" i="33" s="1"/>
  <c r="CN12" i="33"/>
  <c r="CM12" i="33"/>
  <c r="DX12" i="33" s="1"/>
  <c r="CL12" i="33"/>
  <c r="DW12" i="33" s="1"/>
  <c r="CG12" i="33" a="1"/>
  <c r="CG12" i="33" s="1"/>
  <c r="DL12" i="33" s="1"/>
  <c r="AW12" i="33"/>
  <c r="AV12" i="33"/>
  <c r="J12" i="33"/>
  <c r="G12" i="33"/>
  <c r="HX11" i="33" a="1"/>
  <c r="HX11" i="33" s="1"/>
  <c r="IW11" i="33" s="1"/>
  <c r="HW11" i="33" a="1"/>
  <c r="HW11" i="33" s="1"/>
  <c r="IV11" i="33" s="1"/>
  <c r="HV11" i="33" a="1"/>
  <c r="HV11" i="33" s="1"/>
  <c r="IU11" i="33" s="1"/>
  <c r="HU11" i="33" a="1"/>
  <c r="HU11" i="33" s="1"/>
  <c r="IT11" i="33" s="1"/>
  <c r="HT11" i="33" a="1"/>
  <c r="HT11" i="33" s="1"/>
  <c r="IS11" i="33" s="1"/>
  <c r="HS11" i="33" a="1"/>
  <c r="HS11" i="33" s="1"/>
  <c r="IR11" i="33" s="1"/>
  <c r="HR11" i="33" a="1"/>
  <c r="HR11" i="33" s="1"/>
  <c r="IQ11" i="33" s="1"/>
  <c r="HQ11" i="33" a="1"/>
  <c r="HQ11" i="33" s="1"/>
  <c r="IP11" i="33" s="1"/>
  <c r="HP11" i="33" a="1"/>
  <c r="HP11" i="33" s="1"/>
  <c r="IO11" i="33" s="1"/>
  <c r="HL11" i="33"/>
  <c r="HJ11" i="33"/>
  <c r="HH11" i="33"/>
  <c r="HB11" i="33"/>
  <c r="HA11" i="33"/>
  <c r="GZ11" i="33"/>
  <c r="GY11" i="33"/>
  <c r="GX11" i="33"/>
  <c r="GW11" i="33"/>
  <c r="GV11" i="33"/>
  <c r="GU11" i="33"/>
  <c r="GT11" i="33"/>
  <c r="GP11" i="33"/>
  <c r="GI11" i="33"/>
  <c r="GH11" i="33"/>
  <c r="GG11" i="33"/>
  <c r="GF11" i="33"/>
  <c r="GE11" i="33"/>
  <c r="GB11" i="33"/>
  <c r="GA11" i="33"/>
  <c r="FZ11" i="33"/>
  <c r="FY11" i="33"/>
  <c r="FW11" i="33"/>
  <c r="FV11" i="33"/>
  <c r="FU11" i="33"/>
  <c r="FT11" i="33"/>
  <c r="FS11" i="33"/>
  <c r="FR11" i="33"/>
  <c r="FQ11" i="33"/>
  <c r="FJ11" i="33"/>
  <c r="FI11" i="33"/>
  <c r="FH11" i="33"/>
  <c r="FG11" i="33"/>
  <c r="FF11" i="33"/>
  <c r="FP11" i="33" s="1"/>
  <c r="FE11" i="33"/>
  <c r="FD11" i="33"/>
  <c r="FB11" i="33"/>
  <c r="FA11" i="33"/>
  <c r="EZ11" i="33"/>
  <c r="EY11" i="33"/>
  <c r="EX11" i="33"/>
  <c r="EW11" i="33"/>
  <c r="EV11" i="33"/>
  <c r="EU11" i="33"/>
  <c r="ET11" i="33"/>
  <c r="ES11" i="33"/>
  <c r="ER11" i="33"/>
  <c r="EQ11" i="33"/>
  <c r="EP11" i="33"/>
  <c r="EO11" i="33"/>
  <c r="EN11" i="33"/>
  <c r="EM11" i="33"/>
  <c r="EL11" i="33"/>
  <c r="EK11" i="33"/>
  <c r="EJ11" i="33"/>
  <c r="EI11" i="33"/>
  <c r="EH11" i="33"/>
  <c r="EG11" i="33"/>
  <c r="EF11" i="33"/>
  <c r="EE11" i="33"/>
  <c r="ED11" i="33"/>
  <c r="EC11" i="33"/>
  <c r="EB11" i="33"/>
  <c r="EA11" i="33"/>
  <c r="DU11" i="33"/>
  <c r="DT11" i="33"/>
  <c r="DS11" i="33"/>
  <c r="DR11" i="33"/>
  <c r="DQ11" i="33"/>
  <c r="DP11" i="33"/>
  <c r="DO11" i="33"/>
  <c r="DN11" i="33"/>
  <c r="DK11" i="33"/>
  <c r="DJ11" i="33"/>
  <c r="DI11" i="33"/>
  <c r="DH11" i="33"/>
  <c r="DG11" i="33"/>
  <c r="DF11" i="33"/>
  <c r="DE11" i="33"/>
  <c r="DD11" i="33"/>
  <c r="DB11" i="33"/>
  <c r="DA11" i="33"/>
  <c r="CV11" i="33"/>
  <c r="CU11" i="33"/>
  <c r="CT11" i="33"/>
  <c r="CS11" i="33"/>
  <c r="GN11" i="33" s="1"/>
  <c r="CR11" i="33"/>
  <c r="GM11" i="33" s="1"/>
  <c r="CQ11" i="33"/>
  <c r="GL11" i="33" s="1"/>
  <c r="CP11" i="33"/>
  <c r="GJ11" i="33" s="1"/>
  <c r="GK11" i="33" s="1"/>
  <c r="CO11" i="33"/>
  <c r="DZ11" i="33" s="1"/>
  <c r="CN11" i="33"/>
  <c r="DY11" i="33" s="1"/>
  <c r="CM11" i="33"/>
  <c r="DX11" i="33" s="1"/>
  <c r="CL11" i="33"/>
  <c r="DW11" i="33" s="1"/>
  <c r="CG11" i="33" a="1"/>
  <c r="CG11" i="33" s="1"/>
  <c r="AW11" i="33"/>
  <c r="AV11" i="33"/>
  <c r="J11" i="33"/>
  <c r="G11" i="33"/>
  <c r="HX10" i="33" a="1"/>
  <c r="HX10" i="33" s="1"/>
  <c r="IW10" i="33" s="1"/>
  <c r="HW10" i="33" a="1"/>
  <c r="HW10" i="33" s="1"/>
  <c r="IV10" i="33" s="1"/>
  <c r="HV10" i="33" a="1"/>
  <c r="HV10" i="33" s="1"/>
  <c r="IU10" i="33" s="1"/>
  <c r="HU10" i="33" a="1"/>
  <c r="HU10" i="33" s="1"/>
  <c r="IT10" i="33" s="1"/>
  <c r="HT10" i="33" a="1"/>
  <c r="HT10" i="33" s="1"/>
  <c r="IS10" i="33" s="1"/>
  <c r="HS10" i="33" a="1"/>
  <c r="HS10" i="33" s="1"/>
  <c r="IR10" i="33" s="1"/>
  <c r="HR10" i="33" a="1"/>
  <c r="HR10" i="33" s="1"/>
  <c r="IQ10" i="33" s="1"/>
  <c r="HQ10" i="33" a="1"/>
  <c r="HQ10" i="33" s="1"/>
  <c r="IP10" i="33" s="1"/>
  <c r="HP10" i="33"/>
  <c r="IO10" i="33" s="1"/>
  <c r="HP10" i="33" a="1"/>
  <c r="HL10" i="33"/>
  <c r="HJ10" i="33"/>
  <c r="HH10" i="33"/>
  <c r="HB10" i="33"/>
  <c r="HA10" i="33"/>
  <c r="GZ10" i="33"/>
  <c r="GY10" i="33"/>
  <c r="GX10" i="33"/>
  <c r="GW10" i="33"/>
  <c r="GV10" i="33"/>
  <c r="GU10" i="33"/>
  <c r="GT10" i="33"/>
  <c r="GP10" i="33"/>
  <c r="GI10" i="33"/>
  <c r="GH10" i="33"/>
  <c r="GG10" i="33"/>
  <c r="GF10" i="33"/>
  <c r="GE10" i="33"/>
  <c r="GB10" i="33"/>
  <c r="GA10" i="33"/>
  <c r="FZ10" i="33"/>
  <c r="FY10" i="33"/>
  <c r="FW10" i="33"/>
  <c r="FV10" i="33"/>
  <c r="FU10" i="33"/>
  <c r="FT10" i="33"/>
  <c r="FS10" i="33"/>
  <c r="FR10" i="33"/>
  <c r="FQ10" i="33"/>
  <c r="FL10" i="33"/>
  <c r="FK10" i="33"/>
  <c r="FJ10" i="33"/>
  <c r="FI10" i="33"/>
  <c r="FH10" i="33"/>
  <c r="FG10" i="33"/>
  <c r="FF10" i="33"/>
  <c r="FP10" i="33" s="1"/>
  <c r="FE10" i="33"/>
  <c r="FN10" i="33" s="1"/>
  <c r="FD10" i="33"/>
  <c r="FB10" i="33"/>
  <c r="FA10" i="33"/>
  <c r="EZ10" i="33"/>
  <c r="EY10" i="33"/>
  <c r="EX10" i="33"/>
  <c r="EW10" i="33"/>
  <c r="EV10" i="33"/>
  <c r="EU10" i="33"/>
  <c r="ET10" i="33"/>
  <c r="ES10" i="33"/>
  <c r="ER10" i="33"/>
  <c r="EQ10" i="33"/>
  <c r="EP10" i="33"/>
  <c r="EO10" i="33"/>
  <c r="EN10" i="33"/>
  <c r="EM10" i="33"/>
  <c r="EL10" i="33"/>
  <c r="EK10" i="33"/>
  <c r="EJ10" i="33"/>
  <c r="EI10" i="33"/>
  <c r="EH10" i="33"/>
  <c r="EG10" i="33"/>
  <c r="EF10" i="33"/>
  <c r="EE10" i="33"/>
  <c r="ED10" i="33"/>
  <c r="EC10" i="33"/>
  <c r="EB10" i="33"/>
  <c r="EA10" i="33"/>
  <c r="DU10" i="33"/>
  <c r="DT10" i="33"/>
  <c r="DS10" i="33"/>
  <c r="DR10" i="33"/>
  <c r="DQ10" i="33"/>
  <c r="DP10" i="33"/>
  <c r="DO10" i="33"/>
  <c r="DN10" i="33"/>
  <c r="DK10" i="33"/>
  <c r="DJ10" i="33"/>
  <c r="DI10" i="33"/>
  <c r="DH10" i="33"/>
  <c r="DG10" i="33"/>
  <c r="DF10" i="33"/>
  <c r="DE10" i="33"/>
  <c r="DD10" i="33"/>
  <c r="DB10" i="33"/>
  <c r="DA10" i="33"/>
  <c r="CV10" i="33"/>
  <c r="CU10" i="33"/>
  <c r="CT10" i="33"/>
  <c r="CS10" i="33"/>
  <c r="GN10" i="33" s="1"/>
  <c r="CR10" i="33"/>
  <c r="GM10" i="33" s="1"/>
  <c r="CQ10" i="33"/>
  <c r="GL10" i="33" s="1"/>
  <c r="CP10" i="33"/>
  <c r="GJ10" i="33" s="1"/>
  <c r="GK10" i="33" s="1"/>
  <c r="CO10" i="33"/>
  <c r="DZ10" i="33" s="1"/>
  <c r="CN10" i="33"/>
  <c r="DY10" i="33" s="1"/>
  <c r="CM10" i="33"/>
  <c r="DX10" i="33" s="1"/>
  <c r="CL10" i="33"/>
  <c r="DW10" i="33" s="1"/>
  <c r="CG10" i="33" a="1"/>
  <c r="CG10" i="33" s="1"/>
  <c r="DL10" i="33" s="1"/>
  <c r="AW10" i="33"/>
  <c r="AV10" i="33"/>
  <c r="J10" i="33"/>
  <c r="G10" i="33"/>
  <c r="IL9" i="33"/>
  <c r="HX9" i="33" a="1"/>
  <c r="HX9" i="33" s="1"/>
  <c r="IW9" i="33" s="1"/>
  <c r="HW9" i="33" a="1"/>
  <c r="HW9" i="33" s="1"/>
  <c r="IV9" i="33" s="1"/>
  <c r="HV9" i="33" a="1"/>
  <c r="HV9" i="33" s="1"/>
  <c r="IU9" i="33" s="1"/>
  <c r="HU9" i="33" a="1"/>
  <c r="HU9" i="33" s="1"/>
  <c r="IT9" i="33" s="1"/>
  <c r="HT9" i="33" a="1"/>
  <c r="HT9" i="33" s="1"/>
  <c r="IS9" i="33" s="1"/>
  <c r="HS9" i="33" a="1"/>
  <c r="HS9" i="33" s="1"/>
  <c r="IR9" i="33" s="1"/>
  <c r="HR9" i="33" a="1"/>
  <c r="HR9" i="33" s="1"/>
  <c r="IQ9" i="33" s="1"/>
  <c r="HQ9" i="33" a="1"/>
  <c r="HQ9" i="33" s="1"/>
  <c r="IP9" i="33" s="1"/>
  <c r="HP9" i="33" a="1"/>
  <c r="HP9" i="33" s="1"/>
  <c r="IO9" i="33" s="1"/>
  <c r="HL9" i="33"/>
  <c r="HJ9" i="33"/>
  <c r="HH9" i="33"/>
  <c r="HB9" i="33"/>
  <c r="HA9" i="33"/>
  <c r="GZ9" i="33"/>
  <c r="GY9" i="33"/>
  <c r="GX9" i="33"/>
  <c r="GW9" i="33"/>
  <c r="GV9" i="33"/>
  <c r="GU9" i="33"/>
  <c r="GT9" i="33"/>
  <c r="GP9" i="33"/>
  <c r="GI9" i="33"/>
  <c r="GH9" i="33"/>
  <c r="GG9" i="33"/>
  <c r="GF9" i="33"/>
  <c r="GE9" i="33"/>
  <c r="GD9" i="33"/>
  <c r="GC9" i="33"/>
  <c r="GB9" i="33"/>
  <c r="GA9" i="33"/>
  <c r="FZ9" i="33"/>
  <c r="FY9" i="33"/>
  <c r="FX9" i="33"/>
  <c r="FW9" i="33"/>
  <c r="FV9" i="33"/>
  <c r="FU9" i="33"/>
  <c r="FT9" i="33"/>
  <c r="FS9" i="33"/>
  <c r="FR9" i="33"/>
  <c r="FQ9" i="33"/>
  <c r="FK9" i="33"/>
  <c r="FJ9" i="33"/>
  <c r="FI9" i="33"/>
  <c r="FH9" i="33"/>
  <c r="FG9" i="33"/>
  <c r="FF9" i="33"/>
  <c r="FN9" i="33" s="1"/>
  <c r="FE9" i="33"/>
  <c r="FD9" i="33"/>
  <c r="FC9" i="33"/>
  <c r="FB9" i="33"/>
  <c r="FA9" i="33"/>
  <c r="EZ9" i="33"/>
  <c r="EY9" i="33"/>
  <c r="EX9" i="33"/>
  <c r="EW9" i="33"/>
  <c r="EV9" i="33"/>
  <c r="EU9" i="33"/>
  <c r="ET9" i="33"/>
  <c r="ES9" i="33"/>
  <c r="ER9" i="33"/>
  <c r="EQ9" i="33"/>
  <c r="EP9" i="33"/>
  <c r="EO9" i="33"/>
  <c r="EN9" i="33"/>
  <c r="EM9" i="33"/>
  <c r="EL9" i="33"/>
  <c r="EK9" i="33"/>
  <c r="EJ9" i="33"/>
  <c r="EI9" i="33"/>
  <c r="EH9" i="33"/>
  <c r="EG9" i="33"/>
  <c r="EF9" i="33"/>
  <c r="EE9" i="33"/>
  <c r="ED9" i="33"/>
  <c r="EC9" i="33"/>
  <c r="EB9" i="33"/>
  <c r="EA9" i="33"/>
  <c r="DV9" i="33"/>
  <c r="DU9" i="33"/>
  <c r="DT9" i="33"/>
  <c r="DS9" i="33"/>
  <c r="DR9" i="33"/>
  <c r="DQ9" i="33"/>
  <c r="DP9" i="33"/>
  <c r="DO9" i="33"/>
  <c r="DN9" i="33"/>
  <c r="DK9" i="33"/>
  <c r="DJ9" i="33"/>
  <c r="DI9" i="33"/>
  <c r="DH9" i="33"/>
  <c r="DG9" i="33"/>
  <c r="DF9" i="33"/>
  <c r="DE9" i="33"/>
  <c r="DD9" i="33"/>
  <c r="DC9" i="33"/>
  <c r="DB9" i="33"/>
  <c r="DA9" i="33"/>
  <c r="CV9" i="33"/>
  <c r="CU9" i="33"/>
  <c r="CT9" i="33"/>
  <c r="CS9" i="33"/>
  <c r="GN9" i="33" s="1"/>
  <c r="CR9" i="33"/>
  <c r="GM9" i="33" s="1"/>
  <c r="CQ9" i="33"/>
  <c r="GL9" i="33" s="1"/>
  <c r="CP9" i="33"/>
  <c r="GJ9" i="33" s="1"/>
  <c r="GK9" i="33" s="1"/>
  <c r="CO9" i="33"/>
  <c r="DZ9" i="33" s="1"/>
  <c r="CN9" i="33"/>
  <c r="DY9" i="33" s="1"/>
  <c r="CM9" i="33"/>
  <c r="DX9" i="33" s="1"/>
  <c r="CL9" i="33"/>
  <c r="DW9" i="33" s="1"/>
  <c r="CG9" i="33" a="1"/>
  <c r="CG9" i="33" s="1"/>
  <c r="AW9" i="33"/>
  <c r="AV9" i="33"/>
  <c r="AX9" i="33" s="1"/>
  <c r="J9" i="33"/>
  <c r="HI9" i="33" s="1"/>
  <c r="G9" i="33"/>
  <c r="IL8" i="33"/>
  <c r="HX8" i="33" a="1"/>
  <c r="HX8" i="33" s="1"/>
  <c r="IW8" i="33" s="1"/>
  <c r="HW8" i="33" a="1"/>
  <c r="HW8" i="33" s="1"/>
  <c r="IV8" i="33" s="1"/>
  <c r="HV8" i="33" a="1"/>
  <c r="HV8" i="33" s="1"/>
  <c r="IU8" i="33" s="1"/>
  <c r="HU8" i="33" a="1"/>
  <c r="HU8" i="33" s="1"/>
  <c r="IT8" i="33" s="1"/>
  <c r="HT8" i="33" a="1"/>
  <c r="HT8" i="33" s="1"/>
  <c r="IS8" i="33" s="1"/>
  <c r="HS8" i="33" a="1"/>
  <c r="HS8" i="33" s="1"/>
  <c r="IR8" i="33" s="1"/>
  <c r="HR8" i="33" a="1"/>
  <c r="HR8" i="33" s="1"/>
  <c r="IQ8" i="33" s="1"/>
  <c r="HQ8" i="33" a="1"/>
  <c r="HQ8" i="33" s="1"/>
  <c r="IP8" i="33" s="1"/>
  <c r="HP8" i="33" a="1"/>
  <c r="HP8" i="33" s="1"/>
  <c r="IO8" i="33" s="1"/>
  <c r="HL8" i="33"/>
  <c r="HJ8" i="33"/>
  <c r="HH8" i="33"/>
  <c r="HB8" i="33"/>
  <c r="HA8" i="33"/>
  <c r="GZ8" i="33"/>
  <c r="GY8" i="33"/>
  <c r="GX8" i="33"/>
  <c r="GW8" i="33"/>
  <c r="GV8" i="33"/>
  <c r="GU8" i="33"/>
  <c r="GT8" i="33"/>
  <c r="GP8" i="33"/>
  <c r="GI8" i="33"/>
  <c r="GH8" i="33"/>
  <c r="GG8" i="33"/>
  <c r="GF8" i="33"/>
  <c r="GE8" i="33"/>
  <c r="GD8" i="33"/>
  <c r="GC8" i="33"/>
  <c r="GB8" i="33"/>
  <c r="GA8" i="33"/>
  <c r="FZ8" i="33"/>
  <c r="FY8" i="33"/>
  <c r="FX8" i="33"/>
  <c r="FW8" i="33"/>
  <c r="FV8" i="33"/>
  <c r="FU8" i="33"/>
  <c r="FT8" i="33"/>
  <c r="FS8" i="33"/>
  <c r="FR8" i="33"/>
  <c r="FQ8" i="33"/>
  <c r="FJ8" i="33"/>
  <c r="FM8" i="33" s="1"/>
  <c r="FI8" i="33"/>
  <c r="FH8" i="33"/>
  <c r="FG8" i="33"/>
  <c r="FF8" i="33"/>
  <c r="FP8" i="33" s="1"/>
  <c r="FE8" i="33"/>
  <c r="FN8" i="33" s="1"/>
  <c r="FD8" i="33"/>
  <c r="FC8" i="33"/>
  <c r="FB8" i="33"/>
  <c r="FA8" i="33"/>
  <c r="EZ8" i="33"/>
  <c r="EY8" i="33"/>
  <c r="EX8" i="33"/>
  <c r="EW8" i="33"/>
  <c r="EV8" i="33"/>
  <c r="EU8" i="33"/>
  <c r="ET8" i="33"/>
  <c r="ES8" i="33"/>
  <c r="ER8" i="33"/>
  <c r="EQ8" i="33"/>
  <c r="EP8" i="33"/>
  <c r="EO8" i="33"/>
  <c r="EN8" i="33"/>
  <c r="EM8" i="33"/>
  <c r="EL8" i="33"/>
  <c r="EK8" i="33"/>
  <c r="EJ8" i="33"/>
  <c r="EI8" i="33"/>
  <c r="EH8" i="33"/>
  <c r="EG8" i="33"/>
  <c r="EF8" i="33"/>
  <c r="EE8" i="33"/>
  <c r="ED8" i="33"/>
  <c r="EC8" i="33"/>
  <c r="EB8" i="33"/>
  <c r="EA8" i="33"/>
  <c r="DV8" i="33"/>
  <c r="DU8" i="33"/>
  <c r="DT8" i="33"/>
  <c r="DS8" i="33"/>
  <c r="DR8" i="33"/>
  <c r="DQ8" i="33"/>
  <c r="DP8" i="33"/>
  <c r="DO8" i="33"/>
  <c r="DN8" i="33"/>
  <c r="DK8" i="33"/>
  <c r="DJ8" i="33"/>
  <c r="DI8" i="33"/>
  <c r="DH8" i="33"/>
  <c r="DG8" i="33"/>
  <c r="DF8" i="33"/>
  <c r="DE8" i="33"/>
  <c r="DD8" i="33"/>
  <c r="DC8" i="33"/>
  <c r="DB8" i="33"/>
  <c r="DA8" i="33"/>
  <c r="CV8" i="33"/>
  <c r="CU8" i="33"/>
  <c r="CT8" i="33"/>
  <c r="CS8" i="33"/>
  <c r="GN8" i="33" s="1"/>
  <c r="CR8" i="33"/>
  <c r="GM8" i="33" s="1"/>
  <c r="CQ8" i="33"/>
  <c r="GL8" i="33" s="1"/>
  <c r="CP8" i="33"/>
  <c r="GJ8" i="33" s="1"/>
  <c r="GK8" i="33" s="1"/>
  <c r="CO8" i="33"/>
  <c r="DZ8" i="33" s="1"/>
  <c r="CN8" i="33"/>
  <c r="DY8" i="33" s="1"/>
  <c r="CM8" i="33"/>
  <c r="DX8" i="33" s="1"/>
  <c r="CL8" i="33"/>
  <c r="DW8" i="33" s="1"/>
  <c r="CG8" i="33" a="1"/>
  <c r="CG8" i="33" s="1"/>
  <c r="AW8" i="33"/>
  <c r="AV8" i="33"/>
  <c r="J8" i="33"/>
  <c r="G8" i="33"/>
  <c r="IL7" i="33"/>
  <c r="HX7" i="33" a="1"/>
  <c r="HX7" i="33" s="1"/>
  <c r="IW7" i="33" s="1"/>
  <c r="HW7" i="33" a="1"/>
  <c r="HW7" i="33" s="1"/>
  <c r="IV7" i="33" s="1"/>
  <c r="HV7" i="33" a="1"/>
  <c r="HV7" i="33" s="1"/>
  <c r="IU7" i="33" s="1"/>
  <c r="HU7" i="33" a="1"/>
  <c r="HU7" i="33" s="1"/>
  <c r="IT7" i="33" s="1"/>
  <c r="HT7" i="33" a="1"/>
  <c r="HT7" i="33" s="1"/>
  <c r="IS7" i="33" s="1"/>
  <c r="HS7" i="33" a="1"/>
  <c r="HS7" i="33" s="1"/>
  <c r="IR7" i="33" s="1"/>
  <c r="HR7" i="33" a="1"/>
  <c r="HR7" i="33" s="1"/>
  <c r="IQ7" i="33" s="1"/>
  <c r="HQ7" i="33" a="1"/>
  <c r="HQ7" i="33" s="1"/>
  <c r="IP7" i="33" s="1"/>
  <c r="HP7" i="33" a="1"/>
  <c r="HP7" i="33" s="1"/>
  <c r="IO7" i="33" s="1"/>
  <c r="HL7" i="33"/>
  <c r="HJ7" i="33"/>
  <c r="HH7" i="33"/>
  <c r="HB7" i="33"/>
  <c r="HA7" i="33"/>
  <c r="GZ7" i="33"/>
  <c r="GY7" i="33"/>
  <c r="GX7" i="33"/>
  <c r="GW7" i="33"/>
  <c r="GV7" i="33"/>
  <c r="GU7" i="33"/>
  <c r="GT7" i="33"/>
  <c r="GP7" i="33"/>
  <c r="GI7" i="33"/>
  <c r="GH7" i="33"/>
  <c r="GG7" i="33"/>
  <c r="GF7" i="33"/>
  <c r="GE7" i="33"/>
  <c r="GD7" i="33"/>
  <c r="GC7" i="33"/>
  <c r="GB7" i="33"/>
  <c r="GA7" i="33"/>
  <c r="FZ7" i="33"/>
  <c r="FY7" i="33"/>
  <c r="FX7" i="33"/>
  <c r="FW7" i="33"/>
  <c r="FV7" i="33"/>
  <c r="FU7" i="33"/>
  <c r="FT7" i="33"/>
  <c r="FS7" i="33"/>
  <c r="FR7" i="33"/>
  <c r="FQ7" i="33"/>
  <c r="FJ7" i="33"/>
  <c r="FI7" i="33"/>
  <c r="FH7" i="33"/>
  <c r="FG7" i="33"/>
  <c r="FF7" i="33"/>
  <c r="FP7" i="33" s="1"/>
  <c r="FE7" i="33"/>
  <c r="FO7" i="33" s="1"/>
  <c r="FD7" i="33"/>
  <c r="FC7" i="33"/>
  <c r="FB7" i="33"/>
  <c r="FA7" i="33"/>
  <c r="EZ7" i="33"/>
  <c r="EY7" i="33"/>
  <c r="EX7" i="33"/>
  <c r="EW7" i="33"/>
  <c r="EV7" i="33"/>
  <c r="EU7" i="33"/>
  <c r="ET7" i="33"/>
  <c r="ES7" i="33"/>
  <c r="ER7" i="33"/>
  <c r="EQ7" i="33"/>
  <c r="EP7" i="33"/>
  <c r="EO7" i="33"/>
  <c r="EN7" i="33"/>
  <c r="EM7" i="33"/>
  <c r="EL7" i="33"/>
  <c r="EK7" i="33"/>
  <c r="EJ7" i="33"/>
  <c r="EI7" i="33"/>
  <c r="EH7" i="33"/>
  <c r="EG7" i="33"/>
  <c r="EF7" i="33"/>
  <c r="EE7" i="33"/>
  <c r="ED7" i="33"/>
  <c r="EC7" i="33"/>
  <c r="EB7" i="33"/>
  <c r="EA7" i="33"/>
  <c r="DV7" i="33"/>
  <c r="DU7" i="33"/>
  <c r="DT7" i="33"/>
  <c r="DS7" i="33"/>
  <c r="DR7" i="33"/>
  <c r="DQ7" i="33"/>
  <c r="DP7" i="33"/>
  <c r="DO7" i="33"/>
  <c r="DN7" i="33"/>
  <c r="DK7" i="33"/>
  <c r="DJ7" i="33"/>
  <c r="DI7" i="33"/>
  <c r="DH7" i="33"/>
  <c r="DG7" i="33"/>
  <c r="DF7" i="33"/>
  <c r="DE7" i="33"/>
  <c r="DD7" i="33"/>
  <c r="DC7" i="33"/>
  <c r="DB7" i="33"/>
  <c r="DA7" i="33"/>
  <c r="CV7" i="33"/>
  <c r="CU7" i="33"/>
  <c r="CT7" i="33"/>
  <c r="CS7" i="33"/>
  <c r="GN7" i="33" s="1"/>
  <c r="CR7" i="33"/>
  <c r="GM7" i="33" s="1"/>
  <c r="CQ7" i="33"/>
  <c r="GL7" i="33" s="1"/>
  <c r="CP7" i="33"/>
  <c r="GJ7" i="33" s="1"/>
  <c r="GK7" i="33" s="1"/>
  <c r="CO7" i="33"/>
  <c r="DZ7" i="33" s="1"/>
  <c r="CN7" i="33"/>
  <c r="DY7" i="33" s="1"/>
  <c r="CM7" i="33"/>
  <c r="DX7" i="33" s="1"/>
  <c r="CL7" i="33"/>
  <c r="DW7" i="33" s="1"/>
  <c r="CG7" i="33" a="1"/>
  <c r="CG7" i="33" s="1"/>
  <c r="AW7" i="33"/>
  <c r="AV7" i="33"/>
  <c r="J7" i="33"/>
  <c r="G7" i="33"/>
  <c r="HX6" i="33" a="1"/>
  <c r="HX6" i="33" s="1"/>
  <c r="IW6" i="33" s="1"/>
  <c r="HW6" i="33" a="1"/>
  <c r="HW6" i="33" s="1"/>
  <c r="IV6" i="33" s="1"/>
  <c r="HV6" i="33" a="1"/>
  <c r="HV6" i="33" s="1"/>
  <c r="IU6" i="33" s="1"/>
  <c r="HU6" i="33" a="1"/>
  <c r="HU6" i="33" s="1"/>
  <c r="IT6" i="33" s="1"/>
  <c r="HT6" i="33" a="1"/>
  <c r="HT6" i="33" s="1"/>
  <c r="IS6" i="33" s="1"/>
  <c r="HS6" i="33" a="1"/>
  <c r="HS6" i="33" s="1"/>
  <c r="IR6" i="33" s="1"/>
  <c r="HR6" i="33" a="1"/>
  <c r="HR6" i="33" s="1"/>
  <c r="IQ6" i="33" s="1"/>
  <c r="HQ6" i="33" a="1"/>
  <c r="HQ6" i="33" s="1"/>
  <c r="IP6" i="33" s="1"/>
  <c r="HP6" i="33" a="1"/>
  <c r="HP6" i="33" s="1"/>
  <c r="IO6" i="33" s="1"/>
  <c r="HL6" i="33"/>
  <c r="HJ6" i="33"/>
  <c r="HH6" i="33"/>
  <c r="HB6" i="33"/>
  <c r="HA6" i="33"/>
  <c r="GZ6" i="33"/>
  <c r="GY6" i="33"/>
  <c r="GX6" i="33"/>
  <c r="GW6" i="33"/>
  <c r="GV6" i="33"/>
  <c r="GU6" i="33"/>
  <c r="GT6" i="33"/>
  <c r="GP6" i="33"/>
  <c r="GI6" i="33"/>
  <c r="GH6" i="33"/>
  <c r="GG6" i="33"/>
  <c r="GF6" i="33"/>
  <c r="GE6" i="33"/>
  <c r="GB6" i="33"/>
  <c r="GA6" i="33"/>
  <c r="FZ6" i="33"/>
  <c r="FY6" i="33"/>
  <c r="FW6" i="33"/>
  <c r="FV6" i="33"/>
  <c r="FU6" i="33"/>
  <c r="FT6" i="33"/>
  <c r="FS6" i="33"/>
  <c r="FR6" i="33"/>
  <c r="FQ6" i="33"/>
  <c r="FJ6" i="33"/>
  <c r="FI6" i="33"/>
  <c r="FH6" i="33"/>
  <c r="FG6" i="33"/>
  <c r="FF6" i="33"/>
  <c r="FP6" i="33" s="1"/>
  <c r="FE6" i="33"/>
  <c r="FO6" i="33" s="1"/>
  <c r="FD6" i="33"/>
  <c r="FB6" i="33"/>
  <c r="FA6" i="33"/>
  <c r="EZ6" i="33"/>
  <c r="EY6" i="33"/>
  <c r="EX6" i="33"/>
  <c r="EW6" i="33"/>
  <c r="EV6" i="33"/>
  <c r="EU6" i="33"/>
  <c r="ET6" i="33"/>
  <c r="ES6" i="33"/>
  <c r="ER6" i="33"/>
  <c r="EQ6" i="33"/>
  <c r="EP6" i="33"/>
  <c r="EO6" i="33"/>
  <c r="EN6" i="33"/>
  <c r="EM6" i="33"/>
  <c r="EL6" i="33"/>
  <c r="EK6" i="33"/>
  <c r="EJ6" i="33"/>
  <c r="EI6" i="33"/>
  <c r="EH6" i="33"/>
  <c r="EG6" i="33"/>
  <c r="EF6" i="33"/>
  <c r="EE6" i="33"/>
  <c r="ED6" i="33"/>
  <c r="EC6" i="33"/>
  <c r="EB6" i="33"/>
  <c r="EA6" i="33"/>
  <c r="DU6" i="33"/>
  <c r="DT6" i="33"/>
  <c r="DS6" i="33"/>
  <c r="DR6" i="33"/>
  <c r="DQ6" i="33"/>
  <c r="DP6" i="33"/>
  <c r="DO6" i="33"/>
  <c r="DN6" i="33"/>
  <c r="DK6" i="33"/>
  <c r="DJ6" i="33"/>
  <c r="DI6" i="33"/>
  <c r="DH6" i="33"/>
  <c r="DG6" i="33"/>
  <c r="DF6" i="33"/>
  <c r="DE6" i="33"/>
  <c r="DD6" i="33"/>
  <c r="DB6" i="33"/>
  <c r="DA6" i="33"/>
  <c r="CV6" i="33"/>
  <c r="CU6" i="33"/>
  <c r="CT6" i="33"/>
  <c r="CS6" i="33"/>
  <c r="GN6" i="33" s="1"/>
  <c r="CR6" i="33"/>
  <c r="GM6" i="33" s="1"/>
  <c r="CQ6" i="33"/>
  <c r="GL6" i="33" s="1"/>
  <c r="CP6" i="33"/>
  <c r="GJ6" i="33" s="1"/>
  <c r="GK6" i="33" s="1"/>
  <c r="CO6" i="33"/>
  <c r="DZ6" i="33" s="1"/>
  <c r="CN6" i="33"/>
  <c r="DY6" i="33" s="1"/>
  <c r="CM6" i="33"/>
  <c r="DX6" i="33" s="1"/>
  <c r="CL6" i="33"/>
  <c r="DW6" i="33" s="1"/>
  <c r="CG6" i="33" a="1"/>
  <c r="CG6" i="33" s="1"/>
  <c r="AW6" i="33"/>
  <c r="AV6" i="33"/>
  <c r="J6" i="33"/>
  <c r="G6" i="33"/>
  <c r="HX5" i="33" a="1"/>
  <c r="HX5" i="33" s="1"/>
  <c r="IW5" i="33" s="1"/>
  <c r="HW5" i="33" a="1"/>
  <c r="HW5" i="33" s="1"/>
  <c r="IV5" i="33" s="1"/>
  <c r="HV5" i="33" a="1"/>
  <c r="HV5" i="33" s="1"/>
  <c r="IU5" i="33" s="1"/>
  <c r="HU5" i="33" a="1"/>
  <c r="HU5" i="33" s="1"/>
  <c r="IT5" i="33" s="1"/>
  <c r="HT5" i="33" a="1"/>
  <c r="HT5" i="33" s="1"/>
  <c r="IS5" i="33" s="1"/>
  <c r="HS5" i="33" a="1"/>
  <c r="HS5" i="33" s="1"/>
  <c r="IR5" i="33" s="1"/>
  <c r="HR5" i="33" a="1"/>
  <c r="HR5" i="33" s="1"/>
  <c r="IQ5" i="33" s="1"/>
  <c r="HQ5" i="33" a="1"/>
  <c r="HQ5" i="33" s="1"/>
  <c r="IP5" i="33" s="1"/>
  <c r="HP5" i="33" a="1"/>
  <c r="HP5" i="33" s="1"/>
  <c r="IO5" i="33" s="1"/>
  <c r="HL5" i="33"/>
  <c r="HJ5" i="33"/>
  <c r="HH5" i="33"/>
  <c r="HB5" i="33"/>
  <c r="HA5" i="33"/>
  <c r="GZ5" i="33"/>
  <c r="GY5" i="33"/>
  <c r="GX5" i="33"/>
  <c r="GW5" i="33"/>
  <c r="GV5" i="33"/>
  <c r="GU5" i="33"/>
  <c r="GT5" i="33"/>
  <c r="GP5" i="33"/>
  <c r="GI5" i="33"/>
  <c r="GH5" i="33"/>
  <c r="GG5" i="33"/>
  <c r="GF5" i="33"/>
  <c r="GE5" i="33"/>
  <c r="GB5" i="33"/>
  <c r="GA5" i="33"/>
  <c r="FZ5" i="33"/>
  <c r="FY5" i="33"/>
  <c r="FW5" i="33"/>
  <c r="FV5" i="33"/>
  <c r="FU5" i="33"/>
  <c r="FT5" i="33"/>
  <c r="FS5" i="33"/>
  <c r="FR5" i="33"/>
  <c r="FQ5" i="33"/>
  <c r="FJ5" i="33"/>
  <c r="FI5" i="33"/>
  <c r="FH5" i="33"/>
  <c r="FG5" i="33"/>
  <c r="FF5" i="33"/>
  <c r="FP5" i="33" s="1"/>
  <c r="FE5" i="33"/>
  <c r="FD5" i="33"/>
  <c r="FB5" i="33"/>
  <c r="FA5" i="33"/>
  <c r="EZ5" i="33"/>
  <c r="EY5" i="33"/>
  <c r="EX5" i="33"/>
  <c r="EW5" i="33"/>
  <c r="EV5" i="33"/>
  <c r="EU5" i="33"/>
  <c r="ET5" i="33"/>
  <c r="ES5" i="33"/>
  <c r="ER5" i="33"/>
  <c r="EQ5" i="33"/>
  <c r="EP5" i="33"/>
  <c r="EO5" i="33"/>
  <c r="EN5" i="33"/>
  <c r="EM5" i="33"/>
  <c r="EL5" i="33"/>
  <c r="EK5" i="33"/>
  <c r="EJ5" i="33"/>
  <c r="EI5" i="33"/>
  <c r="EH5" i="33"/>
  <c r="EG5" i="33"/>
  <c r="EF5" i="33"/>
  <c r="EE5" i="33"/>
  <c r="ED5" i="33"/>
  <c r="EC5" i="33"/>
  <c r="EB5" i="33"/>
  <c r="EA5" i="33"/>
  <c r="DU5" i="33"/>
  <c r="DT5" i="33"/>
  <c r="DS5" i="33"/>
  <c r="DR5" i="33"/>
  <c r="DQ5" i="33"/>
  <c r="DP5" i="33"/>
  <c r="DO5" i="33"/>
  <c r="DN5" i="33"/>
  <c r="DK5" i="33"/>
  <c r="DJ5" i="33"/>
  <c r="DI5" i="33"/>
  <c r="DH5" i="33"/>
  <c r="DG5" i="33"/>
  <c r="DF5" i="33"/>
  <c r="DE5" i="33"/>
  <c r="DD5" i="33"/>
  <c r="DB5" i="33"/>
  <c r="DA5" i="33"/>
  <c r="CV5" i="33"/>
  <c r="CU5" i="33"/>
  <c r="CT5" i="33"/>
  <c r="CS5" i="33"/>
  <c r="GN5" i="33" s="1"/>
  <c r="CR5" i="33"/>
  <c r="GM5" i="33" s="1"/>
  <c r="CQ5" i="33"/>
  <c r="GL5" i="33" s="1"/>
  <c r="CP5" i="33"/>
  <c r="GJ5" i="33" s="1"/>
  <c r="GK5" i="33" s="1"/>
  <c r="CO5" i="33"/>
  <c r="DZ5" i="33" s="1"/>
  <c r="CN5" i="33"/>
  <c r="DY5" i="33" s="1"/>
  <c r="CM5" i="33"/>
  <c r="DX5" i="33" s="1"/>
  <c r="CL5" i="33"/>
  <c r="DW5" i="33" s="1"/>
  <c r="CG5" i="33" a="1"/>
  <c r="CG5" i="33" s="1"/>
  <c r="DM5" i="33" s="1" a="1"/>
  <c r="DM5" i="33" s="1"/>
  <c r="AW5" i="33"/>
  <c r="AV5" i="33"/>
  <c r="J5" i="33"/>
  <c r="HI5" i="33" s="1"/>
  <c r="G5" i="33"/>
  <c r="HX4" i="33" a="1"/>
  <c r="HX4" i="33" s="1"/>
  <c r="IW4" i="33" s="1"/>
  <c r="HW4" i="33" a="1"/>
  <c r="HW4" i="33" s="1"/>
  <c r="IV4" i="33" s="1"/>
  <c r="HV4" i="33" a="1"/>
  <c r="HV4" i="33" s="1"/>
  <c r="IU4" i="33" s="1"/>
  <c r="HU4" i="33" a="1"/>
  <c r="HU4" i="33" s="1"/>
  <c r="IT4" i="33" s="1"/>
  <c r="HT4" i="33" a="1"/>
  <c r="HT4" i="33" s="1"/>
  <c r="IS4" i="33" s="1"/>
  <c r="HS4" i="33" a="1"/>
  <c r="HS4" i="33" s="1"/>
  <c r="IR4" i="33" s="1"/>
  <c r="HR4" i="33" a="1"/>
  <c r="HR4" i="33" s="1"/>
  <c r="IQ4" i="33" s="1"/>
  <c r="HQ4" i="33" a="1"/>
  <c r="HQ4" i="33" s="1"/>
  <c r="IP4" i="33" s="1"/>
  <c r="HP4" i="33" a="1"/>
  <c r="HP4" i="33" s="1"/>
  <c r="IO4" i="33" s="1"/>
  <c r="HL4" i="33"/>
  <c r="HJ4" i="33"/>
  <c r="HH4" i="33"/>
  <c r="HB4" i="33"/>
  <c r="HA4" i="33"/>
  <c r="GZ4" i="33"/>
  <c r="GY4" i="33"/>
  <c r="GX4" i="33"/>
  <c r="GW4" i="33"/>
  <c r="GV4" i="33"/>
  <c r="GU4" i="33"/>
  <c r="GT4" i="33"/>
  <c r="GP4" i="33"/>
  <c r="GI4" i="33"/>
  <c r="GH4" i="33"/>
  <c r="GG4" i="33"/>
  <c r="GF4" i="33"/>
  <c r="GE4" i="33"/>
  <c r="GB4" i="33"/>
  <c r="GA4" i="33"/>
  <c r="FZ4" i="33"/>
  <c r="FY4" i="33"/>
  <c r="FW4" i="33"/>
  <c r="FV4" i="33"/>
  <c r="FU4" i="33"/>
  <c r="FT4" i="33"/>
  <c r="FS4" i="33"/>
  <c r="FR4" i="33"/>
  <c r="FQ4" i="33"/>
  <c r="FJ4" i="33"/>
  <c r="FM4" i="33" s="1"/>
  <c r="FI4" i="33"/>
  <c r="FH4" i="33"/>
  <c r="FG4" i="33"/>
  <c r="FF4" i="33"/>
  <c r="FP4" i="33" s="1"/>
  <c r="FE4" i="33"/>
  <c r="FO4" i="33" s="1"/>
  <c r="FD4" i="33"/>
  <c r="FB4" i="33"/>
  <c r="FA4" i="33"/>
  <c r="EZ4" i="33"/>
  <c r="EY4" i="33"/>
  <c r="EX4" i="33"/>
  <c r="EW4" i="33"/>
  <c r="EV4" i="33"/>
  <c r="EU4" i="33"/>
  <c r="ET4" i="33"/>
  <c r="ES4" i="33"/>
  <c r="ER4" i="33"/>
  <c r="EQ4" i="33"/>
  <c r="EP4" i="33"/>
  <c r="EO4" i="33"/>
  <c r="EN4" i="33"/>
  <c r="EM4" i="33"/>
  <c r="EL4" i="33"/>
  <c r="EK4" i="33"/>
  <c r="EJ4" i="33"/>
  <c r="EI4" i="33"/>
  <c r="EH4" i="33"/>
  <c r="EG4" i="33"/>
  <c r="EF4" i="33"/>
  <c r="EE4" i="33"/>
  <c r="ED4" i="33"/>
  <c r="EC4" i="33"/>
  <c r="EB4" i="33"/>
  <c r="EA4" i="33"/>
  <c r="DU4" i="33"/>
  <c r="DT4" i="33"/>
  <c r="DS4" i="33"/>
  <c r="DR4" i="33"/>
  <c r="DQ4" i="33"/>
  <c r="DP4" i="33"/>
  <c r="DO4" i="33"/>
  <c r="DN4" i="33"/>
  <c r="DK4" i="33"/>
  <c r="DJ4" i="33"/>
  <c r="DI4" i="33"/>
  <c r="DH4" i="33"/>
  <c r="DG4" i="33"/>
  <c r="DF4" i="33"/>
  <c r="DE4" i="33"/>
  <c r="DD4" i="33"/>
  <c r="DB4" i="33"/>
  <c r="DA4" i="33"/>
  <c r="CV4" i="33"/>
  <c r="CU4" i="33"/>
  <c r="CT4" i="33"/>
  <c r="CS4" i="33"/>
  <c r="GN4" i="33" s="1"/>
  <c r="CR4" i="33"/>
  <c r="GM4" i="33" s="1"/>
  <c r="CQ4" i="33"/>
  <c r="GL4" i="33" s="1"/>
  <c r="CP4" i="33"/>
  <c r="GJ4" i="33" s="1"/>
  <c r="GK4" i="33" s="1"/>
  <c r="CO4" i="33"/>
  <c r="DZ4" i="33" s="1"/>
  <c r="CN4" i="33"/>
  <c r="DY4" i="33" s="1"/>
  <c r="CM4" i="33"/>
  <c r="DX4" i="33" s="1"/>
  <c r="CL4" i="33"/>
  <c r="DW4" i="33" s="1"/>
  <c r="CG4" i="33" a="1"/>
  <c r="CG4" i="33" s="1"/>
  <c r="AW4" i="33"/>
  <c r="AV4" i="33"/>
  <c r="J4" i="33"/>
  <c r="G4" i="33"/>
  <c r="HX3" i="33" a="1"/>
  <c r="HX3" i="33" s="1"/>
  <c r="IW3" i="33" s="1"/>
  <c r="HW3" i="33" a="1"/>
  <c r="HW3" i="33" s="1"/>
  <c r="IV3" i="33" s="1"/>
  <c r="HV3" i="33" a="1"/>
  <c r="HV3" i="33" s="1"/>
  <c r="IU3" i="33" s="1"/>
  <c r="HU3" i="33" a="1"/>
  <c r="HU3" i="33" s="1"/>
  <c r="IT3" i="33" s="1"/>
  <c r="HT3" i="33" a="1"/>
  <c r="HT3" i="33" s="1"/>
  <c r="IS3" i="33" s="1"/>
  <c r="HS3" i="33" a="1"/>
  <c r="HS3" i="33" s="1"/>
  <c r="IR3" i="33" s="1"/>
  <c r="HR3" i="33" a="1"/>
  <c r="HR3" i="33" s="1"/>
  <c r="IQ3" i="33" s="1"/>
  <c r="HQ3" i="33" a="1"/>
  <c r="HQ3" i="33" s="1"/>
  <c r="IP3" i="33" s="1"/>
  <c r="HP3" i="33" a="1"/>
  <c r="HP3" i="33" s="1"/>
  <c r="IO3" i="33" s="1"/>
  <c r="HL3" i="33"/>
  <c r="HJ3" i="33"/>
  <c r="HH3" i="33"/>
  <c r="HB3" i="33"/>
  <c r="HA3" i="33"/>
  <c r="GZ3" i="33"/>
  <c r="GY3" i="33"/>
  <c r="GX3" i="33"/>
  <c r="GW3" i="33"/>
  <c r="GV3" i="33"/>
  <c r="GU3" i="33"/>
  <c r="GT3" i="33"/>
  <c r="GP3" i="33"/>
  <c r="GI3" i="33"/>
  <c r="GH3" i="33"/>
  <c r="GG3" i="33"/>
  <c r="GF3" i="33"/>
  <c r="GE3" i="33"/>
  <c r="GB3" i="33"/>
  <c r="GA3" i="33"/>
  <c r="FZ3" i="33"/>
  <c r="FY3" i="33"/>
  <c r="FW3" i="33"/>
  <c r="FV3" i="33"/>
  <c r="FU3" i="33"/>
  <c r="FT3" i="33"/>
  <c r="FS3" i="33"/>
  <c r="FR3" i="33"/>
  <c r="FQ3" i="33"/>
  <c r="FJ3" i="33"/>
  <c r="FI3" i="33"/>
  <c r="FH3" i="33"/>
  <c r="FG3" i="33"/>
  <c r="FF3" i="33"/>
  <c r="FP3" i="33" s="1"/>
  <c r="FE3" i="33"/>
  <c r="FO3" i="33" s="1"/>
  <c r="FD3" i="33"/>
  <c r="FB3" i="33"/>
  <c r="FA3" i="33"/>
  <c r="EZ3" i="33"/>
  <c r="EY3" i="33"/>
  <c r="EX3" i="33"/>
  <c r="EW3" i="33"/>
  <c r="EV3" i="33"/>
  <c r="EU3" i="33"/>
  <c r="ET3" i="33"/>
  <c r="ES3" i="33"/>
  <c r="ER3" i="33"/>
  <c r="EQ3" i="33"/>
  <c r="EP3" i="33"/>
  <c r="EO3" i="33"/>
  <c r="EN3" i="33"/>
  <c r="EM3" i="33"/>
  <c r="EL3" i="33"/>
  <c r="EK3" i="33"/>
  <c r="EJ3" i="33"/>
  <c r="EI3" i="33"/>
  <c r="EH3" i="33"/>
  <c r="EG3" i="33"/>
  <c r="EF3" i="33"/>
  <c r="EE3" i="33"/>
  <c r="ED3" i="33"/>
  <c r="EC3" i="33"/>
  <c r="EB3" i="33"/>
  <c r="EA3" i="33"/>
  <c r="DU3" i="33"/>
  <c r="DT3" i="33"/>
  <c r="DS3" i="33"/>
  <c r="DR3" i="33"/>
  <c r="DQ3" i="33"/>
  <c r="DP3" i="33"/>
  <c r="DO3" i="33"/>
  <c r="DN3" i="33"/>
  <c r="DK3" i="33"/>
  <c r="DJ3" i="33"/>
  <c r="DI3" i="33"/>
  <c r="DH3" i="33"/>
  <c r="DG3" i="33"/>
  <c r="DF3" i="33"/>
  <c r="DE3" i="33"/>
  <c r="DD3" i="33"/>
  <c r="DB3" i="33"/>
  <c r="DA3" i="33"/>
  <c r="CV3" i="33"/>
  <c r="CU3" i="33"/>
  <c r="CT3" i="33"/>
  <c r="CS3" i="33"/>
  <c r="GN3" i="33" s="1"/>
  <c r="CR3" i="33"/>
  <c r="GM3" i="33" s="1"/>
  <c r="CQ3" i="33"/>
  <c r="GL3" i="33" s="1"/>
  <c r="CP3" i="33"/>
  <c r="GJ3" i="33" s="1"/>
  <c r="GK3" i="33" s="1"/>
  <c r="CO3" i="33"/>
  <c r="DZ3" i="33" s="1"/>
  <c r="CN3" i="33"/>
  <c r="DY3" i="33" s="1"/>
  <c r="CM3" i="33"/>
  <c r="DX3" i="33" s="1"/>
  <c r="CL3" i="33"/>
  <c r="DW3" i="33" s="1"/>
  <c r="CG3" i="33" a="1"/>
  <c r="CG3" i="33" s="1"/>
  <c r="AW3" i="33"/>
  <c r="AV3" i="33"/>
  <c r="J3" i="33"/>
  <c r="G3" i="33"/>
  <c r="IL2" i="33"/>
  <c r="HX2" i="33" a="1"/>
  <c r="HX2" i="33" s="1"/>
  <c r="IW2" i="33" s="1"/>
  <c r="HW2" i="33" a="1"/>
  <c r="HW2" i="33" s="1"/>
  <c r="IV2" i="33" s="1"/>
  <c r="HV2" i="33" a="1"/>
  <c r="HV2" i="33" s="1"/>
  <c r="IU2" i="33" s="1"/>
  <c r="HU2" i="33" a="1"/>
  <c r="HU2" i="33" s="1"/>
  <c r="IT2" i="33" s="1"/>
  <c r="HT2" i="33" a="1"/>
  <c r="HT2" i="33" s="1"/>
  <c r="IS2" i="33" s="1"/>
  <c r="HS2" i="33" a="1"/>
  <c r="HS2" i="33" s="1"/>
  <c r="IR2" i="33" s="1"/>
  <c r="HR2" i="33" a="1"/>
  <c r="HR2" i="33" s="1"/>
  <c r="IQ2" i="33" s="1"/>
  <c r="HQ2" i="33" a="1"/>
  <c r="HQ2" i="33" s="1"/>
  <c r="IP2" i="33" s="1"/>
  <c r="HP2" i="33" a="1"/>
  <c r="HP2" i="33" s="1"/>
  <c r="IO2" i="33" s="1"/>
  <c r="HL2" i="33"/>
  <c r="HJ2" i="33"/>
  <c r="HH2" i="33"/>
  <c r="HB2" i="33"/>
  <c r="HA2" i="33"/>
  <c r="GZ2" i="33"/>
  <c r="GY2" i="33"/>
  <c r="GX2" i="33"/>
  <c r="GW2" i="33"/>
  <c r="GV2" i="33"/>
  <c r="GU2" i="33"/>
  <c r="GT2" i="33"/>
  <c r="GP2" i="33"/>
  <c r="GI2" i="33"/>
  <c r="GH2" i="33"/>
  <c r="GG2" i="33"/>
  <c r="GF2" i="33"/>
  <c r="GE2" i="33"/>
  <c r="GD2" i="33"/>
  <c r="GC2" i="33"/>
  <c r="GB2" i="33"/>
  <c r="GA2" i="33"/>
  <c r="FZ2" i="33"/>
  <c r="FY2" i="33"/>
  <c r="FX2" i="33"/>
  <c r="FW2" i="33"/>
  <c r="FV2" i="33"/>
  <c r="FU2" i="33"/>
  <c r="FT2" i="33"/>
  <c r="FS2" i="33"/>
  <c r="FR2" i="33"/>
  <c r="FQ2" i="33"/>
  <c r="FJ2" i="33"/>
  <c r="FM2" i="33" s="1"/>
  <c r="FI2" i="33"/>
  <c r="FL2" i="33" s="1"/>
  <c r="FH2" i="33"/>
  <c r="FG2" i="33"/>
  <c r="FF2" i="33"/>
  <c r="FP2" i="33" s="1"/>
  <c r="FE2" i="33"/>
  <c r="FD2" i="33"/>
  <c r="FC2" i="33"/>
  <c r="FB2" i="33"/>
  <c r="FA2" i="33"/>
  <c r="EZ2" i="33"/>
  <c r="EY2" i="33"/>
  <c r="EX2" i="33"/>
  <c r="EW2" i="33"/>
  <c r="EV2" i="33"/>
  <c r="EU2" i="33"/>
  <c r="ET2" i="33"/>
  <c r="ES2" i="33"/>
  <c r="ER2" i="33"/>
  <c r="EQ2" i="33"/>
  <c r="EP2" i="33"/>
  <c r="EO2" i="33"/>
  <c r="EN2" i="33"/>
  <c r="EM2" i="33"/>
  <c r="EL2" i="33"/>
  <c r="EK2" i="33"/>
  <c r="EJ2" i="33"/>
  <c r="EI2" i="33"/>
  <c r="EH2" i="33"/>
  <c r="EG2" i="33"/>
  <c r="EF2" i="33"/>
  <c r="EE2" i="33"/>
  <c r="ED2" i="33"/>
  <c r="EC2" i="33"/>
  <c r="EB2" i="33"/>
  <c r="EA2" i="33"/>
  <c r="DV2" i="33"/>
  <c r="DU2" i="33"/>
  <c r="DT2" i="33"/>
  <c r="DS2" i="33"/>
  <c r="DR2" i="33"/>
  <c r="DQ2" i="33"/>
  <c r="DP2" i="33"/>
  <c r="DO2" i="33"/>
  <c r="DN2" i="33"/>
  <c r="DK2" i="33"/>
  <c r="DJ2" i="33"/>
  <c r="DI2" i="33"/>
  <c r="DH2" i="33"/>
  <c r="DG2" i="33"/>
  <c r="DF2" i="33"/>
  <c r="DE2" i="33"/>
  <c r="DD2" i="33"/>
  <c r="DC2" i="33"/>
  <c r="DB2" i="33"/>
  <c r="DA2" i="33"/>
  <c r="CV2" i="33"/>
  <c r="CU2" i="33"/>
  <c r="CT2" i="33"/>
  <c r="CS2" i="33"/>
  <c r="GN2" i="33" s="1"/>
  <c r="CR2" i="33"/>
  <c r="GM2" i="33" s="1"/>
  <c r="CQ2" i="33"/>
  <c r="GL2" i="33" s="1"/>
  <c r="CP2" i="33"/>
  <c r="GJ2" i="33" s="1"/>
  <c r="GK2" i="33" s="1"/>
  <c r="CO2" i="33"/>
  <c r="DZ2" i="33" s="1"/>
  <c r="CN2" i="33"/>
  <c r="DY2" i="33" s="1"/>
  <c r="CM2" i="33"/>
  <c r="DX2" i="33" s="1"/>
  <c r="CL2" i="33"/>
  <c r="DW2" i="33" s="1"/>
  <c r="CG2" i="33" a="1"/>
  <c r="CG2" i="33" s="1"/>
  <c r="AW2" i="33"/>
  <c r="AV2" i="33"/>
  <c r="J2" i="33"/>
  <c r="G2" i="33"/>
  <c r="J5" i="22"/>
  <c r="J4" i="22"/>
  <c r="J3" i="22"/>
  <c r="J2" i="22"/>
  <c r="J4" i="21"/>
  <c r="J3" i="21"/>
  <c r="HI3" i="21" s="1"/>
  <c r="J2" i="21"/>
  <c r="J2" i="31"/>
  <c r="J5" i="15"/>
  <c r="HI5" i="15" s="1"/>
  <c r="J4" i="15"/>
  <c r="J3" i="15"/>
  <c r="J2" i="15"/>
  <c r="J4" i="17"/>
  <c r="HI4" i="17" s="1"/>
  <c r="J3" i="17"/>
  <c r="HI3" i="17" s="1"/>
  <c r="J2" i="17"/>
  <c r="J7" i="12"/>
  <c r="J6" i="12"/>
  <c r="J5" i="12"/>
  <c r="J4" i="12"/>
  <c r="J3" i="12"/>
  <c r="HI3" i="12" s="1"/>
  <c r="J2" i="12"/>
  <c r="J3" i="27"/>
  <c r="J2" i="27"/>
  <c r="J3" i="23"/>
  <c r="J2" i="23"/>
  <c r="J6" i="14"/>
  <c r="HI6" i="14" s="1"/>
  <c r="J5" i="14"/>
  <c r="J4" i="14"/>
  <c r="J3" i="14"/>
  <c r="J2" i="14"/>
  <c r="J3" i="25"/>
  <c r="HI3" i="25" s="1"/>
  <c r="J2" i="25"/>
  <c r="J5" i="16"/>
  <c r="J4" i="16"/>
  <c r="J3" i="16"/>
  <c r="J2" i="16"/>
  <c r="J3" i="26"/>
  <c r="J2" i="26"/>
  <c r="J22" i="5"/>
  <c r="J21" i="5"/>
  <c r="J20" i="5"/>
  <c r="J19" i="5"/>
  <c r="J18" i="5"/>
  <c r="J17" i="5"/>
  <c r="J16" i="5"/>
  <c r="J15" i="5"/>
  <c r="J14" i="5"/>
  <c r="J13" i="5"/>
  <c r="J12" i="5"/>
  <c r="J11" i="5"/>
  <c r="J10" i="5"/>
  <c r="J9" i="5"/>
  <c r="J8" i="5"/>
  <c r="J7" i="5"/>
  <c r="J6" i="5"/>
  <c r="J5" i="5"/>
  <c r="J4" i="5"/>
  <c r="J3" i="5"/>
  <c r="J2" i="5"/>
  <c r="J3" i="18"/>
  <c r="J2" i="18"/>
  <c r="J10" i="9"/>
  <c r="J9" i="9"/>
  <c r="J8" i="9"/>
  <c r="J7" i="9"/>
  <c r="J6" i="9"/>
  <c r="J5" i="9"/>
  <c r="J4" i="9"/>
  <c r="HI4" i="9" s="1"/>
  <c r="J3" i="9"/>
  <c r="HI3" i="9" s="1"/>
  <c r="J2" i="9"/>
  <c r="GI8" i="31"/>
  <c r="GH8" i="31"/>
  <c r="GG8" i="31"/>
  <c r="GE8" i="31"/>
  <c r="GI7" i="31"/>
  <c r="GH7" i="31"/>
  <c r="GG7" i="31"/>
  <c r="GE7" i="31"/>
  <c r="GI6" i="31"/>
  <c r="GH6" i="31"/>
  <c r="GG6" i="31"/>
  <c r="GE6" i="31"/>
  <c r="GI5" i="31"/>
  <c r="GH5" i="31"/>
  <c r="GG5" i="31"/>
  <c r="GE5" i="31"/>
  <c r="GI4" i="31"/>
  <c r="GH4" i="31"/>
  <c r="GG4" i="31"/>
  <c r="GE4" i="31"/>
  <c r="GI3" i="31"/>
  <c r="GH3" i="31"/>
  <c r="GG3" i="31"/>
  <c r="GE3" i="31"/>
  <c r="IL2" i="31"/>
  <c r="HX2" i="31" a="1"/>
  <c r="HX2" i="31" s="1"/>
  <c r="IW2" i="31" s="1"/>
  <c r="HW2" i="31" a="1"/>
  <c r="HW2" i="31" s="1"/>
  <c r="IV2" i="31" s="1"/>
  <c r="HV2" i="31" a="1"/>
  <c r="HV2" i="31" s="1"/>
  <c r="IU2" i="31" s="1"/>
  <c r="HU2" i="31" a="1"/>
  <c r="HU2" i="31" s="1"/>
  <c r="IT2" i="31" s="1"/>
  <c r="HT2" i="31" a="1"/>
  <c r="HT2" i="31" s="1"/>
  <c r="IS2" i="31" s="1"/>
  <c r="HS2" i="31" a="1"/>
  <c r="HS2" i="31" s="1"/>
  <c r="IR2" i="31" s="1"/>
  <c r="HR2" i="31" a="1"/>
  <c r="HR2" i="31" s="1"/>
  <c r="IQ2" i="31" s="1"/>
  <c r="HQ2" i="31" a="1"/>
  <c r="HQ2" i="31" s="1"/>
  <c r="IP2" i="31" s="1"/>
  <c r="HP2" i="31" a="1"/>
  <c r="HP2" i="31" s="1"/>
  <c r="IO2" i="31" s="1"/>
  <c r="HL2" i="31"/>
  <c r="HJ2" i="31"/>
  <c r="HH2" i="31"/>
  <c r="HB2" i="31"/>
  <c r="HA2" i="31"/>
  <c r="GZ2" i="31"/>
  <c r="GY2" i="31"/>
  <c r="GX2" i="31"/>
  <c r="GW2" i="31"/>
  <c r="GV2" i="31"/>
  <c r="GU2" i="31"/>
  <c r="GT2" i="31"/>
  <c r="GP2" i="31"/>
  <c r="GI2" i="31"/>
  <c r="GH2" i="31"/>
  <c r="GG2" i="31"/>
  <c r="GF2" i="31"/>
  <c r="GE2" i="31"/>
  <c r="GD2" i="31"/>
  <c r="GC2" i="31"/>
  <c r="GB2" i="31"/>
  <c r="GA2" i="31"/>
  <c r="FZ2" i="31"/>
  <c r="FY2" i="31"/>
  <c r="FX2" i="31"/>
  <c r="FW2" i="31"/>
  <c r="FV2" i="31"/>
  <c r="FU2" i="31"/>
  <c r="FT2" i="31"/>
  <c r="FS2" i="31"/>
  <c r="FR2" i="31"/>
  <c r="FQ2" i="31"/>
  <c r="FJ2" i="31"/>
  <c r="FI2" i="31"/>
  <c r="FH2" i="31"/>
  <c r="FG2" i="31"/>
  <c r="FF2" i="31"/>
  <c r="FP2" i="31" s="1"/>
  <c r="FE2" i="31"/>
  <c r="FD2" i="31"/>
  <c r="FC2" i="31"/>
  <c r="FB2" i="31"/>
  <c r="FA2" i="31"/>
  <c r="EZ2" i="31"/>
  <c r="EY2" i="31"/>
  <c r="EX2" i="31"/>
  <c r="EW2" i="31"/>
  <c r="EV2" i="31"/>
  <c r="EU2" i="31"/>
  <c r="ET2" i="31"/>
  <c r="ES2" i="31"/>
  <c r="ER2" i="31"/>
  <c r="EQ2" i="31"/>
  <c r="EP2" i="31"/>
  <c r="EO2" i="31"/>
  <c r="EN2" i="31"/>
  <c r="EM2" i="31"/>
  <c r="EL2" i="31"/>
  <c r="EK2" i="31"/>
  <c r="EJ2" i="31"/>
  <c r="EI2" i="31"/>
  <c r="EH2" i="31"/>
  <c r="EG2" i="31"/>
  <c r="EF2" i="31"/>
  <c r="EE2" i="31"/>
  <c r="ED2" i="31"/>
  <c r="EC2" i="31"/>
  <c r="EB2" i="31"/>
  <c r="EA2" i="31"/>
  <c r="DV2" i="31"/>
  <c r="DU2" i="31"/>
  <c r="DT2" i="31"/>
  <c r="DS2" i="31"/>
  <c r="DR2" i="31"/>
  <c r="DQ2" i="31"/>
  <c r="DP2" i="31"/>
  <c r="DO2" i="31"/>
  <c r="DN2" i="31"/>
  <c r="DK2" i="31"/>
  <c r="DJ2" i="31"/>
  <c r="DI2" i="31"/>
  <c r="DH2" i="31"/>
  <c r="DG2" i="31"/>
  <c r="DF2" i="31"/>
  <c r="DE2" i="31"/>
  <c r="DD2" i="31"/>
  <c r="DC2" i="31"/>
  <c r="DB2" i="31"/>
  <c r="DA2" i="31"/>
  <c r="CV2" i="31"/>
  <c r="CU2" i="31"/>
  <c r="CT2" i="31"/>
  <c r="CS2" i="31"/>
  <c r="GN2" i="31" s="1"/>
  <c r="CR2" i="31"/>
  <c r="GM2" i="31" s="1"/>
  <c r="CQ2" i="31"/>
  <c r="GL2" i="31" s="1"/>
  <c r="CP2" i="31"/>
  <c r="GJ2" i="31" s="1"/>
  <c r="GK2" i="31" s="1"/>
  <c r="CO2" i="31"/>
  <c r="DZ2" i="31" s="1"/>
  <c r="CN2" i="31"/>
  <c r="DY2" i="31" s="1"/>
  <c r="CM2" i="31"/>
  <c r="DX2" i="31" s="1"/>
  <c r="CL2" i="31"/>
  <c r="DW2" i="31" s="1"/>
  <c r="CG2" i="31" a="1"/>
  <c r="CG2" i="31" s="1"/>
  <c r="AW2" i="31"/>
  <c r="AV2" i="31"/>
  <c r="G2" i="31"/>
  <c r="IL2" i="30"/>
  <c r="HX2" i="30" a="1"/>
  <c r="HX2" i="30" s="1"/>
  <c r="IW2" i="30" s="1"/>
  <c r="HW2" i="30" a="1"/>
  <c r="HW2" i="30" s="1"/>
  <c r="IV2" i="30" s="1"/>
  <c r="HV2" i="30" a="1"/>
  <c r="HV2" i="30" s="1"/>
  <c r="IU2" i="30" s="1"/>
  <c r="HU2" i="30" a="1"/>
  <c r="HU2" i="30" s="1"/>
  <c r="IT2" i="30" s="1"/>
  <c r="HT2" i="30" a="1"/>
  <c r="HT2" i="30" s="1"/>
  <c r="IS2" i="30" s="1"/>
  <c r="HS2" i="30" a="1"/>
  <c r="HS2" i="30" s="1"/>
  <c r="IR2" i="30" s="1"/>
  <c r="HR2" i="30" a="1"/>
  <c r="HR2" i="30" s="1"/>
  <c r="IQ2" i="30" s="1"/>
  <c r="HQ2" i="30" a="1"/>
  <c r="HQ2" i="30" s="1"/>
  <c r="IP2" i="30" s="1"/>
  <c r="HP2" i="30" a="1"/>
  <c r="HP2" i="30" s="1"/>
  <c r="IO2" i="30" s="1"/>
  <c r="HL2" i="30"/>
  <c r="HJ2" i="30"/>
  <c r="HH2" i="30"/>
  <c r="HB2" i="30"/>
  <c r="HA2" i="30"/>
  <c r="GZ2" i="30"/>
  <c r="GY2" i="30"/>
  <c r="GX2" i="30"/>
  <c r="GW2" i="30"/>
  <c r="GV2" i="30"/>
  <c r="GU2" i="30"/>
  <c r="GT2" i="30"/>
  <c r="GP2" i="30"/>
  <c r="GI2" i="30"/>
  <c r="GH2" i="30"/>
  <c r="GG2" i="30"/>
  <c r="GF2" i="30"/>
  <c r="GE2" i="30"/>
  <c r="GD2" i="30"/>
  <c r="GC2" i="30"/>
  <c r="GB2" i="30"/>
  <c r="GA2" i="30"/>
  <c r="FZ2" i="30"/>
  <c r="FY2" i="30"/>
  <c r="FX2" i="30"/>
  <c r="FW2" i="30"/>
  <c r="FV2" i="30"/>
  <c r="FU2" i="30"/>
  <c r="FT2" i="30"/>
  <c r="FS2" i="30"/>
  <c r="FR2" i="30"/>
  <c r="FQ2" i="30"/>
  <c r="FJ2" i="30"/>
  <c r="FI2" i="30"/>
  <c r="FH2" i="30"/>
  <c r="FG2" i="30"/>
  <c r="FF2" i="30"/>
  <c r="FP2" i="30" s="1"/>
  <c r="FE2" i="30"/>
  <c r="FD2" i="30"/>
  <c r="FC2" i="30"/>
  <c r="FB2" i="30"/>
  <c r="FA2" i="30"/>
  <c r="EZ2" i="30"/>
  <c r="EY2" i="30"/>
  <c r="EX2" i="30"/>
  <c r="EW2" i="30"/>
  <c r="EV2" i="30"/>
  <c r="EU2" i="30"/>
  <c r="ET2" i="30"/>
  <c r="ES2" i="30"/>
  <c r="ER2" i="30"/>
  <c r="EQ2" i="30"/>
  <c r="EP2" i="30"/>
  <c r="EO2" i="30"/>
  <c r="EN2" i="30"/>
  <c r="EM2" i="30"/>
  <c r="EL2" i="30"/>
  <c r="EK2" i="30"/>
  <c r="EJ2" i="30"/>
  <c r="EI2" i="30"/>
  <c r="EH2" i="30"/>
  <c r="EG2" i="30"/>
  <c r="EF2" i="30"/>
  <c r="EE2" i="30"/>
  <c r="ED2" i="30"/>
  <c r="EC2" i="30"/>
  <c r="EB2" i="30"/>
  <c r="EA2" i="30"/>
  <c r="DV2" i="30"/>
  <c r="DU2" i="30"/>
  <c r="DT2" i="30"/>
  <c r="DS2" i="30"/>
  <c r="DR2" i="30"/>
  <c r="DQ2" i="30"/>
  <c r="DP2" i="30"/>
  <c r="DO2" i="30"/>
  <c r="DN2" i="30"/>
  <c r="DK2" i="30"/>
  <c r="DJ2" i="30"/>
  <c r="DI2" i="30"/>
  <c r="DH2" i="30"/>
  <c r="DG2" i="30"/>
  <c r="DF2" i="30"/>
  <c r="DE2" i="30"/>
  <c r="DD2" i="30"/>
  <c r="DC2" i="30"/>
  <c r="DB2" i="30"/>
  <c r="DA2" i="30"/>
  <c r="CV2" i="30"/>
  <c r="CU2" i="30"/>
  <c r="CT2" i="30"/>
  <c r="CS2" i="30"/>
  <c r="GN2" i="30" s="1"/>
  <c r="CR2" i="30"/>
  <c r="GM2" i="30" s="1"/>
  <c r="CQ2" i="30"/>
  <c r="GL2" i="30" s="1"/>
  <c r="CP2" i="30"/>
  <c r="GJ2" i="30" s="1"/>
  <c r="GK2" i="30" s="1"/>
  <c r="CO2" i="30"/>
  <c r="DZ2" i="30" s="1"/>
  <c r="CN2" i="30"/>
  <c r="DY2" i="30" s="1"/>
  <c r="CM2" i="30"/>
  <c r="DX2" i="30" s="1"/>
  <c r="CL2" i="30"/>
  <c r="DW2" i="30" s="1"/>
  <c r="CG2" i="30" a="1"/>
  <c r="CG2" i="30" s="1"/>
  <c r="IN2" i="30" s="1"/>
  <c r="IX2" i="30" s="1"/>
  <c r="AW2" i="30"/>
  <c r="AV2" i="30"/>
  <c r="G2" i="30"/>
  <c r="HX3" i="30" a="1"/>
  <c r="HX3" i="30" s="1"/>
  <c r="IW3" i="30" s="1"/>
  <c r="HW3" i="30" a="1"/>
  <c r="HW3" i="30" s="1"/>
  <c r="IV3" i="30" s="1"/>
  <c r="HV3" i="30" a="1"/>
  <c r="HV3" i="30" s="1"/>
  <c r="IU3" i="30" s="1"/>
  <c r="HU3" i="30" a="1"/>
  <c r="HU3" i="30" s="1"/>
  <c r="IT3" i="30" s="1"/>
  <c r="HT3" i="30" a="1"/>
  <c r="HT3" i="30" s="1"/>
  <c r="IS3" i="30" s="1"/>
  <c r="HS3" i="30" a="1"/>
  <c r="HS3" i="30" s="1"/>
  <c r="IR3" i="30" s="1"/>
  <c r="HR3" i="30" a="1"/>
  <c r="HR3" i="30" s="1"/>
  <c r="IQ3" i="30" s="1"/>
  <c r="HQ3" i="30" a="1"/>
  <c r="HQ3" i="30" s="1"/>
  <c r="IP3" i="30" s="1"/>
  <c r="HP3" i="30" a="1"/>
  <c r="HP3" i="30" s="1"/>
  <c r="IO3" i="30" s="1"/>
  <c r="HL3" i="30"/>
  <c r="HJ3" i="30"/>
  <c r="HH3" i="30"/>
  <c r="HI3" i="30" s="1"/>
  <c r="HB3" i="30"/>
  <c r="HA3" i="30"/>
  <c r="GZ3" i="30"/>
  <c r="GY3" i="30"/>
  <c r="GX3" i="30"/>
  <c r="GW3" i="30"/>
  <c r="GV3" i="30"/>
  <c r="GU3" i="30"/>
  <c r="GT3" i="30"/>
  <c r="GP3" i="30"/>
  <c r="GI3" i="30"/>
  <c r="GH3" i="30"/>
  <c r="GG3" i="30"/>
  <c r="GF3" i="30"/>
  <c r="GE3" i="30"/>
  <c r="GB3" i="30"/>
  <c r="GA3" i="30"/>
  <c r="FZ3" i="30"/>
  <c r="FY3" i="30"/>
  <c r="FW3" i="30"/>
  <c r="FV3" i="30"/>
  <c r="FU3" i="30"/>
  <c r="FT3" i="30"/>
  <c r="FS3" i="30"/>
  <c r="FR3" i="30"/>
  <c r="FQ3" i="30"/>
  <c r="FJ3" i="30"/>
  <c r="FI3" i="30"/>
  <c r="FH3" i="30"/>
  <c r="FG3" i="30"/>
  <c r="FF3" i="30"/>
  <c r="FP3" i="30" s="1"/>
  <c r="FE3" i="30"/>
  <c r="FD3" i="30"/>
  <c r="FB3" i="30"/>
  <c r="FA3" i="30"/>
  <c r="EZ3" i="30"/>
  <c r="EY3" i="30"/>
  <c r="EX3" i="30"/>
  <c r="EW3" i="30"/>
  <c r="EV3" i="30"/>
  <c r="EU3" i="30"/>
  <c r="ET3" i="30"/>
  <c r="ES3" i="30"/>
  <c r="ER3" i="30"/>
  <c r="EQ3" i="30"/>
  <c r="EP3" i="30"/>
  <c r="EO3" i="30"/>
  <c r="EN3" i="30"/>
  <c r="EM3" i="30"/>
  <c r="EL3" i="30"/>
  <c r="EK3" i="30"/>
  <c r="EJ3" i="30"/>
  <c r="EI3" i="30"/>
  <c r="EH3" i="30"/>
  <c r="EG3" i="30"/>
  <c r="EF3" i="30"/>
  <c r="EE3" i="30"/>
  <c r="ED3" i="30"/>
  <c r="EC3" i="30"/>
  <c r="EB3" i="30"/>
  <c r="EA3" i="30"/>
  <c r="DU3" i="30"/>
  <c r="DT3" i="30"/>
  <c r="DS3" i="30"/>
  <c r="DR3" i="30"/>
  <c r="DQ3" i="30"/>
  <c r="DP3" i="30"/>
  <c r="DO3" i="30"/>
  <c r="DN3" i="30"/>
  <c r="DK3" i="30"/>
  <c r="DJ3" i="30"/>
  <c r="DI3" i="30"/>
  <c r="DH3" i="30"/>
  <c r="DG3" i="30"/>
  <c r="DF3" i="30"/>
  <c r="DE3" i="30"/>
  <c r="DD3" i="30"/>
  <c r="DB3" i="30"/>
  <c r="DA3" i="30"/>
  <c r="CV3" i="30"/>
  <c r="CU3" i="30"/>
  <c r="CT3" i="30"/>
  <c r="CS3" i="30"/>
  <c r="GN3" i="30" s="1"/>
  <c r="CR3" i="30"/>
  <c r="GM3" i="30" s="1"/>
  <c r="CQ3" i="30"/>
  <c r="GL3" i="30" s="1"/>
  <c r="CP3" i="30"/>
  <c r="GJ3" i="30" s="1"/>
  <c r="GK3" i="30" s="1"/>
  <c r="CO3" i="30"/>
  <c r="DZ3" i="30" s="1"/>
  <c r="CN3" i="30"/>
  <c r="DY3" i="30" s="1"/>
  <c r="CM3" i="30"/>
  <c r="DX3" i="30" s="1"/>
  <c r="CL3" i="30"/>
  <c r="DW3" i="30" s="1"/>
  <c r="CG3" i="30" a="1"/>
  <c r="CG3" i="30" s="1"/>
  <c r="AW3" i="30"/>
  <c r="AV3" i="30"/>
  <c r="G3" i="30"/>
  <c r="HX3" i="29" a="1"/>
  <c r="HX3" i="29" s="1"/>
  <c r="IW3" i="29" s="1"/>
  <c r="HW3" i="29" a="1"/>
  <c r="HW3" i="29" s="1"/>
  <c r="IV3" i="29" s="1"/>
  <c r="HV3" i="29" a="1"/>
  <c r="HV3" i="29" s="1"/>
  <c r="IU3" i="29" s="1"/>
  <c r="HU3" i="29" a="1"/>
  <c r="HU3" i="29" s="1"/>
  <c r="IT3" i="29" s="1"/>
  <c r="HT3" i="29" a="1"/>
  <c r="HT3" i="29" s="1"/>
  <c r="IS3" i="29" s="1"/>
  <c r="HS3" i="29" a="1"/>
  <c r="HS3" i="29" s="1"/>
  <c r="IR3" i="29" s="1"/>
  <c r="HR3" i="29" a="1"/>
  <c r="HR3" i="29" s="1"/>
  <c r="IQ3" i="29" s="1"/>
  <c r="HQ3" i="29" a="1"/>
  <c r="HQ3" i="29" s="1"/>
  <c r="IP3" i="29" s="1"/>
  <c r="HP3" i="29" a="1"/>
  <c r="HP3" i="29" s="1"/>
  <c r="IO3" i="29" s="1"/>
  <c r="HL3" i="29"/>
  <c r="HJ3" i="29"/>
  <c r="HH3" i="29"/>
  <c r="HB3" i="29"/>
  <c r="HA3" i="29"/>
  <c r="GZ3" i="29"/>
  <c r="GY3" i="29"/>
  <c r="GX3" i="29"/>
  <c r="GW3" i="29"/>
  <c r="GV3" i="29"/>
  <c r="GU3" i="29"/>
  <c r="GT3" i="29"/>
  <c r="GP3" i="29"/>
  <c r="GI3" i="29"/>
  <c r="GH3" i="29"/>
  <c r="GG3" i="29"/>
  <c r="GF3" i="29"/>
  <c r="GE3" i="29"/>
  <c r="GB3" i="29"/>
  <c r="GA3" i="29"/>
  <c r="FZ3" i="29"/>
  <c r="FY3" i="29"/>
  <c r="FW3" i="29"/>
  <c r="FV3" i="29"/>
  <c r="FU3" i="29"/>
  <c r="FT3" i="29"/>
  <c r="FS3" i="29"/>
  <c r="FR3" i="29"/>
  <c r="FQ3" i="29"/>
  <c r="FJ3" i="29"/>
  <c r="FI3" i="29"/>
  <c r="FH3" i="29"/>
  <c r="FG3" i="29"/>
  <c r="FF3" i="29"/>
  <c r="FP3" i="29" s="1"/>
  <c r="FE3" i="29"/>
  <c r="FD3" i="29"/>
  <c r="FB3" i="29"/>
  <c r="FA3" i="29"/>
  <c r="EZ3" i="29"/>
  <c r="EY3" i="29"/>
  <c r="EX3" i="29"/>
  <c r="EW3" i="29"/>
  <c r="EV3" i="29"/>
  <c r="EU3" i="29"/>
  <c r="ET3" i="29"/>
  <c r="ES3" i="29"/>
  <c r="ER3" i="29"/>
  <c r="EQ3" i="29"/>
  <c r="EP3" i="29"/>
  <c r="EO3" i="29"/>
  <c r="EN3" i="29"/>
  <c r="EM3" i="29"/>
  <c r="EL3" i="29"/>
  <c r="EK3" i="29"/>
  <c r="EJ3" i="29"/>
  <c r="EI3" i="29"/>
  <c r="EH3" i="29"/>
  <c r="EG3" i="29"/>
  <c r="EF3" i="29"/>
  <c r="EE3" i="29"/>
  <c r="ED3" i="29"/>
  <c r="EC3" i="29"/>
  <c r="EB3" i="29"/>
  <c r="EA3" i="29"/>
  <c r="DU3" i="29"/>
  <c r="DT3" i="29"/>
  <c r="DS3" i="29"/>
  <c r="DR3" i="29"/>
  <c r="DQ3" i="29"/>
  <c r="DP3" i="29"/>
  <c r="DO3" i="29"/>
  <c r="DN3" i="29"/>
  <c r="DK3" i="29"/>
  <c r="DJ3" i="29"/>
  <c r="DI3" i="29"/>
  <c r="DH3" i="29"/>
  <c r="DG3" i="29"/>
  <c r="DF3" i="29"/>
  <c r="DE3" i="29"/>
  <c r="DD3" i="29"/>
  <c r="DB3" i="29"/>
  <c r="DA3" i="29"/>
  <c r="CV3" i="29"/>
  <c r="CU3" i="29"/>
  <c r="CT3" i="29"/>
  <c r="CS3" i="29"/>
  <c r="GN3" i="29" s="1"/>
  <c r="CR3" i="29"/>
  <c r="GM3" i="29" s="1"/>
  <c r="CQ3" i="29"/>
  <c r="GL3" i="29" s="1"/>
  <c r="CP3" i="29"/>
  <c r="GJ3" i="29" s="1"/>
  <c r="GK3" i="29" s="1"/>
  <c r="CO3" i="29"/>
  <c r="DZ3" i="29" s="1"/>
  <c r="CN3" i="29"/>
  <c r="DY3" i="29" s="1"/>
  <c r="CM3" i="29"/>
  <c r="DX3" i="29" s="1"/>
  <c r="CL3" i="29"/>
  <c r="DW3" i="29" s="1"/>
  <c r="CG3" i="29" a="1"/>
  <c r="CG3" i="29" s="1"/>
  <c r="AW3" i="29"/>
  <c r="AV3" i="29"/>
  <c r="G3" i="29"/>
  <c r="IL2" i="29"/>
  <c r="HX2" i="29" a="1"/>
  <c r="HX2" i="29" s="1"/>
  <c r="IW2" i="29" s="1"/>
  <c r="HW2" i="29" a="1"/>
  <c r="HW2" i="29" s="1"/>
  <c r="IV2" i="29" s="1"/>
  <c r="HV2" i="29" a="1"/>
  <c r="HV2" i="29" s="1"/>
  <c r="IU2" i="29" s="1"/>
  <c r="HU2" i="29" a="1"/>
  <c r="HU2" i="29" s="1"/>
  <c r="IT2" i="29" s="1"/>
  <c r="HT2" i="29" a="1"/>
  <c r="HT2" i="29" s="1"/>
  <c r="IS2" i="29" s="1"/>
  <c r="HS2" i="29" a="1"/>
  <c r="HS2" i="29" s="1"/>
  <c r="IR2" i="29" s="1"/>
  <c r="HR2" i="29" a="1"/>
  <c r="HR2" i="29" s="1"/>
  <c r="IQ2" i="29" s="1"/>
  <c r="HQ2" i="29" a="1"/>
  <c r="HQ2" i="29" s="1"/>
  <c r="IP2" i="29" s="1"/>
  <c r="HP2" i="29" a="1"/>
  <c r="HP2" i="29" s="1"/>
  <c r="HL2" i="29"/>
  <c r="HJ2" i="29"/>
  <c r="HH2" i="29"/>
  <c r="HI2" i="29" s="1"/>
  <c r="HB2" i="29"/>
  <c r="HA2" i="29"/>
  <c r="GZ2" i="29"/>
  <c r="GY2" i="29"/>
  <c r="GX2" i="29"/>
  <c r="GW2" i="29"/>
  <c r="GV2" i="29"/>
  <c r="GU2" i="29"/>
  <c r="GT2" i="29"/>
  <c r="GP2" i="29"/>
  <c r="GI2" i="29"/>
  <c r="GH2" i="29"/>
  <c r="GG2" i="29"/>
  <c r="GF2" i="29"/>
  <c r="GE2" i="29"/>
  <c r="GD2" i="29"/>
  <c r="GC2" i="29"/>
  <c r="GB2" i="29"/>
  <c r="GA2" i="29"/>
  <c r="FZ2" i="29"/>
  <c r="FY2" i="29"/>
  <c r="FX2" i="29"/>
  <c r="FW2" i="29"/>
  <c r="FV2" i="29"/>
  <c r="FU2" i="29"/>
  <c r="FT2" i="29"/>
  <c r="FS2" i="29"/>
  <c r="FR2" i="29"/>
  <c r="FQ2" i="29"/>
  <c r="FJ2" i="29"/>
  <c r="FI2" i="29"/>
  <c r="FH2" i="29"/>
  <c r="FG2" i="29"/>
  <c r="FF2" i="29"/>
  <c r="FE2" i="29"/>
  <c r="FD2" i="29"/>
  <c r="FC2" i="29"/>
  <c r="FB2" i="29"/>
  <c r="FA2" i="29"/>
  <c r="EZ2" i="29"/>
  <c r="EY2" i="29"/>
  <c r="EX2" i="29"/>
  <c r="EW2" i="29"/>
  <c r="EV2" i="29"/>
  <c r="EU2" i="29"/>
  <c r="ET2" i="29"/>
  <c r="ES2" i="29"/>
  <c r="ER2" i="29"/>
  <c r="EQ2" i="29"/>
  <c r="EP2" i="29"/>
  <c r="EO2" i="29"/>
  <c r="EN2" i="29"/>
  <c r="EM2" i="29"/>
  <c r="EL2" i="29"/>
  <c r="EK2" i="29"/>
  <c r="EJ2" i="29"/>
  <c r="EI2" i="29"/>
  <c r="EH2" i="29"/>
  <c r="EG2" i="29"/>
  <c r="EF2" i="29"/>
  <c r="EE2" i="29"/>
  <c r="ED2" i="29"/>
  <c r="EC2" i="29"/>
  <c r="EB2" i="29"/>
  <c r="EA2" i="29"/>
  <c r="DV2" i="29"/>
  <c r="DU2" i="29"/>
  <c r="DT2" i="29"/>
  <c r="DS2" i="29"/>
  <c r="DR2" i="29"/>
  <c r="DQ2" i="29"/>
  <c r="DP2" i="29"/>
  <c r="DO2" i="29"/>
  <c r="DN2" i="29"/>
  <c r="DK2" i="29"/>
  <c r="DJ2" i="29"/>
  <c r="DI2" i="29"/>
  <c r="DH2" i="29"/>
  <c r="DG2" i="29"/>
  <c r="DF2" i="29"/>
  <c r="DE2" i="29"/>
  <c r="DD2" i="29"/>
  <c r="DC2" i="29"/>
  <c r="DB2" i="29"/>
  <c r="DA2" i="29"/>
  <c r="CV2" i="29"/>
  <c r="CU2" i="29"/>
  <c r="CT2" i="29"/>
  <c r="CS2" i="29"/>
  <c r="GN2" i="29" s="1"/>
  <c r="CR2" i="29"/>
  <c r="GM2" i="29" s="1"/>
  <c r="CQ2" i="29"/>
  <c r="GL2" i="29" s="1"/>
  <c r="CP2" i="29"/>
  <c r="GJ2" i="29" s="1"/>
  <c r="GK2" i="29" s="1"/>
  <c r="CO2" i="29"/>
  <c r="DZ2" i="29" s="1"/>
  <c r="CN2" i="29"/>
  <c r="DY2" i="29" s="1"/>
  <c r="CM2" i="29"/>
  <c r="DX2" i="29" s="1"/>
  <c r="CL2" i="29"/>
  <c r="DW2" i="29" s="1"/>
  <c r="CG2" i="29" a="1"/>
  <c r="CG2" i="29" s="1"/>
  <c r="AW2" i="29"/>
  <c r="AV2" i="29"/>
  <c r="G2" i="29"/>
  <c r="IL2" i="28"/>
  <c r="HX2" i="28" a="1"/>
  <c r="HX2" i="28" s="1"/>
  <c r="IW2" i="28" s="1"/>
  <c r="HW2" i="28" a="1"/>
  <c r="HW2" i="28" s="1"/>
  <c r="IV2" i="28" s="1"/>
  <c r="HV2" i="28" a="1"/>
  <c r="HV2" i="28" s="1"/>
  <c r="IU2" i="28" s="1"/>
  <c r="HU2" i="28" a="1"/>
  <c r="HU2" i="28" s="1"/>
  <c r="IT2" i="28" s="1"/>
  <c r="HT2" i="28" a="1"/>
  <c r="HT2" i="28" s="1"/>
  <c r="IS2" i="28" s="1"/>
  <c r="HS2" i="28" a="1"/>
  <c r="HS2" i="28" s="1"/>
  <c r="IR2" i="28" s="1"/>
  <c r="HR2" i="28" a="1"/>
  <c r="HR2" i="28" s="1"/>
  <c r="IQ2" i="28" s="1"/>
  <c r="HQ2" i="28" a="1"/>
  <c r="HQ2" i="28" s="1"/>
  <c r="IP2" i="28" s="1"/>
  <c r="HP2" i="28" a="1"/>
  <c r="HP2" i="28" s="1"/>
  <c r="IO2" i="28" s="1"/>
  <c r="HL2" i="28"/>
  <c r="HJ2" i="28"/>
  <c r="HH2" i="28"/>
  <c r="HB2" i="28"/>
  <c r="HA2" i="28"/>
  <c r="GZ2" i="28"/>
  <c r="GY2" i="28"/>
  <c r="GX2" i="28"/>
  <c r="GW2" i="28"/>
  <c r="GV2" i="28"/>
  <c r="GU2" i="28"/>
  <c r="GT2" i="28"/>
  <c r="GP2" i="28"/>
  <c r="GI2" i="28"/>
  <c r="GH2" i="28"/>
  <c r="GG2" i="28"/>
  <c r="GF2" i="28"/>
  <c r="GE2" i="28"/>
  <c r="GD2" i="28"/>
  <c r="GC2" i="28"/>
  <c r="GB2" i="28"/>
  <c r="GA2" i="28"/>
  <c r="FZ2" i="28"/>
  <c r="FY2" i="28"/>
  <c r="FX2" i="28"/>
  <c r="FW2" i="28"/>
  <c r="FV2" i="28"/>
  <c r="FU2" i="28"/>
  <c r="FT2" i="28"/>
  <c r="FS2" i="28"/>
  <c r="FR2" i="28"/>
  <c r="FQ2" i="28"/>
  <c r="FJ2" i="28"/>
  <c r="FI2" i="28"/>
  <c r="FH2" i="28"/>
  <c r="FG2" i="28"/>
  <c r="FF2" i="28"/>
  <c r="FE2" i="28"/>
  <c r="FD2" i="28"/>
  <c r="FC2" i="28"/>
  <c r="FB2" i="28"/>
  <c r="FA2" i="28"/>
  <c r="EZ2" i="28"/>
  <c r="EY2" i="28"/>
  <c r="EX2" i="28"/>
  <c r="EW2" i="28"/>
  <c r="EV2" i="28"/>
  <c r="EU2" i="28"/>
  <c r="ET2" i="28"/>
  <c r="ES2" i="28"/>
  <c r="ER2" i="28"/>
  <c r="EQ2" i="28"/>
  <c r="EP2" i="28"/>
  <c r="EO2" i="28"/>
  <c r="EN2" i="28"/>
  <c r="EM2" i="28"/>
  <c r="EL2" i="28"/>
  <c r="EK2" i="28"/>
  <c r="EJ2" i="28"/>
  <c r="EI2" i="28"/>
  <c r="EH2" i="28"/>
  <c r="EG2" i="28"/>
  <c r="EF2" i="28"/>
  <c r="EE2" i="28"/>
  <c r="ED2" i="28"/>
  <c r="EC2" i="28"/>
  <c r="EB2" i="28"/>
  <c r="EA2" i="28"/>
  <c r="DV2" i="28"/>
  <c r="DU2" i="28"/>
  <c r="DT2" i="28"/>
  <c r="DS2" i="28"/>
  <c r="DR2" i="28"/>
  <c r="DQ2" i="28"/>
  <c r="DP2" i="28"/>
  <c r="DO2" i="28"/>
  <c r="DN2" i="28"/>
  <c r="DK2" i="28"/>
  <c r="DJ2" i="28"/>
  <c r="DI2" i="28"/>
  <c r="DH2" i="28"/>
  <c r="DG2" i="28"/>
  <c r="DF2" i="28"/>
  <c r="DE2" i="28"/>
  <c r="DD2" i="28"/>
  <c r="DC2" i="28"/>
  <c r="DB2" i="28"/>
  <c r="DA2" i="28"/>
  <c r="CV2" i="28"/>
  <c r="CU2" i="28"/>
  <c r="CT2" i="28"/>
  <c r="CS2" i="28"/>
  <c r="GN2" i="28" s="1"/>
  <c r="CR2" i="28"/>
  <c r="GM2" i="28" s="1"/>
  <c r="CQ2" i="28"/>
  <c r="GL2" i="28" s="1"/>
  <c r="CP2" i="28"/>
  <c r="GJ2" i="28" s="1"/>
  <c r="GK2" i="28" s="1"/>
  <c r="CO2" i="28"/>
  <c r="DZ2" i="28" s="1"/>
  <c r="CN2" i="28"/>
  <c r="DY2" i="28" s="1"/>
  <c r="CM2" i="28"/>
  <c r="DX2" i="28" s="1"/>
  <c r="CL2" i="28"/>
  <c r="DW2" i="28" s="1"/>
  <c r="CG2" i="28" a="1"/>
  <c r="CG2" i="28" s="1"/>
  <c r="AW2" i="28"/>
  <c r="AV2" i="28"/>
  <c r="G2" i="28"/>
  <c r="HX3" i="28" a="1"/>
  <c r="HX3" i="28" s="1"/>
  <c r="IW3" i="28" s="1"/>
  <c r="HW3" i="28" a="1"/>
  <c r="HW3" i="28" s="1"/>
  <c r="IV3" i="28" s="1"/>
  <c r="HV3" i="28" a="1"/>
  <c r="HV3" i="28" s="1"/>
  <c r="IU3" i="28" s="1"/>
  <c r="HU3" i="28" a="1"/>
  <c r="HU3" i="28" s="1"/>
  <c r="IT3" i="28" s="1"/>
  <c r="HT3" i="28" a="1"/>
  <c r="HT3" i="28" s="1"/>
  <c r="IS3" i="28" s="1"/>
  <c r="HS3" i="28" a="1"/>
  <c r="HS3" i="28" s="1"/>
  <c r="IR3" i="28" s="1"/>
  <c r="HR3" i="28" a="1"/>
  <c r="HR3" i="28" s="1"/>
  <c r="IQ3" i="28" s="1"/>
  <c r="HQ3" i="28" a="1"/>
  <c r="HQ3" i="28" s="1"/>
  <c r="IP3" i="28" s="1"/>
  <c r="HP3" i="28" a="1"/>
  <c r="HP3" i="28" s="1"/>
  <c r="IO3" i="28" s="1"/>
  <c r="HL3" i="28"/>
  <c r="HJ3" i="28"/>
  <c r="HH3" i="28"/>
  <c r="HB3" i="28"/>
  <c r="HA3" i="28"/>
  <c r="GZ3" i="28"/>
  <c r="GY3" i="28"/>
  <c r="GX3" i="28"/>
  <c r="GW3" i="28"/>
  <c r="GV3" i="28"/>
  <c r="GU3" i="28"/>
  <c r="GT3" i="28"/>
  <c r="GP3" i="28"/>
  <c r="GI3" i="28"/>
  <c r="GH3" i="28"/>
  <c r="GG3" i="28"/>
  <c r="GF3" i="28"/>
  <c r="GE3" i="28"/>
  <c r="GB3" i="28"/>
  <c r="GA3" i="28"/>
  <c r="FZ3" i="28"/>
  <c r="FY3" i="28"/>
  <c r="FW3" i="28"/>
  <c r="FV3" i="28"/>
  <c r="FU3" i="28"/>
  <c r="FT3" i="28"/>
  <c r="FS3" i="28"/>
  <c r="FR3" i="28"/>
  <c r="FQ3" i="28"/>
  <c r="FJ3" i="28"/>
  <c r="FI3" i="28"/>
  <c r="FH3" i="28"/>
  <c r="FG3" i="28"/>
  <c r="FF3" i="28"/>
  <c r="FE3" i="28"/>
  <c r="FD3" i="28"/>
  <c r="FB3" i="28"/>
  <c r="FA3" i="28"/>
  <c r="EZ3" i="28"/>
  <c r="EY3" i="28"/>
  <c r="EX3" i="28"/>
  <c r="EW3" i="28"/>
  <c r="EV3" i="28"/>
  <c r="EU3" i="28"/>
  <c r="ET3" i="28"/>
  <c r="ES3" i="28"/>
  <c r="ER3" i="28"/>
  <c r="EQ3" i="28"/>
  <c r="EP3" i="28"/>
  <c r="EO3" i="28"/>
  <c r="EN3" i="28"/>
  <c r="EM3" i="28"/>
  <c r="EL3" i="28"/>
  <c r="EK3" i="28"/>
  <c r="EJ3" i="28"/>
  <c r="EI3" i="28"/>
  <c r="EH3" i="28"/>
  <c r="EG3" i="28"/>
  <c r="EF3" i="28"/>
  <c r="EE3" i="28"/>
  <c r="ED3" i="28"/>
  <c r="EC3" i="28"/>
  <c r="EB3" i="28"/>
  <c r="EA3" i="28"/>
  <c r="DU3" i="28"/>
  <c r="DT3" i="28"/>
  <c r="DS3" i="28"/>
  <c r="DR3" i="28"/>
  <c r="DQ3" i="28"/>
  <c r="DP3" i="28"/>
  <c r="DO3" i="28"/>
  <c r="DN3" i="28"/>
  <c r="DK3" i="28"/>
  <c r="DJ3" i="28"/>
  <c r="DI3" i="28"/>
  <c r="DH3" i="28"/>
  <c r="DG3" i="28"/>
  <c r="DF3" i="28"/>
  <c r="DE3" i="28"/>
  <c r="DD3" i="28"/>
  <c r="DB3" i="28"/>
  <c r="DA3" i="28"/>
  <c r="CV3" i="28"/>
  <c r="CU3" i="28"/>
  <c r="CT3" i="28"/>
  <c r="CS3" i="28"/>
  <c r="GN3" i="28" s="1"/>
  <c r="CR3" i="28"/>
  <c r="GM3" i="28" s="1"/>
  <c r="CQ3" i="28"/>
  <c r="GL3" i="28" s="1"/>
  <c r="CP3" i="28"/>
  <c r="GJ3" i="28" s="1"/>
  <c r="GK3" i="28" s="1"/>
  <c r="CO3" i="28"/>
  <c r="DZ3" i="28" s="1"/>
  <c r="CN3" i="28"/>
  <c r="DY3" i="28" s="1"/>
  <c r="CM3" i="28"/>
  <c r="DX3" i="28" s="1"/>
  <c r="CL3" i="28"/>
  <c r="DW3" i="28" s="1"/>
  <c r="CG3" i="28" a="1"/>
  <c r="CG3" i="28" s="1"/>
  <c r="AW3" i="28"/>
  <c r="AV3" i="28"/>
  <c r="G3" i="28"/>
  <c r="IL2" i="27"/>
  <c r="HX2" i="27" a="1"/>
  <c r="HX2" i="27" s="1"/>
  <c r="IW2" i="27" s="1"/>
  <c r="HW2" i="27" a="1"/>
  <c r="HW2" i="27" s="1"/>
  <c r="IV2" i="27" s="1"/>
  <c r="HV2" i="27" a="1"/>
  <c r="HV2" i="27" s="1"/>
  <c r="IU2" i="27" s="1"/>
  <c r="HU2" i="27" a="1"/>
  <c r="HU2" i="27" s="1"/>
  <c r="IT2" i="27" s="1"/>
  <c r="HT2" i="27" a="1"/>
  <c r="HT2" i="27" s="1"/>
  <c r="IS2" i="27" s="1"/>
  <c r="HS2" i="27" a="1"/>
  <c r="HS2" i="27" s="1"/>
  <c r="IR2" i="27" s="1"/>
  <c r="HR2" i="27" a="1"/>
  <c r="HR2" i="27" s="1"/>
  <c r="IQ2" i="27" s="1"/>
  <c r="HQ2" i="27" a="1"/>
  <c r="HQ2" i="27" s="1"/>
  <c r="IP2" i="27" s="1"/>
  <c r="HP2" i="27" a="1"/>
  <c r="HP2" i="27" s="1"/>
  <c r="IO2" i="27" s="1"/>
  <c r="HL2" i="27"/>
  <c r="HJ2" i="27"/>
  <c r="HH2" i="27"/>
  <c r="HB2" i="27"/>
  <c r="HA2" i="27"/>
  <c r="GZ2" i="27"/>
  <c r="GY2" i="27"/>
  <c r="GX2" i="27"/>
  <c r="GW2" i="27"/>
  <c r="GV2" i="27"/>
  <c r="GU2" i="27"/>
  <c r="GT2" i="27"/>
  <c r="GP2" i="27"/>
  <c r="GI2" i="27"/>
  <c r="GH2" i="27"/>
  <c r="GG2" i="27"/>
  <c r="GF2" i="27"/>
  <c r="GE2" i="27"/>
  <c r="GD2" i="27"/>
  <c r="GC2" i="27"/>
  <c r="GB2" i="27"/>
  <c r="GA2" i="27"/>
  <c r="FZ2" i="27"/>
  <c r="FY2" i="27"/>
  <c r="FX2" i="27"/>
  <c r="FW2" i="27"/>
  <c r="FV2" i="27"/>
  <c r="FU2" i="27"/>
  <c r="FT2" i="27"/>
  <c r="FS2" i="27"/>
  <c r="FR2" i="27"/>
  <c r="FQ2" i="27"/>
  <c r="FJ2" i="27"/>
  <c r="FI2" i="27"/>
  <c r="FH2" i="27"/>
  <c r="FG2" i="27"/>
  <c r="FF2" i="27"/>
  <c r="FE2" i="27"/>
  <c r="FD2" i="27"/>
  <c r="FC2" i="27"/>
  <c r="FB2" i="27"/>
  <c r="FA2" i="27"/>
  <c r="EZ2" i="27"/>
  <c r="EY2" i="27"/>
  <c r="EX2" i="27"/>
  <c r="EW2" i="27"/>
  <c r="EV2" i="27"/>
  <c r="EU2" i="27"/>
  <c r="ET2" i="27"/>
  <c r="ES2" i="27"/>
  <c r="ER2" i="27"/>
  <c r="EQ2" i="27"/>
  <c r="EP2" i="27"/>
  <c r="EO2" i="27"/>
  <c r="EN2" i="27"/>
  <c r="EM2" i="27"/>
  <c r="EL2" i="27"/>
  <c r="EK2" i="27"/>
  <c r="EJ2" i="27"/>
  <c r="EI2" i="27"/>
  <c r="EH2" i="27"/>
  <c r="EG2" i="27"/>
  <c r="EF2" i="27"/>
  <c r="EE2" i="27"/>
  <c r="ED2" i="27"/>
  <c r="EC2" i="27"/>
  <c r="EB2" i="27"/>
  <c r="EA2" i="27"/>
  <c r="DV2" i="27"/>
  <c r="DU2" i="27"/>
  <c r="DT2" i="27"/>
  <c r="DS2" i="27"/>
  <c r="DR2" i="27"/>
  <c r="DQ2" i="27"/>
  <c r="DP2" i="27"/>
  <c r="DO2" i="27"/>
  <c r="DN2" i="27"/>
  <c r="DK2" i="27"/>
  <c r="DJ2" i="27"/>
  <c r="DI2" i="27"/>
  <c r="DH2" i="27"/>
  <c r="DG2" i="27"/>
  <c r="DF2" i="27"/>
  <c r="DE2" i="27"/>
  <c r="DD2" i="27"/>
  <c r="DC2" i="27"/>
  <c r="DB2" i="27"/>
  <c r="DA2" i="27"/>
  <c r="CV2" i="27"/>
  <c r="CU2" i="27"/>
  <c r="CT2" i="27"/>
  <c r="CS2" i="27"/>
  <c r="GN2" i="27" s="1"/>
  <c r="CR2" i="27"/>
  <c r="GM2" i="27" s="1"/>
  <c r="CQ2" i="27"/>
  <c r="GL2" i="27" s="1"/>
  <c r="CP2" i="27"/>
  <c r="GJ2" i="27" s="1"/>
  <c r="GK2" i="27" s="1"/>
  <c r="CO2" i="27"/>
  <c r="DZ2" i="27" s="1"/>
  <c r="CN2" i="27"/>
  <c r="DY2" i="27" s="1"/>
  <c r="CM2" i="27"/>
  <c r="DX2" i="27" s="1"/>
  <c r="CL2" i="27"/>
  <c r="DW2" i="27" s="1"/>
  <c r="CG2" i="27" a="1"/>
  <c r="CG2" i="27" s="1"/>
  <c r="CK2" i="27" s="1"/>
  <c r="CZ2" i="27" s="1"/>
  <c r="AW2" i="27"/>
  <c r="AV2" i="27"/>
  <c r="G2" i="27"/>
  <c r="HX3" i="27" a="1"/>
  <c r="HX3" i="27" s="1"/>
  <c r="IW3" i="27" s="1"/>
  <c r="HW3" i="27" a="1"/>
  <c r="HW3" i="27" s="1"/>
  <c r="IV3" i="27" s="1"/>
  <c r="HV3" i="27" a="1"/>
  <c r="HV3" i="27" s="1"/>
  <c r="IU3" i="27" s="1"/>
  <c r="HU3" i="27" a="1"/>
  <c r="HU3" i="27" s="1"/>
  <c r="IT3" i="27" s="1"/>
  <c r="HT3" i="27" a="1"/>
  <c r="HT3" i="27" s="1"/>
  <c r="IS3" i="27" s="1"/>
  <c r="HS3" i="27" a="1"/>
  <c r="HS3" i="27" s="1"/>
  <c r="IR3" i="27" s="1"/>
  <c r="HR3" i="27" a="1"/>
  <c r="HR3" i="27" s="1"/>
  <c r="IQ3" i="27" s="1"/>
  <c r="HQ3" i="27" a="1"/>
  <c r="HQ3" i="27" s="1"/>
  <c r="IP3" i="27" s="1"/>
  <c r="HP3" i="27" a="1"/>
  <c r="HP3" i="27" s="1"/>
  <c r="IO3" i="27" s="1"/>
  <c r="HL3" i="27"/>
  <c r="HJ3" i="27"/>
  <c r="HH3" i="27"/>
  <c r="HB3" i="27"/>
  <c r="HA3" i="27"/>
  <c r="GZ3" i="27"/>
  <c r="GY3" i="27"/>
  <c r="GX3" i="27"/>
  <c r="GW3" i="27"/>
  <c r="GV3" i="27"/>
  <c r="GU3" i="27"/>
  <c r="GT3" i="27"/>
  <c r="GP3" i="27"/>
  <c r="GI3" i="27"/>
  <c r="GH3" i="27"/>
  <c r="GG3" i="27"/>
  <c r="GF3" i="27"/>
  <c r="GE3" i="27"/>
  <c r="GB3" i="27"/>
  <c r="GA3" i="27"/>
  <c r="FZ3" i="27"/>
  <c r="FY3" i="27"/>
  <c r="FW3" i="27"/>
  <c r="FV3" i="27"/>
  <c r="FU3" i="27"/>
  <c r="FT3" i="27"/>
  <c r="FS3" i="27"/>
  <c r="FR3" i="27"/>
  <c r="FQ3" i="27"/>
  <c r="FJ3" i="27"/>
  <c r="FI3" i="27"/>
  <c r="FH3" i="27"/>
  <c r="FG3" i="27"/>
  <c r="FF3" i="27"/>
  <c r="FE3" i="27"/>
  <c r="FD3" i="27"/>
  <c r="FB3" i="27"/>
  <c r="FA3" i="27"/>
  <c r="EZ3" i="27"/>
  <c r="EY3" i="27"/>
  <c r="EX3" i="27"/>
  <c r="EW3" i="27"/>
  <c r="EV3" i="27"/>
  <c r="EU3" i="27"/>
  <c r="ET3" i="27"/>
  <c r="ES3" i="27"/>
  <c r="ER3" i="27"/>
  <c r="EQ3" i="27"/>
  <c r="EP3" i="27"/>
  <c r="EO3" i="27"/>
  <c r="EN3" i="27"/>
  <c r="EM3" i="27"/>
  <c r="EL3" i="27"/>
  <c r="EK3" i="27"/>
  <c r="EJ3" i="27"/>
  <c r="EI3" i="27"/>
  <c r="EH3" i="27"/>
  <c r="EG3" i="27"/>
  <c r="EF3" i="27"/>
  <c r="EE3" i="27"/>
  <c r="ED3" i="27"/>
  <c r="EC3" i="27"/>
  <c r="EB3" i="27"/>
  <c r="EA3" i="27"/>
  <c r="DU3" i="27"/>
  <c r="DT3" i="27"/>
  <c r="DS3" i="27"/>
  <c r="DR3" i="27"/>
  <c r="DQ3" i="27"/>
  <c r="DP3" i="27"/>
  <c r="DO3" i="27"/>
  <c r="DN3" i="27"/>
  <c r="DK3" i="27"/>
  <c r="DJ3" i="27"/>
  <c r="DI3" i="27"/>
  <c r="DH3" i="27"/>
  <c r="DG3" i="27"/>
  <c r="DF3" i="27"/>
  <c r="DE3" i="27"/>
  <c r="DD3" i="27"/>
  <c r="DB3" i="27"/>
  <c r="DA3" i="27"/>
  <c r="CV3" i="27"/>
  <c r="CU3" i="27"/>
  <c r="CT3" i="27"/>
  <c r="CS3" i="27"/>
  <c r="GN3" i="27" s="1"/>
  <c r="CR3" i="27"/>
  <c r="GM3" i="27" s="1"/>
  <c r="CQ3" i="27"/>
  <c r="GL3" i="27" s="1"/>
  <c r="CP3" i="27"/>
  <c r="GJ3" i="27" s="1"/>
  <c r="GK3" i="27" s="1"/>
  <c r="CO3" i="27"/>
  <c r="DZ3" i="27" s="1"/>
  <c r="CN3" i="27"/>
  <c r="DY3" i="27" s="1"/>
  <c r="CM3" i="27"/>
  <c r="DX3" i="27" s="1"/>
  <c r="CL3" i="27"/>
  <c r="DW3" i="27" s="1"/>
  <c r="CG3" i="27" a="1"/>
  <c r="CG3" i="27" s="1"/>
  <c r="CJ3" i="27" s="1"/>
  <c r="CY3" i="27" s="1"/>
  <c r="AW3" i="27"/>
  <c r="AV3" i="27"/>
  <c r="G3" i="27"/>
  <c r="IL2" i="26"/>
  <c r="HX2" i="26" a="1"/>
  <c r="HX2" i="26" s="1"/>
  <c r="IW2" i="26" s="1"/>
  <c r="HW2" i="26" a="1"/>
  <c r="HW2" i="26" s="1"/>
  <c r="IV2" i="26" s="1"/>
  <c r="HV2" i="26" a="1"/>
  <c r="HV2" i="26" s="1"/>
  <c r="IU2" i="26" s="1"/>
  <c r="HU2" i="26" a="1"/>
  <c r="HU2" i="26" s="1"/>
  <c r="IT2" i="26" s="1"/>
  <c r="HT2" i="26" a="1"/>
  <c r="HT2" i="26" s="1"/>
  <c r="IS2" i="26" s="1"/>
  <c r="HS2" i="26" a="1"/>
  <c r="HS2" i="26" s="1"/>
  <c r="IR2" i="26" s="1"/>
  <c r="HR2" i="26" a="1"/>
  <c r="HR2" i="26" s="1"/>
  <c r="IQ2" i="26" s="1"/>
  <c r="HQ2" i="26" a="1"/>
  <c r="HQ2" i="26" s="1"/>
  <c r="IP2" i="26" s="1"/>
  <c r="HP2" i="26" a="1"/>
  <c r="HP2" i="26" s="1"/>
  <c r="IO2" i="26" s="1"/>
  <c r="HL2" i="26"/>
  <c r="HJ2" i="26"/>
  <c r="HH2" i="26"/>
  <c r="HB2" i="26"/>
  <c r="HA2" i="26"/>
  <c r="GZ2" i="26"/>
  <c r="GY2" i="26"/>
  <c r="GX2" i="26"/>
  <c r="GW2" i="26"/>
  <c r="GV2" i="26"/>
  <c r="GU2" i="26"/>
  <c r="GT2" i="26"/>
  <c r="GP2" i="26"/>
  <c r="GI2" i="26"/>
  <c r="GH2" i="26"/>
  <c r="GG2" i="26"/>
  <c r="GF2" i="26"/>
  <c r="GE2" i="26"/>
  <c r="GD2" i="26"/>
  <c r="GC2" i="26"/>
  <c r="GB2" i="26"/>
  <c r="GA2" i="26"/>
  <c r="FZ2" i="26"/>
  <c r="FY2" i="26"/>
  <c r="FX2" i="26"/>
  <c r="FW2" i="26"/>
  <c r="FV2" i="26"/>
  <c r="FU2" i="26"/>
  <c r="FT2" i="26"/>
  <c r="FS2" i="26"/>
  <c r="FR2" i="26"/>
  <c r="FQ2" i="26"/>
  <c r="FJ2" i="26"/>
  <c r="FI2" i="26"/>
  <c r="FH2" i="26"/>
  <c r="FG2" i="26"/>
  <c r="FF2" i="26"/>
  <c r="FP2" i="26" s="1"/>
  <c r="FE2" i="26"/>
  <c r="FD2" i="26"/>
  <c r="FC2" i="26"/>
  <c r="FB2" i="26"/>
  <c r="FA2" i="26"/>
  <c r="EZ2" i="26"/>
  <c r="EY2" i="26"/>
  <c r="EX2" i="26"/>
  <c r="EW2" i="26"/>
  <c r="EV2" i="26"/>
  <c r="EU2" i="26"/>
  <c r="ET2" i="26"/>
  <c r="ES2" i="26"/>
  <c r="ER2" i="26"/>
  <c r="EQ2" i="26"/>
  <c r="EP2" i="26"/>
  <c r="EO2" i="26"/>
  <c r="EN2" i="26"/>
  <c r="EM2" i="26"/>
  <c r="EL2" i="26"/>
  <c r="EK2" i="26"/>
  <c r="EJ2" i="26"/>
  <c r="EI2" i="26"/>
  <c r="EH2" i="26"/>
  <c r="EG2" i="26"/>
  <c r="EF2" i="26"/>
  <c r="EE2" i="26"/>
  <c r="ED2" i="26"/>
  <c r="EC2" i="26"/>
  <c r="EB2" i="26"/>
  <c r="EA2" i="26"/>
  <c r="DV2" i="26"/>
  <c r="DU2" i="26"/>
  <c r="DT2" i="26"/>
  <c r="DS2" i="26"/>
  <c r="DR2" i="26"/>
  <c r="DQ2" i="26"/>
  <c r="DP2" i="26"/>
  <c r="DO2" i="26"/>
  <c r="DN2" i="26"/>
  <c r="DK2" i="26"/>
  <c r="DJ2" i="26"/>
  <c r="DI2" i="26"/>
  <c r="DH2" i="26"/>
  <c r="DG2" i="26"/>
  <c r="DF2" i="26"/>
  <c r="DE2" i="26"/>
  <c r="DD2" i="26"/>
  <c r="DC2" i="26"/>
  <c r="DB2" i="26"/>
  <c r="DA2" i="26"/>
  <c r="CV2" i="26"/>
  <c r="CU2" i="26"/>
  <c r="CT2" i="26"/>
  <c r="CS2" i="26"/>
  <c r="GN2" i="26" s="1"/>
  <c r="CR2" i="26"/>
  <c r="GM2" i="26" s="1"/>
  <c r="CQ2" i="26"/>
  <c r="GL2" i="26" s="1"/>
  <c r="CP2" i="26"/>
  <c r="GJ2" i="26" s="1"/>
  <c r="GK2" i="26" s="1"/>
  <c r="CO2" i="26"/>
  <c r="DZ2" i="26" s="1"/>
  <c r="CN2" i="26"/>
  <c r="DY2" i="26" s="1"/>
  <c r="CM2" i="26"/>
  <c r="DX2" i="26" s="1"/>
  <c r="CL2" i="26"/>
  <c r="DW2" i="26" s="1"/>
  <c r="CG2" i="26" a="1"/>
  <c r="CG2" i="26" s="1"/>
  <c r="IN2" i="26" s="1"/>
  <c r="IX2" i="26" s="1"/>
  <c r="AW2" i="26"/>
  <c r="AV2" i="26"/>
  <c r="G2" i="26"/>
  <c r="HX3" i="26" a="1"/>
  <c r="HX3" i="26" s="1"/>
  <c r="IW3" i="26" s="1"/>
  <c r="HW3" i="26" a="1"/>
  <c r="HW3" i="26" s="1"/>
  <c r="IV3" i="26" s="1"/>
  <c r="HV3" i="26" a="1"/>
  <c r="HV3" i="26" s="1"/>
  <c r="IU3" i="26" s="1"/>
  <c r="HU3" i="26" a="1"/>
  <c r="HU3" i="26" s="1"/>
  <c r="IT3" i="26" s="1"/>
  <c r="HT3" i="26" a="1"/>
  <c r="HT3" i="26" s="1"/>
  <c r="IS3" i="26" s="1"/>
  <c r="HS3" i="26" a="1"/>
  <c r="HS3" i="26" s="1"/>
  <c r="IR3" i="26" s="1"/>
  <c r="HR3" i="26" a="1"/>
  <c r="HR3" i="26" s="1"/>
  <c r="IQ3" i="26" s="1"/>
  <c r="HQ3" i="26" a="1"/>
  <c r="HQ3" i="26" s="1"/>
  <c r="IP3" i="26" s="1"/>
  <c r="HP3" i="26" a="1"/>
  <c r="HP3" i="26" s="1"/>
  <c r="IO3" i="26" s="1"/>
  <c r="HL3" i="26"/>
  <c r="HJ3" i="26"/>
  <c r="HH3" i="26"/>
  <c r="HB3" i="26"/>
  <c r="HA3" i="26"/>
  <c r="GZ3" i="26"/>
  <c r="GY3" i="26"/>
  <c r="GX3" i="26"/>
  <c r="GW3" i="26"/>
  <c r="GV3" i="26"/>
  <c r="GU3" i="26"/>
  <c r="GT3" i="26"/>
  <c r="GP3" i="26"/>
  <c r="GI3" i="26"/>
  <c r="GH3" i="26"/>
  <c r="GG3" i="26"/>
  <c r="GF3" i="26"/>
  <c r="GE3" i="26"/>
  <c r="GB3" i="26"/>
  <c r="GA3" i="26"/>
  <c r="FZ3" i="26"/>
  <c r="FY3" i="26"/>
  <c r="FW3" i="26"/>
  <c r="FV3" i="26"/>
  <c r="FU3" i="26"/>
  <c r="FT3" i="26"/>
  <c r="FS3" i="26"/>
  <c r="FR3" i="26"/>
  <c r="FQ3" i="26"/>
  <c r="FJ3" i="26"/>
  <c r="FI3" i="26"/>
  <c r="FH3" i="26"/>
  <c r="FG3" i="26"/>
  <c r="FF3" i="26"/>
  <c r="FE3" i="26"/>
  <c r="FD3" i="26"/>
  <c r="FB3" i="26"/>
  <c r="FA3" i="26"/>
  <c r="EZ3" i="26"/>
  <c r="EY3" i="26"/>
  <c r="EX3" i="26"/>
  <c r="EW3" i="26"/>
  <c r="EV3" i="26"/>
  <c r="EU3" i="26"/>
  <c r="ET3" i="26"/>
  <c r="ES3" i="26"/>
  <c r="ER3" i="26"/>
  <c r="EQ3" i="26"/>
  <c r="EP3" i="26"/>
  <c r="EO3" i="26"/>
  <c r="EN3" i="26"/>
  <c r="EM3" i="26"/>
  <c r="EL3" i="26"/>
  <c r="EK3" i="26"/>
  <c r="EJ3" i="26"/>
  <c r="EI3" i="26"/>
  <c r="EH3" i="26"/>
  <c r="EG3" i="26"/>
  <c r="EF3" i="26"/>
  <c r="EE3" i="26"/>
  <c r="ED3" i="26"/>
  <c r="EC3" i="26"/>
  <c r="EB3" i="26"/>
  <c r="EA3" i="26"/>
  <c r="DU3" i="26"/>
  <c r="DT3" i="26"/>
  <c r="DS3" i="26"/>
  <c r="DR3" i="26"/>
  <c r="DQ3" i="26"/>
  <c r="DP3" i="26"/>
  <c r="DO3" i="26"/>
  <c r="DN3" i="26"/>
  <c r="DK3" i="26"/>
  <c r="DJ3" i="26"/>
  <c r="DI3" i="26"/>
  <c r="DH3" i="26"/>
  <c r="DG3" i="26"/>
  <c r="DF3" i="26"/>
  <c r="DE3" i="26"/>
  <c r="DD3" i="26"/>
  <c r="DB3" i="26"/>
  <c r="DA3" i="26"/>
  <c r="CV3" i="26"/>
  <c r="CU3" i="26"/>
  <c r="CT3" i="26"/>
  <c r="CS3" i="26"/>
  <c r="GN3" i="26" s="1"/>
  <c r="CR3" i="26"/>
  <c r="GM3" i="26" s="1"/>
  <c r="CQ3" i="26"/>
  <c r="GL3" i="26" s="1"/>
  <c r="CP3" i="26"/>
  <c r="GJ3" i="26" s="1"/>
  <c r="GK3" i="26" s="1"/>
  <c r="CO3" i="26"/>
  <c r="DZ3" i="26" s="1"/>
  <c r="CN3" i="26"/>
  <c r="DY3" i="26" s="1"/>
  <c r="CM3" i="26"/>
  <c r="DX3" i="26" s="1"/>
  <c r="CL3" i="26"/>
  <c r="DW3" i="26" s="1"/>
  <c r="CG3" i="26" a="1"/>
  <c r="CG3" i="26" s="1"/>
  <c r="DM3" i="26" s="1" a="1"/>
  <c r="DM3" i="26" s="1"/>
  <c r="AW3" i="26"/>
  <c r="AV3" i="26"/>
  <c r="G3" i="26"/>
  <c r="IL2" i="25"/>
  <c r="HX2" i="25" a="1"/>
  <c r="HX2" i="25" s="1"/>
  <c r="IW2" i="25" s="1"/>
  <c r="HW2" i="25" a="1"/>
  <c r="HW2" i="25" s="1"/>
  <c r="IV2" i="25" s="1"/>
  <c r="HV2" i="25" a="1"/>
  <c r="HV2" i="25" s="1"/>
  <c r="IU2" i="25" s="1"/>
  <c r="HU2" i="25" a="1"/>
  <c r="HU2" i="25" s="1"/>
  <c r="IT2" i="25" s="1"/>
  <c r="HT2" i="25" a="1"/>
  <c r="HT2" i="25" s="1"/>
  <c r="IS2" i="25" s="1"/>
  <c r="HS2" i="25" a="1"/>
  <c r="HS2" i="25" s="1"/>
  <c r="IR2" i="25" s="1"/>
  <c r="HR2" i="25" a="1"/>
  <c r="HR2" i="25" s="1"/>
  <c r="IQ2" i="25" s="1"/>
  <c r="HQ2" i="25" a="1"/>
  <c r="HQ2" i="25" s="1"/>
  <c r="IP2" i="25" s="1"/>
  <c r="HP2" i="25" a="1"/>
  <c r="HP2" i="25" s="1"/>
  <c r="IO2" i="25" s="1"/>
  <c r="HL2" i="25"/>
  <c r="HJ2" i="25"/>
  <c r="HH2" i="25"/>
  <c r="HB2" i="25"/>
  <c r="HA2" i="25"/>
  <c r="GZ2" i="25"/>
  <c r="GY2" i="25"/>
  <c r="GX2" i="25"/>
  <c r="GW2" i="25"/>
  <c r="GV2" i="25"/>
  <c r="GU2" i="25"/>
  <c r="GT2" i="25"/>
  <c r="GP2" i="25"/>
  <c r="GI2" i="25"/>
  <c r="GH2" i="25"/>
  <c r="GG2" i="25"/>
  <c r="GF2" i="25"/>
  <c r="GE2" i="25"/>
  <c r="GD2" i="25"/>
  <c r="GC2" i="25"/>
  <c r="GB2" i="25"/>
  <c r="GA2" i="25"/>
  <c r="FZ2" i="25"/>
  <c r="FY2" i="25"/>
  <c r="FX2" i="25"/>
  <c r="FW2" i="25"/>
  <c r="FV2" i="25"/>
  <c r="FU2" i="25"/>
  <c r="FT2" i="25"/>
  <c r="FS2" i="25"/>
  <c r="FR2" i="25"/>
  <c r="FQ2" i="25"/>
  <c r="FJ2" i="25"/>
  <c r="FI2" i="25"/>
  <c r="FH2" i="25"/>
  <c r="FG2" i="25"/>
  <c r="FF2" i="25"/>
  <c r="FP2" i="25" s="1"/>
  <c r="FE2" i="25"/>
  <c r="FD2" i="25"/>
  <c r="FC2" i="25"/>
  <c r="FB2" i="25"/>
  <c r="FA2" i="25"/>
  <c r="EZ2" i="25"/>
  <c r="EY2" i="25"/>
  <c r="EX2" i="25"/>
  <c r="EW2" i="25"/>
  <c r="EV2" i="25"/>
  <c r="EU2" i="25"/>
  <c r="ET2" i="25"/>
  <c r="ES2" i="25"/>
  <c r="ER2" i="25"/>
  <c r="EQ2" i="25"/>
  <c r="EP2" i="25"/>
  <c r="EO2" i="25"/>
  <c r="EN2" i="25"/>
  <c r="EM2" i="25"/>
  <c r="EL2" i="25"/>
  <c r="EK2" i="25"/>
  <c r="EJ2" i="25"/>
  <c r="EI2" i="25"/>
  <c r="EH2" i="25"/>
  <c r="EG2" i="25"/>
  <c r="EF2" i="25"/>
  <c r="EE2" i="25"/>
  <c r="ED2" i="25"/>
  <c r="EC2" i="25"/>
  <c r="EB2" i="25"/>
  <c r="EA2" i="25"/>
  <c r="DV2" i="25"/>
  <c r="DU2" i="25"/>
  <c r="DT2" i="25"/>
  <c r="DS2" i="25"/>
  <c r="DR2" i="25"/>
  <c r="DQ2" i="25"/>
  <c r="DP2" i="25"/>
  <c r="DO2" i="25"/>
  <c r="DN2" i="25"/>
  <c r="DK2" i="25"/>
  <c r="DJ2" i="25"/>
  <c r="DI2" i="25"/>
  <c r="DH2" i="25"/>
  <c r="DG2" i="25"/>
  <c r="DF2" i="25"/>
  <c r="DE2" i="25"/>
  <c r="DD2" i="25"/>
  <c r="DC2" i="25"/>
  <c r="DB2" i="25"/>
  <c r="DA2" i="25"/>
  <c r="CV2" i="25"/>
  <c r="CU2" i="25"/>
  <c r="CT2" i="25"/>
  <c r="CS2" i="25"/>
  <c r="GN2" i="25" s="1"/>
  <c r="CR2" i="25"/>
  <c r="GM2" i="25" s="1"/>
  <c r="CQ2" i="25"/>
  <c r="GL2" i="25" s="1"/>
  <c r="CP2" i="25"/>
  <c r="GJ2" i="25" s="1"/>
  <c r="GK2" i="25" s="1"/>
  <c r="CO2" i="25"/>
  <c r="DZ2" i="25" s="1"/>
  <c r="CN2" i="25"/>
  <c r="DY2" i="25" s="1"/>
  <c r="CM2" i="25"/>
  <c r="DX2" i="25" s="1"/>
  <c r="CL2" i="25"/>
  <c r="DW2" i="25" s="1"/>
  <c r="CG2" i="25" a="1"/>
  <c r="CG2" i="25" s="1"/>
  <c r="IN2" i="25" s="1"/>
  <c r="IX2" i="25" s="1"/>
  <c r="AW2" i="25"/>
  <c r="AV2" i="25"/>
  <c r="G2" i="25"/>
  <c r="HX3" i="25" a="1"/>
  <c r="HX3" i="25" s="1"/>
  <c r="IW3" i="25" s="1"/>
  <c r="HW3" i="25" a="1"/>
  <c r="HW3" i="25" s="1"/>
  <c r="IV3" i="25" s="1"/>
  <c r="HV3" i="25" a="1"/>
  <c r="HV3" i="25" s="1"/>
  <c r="IU3" i="25" s="1"/>
  <c r="HU3" i="25" a="1"/>
  <c r="HU3" i="25" s="1"/>
  <c r="IT3" i="25" s="1"/>
  <c r="HT3" i="25" a="1"/>
  <c r="HT3" i="25" s="1"/>
  <c r="IS3" i="25" s="1"/>
  <c r="HS3" i="25" a="1"/>
  <c r="HS3" i="25" s="1"/>
  <c r="IR3" i="25" s="1"/>
  <c r="HR3" i="25" a="1"/>
  <c r="HR3" i="25" s="1"/>
  <c r="IQ3" i="25" s="1"/>
  <c r="HQ3" i="25" a="1"/>
  <c r="HQ3" i="25" s="1"/>
  <c r="IP3" i="25" s="1"/>
  <c r="HP3" i="25" a="1"/>
  <c r="HP3" i="25" s="1"/>
  <c r="IO3" i="25" s="1"/>
  <c r="HL3" i="25"/>
  <c r="HJ3" i="25"/>
  <c r="HH3" i="25"/>
  <c r="HB3" i="25"/>
  <c r="HA3" i="25"/>
  <c r="GZ3" i="25"/>
  <c r="GY3" i="25"/>
  <c r="GX3" i="25"/>
  <c r="GW3" i="25"/>
  <c r="GV3" i="25"/>
  <c r="GU3" i="25"/>
  <c r="GT3" i="25"/>
  <c r="GP3" i="25"/>
  <c r="GI3" i="25"/>
  <c r="GH3" i="25"/>
  <c r="GG3" i="25"/>
  <c r="GF3" i="25"/>
  <c r="GE3" i="25"/>
  <c r="GB3" i="25"/>
  <c r="GA3" i="25"/>
  <c r="FZ3" i="25"/>
  <c r="FY3" i="25"/>
  <c r="FW3" i="25"/>
  <c r="FV3" i="25"/>
  <c r="FU3" i="25"/>
  <c r="FT3" i="25"/>
  <c r="FS3" i="25"/>
  <c r="FR3" i="25"/>
  <c r="FQ3" i="25"/>
  <c r="FJ3" i="25"/>
  <c r="FI3" i="25"/>
  <c r="FH3" i="25"/>
  <c r="FG3" i="25"/>
  <c r="FF3" i="25"/>
  <c r="FE3" i="25"/>
  <c r="FD3" i="25"/>
  <c r="FB3" i="25"/>
  <c r="FA3" i="25"/>
  <c r="EZ3" i="25"/>
  <c r="EY3" i="25"/>
  <c r="EX3" i="25"/>
  <c r="EW3" i="25"/>
  <c r="EV3" i="25"/>
  <c r="EU3" i="25"/>
  <c r="ET3" i="25"/>
  <c r="ES3" i="25"/>
  <c r="ER3" i="25"/>
  <c r="EQ3" i="25"/>
  <c r="EP3" i="25"/>
  <c r="EO3" i="25"/>
  <c r="EN3" i="25"/>
  <c r="EM3" i="25"/>
  <c r="EL3" i="25"/>
  <c r="EK3" i="25"/>
  <c r="EJ3" i="25"/>
  <c r="EI3" i="25"/>
  <c r="EH3" i="25"/>
  <c r="EG3" i="25"/>
  <c r="EF3" i="25"/>
  <c r="EE3" i="25"/>
  <c r="ED3" i="25"/>
  <c r="EC3" i="25"/>
  <c r="EB3" i="25"/>
  <c r="EA3" i="25"/>
  <c r="DU3" i="25"/>
  <c r="DT3" i="25"/>
  <c r="DS3" i="25"/>
  <c r="DR3" i="25"/>
  <c r="DQ3" i="25"/>
  <c r="DP3" i="25"/>
  <c r="DO3" i="25"/>
  <c r="DN3" i="25"/>
  <c r="DK3" i="25"/>
  <c r="DJ3" i="25"/>
  <c r="DI3" i="25"/>
  <c r="DH3" i="25"/>
  <c r="DG3" i="25"/>
  <c r="DF3" i="25"/>
  <c r="DE3" i="25"/>
  <c r="DD3" i="25"/>
  <c r="DB3" i="25"/>
  <c r="DA3" i="25"/>
  <c r="CV3" i="25"/>
  <c r="CU3" i="25"/>
  <c r="CT3" i="25"/>
  <c r="CS3" i="25"/>
  <c r="GN3" i="25" s="1"/>
  <c r="CR3" i="25"/>
  <c r="GM3" i="25" s="1"/>
  <c r="CQ3" i="25"/>
  <c r="GL3" i="25" s="1"/>
  <c r="CP3" i="25"/>
  <c r="GJ3" i="25" s="1"/>
  <c r="GK3" i="25" s="1"/>
  <c r="CO3" i="25"/>
  <c r="DZ3" i="25" s="1"/>
  <c r="CN3" i="25"/>
  <c r="DY3" i="25" s="1"/>
  <c r="CM3" i="25"/>
  <c r="DX3" i="25" s="1"/>
  <c r="CL3" i="25"/>
  <c r="DW3" i="25" s="1"/>
  <c r="CG3" i="25" a="1"/>
  <c r="CG3" i="25" s="1"/>
  <c r="AW3" i="25"/>
  <c r="AV3" i="25"/>
  <c r="G3" i="25"/>
  <c r="HX3" i="24" a="1"/>
  <c r="HX3" i="24" s="1"/>
  <c r="IW3" i="24" s="1"/>
  <c r="HW3" i="24" a="1"/>
  <c r="HW3" i="24" s="1"/>
  <c r="IV3" i="24" s="1"/>
  <c r="HV3" i="24" a="1"/>
  <c r="HV3" i="24" s="1"/>
  <c r="IU3" i="24" s="1"/>
  <c r="HU3" i="24" a="1"/>
  <c r="HU3" i="24" s="1"/>
  <c r="IT3" i="24" s="1"/>
  <c r="HT3" i="24" a="1"/>
  <c r="HT3" i="24" s="1"/>
  <c r="IS3" i="24" s="1"/>
  <c r="HS3" i="24" a="1"/>
  <c r="HS3" i="24" s="1"/>
  <c r="IR3" i="24" s="1"/>
  <c r="HR3" i="24" a="1"/>
  <c r="HR3" i="24" s="1"/>
  <c r="IQ3" i="24" s="1"/>
  <c r="HQ3" i="24" a="1"/>
  <c r="HQ3" i="24" s="1"/>
  <c r="IP3" i="24" s="1"/>
  <c r="HP3" i="24" a="1"/>
  <c r="HP3" i="24" s="1"/>
  <c r="IO3" i="24" s="1"/>
  <c r="HL3" i="24"/>
  <c r="HJ3" i="24"/>
  <c r="HH3" i="24"/>
  <c r="HB3" i="24"/>
  <c r="HA3" i="24"/>
  <c r="GZ3" i="24"/>
  <c r="GY3" i="24"/>
  <c r="GX3" i="24"/>
  <c r="GW3" i="24"/>
  <c r="GV3" i="24"/>
  <c r="GU3" i="24"/>
  <c r="GT3" i="24"/>
  <c r="GP3" i="24"/>
  <c r="GI3" i="24"/>
  <c r="GH3" i="24"/>
  <c r="GG3" i="24"/>
  <c r="GF3" i="24"/>
  <c r="GE3" i="24"/>
  <c r="GB3" i="24"/>
  <c r="GA3" i="24"/>
  <c r="FZ3" i="24"/>
  <c r="FY3" i="24"/>
  <c r="FW3" i="24"/>
  <c r="FV3" i="24"/>
  <c r="FU3" i="24"/>
  <c r="FT3" i="24"/>
  <c r="FS3" i="24"/>
  <c r="FR3" i="24"/>
  <c r="FQ3" i="24"/>
  <c r="FJ3" i="24"/>
  <c r="FI3" i="24"/>
  <c r="FH3" i="24"/>
  <c r="FG3" i="24"/>
  <c r="FF3" i="24"/>
  <c r="FE3" i="24"/>
  <c r="FD3" i="24"/>
  <c r="FB3" i="24"/>
  <c r="FA3" i="24"/>
  <c r="EZ3" i="24"/>
  <c r="EY3" i="24"/>
  <c r="EX3" i="24"/>
  <c r="EW3" i="24"/>
  <c r="EV3" i="24"/>
  <c r="EU3" i="24"/>
  <c r="ET3" i="24"/>
  <c r="ES3" i="24"/>
  <c r="ER3" i="24"/>
  <c r="EQ3" i="24"/>
  <c r="EP3" i="24"/>
  <c r="EO3" i="24"/>
  <c r="EN3" i="24"/>
  <c r="EM3" i="24"/>
  <c r="EL3" i="24"/>
  <c r="EK3" i="24"/>
  <c r="EJ3" i="24"/>
  <c r="EI3" i="24"/>
  <c r="EH3" i="24"/>
  <c r="EG3" i="24"/>
  <c r="EF3" i="24"/>
  <c r="EE3" i="24"/>
  <c r="ED3" i="24"/>
  <c r="EC3" i="24"/>
  <c r="EB3" i="24"/>
  <c r="EA3" i="24"/>
  <c r="DU3" i="24"/>
  <c r="DT3" i="24"/>
  <c r="DS3" i="24"/>
  <c r="DR3" i="24"/>
  <c r="DQ3" i="24"/>
  <c r="DP3" i="24"/>
  <c r="DO3" i="24"/>
  <c r="DN3" i="24"/>
  <c r="DK3" i="24"/>
  <c r="DJ3" i="24"/>
  <c r="DI3" i="24"/>
  <c r="DH3" i="24"/>
  <c r="DG3" i="24"/>
  <c r="DF3" i="24"/>
  <c r="DE3" i="24"/>
  <c r="DD3" i="24"/>
  <c r="DB3" i="24"/>
  <c r="DA3" i="24"/>
  <c r="CV3" i="24"/>
  <c r="CU3" i="24"/>
  <c r="CT3" i="24"/>
  <c r="CS3" i="24"/>
  <c r="GN3" i="24" s="1"/>
  <c r="CR3" i="24"/>
  <c r="GM3" i="24" s="1"/>
  <c r="CQ3" i="24"/>
  <c r="GL3" i="24" s="1"/>
  <c r="CP3" i="24"/>
  <c r="GJ3" i="24" s="1"/>
  <c r="GK3" i="24" s="1"/>
  <c r="CO3" i="24"/>
  <c r="DZ3" i="24" s="1"/>
  <c r="CN3" i="24"/>
  <c r="DY3" i="24" s="1"/>
  <c r="CM3" i="24"/>
  <c r="DX3" i="24" s="1"/>
  <c r="CL3" i="24"/>
  <c r="DW3" i="24" s="1"/>
  <c r="CG3" i="24" a="1"/>
  <c r="CG3" i="24" s="1"/>
  <c r="CI3" i="24" s="1"/>
  <c r="CX3" i="24" s="1"/>
  <c r="AW3" i="24"/>
  <c r="AV3" i="24"/>
  <c r="G3" i="24"/>
  <c r="IL2" i="24"/>
  <c r="HX2" i="24" a="1"/>
  <c r="HX2" i="24" s="1"/>
  <c r="IW2" i="24" s="1"/>
  <c r="HW2" i="24" a="1"/>
  <c r="HW2" i="24" s="1"/>
  <c r="IV2" i="24" s="1"/>
  <c r="HV2" i="24" a="1"/>
  <c r="HV2" i="24" s="1"/>
  <c r="IU2" i="24" s="1"/>
  <c r="HU2" i="24" a="1"/>
  <c r="HU2" i="24" s="1"/>
  <c r="IT2" i="24" s="1"/>
  <c r="HT2" i="24" a="1"/>
  <c r="HT2" i="24" s="1"/>
  <c r="IS2" i="24" s="1"/>
  <c r="HS2" i="24" a="1"/>
  <c r="HS2" i="24" s="1"/>
  <c r="IR2" i="24" s="1"/>
  <c r="HR2" i="24" a="1"/>
  <c r="HR2" i="24" s="1"/>
  <c r="IQ2" i="24" s="1"/>
  <c r="HQ2" i="24" a="1"/>
  <c r="HQ2" i="24" s="1"/>
  <c r="IP2" i="24" s="1"/>
  <c r="HP2" i="24" a="1"/>
  <c r="HP2" i="24" s="1"/>
  <c r="IO2" i="24" s="1"/>
  <c r="HL2" i="24"/>
  <c r="HJ2" i="24"/>
  <c r="HH2" i="24"/>
  <c r="HB2" i="24"/>
  <c r="HA2" i="24"/>
  <c r="GZ2" i="24"/>
  <c r="GY2" i="24"/>
  <c r="GX2" i="24"/>
  <c r="GW2" i="24"/>
  <c r="GV2" i="24"/>
  <c r="GU2" i="24"/>
  <c r="GT2" i="24"/>
  <c r="GP2" i="24"/>
  <c r="GI2" i="24"/>
  <c r="GH2" i="24"/>
  <c r="GG2" i="24"/>
  <c r="GF2" i="24"/>
  <c r="GE2" i="24"/>
  <c r="GD2" i="24"/>
  <c r="GC2" i="24"/>
  <c r="GB2" i="24"/>
  <c r="GA2" i="24"/>
  <c r="FZ2" i="24"/>
  <c r="FY2" i="24"/>
  <c r="FX2" i="24"/>
  <c r="FW2" i="24"/>
  <c r="FV2" i="24"/>
  <c r="FU2" i="24"/>
  <c r="FT2" i="24"/>
  <c r="FS2" i="24"/>
  <c r="FR2" i="24"/>
  <c r="FQ2" i="24"/>
  <c r="FJ2" i="24"/>
  <c r="FI2" i="24"/>
  <c r="FH2" i="24"/>
  <c r="FG2" i="24"/>
  <c r="FF2" i="24"/>
  <c r="FE2" i="24"/>
  <c r="FD2" i="24"/>
  <c r="FC2" i="24"/>
  <c r="FB2" i="24"/>
  <c r="FA2" i="24"/>
  <c r="EZ2" i="24"/>
  <c r="EY2" i="24"/>
  <c r="EX2" i="24"/>
  <c r="EW2" i="24"/>
  <c r="EV2" i="24"/>
  <c r="EU2" i="24"/>
  <c r="ET2" i="24"/>
  <c r="ES2" i="24"/>
  <c r="ER2" i="24"/>
  <c r="EQ2" i="24"/>
  <c r="EP2" i="24"/>
  <c r="EO2" i="24"/>
  <c r="EN2" i="24"/>
  <c r="EM2" i="24"/>
  <c r="EL2" i="24"/>
  <c r="EK2" i="24"/>
  <c r="EJ2" i="24"/>
  <c r="EI2" i="24"/>
  <c r="EH2" i="24"/>
  <c r="EG2" i="24"/>
  <c r="EF2" i="24"/>
  <c r="EE2" i="24"/>
  <c r="ED2" i="24"/>
  <c r="EC2" i="24"/>
  <c r="EB2" i="24"/>
  <c r="EA2" i="24"/>
  <c r="DV2" i="24"/>
  <c r="DU2" i="24"/>
  <c r="DT2" i="24"/>
  <c r="DS2" i="24"/>
  <c r="DR2" i="24"/>
  <c r="DQ2" i="24"/>
  <c r="DP2" i="24"/>
  <c r="DO2" i="24"/>
  <c r="DN2" i="24"/>
  <c r="DK2" i="24"/>
  <c r="DJ2" i="24"/>
  <c r="DI2" i="24"/>
  <c r="DH2" i="24"/>
  <c r="DG2" i="24"/>
  <c r="DF2" i="24"/>
  <c r="DE2" i="24"/>
  <c r="DD2" i="24"/>
  <c r="DC2" i="24"/>
  <c r="DB2" i="24"/>
  <c r="DA2" i="24"/>
  <c r="CV2" i="24"/>
  <c r="CU2" i="24"/>
  <c r="CT2" i="24"/>
  <c r="CS2" i="24"/>
  <c r="GN2" i="24" s="1"/>
  <c r="CR2" i="24"/>
  <c r="GM2" i="24" s="1"/>
  <c r="CQ2" i="24"/>
  <c r="GL2" i="24" s="1"/>
  <c r="CP2" i="24"/>
  <c r="GJ2" i="24" s="1"/>
  <c r="GK2" i="24" s="1"/>
  <c r="CO2" i="24"/>
  <c r="DZ2" i="24" s="1"/>
  <c r="CN2" i="24"/>
  <c r="DY2" i="24" s="1"/>
  <c r="CM2" i="24"/>
  <c r="DX2" i="24" s="1"/>
  <c r="CL2" i="24"/>
  <c r="DW2" i="24" s="1"/>
  <c r="CG2" i="24" a="1"/>
  <c r="CG2" i="24" s="1"/>
  <c r="IN2" i="24" s="1"/>
  <c r="IX2" i="24" s="1"/>
  <c r="AW2" i="24"/>
  <c r="AV2" i="24"/>
  <c r="G2" i="24"/>
  <c r="HX3" i="23" a="1"/>
  <c r="HX3" i="23" s="1"/>
  <c r="IW3" i="23" s="1"/>
  <c r="HW3" i="23" a="1"/>
  <c r="HW3" i="23" s="1"/>
  <c r="IV3" i="23" s="1"/>
  <c r="HV3" i="23" a="1"/>
  <c r="HV3" i="23" s="1"/>
  <c r="IU3" i="23" s="1"/>
  <c r="HU3" i="23" a="1"/>
  <c r="HU3" i="23" s="1"/>
  <c r="IT3" i="23" s="1"/>
  <c r="HT3" i="23" a="1"/>
  <c r="HT3" i="23" s="1"/>
  <c r="IS3" i="23" s="1"/>
  <c r="HS3" i="23" a="1"/>
  <c r="HS3" i="23" s="1"/>
  <c r="IR3" i="23" s="1"/>
  <c r="HR3" i="23" a="1"/>
  <c r="HR3" i="23" s="1"/>
  <c r="IQ3" i="23" s="1"/>
  <c r="HQ3" i="23" a="1"/>
  <c r="HQ3" i="23" s="1"/>
  <c r="IP3" i="23" s="1"/>
  <c r="HP3" i="23" a="1"/>
  <c r="HP3" i="23" s="1"/>
  <c r="IO3" i="23" s="1"/>
  <c r="HL3" i="23"/>
  <c r="HJ3" i="23"/>
  <c r="HH3" i="23"/>
  <c r="HB3" i="23"/>
  <c r="HA3" i="23"/>
  <c r="GZ3" i="23"/>
  <c r="GY3" i="23"/>
  <c r="GX3" i="23"/>
  <c r="GW3" i="23"/>
  <c r="GV3" i="23"/>
  <c r="GU3" i="23"/>
  <c r="GT3" i="23"/>
  <c r="GP3" i="23"/>
  <c r="GI3" i="23"/>
  <c r="GH3" i="23"/>
  <c r="GG3" i="23"/>
  <c r="GF3" i="23"/>
  <c r="GE3" i="23"/>
  <c r="GB3" i="23"/>
  <c r="GA3" i="23"/>
  <c r="FZ3" i="23"/>
  <c r="FY3" i="23"/>
  <c r="FW3" i="23"/>
  <c r="FV3" i="23"/>
  <c r="FU3" i="23"/>
  <c r="FT3" i="23"/>
  <c r="FS3" i="23"/>
  <c r="FR3" i="23"/>
  <c r="FQ3" i="23"/>
  <c r="FJ3" i="23"/>
  <c r="FI3" i="23"/>
  <c r="FH3" i="23"/>
  <c r="FG3" i="23"/>
  <c r="FF3" i="23"/>
  <c r="FP3" i="23" s="1"/>
  <c r="FE3" i="23"/>
  <c r="FD3" i="23"/>
  <c r="FB3" i="23"/>
  <c r="FA3" i="23"/>
  <c r="EZ3" i="23"/>
  <c r="EY3" i="23"/>
  <c r="EX3" i="23"/>
  <c r="EW3" i="23"/>
  <c r="EV3" i="23"/>
  <c r="EU3" i="23"/>
  <c r="ET3" i="23"/>
  <c r="ES3" i="23"/>
  <c r="ER3" i="23"/>
  <c r="EQ3" i="23"/>
  <c r="EP3" i="23"/>
  <c r="EO3" i="23"/>
  <c r="EN3" i="23"/>
  <c r="EM3" i="23"/>
  <c r="EL3" i="23"/>
  <c r="EK3" i="23"/>
  <c r="EJ3" i="23"/>
  <c r="EI3" i="23"/>
  <c r="EH3" i="23"/>
  <c r="EG3" i="23"/>
  <c r="EF3" i="23"/>
  <c r="EE3" i="23"/>
  <c r="ED3" i="23"/>
  <c r="EC3" i="23"/>
  <c r="EB3" i="23"/>
  <c r="EA3" i="23"/>
  <c r="DU3" i="23"/>
  <c r="DT3" i="23"/>
  <c r="DS3" i="23"/>
  <c r="DR3" i="23"/>
  <c r="DQ3" i="23"/>
  <c r="DP3" i="23"/>
  <c r="DO3" i="23"/>
  <c r="DN3" i="23"/>
  <c r="DK3" i="23"/>
  <c r="DJ3" i="23"/>
  <c r="DI3" i="23"/>
  <c r="DH3" i="23"/>
  <c r="DG3" i="23"/>
  <c r="DF3" i="23"/>
  <c r="DE3" i="23"/>
  <c r="DD3" i="23"/>
  <c r="DB3" i="23"/>
  <c r="DA3" i="23"/>
  <c r="CV3" i="23"/>
  <c r="CU3" i="23"/>
  <c r="CT3" i="23"/>
  <c r="CS3" i="23"/>
  <c r="GN3" i="23" s="1"/>
  <c r="CR3" i="23"/>
  <c r="GM3" i="23" s="1"/>
  <c r="CQ3" i="23"/>
  <c r="GL3" i="23" s="1"/>
  <c r="CP3" i="23"/>
  <c r="GJ3" i="23" s="1"/>
  <c r="GK3" i="23" s="1"/>
  <c r="CO3" i="23"/>
  <c r="DZ3" i="23" s="1"/>
  <c r="CN3" i="23"/>
  <c r="DY3" i="23" s="1"/>
  <c r="CM3" i="23"/>
  <c r="DX3" i="23" s="1"/>
  <c r="CL3" i="23"/>
  <c r="DW3" i="23" s="1"/>
  <c r="CG3" i="23" a="1"/>
  <c r="CG3" i="23" s="1"/>
  <c r="AW3" i="23"/>
  <c r="AV3" i="23"/>
  <c r="G3" i="23"/>
  <c r="IL2" i="23"/>
  <c r="HX2" i="23" a="1"/>
  <c r="HX2" i="23" s="1"/>
  <c r="IW2" i="23" s="1"/>
  <c r="HW2" i="23" a="1"/>
  <c r="HW2" i="23" s="1"/>
  <c r="IV2" i="23" s="1"/>
  <c r="HV2" i="23" a="1"/>
  <c r="HV2" i="23" s="1"/>
  <c r="IU2" i="23" s="1"/>
  <c r="HU2" i="23" a="1"/>
  <c r="HU2" i="23" s="1"/>
  <c r="IT2" i="23" s="1"/>
  <c r="HT2" i="23" a="1"/>
  <c r="HT2" i="23" s="1"/>
  <c r="IS2" i="23" s="1"/>
  <c r="HS2" i="23" a="1"/>
  <c r="HS2" i="23" s="1"/>
  <c r="IR2" i="23" s="1"/>
  <c r="HR2" i="23" a="1"/>
  <c r="HR2" i="23" s="1"/>
  <c r="IQ2" i="23" s="1"/>
  <c r="HQ2" i="23" a="1"/>
  <c r="HQ2" i="23" s="1"/>
  <c r="IP2" i="23" s="1"/>
  <c r="HP2" i="23" a="1"/>
  <c r="HP2" i="23" s="1"/>
  <c r="IO2" i="23" s="1"/>
  <c r="HL2" i="23"/>
  <c r="HJ2" i="23"/>
  <c r="HH2" i="23"/>
  <c r="HB2" i="23"/>
  <c r="HA2" i="23"/>
  <c r="GZ2" i="23"/>
  <c r="GY2" i="23"/>
  <c r="GX2" i="23"/>
  <c r="GW2" i="23"/>
  <c r="GV2" i="23"/>
  <c r="GU2" i="23"/>
  <c r="GT2" i="23"/>
  <c r="GP2" i="23"/>
  <c r="GI2" i="23"/>
  <c r="GH2" i="23"/>
  <c r="GG2" i="23"/>
  <c r="GF2" i="23"/>
  <c r="GE2" i="23"/>
  <c r="GD2" i="23"/>
  <c r="GC2" i="23"/>
  <c r="GB2" i="23"/>
  <c r="GA2" i="23"/>
  <c r="FZ2" i="23"/>
  <c r="FY2" i="23"/>
  <c r="FX2" i="23"/>
  <c r="FW2" i="23"/>
  <c r="FV2" i="23"/>
  <c r="FU2" i="23"/>
  <c r="FT2" i="23"/>
  <c r="FS2" i="23"/>
  <c r="FR2" i="23"/>
  <c r="FQ2" i="23"/>
  <c r="FJ2" i="23"/>
  <c r="FI2" i="23"/>
  <c r="FH2" i="23"/>
  <c r="FG2" i="23"/>
  <c r="FF2" i="23"/>
  <c r="FP2" i="23" s="1"/>
  <c r="FE2" i="23"/>
  <c r="FD2" i="23"/>
  <c r="FC2" i="23"/>
  <c r="FB2" i="23"/>
  <c r="FA2" i="23"/>
  <c r="EZ2" i="23"/>
  <c r="EY2" i="23"/>
  <c r="EX2" i="23"/>
  <c r="EW2" i="23"/>
  <c r="EV2" i="23"/>
  <c r="EU2" i="23"/>
  <c r="ET2" i="23"/>
  <c r="ES2" i="23"/>
  <c r="ER2" i="23"/>
  <c r="EQ2" i="23"/>
  <c r="EP2" i="23"/>
  <c r="EO2" i="23"/>
  <c r="EN2" i="23"/>
  <c r="EM2" i="23"/>
  <c r="EL2" i="23"/>
  <c r="EK2" i="23"/>
  <c r="EJ2" i="23"/>
  <c r="EI2" i="23"/>
  <c r="EH2" i="23"/>
  <c r="EG2" i="23"/>
  <c r="EF2" i="23"/>
  <c r="EE2" i="23"/>
  <c r="ED2" i="23"/>
  <c r="EC2" i="23"/>
  <c r="EB2" i="23"/>
  <c r="EA2" i="23"/>
  <c r="DV2" i="23"/>
  <c r="DU2" i="23"/>
  <c r="DT2" i="23"/>
  <c r="DS2" i="23"/>
  <c r="DR2" i="23"/>
  <c r="DQ2" i="23"/>
  <c r="DP2" i="23"/>
  <c r="DO2" i="23"/>
  <c r="DN2" i="23"/>
  <c r="DK2" i="23"/>
  <c r="DJ2" i="23"/>
  <c r="DI2" i="23"/>
  <c r="DH2" i="23"/>
  <c r="DG2" i="23"/>
  <c r="DF2" i="23"/>
  <c r="DE2" i="23"/>
  <c r="DD2" i="23"/>
  <c r="DC2" i="23"/>
  <c r="DB2" i="23"/>
  <c r="DA2" i="23"/>
  <c r="CV2" i="23"/>
  <c r="CU2" i="23"/>
  <c r="CT2" i="23"/>
  <c r="CS2" i="23"/>
  <c r="GN2" i="23" s="1"/>
  <c r="CR2" i="23"/>
  <c r="GM2" i="23" s="1"/>
  <c r="CQ2" i="23"/>
  <c r="GL2" i="23" s="1"/>
  <c r="CP2" i="23"/>
  <c r="GJ2" i="23" s="1"/>
  <c r="GK2" i="23" s="1"/>
  <c r="CO2" i="23"/>
  <c r="DZ2" i="23" s="1"/>
  <c r="CN2" i="23"/>
  <c r="DY2" i="23" s="1"/>
  <c r="CM2" i="23"/>
  <c r="DX2" i="23" s="1"/>
  <c r="CL2" i="23"/>
  <c r="DW2" i="23" s="1"/>
  <c r="CG2" i="23" a="1"/>
  <c r="CG2" i="23" s="1"/>
  <c r="CK2" i="23" s="1"/>
  <c r="CZ2" i="23" s="1"/>
  <c r="AW2" i="23"/>
  <c r="AV2" i="23"/>
  <c r="G2" i="23"/>
  <c r="HX3" i="22" a="1"/>
  <c r="HX3" i="22" s="1"/>
  <c r="IW3" i="22" s="1"/>
  <c r="HW3" i="22" a="1"/>
  <c r="HW3" i="22" s="1"/>
  <c r="IV3" i="22" s="1"/>
  <c r="HV3" i="22" a="1"/>
  <c r="HV3" i="22" s="1"/>
  <c r="IU3" i="22" s="1"/>
  <c r="HU3" i="22" a="1"/>
  <c r="HU3" i="22" s="1"/>
  <c r="IT3" i="22" s="1"/>
  <c r="HT3" i="22" a="1"/>
  <c r="HT3" i="22" s="1"/>
  <c r="IS3" i="22" s="1"/>
  <c r="HS3" i="22" a="1"/>
  <c r="HS3" i="22" s="1"/>
  <c r="IR3" i="22" s="1"/>
  <c r="HR3" i="22" a="1"/>
  <c r="HR3" i="22" s="1"/>
  <c r="IQ3" i="22" s="1"/>
  <c r="HQ3" i="22" a="1"/>
  <c r="HQ3" i="22" s="1"/>
  <c r="IP3" i="22" s="1"/>
  <c r="HP3" i="22" a="1"/>
  <c r="HP3" i="22" s="1"/>
  <c r="IO3" i="22" s="1"/>
  <c r="HL3" i="22"/>
  <c r="HJ3" i="22"/>
  <c r="HH3" i="22"/>
  <c r="HI3" i="22" s="1"/>
  <c r="HB3" i="22"/>
  <c r="HA3" i="22"/>
  <c r="GZ3" i="22"/>
  <c r="GY3" i="22"/>
  <c r="GX3" i="22"/>
  <c r="GW3" i="22"/>
  <c r="GV3" i="22"/>
  <c r="GU3" i="22"/>
  <c r="GT3" i="22"/>
  <c r="GP3" i="22"/>
  <c r="GI3" i="22"/>
  <c r="GH3" i="22"/>
  <c r="GG3" i="22"/>
  <c r="GF3" i="22"/>
  <c r="GE3" i="22"/>
  <c r="GB3" i="22"/>
  <c r="GA3" i="22"/>
  <c r="FZ3" i="22"/>
  <c r="FY3" i="22"/>
  <c r="FW3" i="22"/>
  <c r="FV3" i="22"/>
  <c r="FU3" i="22"/>
  <c r="FT3" i="22"/>
  <c r="FS3" i="22"/>
  <c r="FR3" i="22"/>
  <c r="FQ3" i="22"/>
  <c r="FJ3" i="22"/>
  <c r="FI3" i="22"/>
  <c r="FH3" i="22"/>
  <c r="FG3" i="22"/>
  <c r="FF3" i="22"/>
  <c r="FP3" i="22" s="1"/>
  <c r="FE3" i="22"/>
  <c r="FD3" i="22"/>
  <c r="FB3" i="22"/>
  <c r="FA3" i="22"/>
  <c r="EZ3" i="22"/>
  <c r="EY3" i="22"/>
  <c r="EX3" i="22"/>
  <c r="EW3" i="22"/>
  <c r="EV3" i="22"/>
  <c r="EU3" i="22"/>
  <c r="ET3" i="22"/>
  <c r="ES3" i="22"/>
  <c r="ER3" i="22"/>
  <c r="EQ3" i="22"/>
  <c r="EP3" i="22"/>
  <c r="EO3" i="22"/>
  <c r="EN3" i="22"/>
  <c r="EM3" i="22"/>
  <c r="EL3" i="22"/>
  <c r="EK3" i="22"/>
  <c r="EJ3" i="22"/>
  <c r="EI3" i="22"/>
  <c r="EH3" i="22"/>
  <c r="EG3" i="22"/>
  <c r="EF3" i="22"/>
  <c r="EE3" i="22"/>
  <c r="ED3" i="22"/>
  <c r="EC3" i="22"/>
  <c r="EB3" i="22"/>
  <c r="EA3" i="22"/>
  <c r="DU3" i="22"/>
  <c r="DT3" i="22"/>
  <c r="DS3" i="22"/>
  <c r="DR3" i="22"/>
  <c r="DQ3" i="22"/>
  <c r="DP3" i="22"/>
  <c r="DO3" i="22"/>
  <c r="DN3" i="22"/>
  <c r="DK3" i="22"/>
  <c r="DJ3" i="22"/>
  <c r="DI3" i="22"/>
  <c r="DH3" i="22"/>
  <c r="DG3" i="22"/>
  <c r="DF3" i="22"/>
  <c r="DE3" i="22"/>
  <c r="DD3" i="22"/>
  <c r="DB3" i="22"/>
  <c r="DA3" i="22"/>
  <c r="CV3" i="22"/>
  <c r="CU3" i="22"/>
  <c r="CT3" i="22"/>
  <c r="CS3" i="22"/>
  <c r="GN3" i="22" s="1"/>
  <c r="CR3" i="22"/>
  <c r="GM3" i="22" s="1"/>
  <c r="CQ3" i="22"/>
  <c r="GL3" i="22" s="1"/>
  <c r="CP3" i="22"/>
  <c r="GJ3" i="22" s="1"/>
  <c r="GK3" i="22" s="1"/>
  <c r="CO3" i="22"/>
  <c r="DZ3" i="22" s="1"/>
  <c r="CN3" i="22"/>
  <c r="DY3" i="22" s="1"/>
  <c r="CM3" i="22"/>
  <c r="DX3" i="22" s="1"/>
  <c r="CL3" i="22"/>
  <c r="DW3" i="22" s="1"/>
  <c r="CG3" i="22" a="1"/>
  <c r="CG3" i="22" s="1"/>
  <c r="CH3" i="22" s="1"/>
  <c r="CW3" i="22" s="1"/>
  <c r="AW3" i="22"/>
  <c r="AV3" i="22"/>
  <c r="G3" i="22"/>
  <c r="IL2" i="22"/>
  <c r="HX2" i="22" a="1"/>
  <c r="HX2" i="22" s="1"/>
  <c r="IW2" i="22" s="1"/>
  <c r="HW2" i="22" a="1"/>
  <c r="HW2" i="22" s="1"/>
  <c r="IV2" i="22" s="1"/>
  <c r="HV2" i="22" a="1"/>
  <c r="HV2" i="22" s="1"/>
  <c r="IU2" i="22" s="1"/>
  <c r="HU2" i="22" a="1"/>
  <c r="HU2" i="22" s="1"/>
  <c r="IT2" i="22" s="1"/>
  <c r="HT2" i="22" a="1"/>
  <c r="HT2" i="22" s="1"/>
  <c r="IS2" i="22" s="1"/>
  <c r="HS2" i="22" a="1"/>
  <c r="HS2" i="22" s="1"/>
  <c r="IR2" i="22" s="1"/>
  <c r="HR2" i="22" a="1"/>
  <c r="HR2" i="22" s="1"/>
  <c r="IQ2" i="22" s="1"/>
  <c r="HQ2" i="22" a="1"/>
  <c r="HQ2" i="22" s="1"/>
  <c r="IP2" i="22" s="1"/>
  <c r="HP2" i="22" a="1"/>
  <c r="HP2" i="22" s="1"/>
  <c r="IO2" i="22" s="1"/>
  <c r="HL2" i="22"/>
  <c r="HJ2" i="22"/>
  <c r="HH2" i="22"/>
  <c r="HI2" i="22" s="1"/>
  <c r="HB2" i="22"/>
  <c r="HA2" i="22"/>
  <c r="GZ2" i="22"/>
  <c r="GY2" i="22"/>
  <c r="GX2" i="22"/>
  <c r="GW2" i="22"/>
  <c r="GV2" i="22"/>
  <c r="GU2" i="22"/>
  <c r="GT2" i="22"/>
  <c r="GP2" i="22"/>
  <c r="GI2" i="22"/>
  <c r="GH2" i="22"/>
  <c r="GG2" i="22"/>
  <c r="GF2" i="22"/>
  <c r="GE2" i="22"/>
  <c r="GD2" i="22"/>
  <c r="GC2" i="22"/>
  <c r="GB2" i="22"/>
  <c r="GA2" i="22"/>
  <c r="FZ2" i="22"/>
  <c r="FY2" i="22"/>
  <c r="FX2" i="22"/>
  <c r="FW2" i="22"/>
  <c r="FV2" i="22"/>
  <c r="FU2" i="22"/>
  <c r="FT2" i="22"/>
  <c r="FS2" i="22"/>
  <c r="FR2" i="22"/>
  <c r="FQ2" i="22"/>
  <c r="FJ2" i="22"/>
  <c r="FI2" i="22"/>
  <c r="FH2" i="22"/>
  <c r="FG2" i="22"/>
  <c r="FF2" i="22"/>
  <c r="FE2" i="22"/>
  <c r="FD2" i="22"/>
  <c r="FC2" i="22"/>
  <c r="FB2" i="22"/>
  <c r="FA2" i="22"/>
  <c r="EZ2" i="22"/>
  <c r="EY2" i="22"/>
  <c r="EX2" i="22"/>
  <c r="EW2" i="22"/>
  <c r="EV2" i="22"/>
  <c r="EU2" i="22"/>
  <c r="ET2" i="22"/>
  <c r="ES2" i="22"/>
  <c r="ER2" i="22"/>
  <c r="EQ2" i="22"/>
  <c r="EP2" i="22"/>
  <c r="EO2" i="22"/>
  <c r="EN2" i="22"/>
  <c r="EM2" i="22"/>
  <c r="EL2" i="22"/>
  <c r="EK2" i="22"/>
  <c r="EJ2" i="22"/>
  <c r="EI2" i="22"/>
  <c r="EH2" i="22"/>
  <c r="EG2" i="22"/>
  <c r="EF2" i="22"/>
  <c r="EE2" i="22"/>
  <c r="ED2" i="22"/>
  <c r="EC2" i="22"/>
  <c r="EB2" i="22"/>
  <c r="EA2" i="22"/>
  <c r="DV2" i="22"/>
  <c r="DU2" i="22"/>
  <c r="DT2" i="22"/>
  <c r="DS2" i="22"/>
  <c r="DR2" i="22"/>
  <c r="DQ2" i="22"/>
  <c r="DP2" i="22"/>
  <c r="DO2" i="22"/>
  <c r="DN2" i="22"/>
  <c r="DK2" i="22"/>
  <c r="DJ2" i="22"/>
  <c r="DI2" i="22"/>
  <c r="DH2" i="22"/>
  <c r="DG2" i="22"/>
  <c r="DF2" i="22"/>
  <c r="DE2" i="22"/>
  <c r="DD2" i="22"/>
  <c r="DC2" i="22"/>
  <c r="DB2" i="22"/>
  <c r="DA2" i="22"/>
  <c r="CV2" i="22"/>
  <c r="CU2" i="22"/>
  <c r="CT2" i="22"/>
  <c r="CS2" i="22"/>
  <c r="GN2" i="22" s="1"/>
  <c r="CR2" i="22"/>
  <c r="GM2" i="22" s="1"/>
  <c r="CQ2" i="22"/>
  <c r="GL2" i="22" s="1"/>
  <c r="CP2" i="22"/>
  <c r="GJ2" i="22" s="1"/>
  <c r="GK2" i="22" s="1"/>
  <c r="CO2" i="22"/>
  <c r="DZ2" i="22" s="1"/>
  <c r="CN2" i="22"/>
  <c r="DY2" i="22" s="1"/>
  <c r="CM2" i="22"/>
  <c r="DX2" i="22" s="1"/>
  <c r="CL2" i="22"/>
  <c r="DW2" i="22" s="1"/>
  <c r="CG2" i="22" a="1"/>
  <c r="CG2" i="22" s="1"/>
  <c r="DL2" i="22" s="1"/>
  <c r="AW2" i="22"/>
  <c r="AV2" i="22"/>
  <c r="G2" i="22"/>
  <c r="HX4" i="21" a="1"/>
  <c r="HX4" i="21" s="1"/>
  <c r="IW4" i="21" s="1"/>
  <c r="HW4" i="21" a="1"/>
  <c r="HW4" i="21" s="1"/>
  <c r="IV4" i="21" s="1"/>
  <c r="HV4" i="21" a="1"/>
  <c r="HV4" i="21" s="1"/>
  <c r="IU4" i="21" s="1"/>
  <c r="HU4" i="21" a="1"/>
  <c r="HU4" i="21" s="1"/>
  <c r="IT4" i="21" s="1"/>
  <c r="HT4" i="21" a="1"/>
  <c r="HT4" i="21" s="1"/>
  <c r="IS4" i="21" s="1"/>
  <c r="HS4" i="21" a="1"/>
  <c r="HS4" i="21" s="1"/>
  <c r="IR4" i="21" s="1"/>
  <c r="HR4" i="21" a="1"/>
  <c r="HR4" i="21" s="1"/>
  <c r="IQ4" i="21" s="1"/>
  <c r="HQ4" i="21" a="1"/>
  <c r="HQ4" i="21" s="1"/>
  <c r="IP4" i="21" s="1"/>
  <c r="HP4" i="21" a="1"/>
  <c r="HP4" i="21" s="1"/>
  <c r="IO4" i="21" s="1"/>
  <c r="HL4" i="21"/>
  <c r="HJ4" i="21"/>
  <c r="HH4" i="21"/>
  <c r="HI4" i="21" s="1"/>
  <c r="HB4" i="21"/>
  <c r="HA4" i="21"/>
  <c r="GZ4" i="21"/>
  <c r="GY4" i="21"/>
  <c r="GX4" i="21"/>
  <c r="GW4" i="21"/>
  <c r="GV4" i="21"/>
  <c r="GU4" i="21"/>
  <c r="GT4" i="21"/>
  <c r="GP4" i="21"/>
  <c r="GI4" i="21"/>
  <c r="GH4" i="21"/>
  <c r="GG4" i="21"/>
  <c r="GF4" i="21"/>
  <c r="GE4" i="21"/>
  <c r="GB4" i="21"/>
  <c r="GA4" i="21"/>
  <c r="FZ4" i="21"/>
  <c r="FY4" i="21"/>
  <c r="FW4" i="21"/>
  <c r="FV4" i="21"/>
  <c r="FU4" i="21"/>
  <c r="FT4" i="21"/>
  <c r="FS4" i="21"/>
  <c r="FR4" i="21"/>
  <c r="FQ4" i="21"/>
  <c r="FJ4" i="21"/>
  <c r="FI4" i="21"/>
  <c r="FH4" i="21"/>
  <c r="FG4" i="21"/>
  <c r="FF4" i="21"/>
  <c r="FE4" i="21"/>
  <c r="FD4" i="21"/>
  <c r="FB4" i="21"/>
  <c r="FA4" i="21"/>
  <c r="EZ4" i="21"/>
  <c r="EY4" i="21"/>
  <c r="EX4" i="21"/>
  <c r="EW4" i="21"/>
  <c r="EV4" i="21"/>
  <c r="EU4" i="21"/>
  <c r="ET4" i="21"/>
  <c r="ES4" i="21"/>
  <c r="ER4" i="21"/>
  <c r="EQ4" i="21"/>
  <c r="EP4" i="21"/>
  <c r="EO4" i="21"/>
  <c r="EN4" i="21"/>
  <c r="EM4" i="21"/>
  <c r="EL4" i="21"/>
  <c r="EK4" i="21"/>
  <c r="EJ4" i="21"/>
  <c r="EI4" i="21"/>
  <c r="EH4" i="21"/>
  <c r="EG4" i="21"/>
  <c r="EF4" i="21"/>
  <c r="EE4" i="21"/>
  <c r="ED4" i="21"/>
  <c r="EC4" i="21"/>
  <c r="EB4" i="21"/>
  <c r="EA4" i="21"/>
  <c r="DU4" i="21"/>
  <c r="DT4" i="21"/>
  <c r="DS4" i="21"/>
  <c r="DR4" i="21"/>
  <c r="DQ4" i="21"/>
  <c r="DP4" i="21"/>
  <c r="DO4" i="21"/>
  <c r="DN4" i="21"/>
  <c r="DK4" i="21"/>
  <c r="DJ4" i="21"/>
  <c r="DI4" i="21"/>
  <c r="DH4" i="21"/>
  <c r="DG4" i="21"/>
  <c r="DF4" i="21"/>
  <c r="DE4" i="21"/>
  <c r="DD4" i="21"/>
  <c r="DB4" i="21"/>
  <c r="DA4" i="21"/>
  <c r="CV4" i="21"/>
  <c r="CU4" i="21"/>
  <c r="CT4" i="21"/>
  <c r="CS4" i="21"/>
  <c r="GN4" i="21" s="1"/>
  <c r="CR4" i="21"/>
  <c r="GM4" i="21" s="1"/>
  <c r="CQ4" i="21"/>
  <c r="GL4" i="21" s="1"/>
  <c r="CP4" i="21"/>
  <c r="GJ4" i="21" s="1"/>
  <c r="GK4" i="21" s="1"/>
  <c r="CO4" i="21"/>
  <c r="DZ4" i="21" s="1"/>
  <c r="CN4" i="21"/>
  <c r="DY4" i="21" s="1"/>
  <c r="CM4" i="21"/>
  <c r="DX4" i="21" s="1"/>
  <c r="CL4" i="21"/>
  <c r="DW4" i="21" s="1"/>
  <c r="CG4" i="21" a="1"/>
  <c r="CG4" i="21" s="1"/>
  <c r="AW4" i="21"/>
  <c r="AV4" i="21"/>
  <c r="G4" i="21"/>
  <c r="HX3" i="21" a="1"/>
  <c r="HX3" i="21" s="1"/>
  <c r="IW3" i="21" s="1"/>
  <c r="HW3" i="21" a="1"/>
  <c r="HW3" i="21" s="1"/>
  <c r="IV3" i="21" s="1"/>
  <c r="HV3" i="21" a="1"/>
  <c r="HV3" i="21" s="1"/>
  <c r="IU3" i="21" s="1"/>
  <c r="HU3" i="21" a="1"/>
  <c r="HU3" i="21" s="1"/>
  <c r="IT3" i="21" s="1"/>
  <c r="HT3" i="21" a="1"/>
  <c r="HT3" i="21" s="1"/>
  <c r="IS3" i="21" s="1"/>
  <c r="HS3" i="21" a="1"/>
  <c r="HS3" i="21" s="1"/>
  <c r="IR3" i="21" s="1"/>
  <c r="HR3" i="21" a="1"/>
  <c r="HR3" i="21" s="1"/>
  <c r="IQ3" i="21" s="1"/>
  <c r="HQ3" i="21" a="1"/>
  <c r="HQ3" i="21" s="1"/>
  <c r="IP3" i="21" s="1"/>
  <c r="HP3" i="21" a="1"/>
  <c r="HP3" i="21" s="1"/>
  <c r="IO3" i="21" s="1"/>
  <c r="HL3" i="21"/>
  <c r="HJ3" i="21"/>
  <c r="HH3" i="21"/>
  <c r="HB3" i="21"/>
  <c r="HA3" i="21"/>
  <c r="GZ3" i="21"/>
  <c r="GY3" i="21"/>
  <c r="GX3" i="21"/>
  <c r="GW3" i="21"/>
  <c r="GV3" i="21"/>
  <c r="GU3" i="21"/>
  <c r="GT3" i="21"/>
  <c r="GP3" i="21"/>
  <c r="GI3" i="21"/>
  <c r="GH3" i="21"/>
  <c r="GG3" i="21"/>
  <c r="GF3" i="21"/>
  <c r="GE3" i="21"/>
  <c r="GB3" i="21"/>
  <c r="GA3" i="21"/>
  <c r="FZ3" i="21"/>
  <c r="FY3" i="21"/>
  <c r="FW3" i="21"/>
  <c r="FV3" i="21"/>
  <c r="FU3" i="21"/>
  <c r="FT3" i="21"/>
  <c r="FS3" i="21"/>
  <c r="FR3" i="21"/>
  <c r="FQ3" i="21"/>
  <c r="FJ3" i="21"/>
  <c r="FI3" i="21"/>
  <c r="FH3" i="21"/>
  <c r="FG3" i="21"/>
  <c r="FF3" i="21"/>
  <c r="FE3" i="21"/>
  <c r="FD3" i="21"/>
  <c r="FB3" i="21"/>
  <c r="FA3" i="21"/>
  <c r="EZ3" i="21"/>
  <c r="EY3" i="21"/>
  <c r="EX3" i="21"/>
  <c r="EW3" i="21"/>
  <c r="EV3" i="21"/>
  <c r="EU3" i="21"/>
  <c r="ET3" i="21"/>
  <c r="ES3" i="21"/>
  <c r="ER3" i="21"/>
  <c r="EQ3" i="21"/>
  <c r="EP3" i="21"/>
  <c r="EO3" i="21"/>
  <c r="EN3" i="21"/>
  <c r="EM3" i="21"/>
  <c r="EL3" i="21"/>
  <c r="EK3" i="21"/>
  <c r="EJ3" i="21"/>
  <c r="EI3" i="21"/>
  <c r="EH3" i="21"/>
  <c r="EG3" i="21"/>
  <c r="EF3" i="21"/>
  <c r="EE3" i="21"/>
  <c r="ED3" i="21"/>
  <c r="EC3" i="21"/>
  <c r="EB3" i="21"/>
  <c r="EA3" i="21"/>
  <c r="DU3" i="21"/>
  <c r="DT3" i="21"/>
  <c r="DS3" i="21"/>
  <c r="DR3" i="21"/>
  <c r="DQ3" i="21"/>
  <c r="DP3" i="21"/>
  <c r="DO3" i="21"/>
  <c r="DN3" i="21"/>
  <c r="DK3" i="21"/>
  <c r="DJ3" i="21"/>
  <c r="DI3" i="21"/>
  <c r="DH3" i="21"/>
  <c r="DG3" i="21"/>
  <c r="DF3" i="21"/>
  <c r="DE3" i="21"/>
  <c r="DD3" i="21"/>
  <c r="DB3" i="21"/>
  <c r="DA3" i="21"/>
  <c r="CV3" i="21"/>
  <c r="CU3" i="21"/>
  <c r="CT3" i="21"/>
  <c r="CS3" i="21"/>
  <c r="GN3" i="21" s="1"/>
  <c r="CR3" i="21"/>
  <c r="GM3" i="21" s="1"/>
  <c r="CQ3" i="21"/>
  <c r="GL3" i="21" s="1"/>
  <c r="CP3" i="21"/>
  <c r="GJ3" i="21" s="1"/>
  <c r="GK3" i="21" s="1"/>
  <c r="CO3" i="21"/>
  <c r="DZ3" i="21" s="1"/>
  <c r="CN3" i="21"/>
  <c r="DY3" i="21" s="1"/>
  <c r="CM3" i="21"/>
  <c r="DX3" i="21" s="1"/>
  <c r="CL3" i="21"/>
  <c r="DW3" i="21" s="1"/>
  <c r="CG3" i="21" a="1"/>
  <c r="CG3" i="21" s="1"/>
  <c r="CK3" i="21" s="1"/>
  <c r="CZ3" i="21" s="1"/>
  <c r="AW3" i="21"/>
  <c r="AV3" i="21"/>
  <c r="G3" i="21"/>
  <c r="IL2" i="21"/>
  <c r="HX2" i="21" a="1"/>
  <c r="HX2" i="21" s="1"/>
  <c r="IW2" i="21" s="1"/>
  <c r="HW2" i="21" a="1"/>
  <c r="HW2" i="21" s="1"/>
  <c r="IV2" i="21" s="1"/>
  <c r="HV2" i="21" a="1"/>
  <c r="HV2" i="21" s="1"/>
  <c r="IU2" i="21" s="1"/>
  <c r="HU2" i="21" a="1"/>
  <c r="HU2" i="21" s="1"/>
  <c r="IT2" i="21" s="1"/>
  <c r="HT2" i="21" a="1"/>
  <c r="HT2" i="21" s="1"/>
  <c r="IS2" i="21" s="1"/>
  <c r="HS2" i="21" a="1"/>
  <c r="HS2" i="21" s="1"/>
  <c r="IR2" i="21" s="1"/>
  <c r="HR2" i="21" a="1"/>
  <c r="HR2" i="21" s="1"/>
  <c r="IQ2" i="21" s="1"/>
  <c r="HQ2" i="21" a="1"/>
  <c r="HQ2" i="21" s="1"/>
  <c r="IP2" i="21" s="1"/>
  <c r="HP2" i="21" a="1"/>
  <c r="HP2" i="21" s="1"/>
  <c r="IO2" i="21" s="1"/>
  <c r="HL2" i="21"/>
  <c r="HJ2" i="21"/>
  <c r="HH2" i="21"/>
  <c r="HB2" i="21"/>
  <c r="HA2" i="21"/>
  <c r="GZ2" i="21"/>
  <c r="GY2" i="21"/>
  <c r="GX2" i="21"/>
  <c r="GW2" i="21"/>
  <c r="GV2" i="21"/>
  <c r="GU2" i="21"/>
  <c r="GT2" i="21"/>
  <c r="GP2" i="21"/>
  <c r="GI2" i="21"/>
  <c r="GH2" i="21"/>
  <c r="GG2" i="21"/>
  <c r="GF2" i="21"/>
  <c r="GE2" i="21"/>
  <c r="GD2" i="21"/>
  <c r="GC2" i="21"/>
  <c r="GB2" i="21"/>
  <c r="GA2" i="21"/>
  <c r="FZ2" i="21"/>
  <c r="FY2" i="21"/>
  <c r="FX2" i="21"/>
  <c r="FW2" i="21"/>
  <c r="FV2" i="21"/>
  <c r="FU2" i="21"/>
  <c r="FT2" i="21"/>
  <c r="FS2" i="21"/>
  <c r="FR2" i="21"/>
  <c r="FQ2" i="21"/>
  <c r="FJ2" i="21"/>
  <c r="FI2" i="21"/>
  <c r="FH2" i="21"/>
  <c r="FG2" i="21"/>
  <c r="FF2" i="21"/>
  <c r="FP2" i="21" s="1"/>
  <c r="FE2" i="21"/>
  <c r="FD2" i="21"/>
  <c r="FC2" i="21"/>
  <c r="FB2" i="21"/>
  <c r="FA2" i="21"/>
  <c r="EZ2" i="21"/>
  <c r="EY2" i="21"/>
  <c r="EX2" i="21"/>
  <c r="EW2" i="21"/>
  <c r="EV2" i="21"/>
  <c r="EU2" i="21"/>
  <c r="ET2" i="21"/>
  <c r="ES2" i="21"/>
  <c r="ER2" i="21"/>
  <c r="EQ2" i="21"/>
  <c r="EP2" i="21"/>
  <c r="EO2" i="21"/>
  <c r="EN2" i="21"/>
  <c r="EM2" i="21"/>
  <c r="EL2" i="21"/>
  <c r="EK2" i="21"/>
  <c r="EJ2" i="21"/>
  <c r="EI2" i="21"/>
  <c r="EH2" i="21"/>
  <c r="EG2" i="21"/>
  <c r="EF2" i="21"/>
  <c r="EE2" i="21"/>
  <c r="ED2" i="21"/>
  <c r="EC2" i="21"/>
  <c r="EB2" i="21"/>
  <c r="EA2" i="21"/>
  <c r="DV2" i="21"/>
  <c r="DU2" i="21"/>
  <c r="DT2" i="21"/>
  <c r="DS2" i="21"/>
  <c r="DR2" i="21"/>
  <c r="DQ2" i="21"/>
  <c r="DP2" i="21"/>
  <c r="DO2" i="21"/>
  <c r="DN2" i="21"/>
  <c r="DK2" i="21"/>
  <c r="DJ2" i="21"/>
  <c r="DI2" i="21"/>
  <c r="DH2" i="21"/>
  <c r="DG2" i="21"/>
  <c r="DF2" i="21"/>
  <c r="DE2" i="21"/>
  <c r="DD2" i="21"/>
  <c r="DC2" i="21"/>
  <c r="DB2" i="21"/>
  <c r="DA2" i="21"/>
  <c r="CV2" i="21"/>
  <c r="CU2" i="21"/>
  <c r="CT2" i="21"/>
  <c r="CS2" i="21"/>
  <c r="GN2" i="21" s="1"/>
  <c r="CR2" i="21"/>
  <c r="GM2" i="21" s="1"/>
  <c r="CQ2" i="21"/>
  <c r="GL2" i="21" s="1"/>
  <c r="CP2" i="21"/>
  <c r="GJ2" i="21" s="1"/>
  <c r="GK2" i="21" s="1"/>
  <c r="CO2" i="21"/>
  <c r="DZ2" i="21" s="1"/>
  <c r="CN2" i="21"/>
  <c r="DY2" i="21" s="1"/>
  <c r="CM2" i="21"/>
  <c r="DX2" i="21" s="1"/>
  <c r="CL2" i="21"/>
  <c r="DW2" i="21" s="1"/>
  <c r="CG2" i="21" a="1"/>
  <c r="CG2" i="21" s="1"/>
  <c r="IN2" i="21" s="1"/>
  <c r="IX2" i="21" s="1"/>
  <c r="AW2" i="21"/>
  <c r="AV2" i="21"/>
  <c r="G2" i="21"/>
  <c r="HX4" i="20" a="1"/>
  <c r="HX4" i="20" s="1"/>
  <c r="IW4" i="20" s="1"/>
  <c r="HW4" i="20" a="1"/>
  <c r="HW4" i="20" s="1"/>
  <c r="IV4" i="20" s="1"/>
  <c r="HV4" i="20" a="1"/>
  <c r="HV4" i="20" s="1"/>
  <c r="IU4" i="20" s="1"/>
  <c r="HU4" i="20" a="1"/>
  <c r="HU4" i="20" s="1"/>
  <c r="IT4" i="20" s="1"/>
  <c r="HT4" i="20" a="1"/>
  <c r="HT4" i="20" s="1"/>
  <c r="IS4" i="20" s="1"/>
  <c r="HS4" i="20" a="1"/>
  <c r="HS4" i="20" s="1"/>
  <c r="IR4" i="20" s="1"/>
  <c r="HR4" i="20" a="1"/>
  <c r="HR4" i="20" s="1"/>
  <c r="IQ4" i="20" s="1"/>
  <c r="HQ4" i="20" a="1"/>
  <c r="HQ4" i="20" s="1"/>
  <c r="IP4" i="20" s="1"/>
  <c r="HP4" i="20" a="1"/>
  <c r="HP4" i="20" s="1"/>
  <c r="IO4" i="20" s="1"/>
  <c r="HL4" i="20"/>
  <c r="HJ4" i="20"/>
  <c r="HH4" i="20"/>
  <c r="HI4" i="20" s="1"/>
  <c r="HB4" i="20"/>
  <c r="HA4" i="20"/>
  <c r="GZ4" i="20"/>
  <c r="GY4" i="20"/>
  <c r="GX4" i="20"/>
  <c r="GW4" i="20"/>
  <c r="GV4" i="20"/>
  <c r="GU4" i="20"/>
  <c r="GT4" i="20"/>
  <c r="GP4" i="20"/>
  <c r="GI4" i="20"/>
  <c r="GH4" i="20"/>
  <c r="GG4" i="20"/>
  <c r="GF4" i="20"/>
  <c r="GE4" i="20"/>
  <c r="GB4" i="20"/>
  <c r="GA4" i="20"/>
  <c r="FZ4" i="20"/>
  <c r="FY4" i="20"/>
  <c r="FW4" i="20"/>
  <c r="FV4" i="20"/>
  <c r="FU4" i="20"/>
  <c r="FT4" i="20"/>
  <c r="FS4" i="20"/>
  <c r="FR4" i="20"/>
  <c r="FQ4" i="20"/>
  <c r="FJ4" i="20"/>
  <c r="FI4" i="20"/>
  <c r="FH4" i="20"/>
  <c r="FG4" i="20"/>
  <c r="FF4" i="20"/>
  <c r="FE4" i="20"/>
  <c r="FD4" i="20"/>
  <c r="FB4" i="20"/>
  <c r="FA4" i="20"/>
  <c r="EZ4" i="20"/>
  <c r="EY4" i="20"/>
  <c r="EX4" i="20"/>
  <c r="EW4" i="20"/>
  <c r="EV4" i="20"/>
  <c r="EU4" i="20"/>
  <c r="ET4" i="20"/>
  <c r="ES4" i="20"/>
  <c r="ER4" i="20"/>
  <c r="EQ4" i="20"/>
  <c r="EP4" i="20"/>
  <c r="EO4" i="20"/>
  <c r="EN4" i="20"/>
  <c r="EM4" i="20"/>
  <c r="EL4" i="20"/>
  <c r="EK4" i="20"/>
  <c r="EJ4" i="20"/>
  <c r="EI4" i="20"/>
  <c r="EH4" i="20"/>
  <c r="EG4" i="20"/>
  <c r="EF4" i="20"/>
  <c r="EE4" i="20"/>
  <c r="ED4" i="20"/>
  <c r="EC4" i="20"/>
  <c r="EB4" i="20"/>
  <c r="EA4" i="20"/>
  <c r="DU4" i="20"/>
  <c r="DT4" i="20"/>
  <c r="DS4" i="20"/>
  <c r="DR4" i="20"/>
  <c r="DQ4" i="20"/>
  <c r="DP4" i="20"/>
  <c r="DO4" i="20"/>
  <c r="DN4" i="20"/>
  <c r="DK4" i="20"/>
  <c r="DJ4" i="20"/>
  <c r="DI4" i="20"/>
  <c r="DH4" i="20"/>
  <c r="DG4" i="20"/>
  <c r="DF4" i="20"/>
  <c r="DE4" i="20"/>
  <c r="DD4" i="20"/>
  <c r="DB4" i="20"/>
  <c r="DA4" i="20"/>
  <c r="CV4" i="20"/>
  <c r="CU4" i="20"/>
  <c r="CT4" i="20"/>
  <c r="CS4" i="20"/>
  <c r="GN4" i="20" s="1"/>
  <c r="CR4" i="20"/>
  <c r="GM4" i="20" s="1"/>
  <c r="CQ4" i="20"/>
  <c r="GL4" i="20" s="1"/>
  <c r="CP4" i="20"/>
  <c r="GJ4" i="20" s="1"/>
  <c r="GK4" i="20" s="1"/>
  <c r="CO4" i="20"/>
  <c r="DZ4" i="20" s="1"/>
  <c r="CN4" i="20"/>
  <c r="DY4" i="20" s="1"/>
  <c r="CM4" i="20"/>
  <c r="DX4" i="20" s="1"/>
  <c r="CL4" i="20"/>
  <c r="DW4" i="20" s="1"/>
  <c r="CG4" i="20" a="1"/>
  <c r="CG4" i="20" s="1"/>
  <c r="AW4" i="20"/>
  <c r="AV4" i="20"/>
  <c r="G4" i="20"/>
  <c r="IL3" i="20"/>
  <c r="HX3" i="20" a="1"/>
  <c r="HX3" i="20" s="1"/>
  <c r="IW3" i="20" s="1"/>
  <c r="HW3" i="20" a="1"/>
  <c r="HW3" i="20" s="1"/>
  <c r="IV3" i="20" s="1"/>
  <c r="HV3" i="20" a="1"/>
  <c r="HV3" i="20" s="1"/>
  <c r="IU3" i="20" s="1"/>
  <c r="HU3" i="20" a="1"/>
  <c r="HU3" i="20" s="1"/>
  <c r="IT3" i="20" s="1"/>
  <c r="HT3" i="20" a="1"/>
  <c r="HT3" i="20" s="1"/>
  <c r="IS3" i="20" s="1"/>
  <c r="HS3" i="20" a="1"/>
  <c r="HS3" i="20" s="1"/>
  <c r="IR3" i="20" s="1"/>
  <c r="HR3" i="20" a="1"/>
  <c r="HR3" i="20" s="1"/>
  <c r="IQ3" i="20" s="1"/>
  <c r="HQ3" i="20" a="1"/>
  <c r="HQ3" i="20" s="1"/>
  <c r="IP3" i="20" s="1"/>
  <c r="HP3" i="20" a="1"/>
  <c r="HP3" i="20" s="1"/>
  <c r="IO3" i="20" s="1"/>
  <c r="HL3" i="20"/>
  <c r="HJ3" i="20"/>
  <c r="HH3" i="20"/>
  <c r="HI3" i="20" s="1"/>
  <c r="HB3" i="20"/>
  <c r="HA3" i="20"/>
  <c r="GZ3" i="20"/>
  <c r="GY3" i="20"/>
  <c r="GX3" i="20"/>
  <c r="GW3" i="20"/>
  <c r="GV3" i="20"/>
  <c r="GU3" i="20"/>
  <c r="GT3" i="20"/>
  <c r="GP3" i="20"/>
  <c r="GI3" i="20"/>
  <c r="GH3" i="20"/>
  <c r="GG3" i="20"/>
  <c r="GF3" i="20"/>
  <c r="GE3" i="20"/>
  <c r="GD3" i="20"/>
  <c r="GC3" i="20"/>
  <c r="GB3" i="20"/>
  <c r="GA3" i="20"/>
  <c r="FZ3" i="20"/>
  <c r="FY3" i="20"/>
  <c r="FX3" i="20"/>
  <c r="FW3" i="20"/>
  <c r="FV3" i="20"/>
  <c r="FU3" i="20"/>
  <c r="FT3" i="20"/>
  <c r="FS3" i="20"/>
  <c r="FR3" i="20"/>
  <c r="FQ3" i="20"/>
  <c r="FJ3" i="20"/>
  <c r="FI3" i="20"/>
  <c r="FH3" i="20"/>
  <c r="FG3" i="20"/>
  <c r="FF3" i="20"/>
  <c r="FE3" i="20"/>
  <c r="FD3" i="20"/>
  <c r="FC3" i="20"/>
  <c r="FB3" i="20"/>
  <c r="FA3" i="20"/>
  <c r="EZ3" i="20"/>
  <c r="EY3" i="20"/>
  <c r="EX3" i="20"/>
  <c r="EW3" i="20"/>
  <c r="EV3" i="20"/>
  <c r="EU3" i="20"/>
  <c r="ET3" i="20"/>
  <c r="ES3" i="20"/>
  <c r="ER3" i="20"/>
  <c r="EQ3" i="20"/>
  <c r="EP3" i="20"/>
  <c r="EO3" i="20"/>
  <c r="EN3" i="20"/>
  <c r="EM3" i="20"/>
  <c r="EL3" i="20"/>
  <c r="EK3" i="20"/>
  <c r="EJ3" i="20"/>
  <c r="EI3" i="20"/>
  <c r="EH3" i="20"/>
  <c r="EG3" i="20"/>
  <c r="EF3" i="20"/>
  <c r="EE3" i="20"/>
  <c r="ED3" i="20"/>
  <c r="EC3" i="20"/>
  <c r="EB3" i="20"/>
  <c r="EA3" i="20"/>
  <c r="DV3" i="20"/>
  <c r="DU3" i="20"/>
  <c r="DT3" i="20"/>
  <c r="DS3" i="20"/>
  <c r="DR3" i="20"/>
  <c r="DQ3" i="20"/>
  <c r="DP3" i="20"/>
  <c r="DO3" i="20"/>
  <c r="DN3" i="20"/>
  <c r="DK3" i="20"/>
  <c r="DJ3" i="20"/>
  <c r="DI3" i="20"/>
  <c r="DH3" i="20"/>
  <c r="DG3" i="20"/>
  <c r="DF3" i="20"/>
  <c r="DE3" i="20"/>
  <c r="DD3" i="20"/>
  <c r="DC3" i="20"/>
  <c r="DB3" i="20"/>
  <c r="DA3" i="20"/>
  <c r="CV3" i="20"/>
  <c r="CU3" i="20"/>
  <c r="CT3" i="20"/>
  <c r="CS3" i="20"/>
  <c r="GN3" i="20" s="1"/>
  <c r="CR3" i="20"/>
  <c r="GM3" i="20" s="1"/>
  <c r="CQ3" i="20"/>
  <c r="GL3" i="20" s="1"/>
  <c r="CP3" i="20"/>
  <c r="GJ3" i="20" s="1"/>
  <c r="GK3" i="20" s="1"/>
  <c r="CO3" i="20"/>
  <c r="DZ3" i="20" s="1"/>
  <c r="CN3" i="20"/>
  <c r="DY3" i="20" s="1"/>
  <c r="CM3" i="20"/>
  <c r="DX3" i="20" s="1"/>
  <c r="CL3" i="20"/>
  <c r="DW3" i="20" s="1"/>
  <c r="CG3" i="20" a="1"/>
  <c r="CG3" i="20" s="1"/>
  <c r="AW3" i="20"/>
  <c r="AV3" i="20"/>
  <c r="G3" i="20"/>
  <c r="IL2" i="20"/>
  <c r="HX2" i="20" a="1"/>
  <c r="HX2" i="20" s="1"/>
  <c r="IW2" i="20" s="1"/>
  <c r="HW2" i="20" a="1"/>
  <c r="HW2" i="20" s="1"/>
  <c r="IV2" i="20" s="1"/>
  <c r="HV2" i="20" a="1"/>
  <c r="HV2" i="20" s="1"/>
  <c r="IU2" i="20" s="1"/>
  <c r="HU2" i="20" a="1"/>
  <c r="HU2" i="20" s="1"/>
  <c r="IT2" i="20" s="1"/>
  <c r="HT2" i="20" a="1"/>
  <c r="HT2" i="20" s="1"/>
  <c r="IS2" i="20" s="1"/>
  <c r="HS2" i="20" a="1"/>
  <c r="HS2" i="20" s="1"/>
  <c r="IR2" i="20" s="1"/>
  <c r="HR2" i="20" a="1"/>
  <c r="HR2" i="20" s="1"/>
  <c r="IQ2" i="20" s="1"/>
  <c r="HQ2" i="20" a="1"/>
  <c r="HQ2" i="20" s="1"/>
  <c r="IP2" i="20" s="1"/>
  <c r="HP2" i="20" a="1"/>
  <c r="HP2" i="20" s="1"/>
  <c r="IO2" i="20" s="1"/>
  <c r="HL2" i="20"/>
  <c r="HJ2" i="20"/>
  <c r="HH2" i="20"/>
  <c r="HI2" i="20" s="1"/>
  <c r="HB2" i="20"/>
  <c r="HA2" i="20"/>
  <c r="GZ2" i="20"/>
  <c r="GY2" i="20"/>
  <c r="GX2" i="20"/>
  <c r="GW2" i="20"/>
  <c r="GV2" i="20"/>
  <c r="GU2" i="20"/>
  <c r="GT2" i="20"/>
  <c r="GP2" i="20"/>
  <c r="GI2" i="20"/>
  <c r="GH2" i="20"/>
  <c r="GG2" i="20"/>
  <c r="GF2" i="20"/>
  <c r="GE2" i="20"/>
  <c r="GD2" i="20"/>
  <c r="GC2" i="20"/>
  <c r="GB2" i="20"/>
  <c r="GA2" i="20"/>
  <c r="FZ2" i="20"/>
  <c r="FY2" i="20"/>
  <c r="FX2" i="20"/>
  <c r="FW2" i="20"/>
  <c r="FV2" i="20"/>
  <c r="FU2" i="20"/>
  <c r="FT2" i="20"/>
  <c r="FS2" i="20"/>
  <c r="FR2" i="20"/>
  <c r="FQ2" i="20"/>
  <c r="FJ2" i="20"/>
  <c r="FI2" i="20"/>
  <c r="FH2" i="20"/>
  <c r="FG2" i="20"/>
  <c r="FF2" i="20"/>
  <c r="FE2" i="20"/>
  <c r="FD2" i="20"/>
  <c r="FC2" i="20"/>
  <c r="FB2" i="20"/>
  <c r="FA2" i="20"/>
  <c r="EZ2" i="20"/>
  <c r="EY2" i="20"/>
  <c r="EX2" i="20"/>
  <c r="EW2" i="20"/>
  <c r="EV2" i="20"/>
  <c r="EU2" i="20"/>
  <c r="ET2" i="20"/>
  <c r="ES2" i="20"/>
  <c r="ER2" i="20"/>
  <c r="EQ2" i="20"/>
  <c r="EP2" i="20"/>
  <c r="EO2" i="20"/>
  <c r="EN2" i="20"/>
  <c r="EM2" i="20"/>
  <c r="EL2" i="20"/>
  <c r="EK2" i="20"/>
  <c r="EJ2" i="20"/>
  <c r="EI2" i="20"/>
  <c r="EH2" i="20"/>
  <c r="EG2" i="20"/>
  <c r="EF2" i="20"/>
  <c r="EE2" i="20"/>
  <c r="ED2" i="20"/>
  <c r="EC2" i="20"/>
  <c r="EB2" i="20"/>
  <c r="EA2" i="20"/>
  <c r="DV2" i="20"/>
  <c r="DU2" i="20"/>
  <c r="DT2" i="20"/>
  <c r="DS2" i="20"/>
  <c r="DR2" i="20"/>
  <c r="DQ2" i="20"/>
  <c r="DP2" i="20"/>
  <c r="DO2" i="20"/>
  <c r="DN2" i="20"/>
  <c r="DK2" i="20"/>
  <c r="DJ2" i="20"/>
  <c r="DI2" i="20"/>
  <c r="DH2" i="20"/>
  <c r="DG2" i="20"/>
  <c r="DF2" i="20"/>
  <c r="DE2" i="20"/>
  <c r="DD2" i="20"/>
  <c r="DC2" i="20"/>
  <c r="DB2" i="20"/>
  <c r="DA2" i="20"/>
  <c r="CV2" i="20"/>
  <c r="CU2" i="20"/>
  <c r="CT2" i="20"/>
  <c r="CS2" i="20"/>
  <c r="GN2" i="20" s="1"/>
  <c r="CR2" i="20"/>
  <c r="GM2" i="20" s="1"/>
  <c r="CQ2" i="20"/>
  <c r="GL2" i="20" s="1"/>
  <c r="CP2" i="20"/>
  <c r="GJ2" i="20" s="1"/>
  <c r="GK2" i="20" s="1"/>
  <c r="CO2" i="20"/>
  <c r="DZ2" i="20" s="1"/>
  <c r="CN2" i="20"/>
  <c r="DY2" i="20" s="1"/>
  <c r="CM2" i="20"/>
  <c r="DX2" i="20" s="1"/>
  <c r="CL2" i="20"/>
  <c r="DW2" i="20" s="1"/>
  <c r="CG2" i="20" a="1"/>
  <c r="CG2" i="20" s="1"/>
  <c r="DM2" i="20" s="1" a="1"/>
  <c r="DM2" i="20" s="1"/>
  <c r="AW2" i="20"/>
  <c r="AV2" i="20"/>
  <c r="G2" i="20"/>
  <c r="GI44" i="19"/>
  <c r="GH44" i="19"/>
  <c r="GG44" i="19"/>
  <c r="GE44" i="19"/>
  <c r="GI43" i="19"/>
  <c r="GH43" i="19"/>
  <c r="GG43" i="19"/>
  <c r="GE43" i="19"/>
  <c r="GI42" i="19"/>
  <c r="GH42" i="19"/>
  <c r="GG42" i="19"/>
  <c r="GE42" i="19"/>
  <c r="GI41" i="19"/>
  <c r="GH41" i="19"/>
  <c r="GG41" i="19"/>
  <c r="GE41" i="19"/>
  <c r="GI40" i="19"/>
  <c r="GH40" i="19"/>
  <c r="GG40" i="19"/>
  <c r="GE40" i="19"/>
  <c r="GI39" i="19"/>
  <c r="GH39" i="19"/>
  <c r="GG39" i="19"/>
  <c r="GE39" i="19"/>
  <c r="GI38" i="19"/>
  <c r="GH38" i="19"/>
  <c r="GG38" i="19"/>
  <c r="GE38" i="19"/>
  <c r="GI37" i="19"/>
  <c r="GH37" i="19"/>
  <c r="GG37" i="19"/>
  <c r="GE37" i="19"/>
  <c r="GI36" i="19"/>
  <c r="GH36" i="19"/>
  <c r="GG36" i="19"/>
  <c r="GE36" i="19"/>
  <c r="GI35" i="19"/>
  <c r="GH35" i="19"/>
  <c r="GG35" i="19"/>
  <c r="GE35" i="19"/>
  <c r="GI34" i="19"/>
  <c r="GH34" i="19"/>
  <c r="GG34" i="19"/>
  <c r="GE34" i="19"/>
  <c r="GI33" i="19"/>
  <c r="GH33" i="19"/>
  <c r="GG33" i="19"/>
  <c r="GE33" i="19"/>
  <c r="GI32" i="19"/>
  <c r="GH32" i="19"/>
  <c r="GG32" i="19"/>
  <c r="GE32" i="19"/>
  <c r="GI31" i="19"/>
  <c r="GH31" i="19"/>
  <c r="GG31" i="19"/>
  <c r="GE31" i="19"/>
  <c r="GI30" i="19"/>
  <c r="GH30" i="19"/>
  <c r="GG30" i="19"/>
  <c r="GE30" i="19"/>
  <c r="GI29" i="19"/>
  <c r="GH29" i="19"/>
  <c r="GG29" i="19"/>
  <c r="GE29" i="19"/>
  <c r="GI28" i="19"/>
  <c r="GH28" i="19"/>
  <c r="GG28" i="19"/>
  <c r="GE28" i="19"/>
  <c r="GI27" i="19"/>
  <c r="GH27" i="19"/>
  <c r="GG27" i="19"/>
  <c r="GE27" i="19"/>
  <c r="GI26" i="19"/>
  <c r="GH26" i="19"/>
  <c r="GG26" i="19"/>
  <c r="GE26" i="19"/>
  <c r="GI25" i="19"/>
  <c r="GH25" i="19"/>
  <c r="GG25" i="19"/>
  <c r="GE25" i="19"/>
  <c r="GI24" i="19"/>
  <c r="GH24" i="19"/>
  <c r="GG24" i="19"/>
  <c r="GE24" i="19"/>
  <c r="GI23" i="19"/>
  <c r="GH23" i="19"/>
  <c r="GG23" i="19"/>
  <c r="GE23" i="19"/>
  <c r="GI22" i="19"/>
  <c r="GH22" i="19"/>
  <c r="GG22" i="19"/>
  <c r="GE22" i="19"/>
  <c r="GI21" i="19"/>
  <c r="GH21" i="19"/>
  <c r="GG21" i="19"/>
  <c r="GE21" i="19"/>
  <c r="GI20" i="19"/>
  <c r="GH20" i="19"/>
  <c r="GG20" i="19"/>
  <c r="GE20" i="19"/>
  <c r="GI19" i="19"/>
  <c r="GH19" i="19"/>
  <c r="GG19" i="19"/>
  <c r="GE19" i="19"/>
  <c r="GI18" i="19"/>
  <c r="GH18" i="19"/>
  <c r="GG18" i="19"/>
  <c r="GE18" i="19"/>
  <c r="GI17" i="19"/>
  <c r="GH17" i="19"/>
  <c r="GG17" i="19"/>
  <c r="GE17" i="19"/>
  <c r="GI16" i="19"/>
  <c r="GH16" i="19"/>
  <c r="GG16" i="19"/>
  <c r="GE16" i="19"/>
  <c r="GI15" i="19"/>
  <c r="GH15" i="19"/>
  <c r="GG15" i="19"/>
  <c r="GE15" i="19"/>
  <c r="GI14" i="19"/>
  <c r="GH14" i="19"/>
  <c r="GG14" i="19"/>
  <c r="GE14" i="19"/>
  <c r="GI13" i="19"/>
  <c r="GH13" i="19"/>
  <c r="GG13" i="19"/>
  <c r="GE13" i="19"/>
  <c r="GI12" i="19"/>
  <c r="GH12" i="19"/>
  <c r="GG12" i="19"/>
  <c r="GE12" i="19"/>
  <c r="GI11" i="19"/>
  <c r="GH11" i="19"/>
  <c r="GG11" i="19"/>
  <c r="GE11" i="19"/>
  <c r="GI10" i="19"/>
  <c r="GH10" i="19"/>
  <c r="GG10" i="19"/>
  <c r="GE10" i="19"/>
  <c r="GI9" i="19"/>
  <c r="GH9" i="19"/>
  <c r="GG9" i="19"/>
  <c r="GE9" i="19"/>
  <c r="GI8" i="19"/>
  <c r="GH8" i="19"/>
  <c r="GG8" i="19"/>
  <c r="GE8" i="19"/>
  <c r="GI7" i="19"/>
  <c r="GH7" i="19"/>
  <c r="GG7" i="19"/>
  <c r="GE7" i="19"/>
  <c r="GI6" i="19"/>
  <c r="GH6" i="19"/>
  <c r="GG6" i="19"/>
  <c r="GE6" i="19"/>
  <c r="GI5" i="19"/>
  <c r="GH5" i="19"/>
  <c r="GG5" i="19"/>
  <c r="GE5" i="19"/>
  <c r="GI4" i="19"/>
  <c r="GH4" i="19"/>
  <c r="GG4" i="19"/>
  <c r="GE4" i="19"/>
  <c r="IL3" i="19"/>
  <c r="HX3" i="19" a="1"/>
  <c r="HX3" i="19" s="1"/>
  <c r="IW3" i="19" s="1"/>
  <c r="HW3" i="19" a="1"/>
  <c r="HW3" i="19" s="1"/>
  <c r="IV3" i="19" s="1"/>
  <c r="HV3" i="19" a="1"/>
  <c r="HV3" i="19" s="1"/>
  <c r="IU3" i="19" s="1"/>
  <c r="HU3" i="19" a="1"/>
  <c r="HU3" i="19" s="1"/>
  <c r="IT3" i="19" s="1"/>
  <c r="HT3" i="19" a="1"/>
  <c r="HT3" i="19" s="1"/>
  <c r="IS3" i="19" s="1"/>
  <c r="HS3" i="19" a="1"/>
  <c r="HS3" i="19" s="1"/>
  <c r="IR3" i="19" s="1"/>
  <c r="HR3" i="19" a="1"/>
  <c r="HR3" i="19" s="1"/>
  <c r="IQ3" i="19" s="1"/>
  <c r="HQ3" i="19" a="1"/>
  <c r="HQ3" i="19" s="1"/>
  <c r="IP3" i="19" s="1"/>
  <c r="HP3" i="19" a="1"/>
  <c r="HP3" i="19" s="1"/>
  <c r="IO3" i="19" s="1"/>
  <c r="HL3" i="19"/>
  <c r="HJ3" i="19"/>
  <c r="HH3" i="19"/>
  <c r="HI3" i="19" s="1"/>
  <c r="HB3" i="19"/>
  <c r="HA3" i="19"/>
  <c r="GZ3" i="19"/>
  <c r="GY3" i="19"/>
  <c r="GX3" i="19"/>
  <c r="GW3" i="19"/>
  <c r="GV3" i="19"/>
  <c r="GU3" i="19"/>
  <c r="GT3" i="19"/>
  <c r="GP3" i="19"/>
  <c r="GI3" i="19"/>
  <c r="GH3" i="19"/>
  <c r="GG3" i="19"/>
  <c r="GF3" i="19"/>
  <c r="GE3" i="19"/>
  <c r="GD3" i="19"/>
  <c r="GC3" i="19"/>
  <c r="GB3" i="19"/>
  <c r="GA3" i="19"/>
  <c r="FZ3" i="19"/>
  <c r="FY3" i="19"/>
  <c r="FX3" i="19"/>
  <c r="FW3" i="19"/>
  <c r="FV3" i="19"/>
  <c r="FU3" i="19"/>
  <c r="FT3" i="19"/>
  <c r="FS3" i="19"/>
  <c r="FR3" i="19"/>
  <c r="FQ3" i="19"/>
  <c r="FJ3" i="19"/>
  <c r="FI3" i="19"/>
  <c r="FH3" i="19"/>
  <c r="FG3" i="19"/>
  <c r="FF3" i="19"/>
  <c r="FP3" i="19" s="1"/>
  <c r="FE3" i="19"/>
  <c r="FD3" i="19"/>
  <c r="FC3" i="19"/>
  <c r="FB3" i="19"/>
  <c r="FA3" i="19"/>
  <c r="EZ3" i="19"/>
  <c r="EY3" i="19"/>
  <c r="EX3" i="19"/>
  <c r="EW3" i="19"/>
  <c r="EV3" i="19"/>
  <c r="EU3" i="19"/>
  <c r="ET3" i="19"/>
  <c r="ES3" i="19"/>
  <c r="ER3" i="19"/>
  <c r="EQ3" i="19"/>
  <c r="EP3" i="19"/>
  <c r="EO3" i="19"/>
  <c r="EN3" i="19"/>
  <c r="EM3" i="19"/>
  <c r="EL3" i="19"/>
  <c r="EK3" i="19"/>
  <c r="EJ3" i="19"/>
  <c r="EI3" i="19"/>
  <c r="EH3" i="19"/>
  <c r="EG3" i="19"/>
  <c r="EF3" i="19"/>
  <c r="EE3" i="19"/>
  <c r="ED3" i="19"/>
  <c r="EC3" i="19"/>
  <c r="EB3" i="19"/>
  <c r="EA3" i="19"/>
  <c r="DV3" i="19"/>
  <c r="DU3" i="19"/>
  <c r="DT3" i="19"/>
  <c r="DS3" i="19"/>
  <c r="DR3" i="19"/>
  <c r="DQ3" i="19"/>
  <c r="DP3" i="19"/>
  <c r="DO3" i="19"/>
  <c r="DN3" i="19"/>
  <c r="DK3" i="19"/>
  <c r="DJ3" i="19"/>
  <c r="DI3" i="19"/>
  <c r="DH3" i="19"/>
  <c r="DG3" i="19"/>
  <c r="DF3" i="19"/>
  <c r="DE3" i="19"/>
  <c r="DD3" i="19"/>
  <c r="DC3" i="19"/>
  <c r="DB3" i="19"/>
  <c r="DA3" i="19"/>
  <c r="CV3" i="19"/>
  <c r="CU3" i="19"/>
  <c r="CT3" i="19"/>
  <c r="CS3" i="19"/>
  <c r="GN3" i="19" s="1"/>
  <c r="CR3" i="19"/>
  <c r="GM3" i="19" s="1"/>
  <c r="CQ3" i="19"/>
  <c r="GL3" i="19" s="1"/>
  <c r="CP3" i="19"/>
  <c r="GJ3" i="19" s="1"/>
  <c r="GK3" i="19" s="1"/>
  <c r="CO3" i="19"/>
  <c r="DZ3" i="19" s="1"/>
  <c r="CN3" i="19"/>
  <c r="DY3" i="19" s="1"/>
  <c r="CM3" i="19"/>
  <c r="DX3" i="19" s="1"/>
  <c r="CL3" i="19"/>
  <c r="DW3" i="19" s="1"/>
  <c r="CG3" i="19" a="1"/>
  <c r="CG3" i="19" s="1"/>
  <c r="CJ3" i="19" s="1"/>
  <c r="CY3" i="19" s="1"/>
  <c r="AW3" i="19"/>
  <c r="AV3" i="19"/>
  <c r="G3" i="19"/>
  <c r="IL2" i="19"/>
  <c r="HX2" i="19" a="1"/>
  <c r="HX2" i="19" s="1"/>
  <c r="IW2" i="19" s="1"/>
  <c r="HW2" i="19" a="1"/>
  <c r="HW2" i="19" s="1"/>
  <c r="IV2" i="19" s="1"/>
  <c r="HV2" i="19" a="1"/>
  <c r="HV2" i="19" s="1"/>
  <c r="IU2" i="19" s="1"/>
  <c r="HU2" i="19" a="1"/>
  <c r="HU2" i="19" s="1"/>
  <c r="IT2" i="19" s="1"/>
  <c r="HT2" i="19" a="1"/>
  <c r="HT2" i="19" s="1"/>
  <c r="IS2" i="19" s="1"/>
  <c r="HS2" i="19" a="1"/>
  <c r="HS2" i="19" s="1"/>
  <c r="IR2" i="19" s="1"/>
  <c r="HR2" i="19" a="1"/>
  <c r="HR2" i="19" s="1"/>
  <c r="IQ2" i="19" s="1"/>
  <c r="HQ2" i="19" a="1"/>
  <c r="HQ2" i="19" s="1"/>
  <c r="IP2" i="19" s="1"/>
  <c r="HP2" i="19" a="1"/>
  <c r="HP2" i="19" s="1"/>
  <c r="IO2" i="19" s="1"/>
  <c r="HL2" i="19"/>
  <c r="HJ2" i="19"/>
  <c r="HH2" i="19"/>
  <c r="HB2" i="19"/>
  <c r="HA2" i="19"/>
  <c r="GZ2" i="19"/>
  <c r="GY2" i="19"/>
  <c r="GX2" i="19"/>
  <c r="GW2" i="19"/>
  <c r="GV2" i="19"/>
  <c r="GU2" i="19"/>
  <c r="GT2" i="19"/>
  <c r="GP2" i="19"/>
  <c r="GI2" i="19"/>
  <c r="GH2" i="19"/>
  <c r="GG2" i="19"/>
  <c r="GF2" i="19"/>
  <c r="GE2" i="19"/>
  <c r="GD2" i="19"/>
  <c r="GC2" i="19"/>
  <c r="GB2" i="19"/>
  <c r="GA2" i="19"/>
  <c r="FZ2" i="19"/>
  <c r="FY2" i="19"/>
  <c r="FX2" i="19"/>
  <c r="FW2" i="19"/>
  <c r="FV2" i="19"/>
  <c r="FU2" i="19"/>
  <c r="FT2" i="19"/>
  <c r="FS2" i="19"/>
  <c r="FR2" i="19"/>
  <c r="FQ2" i="19"/>
  <c r="FJ2" i="19"/>
  <c r="FI2" i="19"/>
  <c r="FH2" i="19"/>
  <c r="FG2" i="19"/>
  <c r="FF2" i="19"/>
  <c r="FP2" i="19" s="1"/>
  <c r="FE2" i="19"/>
  <c r="FD2" i="19"/>
  <c r="FC2" i="19"/>
  <c r="FB2" i="19"/>
  <c r="FA2" i="19"/>
  <c r="EZ2" i="19"/>
  <c r="EY2" i="19"/>
  <c r="EX2" i="19"/>
  <c r="EW2" i="19"/>
  <c r="EV2" i="19"/>
  <c r="EU2" i="19"/>
  <c r="ET2" i="19"/>
  <c r="ES2" i="19"/>
  <c r="ER2" i="19"/>
  <c r="EQ2" i="19"/>
  <c r="EP2" i="19"/>
  <c r="EO2" i="19"/>
  <c r="EN2" i="19"/>
  <c r="EM2" i="19"/>
  <c r="EL2" i="19"/>
  <c r="EK2" i="19"/>
  <c r="EJ2" i="19"/>
  <c r="EI2" i="19"/>
  <c r="EH2" i="19"/>
  <c r="EG2" i="19"/>
  <c r="EF2" i="19"/>
  <c r="EE2" i="19"/>
  <c r="ED2" i="19"/>
  <c r="EC2" i="19"/>
  <c r="EB2" i="19"/>
  <c r="EA2" i="19"/>
  <c r="DV2" i="19"/>
  <c r="DU2" i="19"/>
  <c r="DT2" i="19"/>
  <c r="DS2" i="19"/>
  <c r="DR2" i="19"/>
  <c r="DQ2" i="19"/>
  <c r="DP2" i="19"/>
  <c r="DO2" i="19"/>
  <c r="DN2" i="19"/>
  <c r="DK2" i="19"/>
  <c r="DJ2" i="19"/>
  <c r="DI2" i="19"/>
  <c r="DH2" i="19"/>
  <c r="DG2" i="19"/>
  <c r="DF2" i="19"/>
  <c r="DE2" i="19"/>
  <c r="DD2" i="19"/>
  <c r="DC2" i="19"/>
  <c r="DB2" i="19"/>
  <c r="DA2" i="19"/>
  <c r="CV2" i="19"/>
  <c r="CU2" i="19"/>
  <c r="CT2" i="19"/>
  <c r="CS2" i="19"/>
  <c r="GN2" i="19" s="1"/>
  <c r="CR2" i="19"/>
  <c r="GM2" i="19" s="1"/>
  <c r="CQ2" i="19"/>
  <c r="GL2" i="19" s="1"/>
  <c r="CP2" i="19"/>
  <c r="GJ2" i="19" s="1"/>
  <c r="GK2" i="19" s="1"/>
  <c r="CO2" i="19"/>
  <c r="DZ2" i="19" s="1"/>
  <c r="CN2" i="19"/>
  <c r="DY2" i="19" s="1"/>
  <c r="CM2" i="19"/>
  <c r="DX2" i="19" s="1"/>
  <c r="CL2" i="19"/>
  <c r="DW2" i="19" s="1"/>
  <c r="CG2" i="19" a="1"/>
  <c r="CG2" i="19" s="1"/>
  <c r="CH2" i="19" s="1"/>
  <c r="CW2" i="19" s="1"/>
  <c r="AW2" i="19"/>
  <c r="AV2" i="19"/>
  <c r="AX2" i="19" s="1"/>
  <c r="G2" i="19"/>
  <c r="IL3" i="18"/>
  <c r="HX3" i="18" a="1"/>
  <c r="HX3" i="18" s="1"/>
  <c r="IW3" i="18" s="1"/>
  <c r="HW3" i="18" a="1"/>
  <c r="HW3" i="18" s="1"/>
  <c r="IV3" i="18" s="1"/>
  <c r="HV3" i="18" a="1"/>
  <c r="HV3" i="18" s="1"/>
  <c r="IU3" i="18" s="1"/>
  <c r="HU3" i="18" a="1"/>
  <c r="HU3" i="18" s="1"/>
  <c r="IT3" i="18" s="1"/>
  <c r="HT3" i="18" a="1"/>
  <c r="HT3" i="18" s="1"/>
  <c r="IS3" i="18" s="1"/>
  <c r="HS3" i="18" a="1"/>
  <c r="HS3" i="18" s="1"/>
  <c r="IR3" i="18" s="1"/>
  <c r="HR3" i="18" a="1"/>
  <c r="HR3" i="18" s="1"/>
  <c r="IQ3" i="18" s="1"/>
  <c r="HQ3" i="18" a="1"/>
  <c r="HQ3" i="18" s="1"/>
  <c r="IP3" i="18" s="1"/>
  <c r="HP3" i="18" a="1"/>
  <c r="HP3" i="18" s="1"/>
  <c r="IO3" i="18" s="1"/>
  <c r="HL3" i="18"/>
  <c r="HJ3" i="18"/>
  <c r="HH3" i="18"/>
  <c r="HB3" i="18"/>
  <c r="HA3" i="18"/>
  <c r="GZ3" i="18"/>
  <c r="GY3" i="18"/>
  <c r="GX3" i="18"/>
  <c r="GW3" i="18"/>
  <c r="GV3" i="18"/>
  <c r="GU3" i="18"/>
  <c r="GT3" i="18"/>
  <c r="GP3" i="18"/>
  <c r="GI3" i="18"/>
  <c r="GH3" i="18"/>
  <c r="GG3" i="18"/>
  <c r="GF3" i="18"/>
  <c r="GE3" i="18"/>
  <c r="GD3" i="18"/>
  <c r="GC3" i="18"/>
  <c r="GB3" i="18"/>
  <c r="GA3" i="18"/>
  <c r="FZ3" i="18"/>
  <c r="FY3" i="18"/>
  <c r="FX3" i="18"/>
  <c r="FW3" i="18"/>
  <c r="FV3" i="18"/>
  <c r="FU3" i="18"/>
  <c r="FT3" i="18"/>
  <c r="FS3" i="18"/>
  <c r="FR3" i="18"/>
  <c r="FQ3" i="18"/>
  <c r="FJ3" i="18"/>
  <c r="FI3" i="18"/>
  <c r="FH3" i="18"/>
  <c r="FG3" i="18"/>
  <c r="FF3" i="18"/>
  <c r="FP3" i="18" s="1"/>
  <c r="FE3" i="18"/>
  <c r="FD3" i="18"/>
  <c r="FC3" i="18"/>
  <c r="FB3" i="18"/>
  <c r="FA3" i="18"/>
  <c r="EZ3" i="18"/>
  <c r="EY3" i="18"/>
  <c r="EX3" i="18"/>
  <c r="EW3" i="18"/>
  <c r="EV3" i="18"/>
  <c r="EU3" i="18"/>
  <c r="ET3" i="18"/>
  <c r="ES3" i="18"/>
  <c r="ER3" i="18"/>
  <c r="EQ3" i="18"/>
  <c r="EP3" i="18"/>
  <c r="EO3" i="18"/>
  <c r="EN3" i="18"/>
  <c r="EM3" i="18"/>
  <c r="EL3" i="18"/>
  <c r="EK3" i="18"/>
  <c r="EJ3" i="18"/>
  <c r="EI3" i="18"/>
  <c r="EH3" i="18"/>
  <c r="EG3" i="18"/>
  <c r="EF3" i="18"/>
  <c r="EE3" i="18"/>
  <c r="ED3" i="18"/>
  <c r="EC3" i="18"/>
  <c r="EB3" i="18"/>
  <c r="EA3" i="18"/>
  <c r="DV3" i="18"/>
  <c r="DU3" i="18"/>
  <c r="DT3" i="18"/>
  <c r="DS3" i="18"/>
  <c r="DR3" i="18"/>
  <c r="DQ3" i="18"/>
  <c r="DP3" i="18"/>
  <c r="DO3" i="18"/>
  <c r="DN3" i="18"/>
  <c r="DK3" i="18"/>
  <c r="DJ3" i="18"/>
  <c r="DI3" i="18"/>
  <c r="DH3" i="18"/>
  <c r="DG3" i="18"/>
  <c r="DF3" i="18"/>
  <c r="DE3" i="18"/>
  <c r="DD3" i="18"/>
  <c r="DC3" i="18"/>
  <c r="DB3" i="18"/>
  <c r="DA3" i="18"/>
  <c r="CV3" i="18"/>
  <c r="CU3" i="18"/>
  <c r="CT3" i="18"/>
  <c r="CS3" i="18"/>
  <c r="GN3" i="18" s="1"/>
  <c r="CR3" i="18"/>
  <c r="GM3" i="18" s="1"/>
  <c r="CQ3" i="18"/>
  <c r="GL3" i="18" s="1"/>
  <c r="CP3" i="18"/>
  <c r="GJ3" i="18" s="1"/>
  <c r="GK3" i="18" s="1"/>
  <c r="CO3" i="18"/>
  <c r="DZ3" i="18" s="1"/>
  <c r="CN3" i="18"/>
  <c r="DY3" i="18" s="1"/>
  <c r="CM3" i="18"/>
  <c r="DX3" i="18" s="1"/>
  <c r="CL3" i="18"/>
  <c r="DW3" i="18" s="1"/>
  <c r="CG3" i="18" a="1"/>
  <c r="CG3" i="18" s="1"/>
  <c r="AW3" i="18"/>
  <c r="AV3" i="18"/>
  <c r="G3" i="18"/>
  <c r="IL2" i="18"/>
  <c r="HX2" i="18" a="1"/>
  <c r="HX2" i="18" s="1"/>
  <c r="IW2" i="18" s="1"/>
  <c r="HW2" i="18" a="1"/>
  <c r="HW2" i="18" s="1"/>
  <c r="IV2" i="18" s="1"/>
  <c r="HV2" i="18" a="1"/>
  <c r="HV2" i="18" s="1"/>
  <c r="IU2" i="18" s="1"/>
  <c r="HU2" i="18" a="1"/>
  <c r="HU2" i="18" s="1"/>
  <c r="IT2" i="18" s="1"/>
  <c r="HT2" i="18" a="1"/>
  <c r="HT2" i="18" s="1"/>
  <c r="IS2" i="18" s="1"/>
  <c r="HS2" i="18" a="1"/>
  <c r="HS2" i="18" s="1"/>
  <c r="IR2" i="18" s="1"/>
  <c r="HR2" i="18" a="1"/>
  <c r="HR2" i="18" s="1"/>
  <c r="IQ2" i="18" s="1"/>
  <c r="HQ2" i="18" a="1"/>
  <c r="HQ2" i="18" s="1"/>
  <c r="IP2" i="18" s="1"/>
  <c r="HP2" i="18" a="1"/>
  <c r="HP2" i="18" s="1"/>
  <c r="IO2" i="18" s="1"/>
  <c r="HL2" i="18"/>
  <c r="HJ2" i="18"/>
  <c r="HH2" i="18"/>
  <c r="HB2" i="18"/>
  <c r="HA2" i="18"/>
  <c r="GZ2" i="18"/>
  <c r="GY2" i="18"/>
  <c r="GX2" i="18"/>
  <c r="GW2" i="18"/>
  <c r="GV2" i="18"/>
  <c r="GU2" i="18"/>
  <c r="GT2" i="18"/>
  <c r="GP2" i="18"/>
  <c r="GI2" i="18"/>
  <c r="GH2" i="18"/>
  <c r="GG2" i="18"/>
  <c r="GF2" i="18"/>
  <c r="GE2" i="18"/>
  <c r="GD2" i="18"/>
  <c r="GC2" i="18"/>
  <c r="GB2" i="18"/>
  <c r="GA2" i="18"/>
  <c r="FZ2" i="18"/>
  <c r="FY2" i="18"/>
  <c r="FX2" i="18"/>
  <c r="FW2" i="18"/>
  <c r="FV2" i="18"/>
  <c r="FU2" i="18"/>
  <c r="FT2" i="18"/>
  <c r="FS2" i="18"/>
  <c r="FR2" i="18"/>
  <c r="FQ2" i="18"/>
  <c r="FJ2" i="18"/>
  <c r="FI2" i="18"/>
  <c r="FH2" i="18"/>
  <c r="FG2" i="18"/>
  <c r="FF2" i="18"/>
  <c r="FP2" i="18" s="1"/>
  <c r="FE2" i="18"/>
  <c r="FD2" i="18"/>
  <c r="FC2" i="18"/>
  <c r="FB2" i="18"/>
  <c r="FA2" i="18"/>
  <c r="EZ2" i="18"/>
  <c r="EY2" i="18"/>
  <c r="EX2" i="18"/>
  <c r="EW2" i="18"/>
  <c r="EV2" i="18"/>
  <c r="EU2" i="18"/>
  <c r="ET2" i="18"/>
  <c r="ES2" i="18"/>
  <c r="ER2" i="18"/>
  <c r="EQ2" i="18"/>
  <c r="EP2" i="18"/>
  <c r="EO2" i="18"/>
  <c r="EN2" i="18"/>
  <c r="EM2" i="18"/>
  <c r="EL2" i="18"/>
  <c r="EK2" i="18"/>
  <c r="EJ2" i="18"/>
  <c r="EI2" i="18"/>
  <c r="EH2" i="18"/>
  <c r="EG2" i="18"/>
  <c r="EF2" i="18"/>
  <c r="EE2" i="18"/>
  <c r="ED2" i="18"/>
  <c r="EC2" i="18"/>
  <c r="EB2" i="18"/>
  <c r="EA2" i="18"/>
  <c r="DV2" i="18"/>
  <c r="DU2" i="18"/>
  <c r="DT2" i="18"/>
  <c r="DS2" i="18"/>
  <c r="DR2" i="18"/>
  <c r="DQ2" i="18"/>
  <c r="DP2" i="18"/>
  <c r="DO2" i="18"/>
  <c r="DN2" i="18"/>
  <c r="DK2" i="18"/>
  <c r="DJ2" i="18"/>
  <c r="DI2" i="18"/>
  <c r="DH2" i="18"/>
  <c r="DG2" i="18"/>
  <c r="DF2" i="18"/>
  <c r="DE2" i="18"/>
  <c r="DD2" i="18"/>
  <c r="DC2" i="18"/>
  <c r="DB2" i="18"/>
  <c r="DA2" i="18"/>
  <c r="CV2" i="18"/>
  <c r="CU2" i="18"/>
  <c r="CT2" i="18"/>
  <c r="CS2" i="18"/>
  <c r="GN2" i="18" s="1"/>
  <c r="CR2" i="18"/>
  <c r="GM2" i="18" s="1"/>
  <c r="CQ2" i="18"/>
  <c r="GL2" i="18" s="1"/>
  <c r="CP2" i="18"/>
  <c r="GJ2" i="18" s="1"/>
  <c r="GK2" i="18" s="1"/>
  <c r="CO2" i="18"/>
  <c r="DZ2" i="18" s="1"/>
  <c r="CN2" i="18"/>
  <c r="DY2" i="18" s="1"/>
  <c r="CM2" i="18"/>
  <c r="DX2" i="18" s="1"/>
  <c r="CL2" i="18"/>
  <c r="DW2" i="18" s="1"/>
  <c r="CG2" i="18" a="1"/>
  <c r="CG2" i="18" s="1"/>
  <c r="AW2" i="18"/>
  <c r="AV2" i="18"/>
  <c r="G2" i="18"/>
  <c r="HX3" i="17" a="1"/>
  <c r="HX3" i="17" s="1"/>
  <c r="IW3" i="17" s="1"/>
  <c r="HW3" i="17" a="1"/>
  <c r="HW3" i="17" s="1"/>
  <c r="IV3" i="17" s="1"/>
  <c r="HV3" i="17" a="1"/>
  <c r="HV3" i="17" s="1"/>
  <c r="IU3" i="17" s="1"/>
  <c r="HU3" i="17" a="1"/>
  <c r="HU3" i="17" s="1"/>
  <c r="IT3" i="17" s="1"/>
  <c r="HT3" i="17" a="1"/>
  <c r="HT3" i="17" s="1"/>
  <c r="IS3" i="17" s="1"/>
  <c r="HS3" i="17" a="1"/>
  <c r="HS3" i="17" s="1"/>
  <c r="IR3" i="17" s="1"/>
  <c r="HR3" i="17" a="1"/>
  <c r="HR3" i="17" s="1"/>
  <c r="IQ3" i="17" s="1"/>
  <c r="HQ3" i="17" a="1"/>
  <c r="HQ3" i="17" s="1"/>
  <c r="IP3" i="17" s="1"/>
  <c r="HP3" i="17" a="1"/>
  <c r="HP3" i="17" s="1"/>
  <c r="HL3" i="17"/>
  <c r="HJ3" i="17"/>
  <c r="HH3" i="17"/>
  <c r="HB3" i="17"/>
  <c r="HA3" i="17"/>
  <c r="GZ3" i="17"/>
  <c r="GY3" i="17"/>
  <c r="GX3" i="17"/>
  <c r="GW3" i="17"/>
  <c r="GV3" i="17"/>
  <c r="GU3" i="17"/>
  <c r="GT3" i="17"/>
  <c r="GP3" i="17"/>
  <c r="GI3" i="17"/>
  <c r="GH3" i="17"/>
  <c r="GG3" i="17"/>
  <c r="GF3" i="17"/>
  <c r="GE3" i="17"/>
  <c r="GB3" i="17"/>
  <c r="GA3" i="17"/>
  <c r="FZ3" i="17"/>
  <c r="FY3" i="17"/>
  <c r="FW3" i="17"/>
  <c r="FV3" i="17"/>
  <c r="FU3" i="17"/>
  <c r="FT3" i="17"/>
  <c r="FS3" i="17"/>
  <c r="FR3" i="17"/>
  <c r="FQ3" i="17"/>
  <c r="FJ3" i="17"/>
  <c r="FI3" i="17"/>
  <c r="FH3" i="17"/>
  <c r="FG3" i="17"/>
  <c r="FF3" i="17"/>
  <c r="FP3" i="17" s="1"/>
  <c r="FE3" i="17"/>
  <c r="FD3" i="17"/>
  <c r="FB3" i="17"/>
  <c r="FA3" i="17"/>
  <c r="EZ3" i="17"/>
  <c r="EY3" i="17"/>
  <c r="EX3" i="17"/>
  <c r="EW3" i="17"/>
  <c r="EV3" i="17"/>
  <c r="EU3" i="17"/>
  <c r="ET3" i="17"/>
  <c r="ES3" i="17"/>
  <c r="ER3" i="17"/>
  <c r="EQ3" i="17"/>
  <c r="EP3" i="17"/>
  <c r="EO3" i="17"/>
  <c r="EN3" i="17"/>
  <c r="EM3" i="17"/>
  <c r="EL3" i="17"/>
  <c r="EK3" i="17"/>
  <c r="EJ3" i="17"/>
  <c r="EI3" i="17"/>
  <c r="EH3" i="17"/>
  <c r="EG3" i="17"/>
  <c r="EF3" i="17"/>
  <c r="EE3" i="17"/>
  <c r="ED3" i="17"/>
  <c r="EC3" i="17"/>
  <c r="EB3" i="17"/>
  <c r="EA3" i="17"/>
  <c r="DU3" i="17"/>
  <c r="DT3" i="17"/>
  <c r="DS3" i="17"/>
  <c r="DR3" i="17"/>
  <c r="DQ3" i="17"/>
  <c r="DP3" i="17"/>
  <c r="DO3" i="17"/>
  <c r="DN3" i="17"/>
  <c r="DK3" i="17"/>
  <c r="DJ3" i="17"/>
  <c r="DI3" i="17"/>
  <c r="DH3" i="17"/>
  <c r="DG3" i="17"/>
  <c r="DF3" i="17"/>
  <c r="DE3" i="17"/>
  <c r="DD3" i="17"/>
  <c r="DB3" i="17"/>
  <c r="DA3" i="17"/>
  <c r="CV3" i="17"/>
  <c r="CU3" i="17"/>
  <c r="CT3" i="17"/>
  <c r="CS3" i="17"/>
  <c r="GN3" i="17" s="1"/>
  <c r="CR3" i="17"/>
  <c r="GM3" i="17" s="1"/>
  <c r="CQ3" i="17"/>
  <c r="GL3" i="17" s="1"/>
  <c r="CP3" i="17"/>
  <c r="GJ3" i="17" s="1"/>
  <c r="GK3" i="17" s="1"/>
  <c r="CO3" i="17"/>
  <c r="DZ3" i="17" s="1"/>
  <c r="CN3" i="17"/>
  <c r="DY3" i="17" s="1"/>
  <c r="CM3" i="17"/>
  <c r="DX3" i="17" s="1"/>
  <c r="CL3" i="17"/>
  <c r="DW3" i="17" s="1"/>
  <c r="CG3" i="17" a="1"/>
  <c r="CG3" i="17" s="1"/>
  <c r="AW3" i="17"/>
  <c r="AV3" i="17"/>
  <c r="G3" i="17"/>
  <c r="HX4" i="17" a="1"/>
  <c r="HX4" i="17" s="1"/>
  <c r="IW4" i="17" s="1"/>
  <c r="HW4" i="17" a="1"/>
  <c r="HW4" i="17" s="1"/>
  <c r="IV4" i="17" s="1"/>
  <c r="HV4" i="17" a="1"/>
  <c r="HV4" i="17" s="1"/>
  <c r="IU4" i="17" s="1"/>
  <c r="HU4" i="17" a="1"/>
  <c r="HU4" i="17" s="1"/>
  <c r="IT4" i="17" s="1"/>
  <c r="HT4" i="17" a="1"/>
  <c r="HT4" i="17" s="1"/>
  <c r="IS4" i="17" s="1"/>
  <c r="HS4" i="17" a="1"/>
  <c r="HS4" i="17" s="1"/>
  <c r="IR4" i="17" s="1"/>
  <c r="HR4" i="17" a="1"/>
  <c r="HR4" i="17" s="1"/>
  <c r="IQ4" i="17" s="1"/>
  <c r="HQ4" i="17" a="1"/>
  <c r="HQ4" i="17" s="1"/>
  <c r="IP4" i="17" s="1"/>
  <c r="HP4" i="17" a="1"/>
  <c r="HP4" i="17" s="1"/>
  <c r="IO4" i="17" s="1"/>
  <c r="HL4" i="17"/>
  <c r="HJ4" i="17"/>
  <c r="HH4" i="17"/>
  <c r="HB4" i="17"/>
  <c r="HA4" i="17"/>
  <c r="GZ4" i="17"/>
  <c r="GY4" i="17"/>
  <c r="GX4" i="17"/>
  <c r="GW4" i="17"/>
  <c r="GV4" i="17"/>
  <c r="GU4" i="17"/>
  <c r="GT4" i="17"/>
  <c r="GP4" i="17"/>
  <c r="GI4" i="17"/>
  <c r="GH4" i="17"/>
  <c r="GG4" i="17"/>
  <c r="GF4" i="17"/>
  <c r="GE4" i="17"/>
  <c r="GB4" i="17"/>
  <c r="GA4" i="17"/>
  <c r="FZ4" i="17"/>
  <c r="FY4" i="17"/>
  <c r="FW4" i="17"/>
  <c r="FV4" i="17"/>
  <c r="FU4" i="17"/>
  <c r="FT4" i="17"/>
  <c r="FS4" i="17"/>
  <c r="FR4" i="17"/>
  <c r="FQ4" i="17"/>
  <c r="FJ4" i="17"/>
  <c r="FI4" i="17"/>
  <c r="FH4" i="17"/>
  <c r="FG4" i="17"/>
  <c r="FF4" i="17"/>
  <c r="FE4" i="17"/>
  <c r="FD4" i="17"/>
  <c r="FB4" i="17"/>
  <c r="FA4" i="17"/>
  <c r="EZ4" i="17"/>
  <c r="EY4" i="17"/>
  <c r="EX4" i="17"/>
  <c r="EW4" i="17"/>
  <c r="EV4" i="17"/>
  <c r="EU4" i="17"/>
  <c r="ET4" i="17"/>
  <c r="ES4" i="17"/>
  <c r="ER4" i="17"/>
  <c r="EQ4" i="17"/>
  <c r="EP4" i="17"/>
  <c r="EO4" i="17"/>
  <c r="EN4" i="17"/>
  <c r="EM4" i="17"/>
  <c r="EL4" i="17"/>
  <c r="EK4" i="17"/>
  <c r="EJ4" i="17"/>
  <c r="EI4" i="17"/>
  <c r="EH4" i="17"/>
  <c r="EG4" i="17"/>
  <c r="EF4" i="17"/>
  <c r="EE4" i="17"/>
  <c r="ED4" i="17"/>
  <c r="EC4" i="17"/>
  <c r="EB4" i="17"/>
  <c r="EA4" i="17"/>
  <c r="DU4" i="17"/>
  <c r="DT4" i="17"/>
  <c r="DS4" i="17"/>
  <c r="DR4" i="17"/>
  <c r="DQ4" i="17"/>
  <c r="DP4" i="17"/>
  <c r="DO4" i="17"/>
  <c r="DN4" i="17"/>
  <c r="DK4" i="17"/>
  <c r="DJ4" i="17"/>
  <c r="DI4" i="17"/>
  <c r="DH4" i="17"/>
  <c r="DG4" i="17"/>
  <c r="DF4" i="17"/>
  <c r="DE4" i="17"/>
  <c r="DD4" i="17"/>
  <c r="DB4" i="17"/>
  <c r="DA4" i="17"/>
  <c r="CV4" i="17"/>
  <c r="CU4" i="17"/>
  <c r="CT4" i="17"/>
  <c r="CS4" i="17"/>
  <c r="GN4" i="17" s="1"/>
  <c r="CR4" i="17"/>
  <c r="GM4" i="17" s="1"/>
  <c r="CQ4" i="17"/>
  <c r="GL4" i="17" s="1"/>
  <c r="CP4" i="17"/>
  <c r="GJ4" i="17" s="1"/>
  <c r="GK4" i="17" s="1"/>
  <c r="CO4" i="17"/>
  <c r="DZ4" i="17" s="1"/>
  <c r="CN4" i="17"/>
  <c r="DY4" i="17" s="1"/>
  <c r="CM4" i="17"/>
  <c r="DX4" i="17" s="1"/>
  <c r="CL4" i="17"/>
  <c r="DW4" i="17" s="1"/>
  <c r="CG4" i="17" a="1"/>
  <c r="CG4" i="17" s="1"/>
  <c r="AW4" i="17"/>
  <c r="AV4" i="17"/>
  <c r="G4" i="17"/>
  <c r="IL2" i="17"/>
  <c r="HX2" i="17" a="1"/>
  <c r="HX2" i="17" s="1"/>
  <c r="IW2" i="17" s="1"/>
  <c r="HW2" i="17" a="1"/>
  <c r="HW2" i="17" s="1"/>
  <c r="IV2" i="17" s="1"/>
  <c r="HV2" i="17" a="1"/>
  <c r="HV2" i="17" s="1"/>
  <c r="IU2" i="17" s="1"/>
  <c r="HU2" i="17" a="1"/>
  <c r="HU2" i="17" s="1"/>
  <c r="IT2" i="17" s="1"/>
  <c r="HT2" i="17" a="1"/>
  <c r="HT2" i="17" s="1"/>
  <c r="IS2" i="17" s="1"/>
  <c r="HS2" i="17" a="1"/>
  <c r="HS2" i="17" s="1"/>
  <c r="IR2" i="17" s="1"/>
  <c r="HR2" i="17" a="1"/>
  <c r="HR2" i="17" s="1"/>
  <c r="IQ2" i="17" s="1"/>
  <c r="HQ2" i="17" a="1"/>
  <c r="HQ2" i="17" s="1"/>
  <c r="IP2" i="17" s="1"/>
  <c r="HP2" i="17" a="1"/>
  <c r="HP2" i="17" s="1"/>
  <c r="IO2" i="17" s="1"/>
  <c r="HL2" i="17"/>
  <c r="HJ2" i="17"/>
  <c r="HH2" i="17"/>
  <c r="HI2" i="17" s="1"/>
  <c r="HB2" i="17"/>
  <c r="HA2" i="17"/>
  <c r="GZ2" i="17"/>
  <c r="GY2" i="17"/>
  <c r="GX2" i="17"/>
  <c r="GW2" i="17"/>
  <c r="GV2" i="17"/>
  <c r="GU2" i="17"/>
  <c r="GT2" i="17"/>
  <c r="GP2" i="17"/>
  <c r="GI2" i="17"/>
  <c r="GH2" i="17"/>
  <c r="GG2" i="17"/>
  <c r="GF2" i="17"/>
  <c r="GE2" i="17"/>
  <c r="GD2" i="17"/>
  <c r="GC2" i="17"/>
  <c r="GB2" i="17"/>
  <c r="GA2" i="17"/>
  <c r="FZ2" i="17"/>
  <c r="FY2" i="17"/>
  <c r="FX2" i="17"/>
  <c r="FW2" i="17"/>
  <c r="FV2" i="17"/>
  <c r="FU2" i="17"/>
  <c r="FT2" i="17"/>
  <c r="FS2" i="17"/>
  <c r="FR2" i="17"/>
  <c r="FQ2" i="17"/>
  <c r="FJ2" i="17"/>
  <c r="FI2" i="17"/>
  <c r="FH2" i="17"/>
  <c r="FG2" i="17"/>
  <c r="FF2" i="17"/>
  <c r="FP2" i="17" s="1"/>
  <c r="FE2" i="17"/>
  <c r="FD2" i="17"/>
  <c r="FC2" i="17"/>
  <c r="FB2" i="17"/>
  <c r="FA2" i="17"/>
  <c r="EZ2" i="17"/>
  <c r="EY2" i="17"/>
  <c r="EX2" i="17"/>
  <c r="EW2" i="17"/>
  <c r="EV2" i="17"/>
  <c r="EU2" i="17"/>
  <c r="ET2" i="17"/>
  <c r="ES2" i="17"/>
  <c r="ER2" i="17"/>
  <c r="EQ2" i="17"/>
  <c r="EP2" i="17"/>
  <c r="EO2" i="17"/>
  <c r="EN2" i="17"/>
  <c r="EM2" i="17"/>
  <c r="EL2" i="17"/>
  <c r="EK2" i="17"/>
  <c r="EJ2" i="17"/>
  <c r="EI2" i="17"/>
  <c r="EH2" i="17"/>
  <c r="EG2" i="17"/>
  <c r="EF2" i="17"/>
  <c r="EE2" i="17"/>
  <c r="ED2" i="17"/>
  <c r="EC2" i="17"/>
  <c r="EB2" i="17"/>
  <c r="EA2" i="17"/>
  <c r="DV2" i="17"/>
  <c r="DU2" i="17"/>
  <c r="DT2" i="17"/>
  <c r="DS2" i="17"/>
  <c r="DR2" i="17"/>
  <c r="DQ2" i="17"/>
  <c r="DP2" i="17"/>
  <c r="DO2" i="17"/>
  <c r="DN2" i="17"/>
  <c r="DK2" i="17"/>
  <c r="DJ2" i="17"/>
  <c r="DI2" i="17"/>
  <c r="DH2" i="17"/>
  <c r="DG2" i="17"/>
  <c r="DF2" i="17"/>
  <c r="DE2" i="17"/>
  <c r="DD2" i="17"/>
  <c r="DC2" i="17"/>
  <c r="DB2" i="17"/>
  <c r="DA2" i="17"/>
  <c r="CV2" i="17"/>
  <c r="CU2" i="17"/>
  <c r="CT2" i="17"/>
  <c r="CS2" i="17"/>
  <c r="GN2" i="17" s="1"/>
  <c r="CR2" i="17"/>
  <c r="GM2" i="17" s="1"/>
  <c r="CQ2" i="17"/>
  <c r="GL2" i="17" s="1"/>
  <c r="CP2" i="17"/>
  <c r="GJ2" i="17" s="1"/>
  <c r="GK2" i="17" s="1"/>
  <c r="CO2" i="17"/>
  <c r="DZ2" i="17" s="1"/>
  <c r="CN2" i="17"/>
  <c r="DY2" i="17" s="1"/>
  <c r="CM2" i="17"/>
  <c r="DX2" i="17" s="1"/>
  <c r="CL2" i="17"/>
  <c r="DW2" i="17" s="1"/>
  <c r="CG2" i="17" a="1"/>
  <c r="CG2" i="17" s="1"/>
  <c r="CJ2" i="17" s="1"/>
  <c r="CY2" i="17" s="1"/>
  <c r="AW2" i="17"/>
  <c r="AV2" i="17"/>
  <c r="G2" i="17"/>
  <c r="HX5" i="16" a="1"/>
  <c r="HX5" i="16" s="1"/>
  <c r="IW5" i="16" s="1"/>
  <c r="HW5" i="16" a="1"/>
  <c r="HW5" i="16" s="1"/>
  <c r="IV5" i="16" s="1"/>
  <c r="HV5" i="16" a="1"/>
  <c r="HV5" i="16" s="1"/>
  <c r="IU5" i="16" s="1"/>
  <c r="HU5" i="16" a="1"/>
  <c r="HU5" i="16" s="1"/>
  <c r="IT5" i="16" s="1"/>
  <c r="HT5" i="16" a="1"/>
  <c r="HT5" i="16" s="1"/>
  <c r="IS5" i="16" s="1"/>
  <c r="HS5" i="16" a="1"/>
  <c r="HS5" i="16" s="1"/>
  <c r="IR5" i="16" s="1"/>
  <c r="HR5" i="16" a="1"/>
  <c r="HR5" i="16" s="1"/>
  <c r="HQ5" i="16" a="1"/>
  <c r="HQ5" i="16" s="1"/>
  <c r="IP5" i="16" s="1"/>
  <c r="HP5" i="16" a="1"/>
  <c r="HP5" i="16" s="1"/>
  <c r="IO5" i="16" s="1"/>
  <c r="HL5" i="16"/>
  <c r="HJ5" i="16"/>
  <c r="HH5" i="16"/>
  <c r="HI5" i="16" s="1"/>
  <c r="HB5" i="16"/>
  <c r="HA5" i="16"/>
  <c r="GZ5" i="16"/>
  <c r="GY5" i="16"/>
  <c r="GX5" i="16"/>
  <c r="GW5" i="16"/>
  <c r="GV5" i="16"/>
  <c r="GU5" i="16"/>
  <c r="GT5" i="16"/>
  <c r="GP5" i="16"/>
  <c r="GI5" i="16"/>
  <c r="GH5" i="16"/>
  <c r="GG5" i="16"/>
  <c r="GF5" i="16"/>
  <c r="GE5" i="16"/>
  <c r="GB5" i="16"/>
  <c r="GA5" i="16"/>
  <c r="FZ5" i="16"/>
  <c r="FY5" i="16"/>
  <c r="FW5" i="16"/>
  <c r="FV5" i="16"/>
  <c r="FU5" i="16"/>
  <c r="FT5" i="16"/>
  <c r="FS5" i="16"/>
  <c r="FR5" i="16"/>
  <c r="FQ5" i="16"/>
  <c r="FJ5" i="16"/>
  <c r="FI5" i="16"/>
  <c r="FH5" i="16"/>
  <c r="FG5" i="16"/>
  <c r="FF5" i="16"/>
  <c r="FP5" i="16" s="1"/>
  <c r="FE5" i="16"/>
  <c r="FD5" i="16"/>
  <c r="FB5" i="16"/>
  <c r="FA5" i="16"/>
  <c r="EZ5" i="16"/>
  <c r="EY5" i="16"/>
  <c r="EX5" i="16"/>
  <c r="EW5" i="16"/>
  <c r="EV5" i="16"/>
  <c r="EU5" i="16"/>
  <c r="ET5" i="16"/>
  <c r="ES5" i="16"/>
  <c r="ER5" i="16"/>
  <c r="EQ5" i="16"/>
  <c r="EP5" i="16"/>
  <c r="EO5" i="16"/>
  <c r="EN5" i="16"/>
  <c r="EM5" i="16"/>
  <c r="EL5" i="16"/>
  <c r="EK5" i="16"/>
  <c r="EJ5" i="16"/>
  <c r="EI5" i="16"/>
  <c r="EH5" i="16"/>
  <c r="EG5" i="16"/>
  <c r="EF5" i="16"/>
  <c r="EE5" i="16"/>
  <c r="ED5" i="16"/>
  <c r="EC5" i="16"/>
  <c r="EB5" i="16"/>
  <c r="EA5" i="16"/>
  <c r="DU5" i="16"/>
  <c r="DT5" i="16"/>
  <c r="DS5" i="16"/>
  <c r="DR5" i="16"/>
  <c r="DQ5" i="16"/>
  <c r="DP5" i="16"/>
  <c r="DO5" i="16"/>
  <c r="DN5" i="16"/>
  <c r="DK5" i="16"/>
  <c r="DJ5" i="16"/>
  <c r="DI5" i="16"/>
  <c r="DH5" i="16"/>
  <c r="DG5" i="16"/>
  <c r="DF5" i="16"/>
  <c r="DE5" i="16"/>
  <c r="DD5" i="16"/>
  <c r="DB5" i="16"/>
  <c r="DA5" i="16"/>
  <c r="CV5" i="16"/>
  <c r="CU5" i="16"/>
  <c r="CT5" i="16"/>
  <c r="CS5" i="16"/>
  <c r="GN5" i="16" s="1"/>
  <c r="CR5" i="16"/>
  <c r="GM5" i="16" s="1"/>
  <c r="CQ5" i="16"/>
  <c r="GL5" i="16" s="1"/>
  <c r="CP5" i="16"/>
  <c r="GJ5" i="16" s="1"/>
  <c r="GK5" i="16" s="1"/>
  <c r="CO5" i="16"/>
  <c r="DZ5" i="16" s="1"/>
  <c r="CN5" i="16"/>
  <c r="DY5" i="16" s="1"/>
  <c r="CM5" i="16"/>
  <c r="DX5" i="16" s="1"/>
  <c r="CL5" i="16"/>
  <c r="DW5" i="16" s="1"/>
  <c r="CG5" i="16" a="1"/>
  <c r="CG5" i="16" s="1"/>
  <c r="CI5" i="16" s="1"/>
  <c r="CX5" i="16" s="1"/>
  <c r="AW5" i="16"/>
  <c r="AV5" i="16"/>
  <c r="G5" i="16"/>
  <c r="HX4" i="16" a="1"/>
  <c r="HX4" i="16" s="1"/>
  <c r="IW4" i="16" s="1"/>
  <c r="HW4" i="16" a="1"/>
  <c r="HW4" i="16" s="1"/>
  <c r="IV4" i="16" s="1"/>
  <c r="HV4" i="16" a="1"/>
  <c r="HV4" i="16" s="1"/>
  <c r="IU4" i="16" s="1"/>
  <c r="HU4" i="16" a="1"/>
  <c r="HU4" i="16" s="1"/>
  <c r="IT4" i="16" s="1"/>
  <c r="HT4" i="16" a="1"/>
  <c r="HT4" i="16" s="1"/>
  <c r="IS4" i="16" s="1"/>
  <c r="HS4" i="16" a="1"/>
  <c r="HS4" i="16" s="1"/>
  <c r="IR4" i="16" s="1"/>
  <c r="HR4" i="16" a="1"/>
  <c r="HR4" i="16" s="1"/>
  <c r="IQ4" i="16" s="1"/>
  <c r="HQ4" i="16" a="1"/>
  <c r="HQ4" i="16" s="1"/>
  <c r="IP4" i="16" s="1"/>
  <c r="HP4" i="16" a="1"/>
  <c r="HP4" i="16" s="1"/>
  <c r="HL4" i="16"/>
  <c r="HJ4" i="16"/>
  <c r="HH4" i="16"/>
  <c r="HI4" i="16" s="1"/>
  <c r="HB4" i="16"/>
  <c r="HA4" i="16"/>
  <c r="GZ4" i="16"/>
  <c r="GY4" i="16"/>
  <c r="GX4" i="16"/>
  <c r="GW4" i="16"/>
  <c r="GV4" i="16"/>
  <c r="GU4" i="16"/>
  <c r="GT4" i="16"/>
  <c r="GP4" i="16"/>
  <c r="GI4" i="16"/>
  <c r="GH4" i="16"/>
  <c r="GG4" i="16"/>
  <c r="GF4" i="16"/>
  <c r="GE4" i="16"/>
  <c r="GB4" i="16"/>
  <c r="GA4" i="16"/>
  <c r="FZ4" i="16"/>
  <c r="FY4" i="16"/>
  <c r="FW4" i="16"/>
  <c r="FV4" i="16"/>
  <c r="FU4" i="16"/>
  <c r="FT4" i="16"/>
  <c r="FS4" i="16"/>
  <c r="FR4" i="16"/>
  <c r="FQ4" i="16"/>
  <c r="FJ4" i="16"/>
  <c r="FI4" i="16"/>
  <c r="FH4" i="16"/>
  <c r="FG4" i="16"/>
  <c r="FF4" i="16"/>
  <c r="FE4" i="16"/>
  <c r="FD4" i="16"/>
  <c r="FB4" i="16"/>
  <c r="FA4" i="16"/>
  <c r="EZ4" i="16"/>
  <c r="EY4" i="16"/>
  <c r="EX4" i="16"/>
  <c r="EW4" i="16"/>
  <c r="EV4" i="16"/>
  <c r="EU4" i="16"/>
  <c r="ET4" i="16"/>
  <c r="ES4" i="16"/>
  <c r="ER4" i="16"/>
  <c r="EQ4" i="16"/>
  <c r="EP4" i="16"/>
  <c r="EO4" i="16"/>
  <c r="EN4" i="16"/>
  <c r="EM4" i="16"/>
  <c r="EL4" i="16"/>
  <c r="EK4" i="16"/>
  <c r="EJ4" i="16"/>
  <c r="EI4" i="16"/>
  <c r="EH4" i="16"/>
  <c r="EG4" i="16"/>
  <c r="EF4" i="16"/>
  <c r="EE4" i="16"/>
  <c r="ED4" i="16"/>
  <c r="EC4" i="16"/>
  <c r="EB4" i="16"/>
  <c r="EA4" i="16"/>
  <c r="DU4" i="16"/>
  <c r="DT4" i="16"/>
  <c r="DS4" i="16"/>
  <c r="DR4" i="16"/>
  <c r="DQ4" i="16"/>
  <c r="DP4" i="16"/>
  <c r="DO4" i="16"/>
  <c r="DN4" i="16"/>
  <c r="DK4" i="16"/>
  <c r="DJ4" i="16"/>
  <c r="DI4" i="16"/>
  <c r="DH4" i="16"/>
  <c r="DG4" i="16"/>
  <c r="DF4" i="16"/>
  <c r="DE4" i="16"/>
  <c r="DD4" i="16"/>
  <c r="DB4" i="16"/>
  <c r="DA4" i="16"/>
  <c r="CV4" i="16"/>
  <c r="CU4" i="16"/>
  <c r="CT4" i="16"/>
  <c r="CS4" i="16"/>
  <c r="GN4" i="16" s="1"/>
  <c r="CR4" i="16"/>
  <c r="GM4" i="16" s="1"/>
  <c r="CQ4" i="16"/>
  <c r="GL4" i="16" s="1"/>
  <c r="CP4" i="16"/>
  <c r="GJ4" i="16" s="1"/>
  <c r="GK4" i="16" s="1"/>
  <c r="CO4" i="16"/>
  <c r="DZ4" i="16" s="1"/>
  <c r="CN4" i="16"/>
  <c r="DY4" i="16" s="1"/>
  <c r="CM4" i="16"/>
  <c r="DX4" i="16" s="1"/>
  <c r="CL4" i="16"/>
  <c r="DW4" i="16" s="1"/>
  <c r="CG4" i="16" a="1"/>
  <c r="CG4" i="16" s="1"/>
  <c r="CK4" i="16" s="1"/>
  <c r="CZ4" i="16" s="1"/>
  <c r="AW4" i="16"/>
  <c r="AV4" i="16"/>
  <c r="G4" i="16"/>
  <c r="HX3" i="16" a="1"/>
  <c r="HX3" i="16" s="1"/>
  <c r="IW3" i="16" s="1"/>
  <c r="HW3" i="16" a="1"/>
  <c r="HW3" i="16" s="1"/>
  <c r="IV3" i="16" s="1"/>
  <c r="HV3" i="16" a="1"/>
  <c r="HV3" i="16" s="1"/>
  <c r="IU3" i="16" s="1"/>
  <c r="HU3" i="16" a="1"/>
  <c r="HU3" i="16" s="1"/>
  <c r="IT3" i="16" s="1"/>
  <c r="HT3" i="16" a="1"/>
  <c r="HT3" i="16" s="1"/>
  <c r="IS3" i="16" s="1"/>
  <c r="HS3" i="16" a="1"/>
  <c r="HS3" i="16" s="1"/>
  <c r="IR3" i="16" s="1"/>
  <c r="HR3" i="16" a="1"/>
  <c r="HR3" i="16" s="1"/>
  <c r="IQ3" i="16" s="1"/>
  <c r="HQ3" i="16" a="1"/>
  <c r="HQ3" i="16" s="1"/>
  <c r="IP3" i="16" s="1"/>
  <c r="HP3" i="16" a="1"/>
  <c r="HP3" i="16" s="1"/>
  <c r="IO3" i="16" s="1"/>
  <c r="HL3" i="16"/>
  <c r="HJ3" i="16"/>
  <c r="HH3" i="16"/>
  <c r="HI3" i="16" s="1"/>
  <c r="HB3" i="16"/>
  <c r="HA3" i="16"/>
  <c r="GZ3" i="16"/>
  <c r="GY3" i="16"/>
  <c r="GX3" i="16"/>
  <c r="GW3" i="16"/>
  <c r="GV3" i="16"/>
  <c r="GU3" i="16"/>
  <c r="GT3" i="16"/>
  <c r="GP3" i="16"/>
  <c r="GI3" i="16"/>
  <c r="GH3" i="16"/>
  <c r="GG3" i="16"/>
  <c r="GF3" i="16"/>
  <c r="GE3" i="16"/>
  <c r="GB3" i="16"/>
  <c r="GA3" i="16"/>
  <c r="FZ3" i="16"/>
  <c r="FY3" i="16"/>
  <c r="FW3" i="16"/>
  <c r="FV3" i="16"/>
  <c r="FU3" i="16"/>
  <c r="FT3" i="16"/>
  <c r="FS3" i="16"/>
  <c r="FR3" i="16"/>
  <c r="FQ3" i="16"/>
  <c r="FJ3" i="16"/>
  <c r="FI3" i="16"/>
  <c r="FH3" i="16"/>
  <c r="FG3" i="16"/>
  <c r="FF3" i="16"/>
  <c r="FP3" i="16" s="1"/>
  <c r="FE3" i="16"/>
  <c r="FD3" i="16"/>
  <c r="FB3" i="16"/>
  <c r="FA3" i="16"/>
  <c r="EZ3" i="16"/>
  <c r="EY3" i="16"/>
  <c r="EX3" i="16"/>
  <c r="EW3" i="16"/>
  <c r="EV3" i="16"/>
  <c r="EU3" i="16"/>
  <c r="ET3" i="16"/>
  <c r="ES3" i="16"/>
  <c r="ER3" i="16"/>
  <c r="EQ3" i="16"/>
  <c r="EP3" i="16"/>
  <c r="EO3" i="16"/>
  <c r="EN3" i="16"/>
  <c r="EM3" i="16"/>
  <c r="EL3" i="16"/>
  <c r="EK3" i="16"/>
  <c r="EJ3" i="16"/>
  <c r="EI3" i="16"/>
  <c r="EH3" i="16"/>
  <c r="EG3" i="16"/>
  <c r="EF3" i="16"/>
  <c r="EE3" i="16"/>
  <c r="ED3" i="16"/>
  <c r="EC3" i="16"/>
  <c r="EB3" i="16"/>
  <c r="EA3" i="16"/>
  <c r="DU3" i="16"/>
  <c r="DT3" i="16"/>
  <c r="DS3" i="16"/>
  <c r="DR3" i="16"/>
  <c r="DQ3" i="16"/>
  <c r="DP3" i="16"/>
  <c r="DO3" i="16"/>
  <c r="DN3" i="16"/>
  <c r="DK3" i="16"/>
  <c r="DJ3" i="16"/>
  <c r="DI3" i="16"/>
  <c r="DH3" i="16"/>
  <c r="DG3" i="16"/>
  <c r="DF3" i="16"/>
  <c r="DE3" i="16"/>
  <c r="DD3" i="16"/>
  <c r="DB3" i="16"/>
  <c r="DA3" i="16"/>
  <c r="CV3" i="16"/>
  <c r="CU3" i="16"/>
  <c r="CT3" i="16"/>
  <c r="CS3" i="16"/>
  <c r="GN3" i="16" s="1"/>
  <c r="CR3" i="16"/>
  <c r="GM3" i="16" s="1"/>
  <c r="CQ3" i="16"/>
  <c r="GL3" i="16" s="1"/>
  <c r="CP3" i="16"/>
  <c r="GJ3" i="16" s="1"/>
  <c r="GK3" i="16" s="1"/>
  <c r="CO3" i="16"/>
  <c r="DZ3" i="16" s="1"/>
  <c r="CN3" i="16"/>
  <c r="DY3" i="16" s="1"/>
  <c r="CM3" i="16"/>
  <c r="DX3" i="16" s="1"/>
  <c r="CL3" i="16"/>
  <c r="DW3" i="16" s="1"/>
  <c r="CG3" i="16" a="1"/>
  <c r="CG3" i="16" s="1"/>
  <c r="AW3" i="16"/>
  <c r="AV3" i="16"/>
  <c r="G3" i="16"/>
  <c r="IL2" i="16"/>
  <c r="HX2" i="16" a="1"/>
  <c r="HX2" i="16" s="1"/>
  <c r="IW2" i="16" s="1"/>
  <c r="HW2" i="16" a="1"/>
  <c r="HW2" i="16" s="1"/>
  <c r="IV2" i="16" s="1"/>
  <c r="HV2" i="16" a="1"/>
  <c r="HV2" i="16" s="1"/>
  <c r="IU2" i="16" s="1"/>
  <c r="HU2" i="16" a="1"/>
  <c r="HU2" i="16" s="1"/>
  <c r="IT2" i="16" s="1"/>
  <c r="HT2" i="16" a="1"/>
  <c r="HT2" i="16" s="1"/>
  <c r="IS2" i="16" s="1"/>
  <c r="HS2" i="16" a="1"/>
  <c r="HS2" i="16" s="1"/>
  <c r="IR2" i="16" s="1"/>
  <c r="HR2" i="16" a="1"/>
  <c r="HR2" i="16" s="1"/>
  <c r="IQ2" i="16" s="1"/>
  <c r="HQ2" i="16" a="1"/>
  <c r="HQ2" i="16" s="1"/>
  <c r="IP2" i="16" s="1"/>
  <c r="HP2" i="16" a="1"/>
  <c r="HP2" i="16" s="1"/>
  <c r="IO2" i="16" s="1"/>
  <c r="HL2" i="16"/>
  <c r="HJ2" i="16"/>
  <c r="HH2" i="16"/>
  <c r="HB2" i="16"/>
  <c r="HA2" i="16"/>
  <c r="GZ2" i="16"/>
  <c r="GY2" i="16"/>
  <c r="GX2" i="16"/>
  <c r="GW2" i="16"/>
  <c r="GV2" i="16"/>
  <c r="GU2" i="16"/>
  <c r="GT2" i="16"/>
  <c r="GP2" i="16"/>
  <c r="GI2" i="16"/>
  <c r="GH2" i="16"/>
  <c r="GG2" i="16"/>
  <c r="GF2" i="16"/>
  <c r="GE2" i="16"/>
  <c r="GD2" i="16"/>
  <c r="GC2" i="16"/>
  <c r="GB2" i="16"/>
  <c r="GA2" i="16"/>
  <c r="FZ2" i="16"/>
  <c r="FY2" i="16"/>
  <c r="FX2" i="16"/>
  <c r="FW2" i="16"/>
  <c r="FV2" i="16"/>
  <c r="FU2" i="16"/>
  <c r="FT2" i="16"/>
  <c r="FS2" i="16"/>
  <c r="FR2" i="16"/>
  <c r="FQ2" i="16"/>
  <c r="FJ2" i="16"/>
  <c r="FI2" i="16"/>
  <c r="FH2" i="16"/>
  <c r="FG2" i="16"/>
  <c r="FF2" i="16"/>
  <c r="FP2" i="16" s="1"/>
  <c r="FE2" i="16"/>
  <c r="FD2" i="16"/>
  <c r="FC2" i="16"/>
  <c r="FB2" i="16"/>
  <c r="FA2" i="16"/>
  <c r="EZ2" i="16"/>
  <c r="EY2" i="16"/>
  <c r="EX2" i="16"/>
  <c r="EW2" i="16"/>
  <c r="EV2" i="16"/>
  <c r="EU2" i="16"/>
  <c r="ET2" i="16"/>
  <c r="ES2" i="16"/>
  <c r="ER2" i="16"/>
  <c r="EQ2" i="16"/>
  <c r="EP2" i="16"/>
  <c r="EO2" i="16"/>
  <c r="EN2" i="16"/>
  <c r="EM2" i="16"/>
  <c r="EL2" i="16"/>
  <c r="EK2" i="16"/>
  <c r="EJ2" i="16"/>
  <c r="EI2" i="16"/>
  <c r="EH2" i="16"/>
  <c r="EG2" i="16"/>
  <c r="EF2" i="16"/>
  <c r="EE2" i="16"/>
  <c r="ED2" i="16"/>
  <c r="EC2" i="16"/>
  <c r="EB2" i="16"/>
  <c r="EA2" i="16"/>
  <c r="DV2" i="16"/>
  <c r="DU2" i="16"/>
  <c r="DT2" i="16"/>
  <c r="DS2" i="16"/>
  <c r="DR2" i="16"/>
  <c r="DQ2" i="16"/>
  <c r="DP2" i="16"/>
  <c r="DO2" i="16"/>
  <c r="DN2" i="16"/>
  <c r="DK2" i="16"/>
  <c r="DJ2" i="16"/>
  <c r="DI2" i="16"/>
  <c r="DH2" i="16"/>
  <c r="DG2" i="16"/>
  <c r="DF2" i="16"/>
  <c r="DE2" i="16"/>
  <c r="DD2" i="16"/>
  <c r="DC2" i="16"/>
  <c r="DB2" i="16"/>
  <c r="DA2" i="16"/>
  <c r="CV2" i="16"/>
  <c r="CU2" i="16"/>
  <c r="CT2" i="16"/>
  <c r="CS2" i="16"/>
  <c r="GN2" i="16" s="1"/>
  <c r="CR2" i="16"/>
  <c r="GM2" i="16" s="1"/>
  <c r="CQ2" i="16"/>
  <c r="GL2" i="16" s="1"/>
  <c r="CP2" i="16"/>
  <c r="GJ2" i="16" s="1"/>
  <c r="GK2" i="16" s="1"/>
  <c r="CO2" i="16"/>
  <c r="DZ2" i="16" s="1"/>
  <c r="CN2" i="16"/>
  <c r="DY2" i="16" s="1"/>
  <c r="CM2" i="16"/>
  <c r="DX2" i="16" s="1"/>
  <c r="CL2" i="16"/>
  <c r="DW2" i="16" s="1"/>
  <c r="CG2" i="16" a="1"/>
  <c r="CG2" i="16" s="1"/>
  <c r="AW2" i="16"/>
  <c r="AV2" i="16"/>
  <c r="G2" i="16"/>
  <c r="GI48" i="15"/>
  <c r="GH48" i="15"/>
  <c r="GG48" i="15"/>
  <c r="GE48" i="15"/>
  <c r="GI47" i="15"/>
  <c r="GH47" i="15"/>
  <c r="GG47" i="15"/>
  <c r="GE47" i="15"/>
  <c r="GI46" i="15"/>
  <c r="GH46" i="15"/>
  <c r="GG46" i="15"/>
  <c r="GE46" i="15"/>
  <c r="GI45" i="15"/>
  <c r="GH45" i="15"/>
  <c r="GG45" i="15"/>
  <c r="GE45" i="15"/>
  <c r="GI44" i="15"/>
  <c r="GH44" i="15"/>
  <c r="GG44" i="15"/>
  <c r="GE44" i="15"/>
  <c r="GI43" i="15"/>
  <c r="GH43" i="15"/>
  <c r="GG43" i="15"/>
  <c r="GE43" i="15"/>
  <c r="GI42" i="15"/>
  <c r="GH42" i="15"/>
  <c r="GG42" i="15"/>
  <c r="GE42" i="15"/>
  <c r="GI41" i="15"/>
  <c r="GH41" i="15"/>
  <c r="GG41" i="15"/>
  <c r="GE41" i="15"/>
  <c r="GI40" i="15"/>
  <c r="GH40" i="15"/>
  <c r="GG40" i="15"/>
  <c r="GE40" i="15"/>
  <c r="GI39" i="15"/>
  <c r="GH39" i="15"/>
  <c r="GG39" i="15"/>
  <c r="GE39" i="15"/>
  <c r="GI38" i="15"/>
  <c r="GH38" i="15"/>
  <c r="GG38" i="15"/>
  <c r="GE38" i="15"/>
  <c r="GI37" i="15"/>
  <c r="GH37" i="15"/>
  <c r="GG37" i="15"/>
  <c r="GE37" i="15"/>
  <c r="GI36" i="15"/>
  <c r="GH36" i="15"/>
  <c r="GG36" i="15"/>
  <c r="GE36" i="15"/>
  <c r="GI35" i="15"/>
  <c r="GH35" i="15"/>
  <c r="GG35" i="15"/>
  <c r="GE35" i="15"/>
  <c r="GI34" i="15"/>
  <c r="GH34" i="15"/>
  <c r="GG34" i="15"/>
  <c r="GE34" i="15"/>
  <c r="GI33" i="15"/>
  <c r="GH33" i="15"/>
  <c r="GG33" i="15"/>
  <c r="GE33" i="15"/>
  <c r="GI32" i="15"/>
  <c r="GH32" i="15"/>
  <c r="GG32" i="15"/>
  <c r="GE32" i="15"/>
  <c r="GI31" i="15"/>
  <c r="GH31" i="15"/>
  <c r="GG31" i="15"/>
  <c r="GE31" i="15"/>
  <c r="GI30" i="15"/>
  <c r="GH30" i="15"/>
  <c r="GG30" i="15"/>
  <c r="GE30" i="15"/>
  <c r="GI29" i="15"/>
  <c r="GH29" i="15"/>
  <c r="GG29" i="15"/>
  <c r="GE29" i="15"/>
  <c r="GI28" i="15"/>
  <c r="GH28" i="15"/>
  <c r="GG28" i="15"/>
  <c r="GE28" i="15"/>
  <c r="GI27" i="15"/>
  <c r="GH27" i="15"/>
  <c r="GG27" i="15"/>
  <c r="GE27" i="15"/>
  <c r="GI26" i="15"/>
  <c r="GH26" i="15"/>
  <c r="GG26" i="15"/>
  <c r="GE26" i="15"/>
  <c r="GI25" i="15"/>
  <c r="GH25" i="15"/>
  <c r="GG25" i="15"/>
  <c r="GE25" i="15"/>
  <c r="GI24" i="15"/>
  <c r="GH24" i="15"/>
  <c r="GG24" i="15"/>
  <c r="GE24" i="15"/>
  <c r="GI23" i="15"/>
  <c r="GH23" i="15"/>
  <c r="GG23" i="15"/>
  <c r="GE23" i="15"/>
  <c r="GI22" i="15"/>
  <c r="GH22" i="15"/>
  <c r="GG22" i="15"/>
  <c r="GE22" i="15"/>
  <c r="GI21" i="15"/>
  <c r="GH21" i="15"/>
  <c r="GG21" i="15"/>
  <c r="GE21" i="15"/>
  <c r="GI20" i="15"/>
  <c r="GH20" i="15"/>
  <c r="GG20" i="15"/>
  <c r="GE20" i="15"/>
  <c r="GI19" i="15"/>
  <c r="GH19" i="15"/>
  <c r="GG19" i="15"/>
  <c r="GE19" i="15"/>
  <c r="GI18" i="15"/>
  <c r="GH18" i="15"/>
  <c r="GG18" i="15"/>
  <c r="GE18" i="15"/>
  <c r="GI17" i="15"/>
  <c r="GH17" i="15"/>
  <c r="GG17" i="15"/>
  <c r="GE17" i="15"/>
  <c r="GI16" i="15"/>
  <c r="GH16" i="15"/>
  <c r="GG16" i="15"/>
  <c r="GE16" i="15"/>
  <c r="GI15" i="15"/>
  <c r="GH15" i="15"/>
  <c r="GG15" i="15"/>
  <c r="GE15" i="15"/>
  <c r="GI14" i="15"/>
  <c r="GH14" i="15"/>
  <c r="GG14" i="15"/>
  <c r="GE14" i="15"/>
  <c r="GI13" i="15"/>
  <c r="GH13" i="15"/>
  <c r="GG13" i="15"/>
  <c r="GE13" i="15"/>
  <c r="GI12" i="15"/>
  <c r="GH12" i="15"/>
  <c r="GG12" i="15"/>
  <c r="GE12" i="15"/>
  <c r="GI11" i="15"/>
  <c r="GH11" i="15"/>
  <c r="GG11" i="15"/>
  <c r="GE11" i="15"/>
  <c r="GI10" i="15"/>
  <c r="GH10" i="15"/>
  <c r="GG10" i="15"/>
  <c r="GE10" i="15"/>
  <c r="GI9" i="15"/>
  <c r="GH9" i="15"/>
  <c r="GG9" i="15"/>
  <c r="GE9" i="15"/>
  <c r="GI8" i="15"/>
  <c r="GH8" i="15"/>
  <c r="GG8" i="15"/>
  <c r="GE8" i="15"/>
  <c r="GI7" i="15"/>
  <c r="GH7" i="15"/>
  <c r="GG7" i="15"/>
  <c r="GE7" i="15"/>
  <c r="GI6" i="15"/>
  <c r="GH6" i="15"/>
  <c r="GG6" i="15"/>
  <c r="GE6" i="15"/>
  <c r="HX5" i="15" a="1"/>
  <c r="HX5" i="15" s="1"/>
  <c r="IW5" i="15" s="1"/>
  <c r="HW5" i="15" a="1"/>
  <c r="HW5" i="15" s="1"/>
  <c r="IV5" i="15" s="1"/>
  <c r="HV5" i="15" a="1"/>
  <c r="HV5" i="15" s="1"/>
  <c r="IU5" i="15" s="1"/>
  <c r="HU5" i="15" a="1"/>
  <c r="HU5" i="15" s="1"/>
  <c r="IT5" i="15" s="1"/>
  <c r="HT5" i="15" a="1"/>
  <c r="HT5" i="15" s="1"/>
  <c r="IS5" i="15" s="1"/>
  <c r="HS5" i="15" a="1"/>
  <c r="HS5" i="15" s="1"/>
  <c r="IR5" i="15" s="1"/>
  <c r="HR5" i="15" a="1"/>
  <c r="HR5" i="15" s="1"/>
  <c r="IQ5" i="15" s="1"/>
  <c r="HQ5" i="15" a="1"/>
  <c r="HQ5" i="15" s="1"/>
  <c r="IP5" i="15" s="1"/>
  <c r="HP5" i="15" a="1"/>
  <c r="HP5" i="15" s="1"/>
  <c r="IO5" i="15" s="1"/>
  <c r="HL5" i="15"/>
  <c r="HJ5" i="15"/>
  <c r="HH5" i="15"/>
  <c r="HB5" i="15"/>
  <c r="HA5" i="15"/>
  <c r="GZ5" i="15"/>
  <c r="GY5" i="15"/>
  <c r="GX5" i="15"/>
  <c r="GW5" i="15"/>
  <c r="GV5" i="15"/>
  <c r="GU5" i="15"/>
  <c r="GT5" i="15"/>
  <c r="GP5" i="15"/>
  <c r="GI5" i="15"/>
  <c r="GH5" i="15"/>
  <c r="GG5" i="15"/>
  <c r="GF5" i="15"/>
  <c r="GE5" i="15"/>
  <c r="GB5" i="15"/>
  <c r="GA5" i="15"/>
  <c r="FZ5" i="15"/>
  <c r="FY5" i="15"/>
  <c r="FW5" i="15"/>
  <c r="FV5" i="15"/>
  <c r="FU5" i="15"/>
  <c r="FT5" i="15"/>
  <c r="FS5" i="15"/>
  <c r="FR5" i="15"/>
  <c r="FQ5" i="15"/>
  <c r="FJ5" i="15"/>
  <c r="FI5" i="15"/>
  <c r="FH5" i="15"/>
  <c r="FG5" i="15"/>
  <c r="FF5" i="15"/>
  <c r="FE5" i="15"/>
  <c r="FD5" i="15"/>
  <c r="FB5" i="15"/>
  <c r="FA5" i="15"/>
  <c r="EZ5" i="15"/>
  <c r="EY5" i="15"/>
  <c r="EX5" i="15"/>
  <c r="EW5" i="15"/>
  <c r="EV5" i="15"/>
  <c r="EU5" i="15"/>
  <c r="ET5" i="15"/>
  <c r="ES5" i="15"/>
  <c r="ER5" i="15"/>
  <c r="EQ5" i="15"/>
  <c r="EP5" i="15"/>
  <c r="EO5" i="15"/>
  <c r="EN5" i="15"/>
  <c r="EM5" i="15"/>
  <c r="EL5" i="15"/>
  <c r="EK5" i="15"/>
  <c r="EJ5" i="15"/>
  <c r="EI5" i="15"/>
  <c r="EH5" i="15"/>
  <c r="EG5" i="15"/>
  <c r="EF5" i="15"/>
  <c r="EE5" i="15"/>
  <c r="ED5" i="15"/>
  <c r="EC5" i="15"/>
  <c r="EB5" i="15"/>
  <c r="EA5" i="15"/>
  <c r="DU5" i="15"/>
  <c r="DT5" i="15"/>
  <c r="DS5" i="15"/>
  <c r="DR5" i="15"/>
  <c r="DQ5" i="15"/>
  <c r="DP5" i="15"/>
  <c r="DO5" i="15"/>
  <c r="DN5" i="15"/>
  <c r="DK5" i="15"/>
  <c r="DJ5" i="15"/>
  <c r="DI5" i="15"/>
  <c r="DH5" i="15"/>
  <c r="DG5" i="15"/>
  <c r="DF5" i="15"/>
  <c r="DE5" i="15"/>
  <c r="DD5" i="15"/>
  <c r="DB5" i="15"/>
  <c r="DA5" i="15"/>
  <c r="CV5" i="15"/>
  <c r="CU5" i="15"/>
  <c r="CT5" i="15"/>
  <c r="CS5" i="15"/>
  <c r="GN5" i="15" s="1"/>
  <c r="CR5" i="15"/>
  <c r="GM5" i="15" s="1"/>
  <c r="CQ5" i="15"/>
  <c r="GL5" i="15" s="1"/>
  <c r="CP5" i="15"/>
  <c r="GJ5" i="15" s="1"/>
  <c r="GK5" i="15" s="1"/>
  <c r="CO5" i="15"/>
  <c r="DZ5" i="15" s="1"/>
  <c r="CN5" i="15"/>
  <c r="DY5" i="15" s="1"/>
  <c r="CM5" i="15"/>
  <c r="DX5" i="15" s="1"/>
  <c r="CL5" i="15"/>
  <c r="DW5" i="15" s="1"/>
  <c r="CG5" i="15" a="1"/>
  <c r="CG5" i="15" s="1"/>
  <c r="CH5" i="15" s="1"/>
  <c r="CW5" i="15" s="1"/>
  <c r="AW5" i="15"/>
  <c r="AV5" i="15"/>
  <c r="G5" i="15"/>
  <c r="HX4" i="15" a="1"/>
  <c r="HX4" i="15" s="1"/>
  <c r="IW4" i="15" s="1"/>
  <c r="HW4" i="15" a="1"/>
  <c r="HW4" i="15" s="1"/>
  <c r="IV4" i="15" s="1"/>
  <c r="HV4" i="15" a="1"/>
  <c r="HV4" i="15" s="1"/>
  <c r="IU4" i="15" s="1"/>
  <c r="HU4" i="15" a="1"/>
  <c r="HU4" i="15" s="1"/>
  <c r="IT4" i="15" s="1"/>
  <c r="HT4" i="15" a="1"/>
  <c r="HT4" i="15" s="1"/>
  <c r="IS4" i="15" s="1"/>
  <c r="HS4" i="15" a="1"/>
  <c r="HS4" i="15" s="1"/>
  <c r="IR4" i="15" s="1"/>
  <c r="HR4" i="15" a="1"/>
  <c r="HR4" i="15" s="1"/>
  <c r="IQ4" i="15" s="1"/>
  <c r="HQ4" i="15" a="1"/>
  <c r="HQ4" i="15" s="1"/>
  <c r="IP4" i="15" s="1"/>
  <c r="HP4" i="15" a="1"/>
  <c r="HP4" i="15" s="1"/>
  <c r="IO4" i="15" s="1"/>
  <c r="HL4" i="15"/>
  <c r="HJ4" i="15"/>
  <c r="HH4" i="15"/>
  <c r="HB4" i="15"/>
  <c r="HA4" i="15"/>
  <c r="GZ4" i="15"/>
  <c r="GY4" i="15"/>
  <c r="GX4" i="15"/>
  <c r="GW4" i="15"/>
  <c r="GV4" i="15"/>
  <c r="GU4" i="15"/>
  <c r="GT4" i="15"/>
  <c r="GP4" i="15"/>
  <c r="GI4" i="15"/>
  <c r="GH4" i="15"/>
  <c r="GG4" i="15"/>
  <c r="GF4" i="15"/>
  <c r="GE4" i="15"/>
  <c r="GB4" i="15"/>
  <c r="GA4" i="15"/>
  <c r="FZ4" i="15"/>
  <c r="FY4" i="15"/>
  <c r="FW4" i="15"/>
  <c r="FV4" i="15"/>
  <c r="FU4" i="15"/>
  <c r="FT4" i="15"/>
  <c r="FS4" i="15"/>
  <c r="FR4" i="15"/>
  <c r="FQ4" i="15"/>
  <c r="FJ4" i="15"/>
  <c r="FI4" i="15"/>
  <c r="FH4" i="15"/>
  <c r="FG4" i="15"/>
  <c r="FF4" i="15"/>
  <c r="FP4" i="15" s="1"/>
  <c r="FE4" i="15"/>
  <c r="FD4" i="15"/>
  <c r="FB4" i="15"/>
  <c r="FA4" i="15"/>
  <c r="EZ4" i="15"/>
  <c r="EY4" i="15"/>
  <c r="EX4" i="15"/>
  <c r="EW4" i="15"/>
  <c r="EV4" i="15"/>
  <c r="EU4" i="15"/>
  <c r="ET4" i="15"/>
  <c r="ES4" i="15"/>
  <c r="ER4" i="15"/>
  <c r="EQ4" i="15"/>
  <c r="EP4" i="15"/>
  <c r="EO4" i="15"/>
  <c r="EN4" i="15"/>
  <c r="EM4" i="15"/>
  <c r="EL4" i="15"/>
  <c r="EK4" i="15"/>
  <c r="EJ4" i="15"/>
  <c r="EI4" i="15"/>
  <c r="EH4" i="15"/>
  <c r="EG4" i="15"/>
  <c r="EF4" i="15"/>
  <c r="EE4" i="15"/>
  <c r="ED4" i="15"/>
  <c r="EC4" i="15"/>
  <c r="EB4" i="15"/>
  <c r="EA4" i="15"/>
  <c r="DU4" i="15"/>
  <c r="DT4" i="15"/>
  <c r="DS4" i="15"/>
  <c r="DR4" i="15"/>
  <c r="DQ4" i="15"/>
  <c r="DP4" i="15"/>
  <c r="DO4" i="15"/>
  <c r="DN4" i="15"/>
  <c r="DK4" i="15"/>
  <c r="DJ4" i="15"/>
  <c r="DI4" i="15"/>
  <c r="DH4" i="15"/>
  <c r="DG4" i="15"/>
  <c r="DF4" i="15"/>
  <c r="DE4" i="15"/>
  <c r="DD4" i="15"/>
  <c r="DB4" i="15"/>
  <c r="DA4" i="15"/>
  <c r="CV4" i="15"/>
  <c r="CU4" i="15"/>
  <c r="CT4" i="15"/>
  <c r="CS4" i="15"/>
  <c r="GN4" i="15" s="1"/>
  <c r="CR4" i="15"/>
  <c r="GM4" i="15" s="1"/>
  <c r="CQ4" i="15"/>
  <c r="GL4" i="15" s="1"/>
  <c r="CP4" i="15"/>
  <c r="GJ4" i="15" s="1"/>
  <c r="GK4" i="15" s="1"/>
  <c r="CO4" i="15"/>
  <c r="DZ4" i="15" s="1"/>
  <c r="CN4" i="15"/>
  <c r="DY4" i="15" s="1"/>
  <c r="CM4" i="15"/>
  <c r="DX4" i="15" s="1"/>
  <c r="CL4" i="15"/>
  <c r="DW4" i="15" s="1"/>
  <c r="CG4" i="15" a="1"/>
  <c r="CG4" i="15" s="1"/>
  <c r="AW4" i="15"/>
  <c r="AV4" i="15"/>
  <c r="G4" i="15"/>
  <c r="HX3" i="15" a="1"/>
  <c r="HX3" i="15" s="1"/>
  <c r="IW3" i="15" s="1"/>
  <c r="HW3" i="15" a="1"/>
  <c r="HW3" i="15" s="1"/>
  <c r="IV3" i="15" s="1"/>
  <c r="HV3" i="15" a="1"/>
  <c r="HV3" i="15" s="1"/>
  <c r="IU3" i="15" s="1"/>
  <c r="HU3" i="15" a="1"/>
  <c r="HU3" i="15" s="1"/>
  <c r="IT3" i="15" s="1"/>
  <c r="HT3" i="15" a="1"/>
  <c r="HT3" i="15" s="1"/>
  <c r="IS3" i="15" s="1"/>
  <c r="HS3" i="15" a="1"/>
  <c r="HS3" i="15" s="1"/>
  <c r="IR3" i="15" s="1"/>
  <c r="HR3" i="15" a="1"/>
  <c r="HR3" i="15" s="1"/>
  <c r="IQ3" i="15" s="1"/>
  <c r="HQ3" i="15" a="1"/>
  <c r="HQ3" i="15" s="1"/>
  <c r="IP3" i="15" s="1"/>
  <c r="HP3" i="15" a="1"/>
  <c r="HP3" i="15" s="1"/>
  <c r="IO3" i="15" s="1"/>
  <c r="HL3" i="15"/>
  <c r="HJ3" i="15"/>
  <c r="HH3" i="15"/>
  <c r="HB3" i="15"/>
  <c r="HA3" i="15"/>
  <c r="GZ3" i="15"/>
  <c r="GY3" i="15"/>
  <c r="GX3" i="15"/>
  <c r="GW3" i="15"/>
  <c r="GV3" i="15"/>
  <c r="GU3" i="15"/>
  <c r="GT3" i="15"/>
  <c r="GP3" i="15"/>
  <c r="GI3" i="15"/>
  <c r="GH3" i="15"/>
  <c r="GG3" i="15"/>
  <c r="GF3" i="15"/>
  <c r="GE3" i="15"/>
  <c r="GB3" i="15"/>
  <c r="GA3" i="15"/>
  <c r="FZ3" i="15"/>
  <c r="FY3" i="15"/>
  <c r="FW3" i="15"/>
  <c r="FV3" i="15"/>
  <c r="FU3" i="15"/>
  <c r="FT3" i="15"/>
  <c r="FS3" i="15"/>
  <c r="FR3" i="15"/>
  <c r="FQ3" i="15"/>
  <c r="FJ3" i="15"/>
  <c r="FI3" i="15"/>
  <c r="FH3" i="15"/>
  <c r="FG3" i="15"/>
  <c r="FF3" i="15"/>
  <c r="FP3" i="15" s="1"/>
  <c r="FE3" i="15"/>
  <c r="FD3" i="15"/>
  <c r="FB3" i="15"/>
  <c r="FA3" i="15"/>
  <c r="EZ3" i="15"/>
  <c r="EY3" i="15"/>
  <c r="EX3" i="15"/>
  <c r="EW3" i="15"/>
  <c r="EV3" i="15"/>
  <c r="EU3" i="15"/>
  <c r="ET3" i="15"/>
  <c r="ES3" i="15"/>
  <c r="ER3" i="15"/>
  <c r="EQ3" i="15"/>
  <c r="EP3" i="15"/>
  <c r="EO3" i="15"/>
  <c r="EN3" i="15"/>
  <c r="EM3" i="15"/>
  <c r="EL3" i="15"/>
  <c r="EK3" i="15"/>
  <c r="EJ3" i="15"/>
  <c r="EI3" i="15"/>
  <c r="EH3" i="15"/>
  <c r="EG3" i="15"/>
  <c r="EF3" i="15"/>
  <c r="EE3" i="15"/>
  <c r="ED3" i="15"/>
  <c r="EC3" i="15"/>
  <c r="EB3" i="15"/>
  <c r="EA3" i="15"/>
  <c r="DU3" i="15"/>
  <c r="DT3" i="15"/>
  <c r="DS3" i="15"/>
  <c r="DR3" i="15"/>
  <c r="DQ3" i="15"/>
  <c r="DP3" i="15"/>
  <c r="DO3" i="15"/>
  <c r="DN3" i="15"/>
  <c r="DK3" i="15"/>
  <c r="DJ3" i="15"/>
  <c r="DI3" i="15"/>
  <c r="DH3" i="15"/>
  <c r="DG3" i="15"/>
  <c r="DF3" i="15"/>
  <c r="DE3" i="15"/>
  <c r="DD3" i="15"/>
  <c r="DB3" i="15"/>
  <c r="DA3" i="15"/>
  <c r="CV3" i="15"/>
  <c r="CU3" i="15"/>
  <c r="CT3" i="15"/>
  <c r="CS3" i="15"/>
  <c r="GN3" i="15" s="1"/>
  <c r="CR3" i="15"/>
  <c r="GM3" i="15" s="1"/>
  <c r="CQ3" i="15"/>
  <c r="GL3" i="15" s="1"/>
  <c r="CP3" i="15"/>
  <c r="GJ3" i="15" s="1"/>
  <c r="GK3" i="15" s="1"/>
  <c r="CO3" i="15"/>
  <c r="DZ3" i="15" s="1"/>
  <c r="CN3" i="15"/>
  <c r="DY3" i="15" s="1"/>
  <c r="CM3" i="15"/>
  <c r="DX3" i="15" s="1"/>
  <c r="CL3" i="15"/>
  <c r="DW3" i="15" s="1"/>
  <c r="CG3" i="15" a="1"/>
  <c r="CG3" i="15" s="1"/>
  <c r="AW3" i="15"/>
  <c r="AV3" i="15"/>
  <c r="G3" i="15"/>
  <c r="IL2" i="15"/>
  <c r="HX2" i="15" a="1"/>
  <c r="HX2" i="15" s="1"/>
  <c r="IW2" i="15" s="1"/>
  <c r="HW2" i="15" a="1"/>
  <c r="HW2" i="15" s="1"/>
  <c r="IV2" i="15" s="1"/>
  <c r="HV2" i="15" a="1"/>
  <c r="HV2" i="15" s="1"/>
  <c r="IU2" i="15" s="1"/>
  <c r="HU2" i="15" a="1"/>
  <c r="HU2" i="15" s="1"/>
  <c r="IT2" i="15" s="1"/>
  <c r="HT2" i="15" a="1"/>
  <c r="HT2" i="15" s="1"/>
  <c r="IS2" i="15" s="1"/>
  <c r="HS2" i="15" a="1"/>
  <c r="HS2" i="15" s="1"/>
  <c r="IR2" i="15" s="1"/>
  <c r="HR2" i="15" a="1"/>
  <c r="HR2" i="15" s="1"/>
  <c r="IQ2" i="15" s="1"/>
  <c r="HQ2" i="15" a="1"/>
  <c r="HQ2" i="15" s="1"/>
  <c r="IP2" i="15" s="1"/>
  <c r="HP2" i="15" a="1"/>
  <c r="HP2" i="15" s="1"/>
  <c r="IO2" i="15" s="1"/>
  <c r="HL2" i="15"/>
  <c r="HJ2" i="15"/>
  <c r="HH2" i="15"/>
  <c r="HB2" i="15"/>
  <c r="HA2" i="15"/>
  <c r="GZ2" i="15"/>
  <c r="GY2" i="15"/>
  <c r="GX2" i="15"/>
  <c r="GW2" i="15"/>
  <c r="GV2" i="15"/>
  <c r="GU2" i="15"/>
  <c r="GT2" i="15"/>
  <c r="GP2" i="15"/>
  <c r="GI2" i="15"/>
  <c r="GH2" i="15"/>
  <c r="GG2" i="15"/>
  <c r="GF2" i="15"/>
  <c r="GE2" i="15"/>
  <c r="GD2" i="15"/>
  <c r="GC2" i="15"/>
  <c r="GB2" i="15"/>
  <c r="GA2" i="15"/>
  <c r="FZ2" i="15"/>
  <c r="FY2" i="15"/>
  <c r="FX2" i="15"/>
  <c r="FW2" i="15"/>
  <c r="FV2" i="15"/>
  <c r="FU2" i="15"/>
  <c r="FT2" i="15"/>
  <c r="FS2" i="15"/>
  <c r="FR2" i="15"/>
  <c r="FQ2" i="15"/>
  <c r="FJ2" i="15"/>
  <c r="FI2" i="15"/>
  <c r="FH2" i="15"/>
  <c r="FG2" i="15"/>
  <c r="FF2" i="15"/>
  <c r="FP2" i="15" s="1"/>
  <c r="FE2" i="15"/>
  <c r="FD2" i="15"/>
  <c r="FC2" i="15"/>
  <c r="FB2" i="15"/>
  <c r="FA2" i="15"/>
  <c r="EZ2" i="15"/>
  <c r="EY2" i="15"/>
  <c r="EX2" i="15"/>
  <c r="EW2" i="15"/>
  <c r="EV2" i="15"/>
  <c r="EU2" i="15"/>
  <c r="ET2" i="15"/>
  <c r="ES2" i="15"/>
  <c r="ER2" i="15"/>
  <c r="EQ2" i="15"/>
  <c r="EP2" i="15"/>
  <c r="EO2" i="15"/>
  <c r="EN2" i="15"/>
  <c r="EM2" i="15"/>
  <c r="EL2" i="15"/>
  <c r="EK2" i="15"/>
  <c r="EJ2" i="15"/>
  <c r="EI2" i="15"/>
  <c r="EH2" i="15"/>
  <c r="EG2" i="15"/>
  <c r="EF2" i="15"/>
  <c r="EE2" i="15"/>
  <c r="ED2" i="15"/>
  <c r="EC2" i="15"/>
  <c r="EB2" i="15"/>
  <c r="EA2" i="15"/>
  <c r="DV2" i="15"/>
  <c r="DU2" i="15"/>
  <c r="DT2" i="15"/>
  <c r="DS2" i="15"/>
  <c r="DR2" i="15"/>
  <c r="DQ2" i="15"/>
  <c r="DP2" i="15"/>
  <c r="DO2" i="15"/>
  <c r="DN2" i="15"/>
  <c r="DK2" i="15"/>
  <c r="DJ2" i="15"/>
  <c r="DI2" i="15"/>
  <c r="DH2" i="15"/>
  <c r="DG2" i="15"/>
  <c r="DF2" i="15"/>
  <c r="DE2" i="15"/>
  <c r="DD2" i="15"/>
  <c r="DC2" i="15"/>
  <c r="DB2" i="15"/>
  <c r="DA2" i="15"/>
  <c r="CV2" i="15"/>
  <c r="CU2" i="15"/>
  <c r="CT2" i="15"/>
  <c r="CS2" i="15"/>
  <c r="GN2" i="15" s="1"/>
  <c r="CR2" i="15"/>
  <c r="GM2" i="15" s="1"/>
  <c r="CQ2" i="15"/>
  <c r="GL2" i="15" s="1"/>
  <c r="CP2" i="15"/>
  <c r="GJ2" i="15" s="1"/>
  <c r="GK2" i="15" s="1"/>
  <c r="CO2" i="15"/>
  <c r="DZ2" i="15" s="1"/>
  <c r="CN2" i="15"/>
  <c r="DY2" i="15" s="1"/>
  <c r="CM2" i="15"/>
  <c r="DX2" i="15" s="1"/>
  <c r="CL2" i="15"/>
  <c r="DW2" i="15" s="1"/>
  <c r="CG2" i="15" a="1"/>
  <c r="CG2" i="15" s="1"/>
  <c r="CH2" i="15" s="1"/>
  <c r="CW2" i="15" s="1"/>
  <c r="AW2" i="15"/>
  <c r="AV2" i="15"/>
  <c r="G2" i="15"/>
  <c r="HX6" i="14" a="1"/>
  <c r="HX6" i="14" s="1"/>
  <c r="IW6" i="14" s="1"/>
  <c r="HW6" i="14" a="1"/>
  <c r="HW6" i="14" s="1"/>
  <c r="IV6" i="14" s="1"/>
  <c r="HV6" i="14" a="1"/>
  <c r="HV6" i="14" s="1"/>
  <c r="IU6" i="14" s="1"/>
  <c r="HU6" i="14" a="1"/>
  <c r="HU6" i="14" s="1"/>
  <c r="IT6" i="14" s="1"/>
  <c r="HT6" i="14" a="1"/>
  <c r="HT6" i="14" s="1"/>
  <c r="IS6" i="14" s="1"/>
  <c r="HS6" i="14" a="1"/>
  <c r="HS6" i="14" s="1"/>
  <c r="IR6" i="14" s="1"/>
  <c r="HR6" i="14" a="1"/>
  <c r="HR6" i="14" s="1"/>
  <c r="IQ6" i="14" s="1"/>
  <c r="HQ6" i="14" a="1"/>
  <c r="HQ6" i="14" s="1"/>
  <c r="IP6" i="14" s="1"/>
  <c r="HP6" i="14" a="1"/>
  <c r="HP6" i="14" s="1"/>
  <c r="IO6" i="14" s="1"/>
  <c r="HL6" i="14"/>
  <c r="HJ6" i="14"/>
  <c r="HH6" i="14"/>
  <c r="HB6" i="14"/>
  <c r="HA6" i="14"/>
  <c r="GZ6" i="14"/>
  <c r="GY6" i="14"/>
  <c r="GX6" i="14"/>
  <c r="GW6" i="14"/>
  <c r="GV6" i="14"/>
  <c r="GU6" i="14"/>
  <c r="GT6" i="14"/>
  <c r="GP6" i="14"/>
  <c r="GI6" i="14"/>
  <c r="GH6" i="14"/>
  <c r="GG6" i="14"/>
  <c r="GF6" i="14"/>
  <c r="GE6" i="14"/>
  <c r="GB6" i="14"/>
  <c r="GA6" i="14"/>
  <c r="FZ6" i="14"/>
  <c r="FY6" i="14"/>
  <c r="FW6" i="14"/>
  <c r="FV6" i="14"/>
  <c r="FU6" i="14"/>
  <c r="FT6" i="14"/>
  <c r="FS6" i="14"/>
  <c r="FR6" i="14"/>
  <c r="FQ6" i="14"/>
  <c r="FJ6" i="14"/>
  <c r="FI6" i="14"/>
  <c r="FH6" i="14"/>
  <c r="FG6" i="14"/>
  <c r="FF6" i="14"/>
  <c r="FP6" i="14" s="1"/>
  <c r="FE6" i="14"/>
  <c r="FD6" i="14"/>
  <c r="FB6" i="14"/>
  <c r="FA6" i="14"/>
  <c r="EZ6" i="14"/>
  <c r="EY6" i="14"/>
  <c r="EX6" i="14"/>
  <c r="EW6" i="14"/>
  <c r="EV6" i="14"/>
  <c r="EU6" i="14"/>
  <c r="ET6" i="14"/>
  <c r="ES6" i="14"/>
  <c r="ER6" i="14"/>
  <c r="EQ6" i="14"/>
  <c r="EP6" i="14"/>
  <c r="EO6" i="14"/>
  <c r="EN6" i="14"/>
  <c r="EM6" i="14"/>
  <c r="EL6" i="14"/>
  <c r="EK6" i="14"/>
  <c r="EJ6" i="14"/>
  <c r="EI6" i="14"/>
  <c r="EH6" i="14"/>
  <c r="EG6" i="14"/>
  <c r="EF6" i="14"/>
  <c r="EE6" i="14"/>
  <c r="ED6" i="14"/>
  <c r="EC6" i="14"/>
  <c r="EB6" i="14"/>
  <c r="EA6" i="14"/>
  <c r="DU6" i="14"/>
  <c r="DT6" i="14"/>
  <c r="DS6" i="14"/>
  <c r="DR6" i="14"/>
  <c r="DQ6" i="14"/>
  <c r="DP6" i="14"/>
  <c r="DO6" i="14"/>
  <c r="DN6" i="14"/>
  <c r="DK6" i="14"/>
  <c r="DJ6" i="14"/>
  <c r="DI6" i="14"/>
  <c r="DH6" i="14"/>
  <c r="DG6" i="14"/>
  <c r="DF6" i="14"/>
  <c r="DE6" i="14"/>
  <c r="DD6" i="14"/>
  <c r="DB6" i="14"/>
  <c r="DA6" i="14"/>
  <c r="CV6" i="14"/>
  <c r="CU6" i="14"/>
  <c r="CT6" i="14"/>
  <c r="CS6" i="14"/>
  <c r="GN6" i="14" s="1"/>
  <c r="CR6" i="14"/>
  <c r="GM6" i="14" s="1"/>
  <c r="CQ6" i="14"/>
  <c r="GL6" i="14" s="1"/>
  <c r="CP6" i="14"/>
  <c r="GJ6" i="14" s="1"/>
  <c r="GK6" i="14" s="1"/>
  <c r="CO6" i="14"/>
  <c r="DZ6" i="14" s="1"/>
  <c r="CN6" i="14"/>
  <c r="DY6" i="14" s="1"/>
  <c r="CM6" i="14"/>
  <c r="DX6" i="14" s="1"/>
  <c r="CL6" i="14"/>
  <c r="DW6" i="14" s="1"/>
  <c r="CG6" i="14" a="1"/>
  <c r="CG6" i="14" s="1"/>
  <c r="AW6" i="14"/>
  <c r="AV6" i="14"/>
  <c r="G6" i="14"/>
  <c r="HX5" i="14" a="1"/>
  <c r="HX5" i="14" s="1"/>
  <c r="IW5" i="14" s="1"/>
  <c r="HW5" i="14" a="1"/>
  <c r="HW5" i="14" s="1"/>
  <c r="IV5" i="14" s="1"/>
  <c r="HV5" i="14" a="1"/>
  <c r="HV5" i="14" s="1"/>
  <c r="IU5" i="14" s="1"/>
  <c r="HU5" i="14" a="1"/>
  <c r="HU5" i="14" s="1"/>
  <c r="IT5" i="14" s="1"/>
  <c r="HT5" i="14" a="1"/>
  <c r="HT5" i="14" s="1"/>
  <c r="IS5" i="14" s="1"/>
  <c r="HS5" i="14" a="1"/>
  <c r="HS5" i="14" s="1"/>
  <c r="IR5" i="14" s="1"/>
  <c r="HR5" i="14" a="1"/>
  <c r="HR5" i="14" s="1"/>
  <c r="IQ5" i="14" s="1"/>
  <c r="HQ5" i="14" a="1"/>
  <c r="HQ5" i="14" s="1"/>
  <c r="IP5" i="14" s="1"/>
  <c r="HP5" i="14" a="1"/>
  <c r="HP5" i="14" s="1"/>
  <c r="IO5" i="14" s="1"/>
  <c r="HL5" i="14"/>
  <c r="HJ5" i="14"/>
  <c r="HH5" i="14"/>
  <c r="HI5" i="14" s="1"/>
  <c r="HB5" i="14"/>
  <c r="HA5" i="14"/>
  <c r="GZ5" i="14"/>
  <c r="GY5" i="14"/>
  <c r="GX5" i="14"/>
  <c r="GW5" i="14"/>
  <c r="GV5" i="14"/>
  <c r="GU5" i="14"/>
  <c r="GT5" i="14"/>
  <c r="GP5" i="14"/>
  <c r="GI5" i="14"/>
  <c r="GH5" i="14"/>
  <c r="GG5" i="14"/>
  <c r="GF5" i="14"/>
  <c r="GE5" i="14"/>
  <c r="GB5" i="14"/>
  <c r="GA5" i="14"/>
  <c r="FZ5" i="14"/>
  <c r="FY5" i="14"/>
  <c r="FW5" i="14"/>
  <c r="FV5" i="14"/>
  <c r="FU5" i="14"/>
  <c r="FT5" i="14"/>
  <c r="FS5" i="14"/>
  <c r="FR5" i="14"/>
  <c r="FQ5" i="14"/>
  <c r="FJ5" i="14"/>
  <c r="FI5" i="14"/>
  <c r="FH5" i="14"/>
  <c r="FG5" i="14"/>
  <c r="FF5" i="14"/>
  <c r="FP5" i="14" s="1"/>
  <c r="FE5" i="14"/>
  <c r="FD5" i="14"/>
  <c r="FB5" i="14"/>
  <c r="FA5" i="14"/>
  <c r="EZ5" i="14"/>
  <c r="EY5" i="14"/>
  <c r="EX5" i="14"/>
  <c r="EW5" i="14"/>
  <c r="EV5" i="14"/>
  <c r="EU5" i="14"/>
  <c r="ET5" i="14"/>
  <c r="ES5" i="14"/>
  <c r="ER5" i="14"/>
  <c r="EQ5" i="14"/>
  <c r="EP5" i="14"/>
  <c r="EO5" i="14"/>
  <c r="EN5" i="14"/>
  <c r="EM5" i="14"/>
  <c r="EL5" i="14"/>
  <c r="EK5" i="14"/>
  <c r="EJ5" i="14"/>
  <c r="EI5" i="14"/>
  <c r="EH5" i="14"/>
  <c r="EG5" i="14"/>
  <c r="EF5" i="14"/>
  <c r="EE5" i="14"/>
  <c r="ED5" i="14"/>
  <c r="EC5" i="14"/>
  <c r="EB5" i="14"/>
  <c r="EA5" i="14"/>
  <c r="DU5" i="14"/>
  <c r="DT5" i="14"/>
  <c r="DS5" i="14"/>
  <c r="DR5" i="14"/>
  <c r="DQ5" i="14"/>
  <c r="DP5" i="14"/>
  <c r="DO5" i="14"/>
  <c r="DN5" i="14"/>
  <c r="DK5" i="14"/>
  <c r="DJ5" i="14"/>
  <c r="DI5" i="14"/>
  <c r="DH5" i="14"/>
  <c r="DG5" i="14"/>
  <c r="DF5" i="14"/>
  <c r="DE5" i="14"/>
  <c r="DD5" i="14"/>
  <c r="DB5" i="14"/>
  <c r="DA5" i="14"/>
  <c r="CV5" i="14"/>
  <c r="CU5" i="14"/>
  <c r="CT5" i="14"/>
  <c r="CS5" i="14"/>
  <c r="GN5" i="14" s="1"/>
  <c r="CR5" i="14"/>
  <c r="GM5" i="14" s="1"/>
  <c r="CQ5" i="14"/>
  <c r="GL5" i="14" s="1"/>
  <c r="CP5" i="14"/>
  <c r="GJ5" i="14" s="1"/>
  <c r="GK5" i="14" s="1"/>
  <c r="CO5" i="14"/>
  <c r="DZ5" i="14" s="1"/>
  <c r="CN5" i="14"/>
  <c r="DY5" i="14" s="1"/>
  <c r="CM5" i="14"/>
  <c r="DX5" i="14" s="1"/>
  <c r="CL5" i="14"/>
  <c r="DW5" i="14" s="1"/>
  <c r="CG5" i="14" a="1"/>
  <c r="CG5" i="14" s="1"/>
  <c r="AW5" i="14"/>
  <c r="AV5" i="14"/>
  <c r="G5" i="14"/>
  <c r="HX4" i="14" a="1"/>
  <c r="HX4" i="14" s="1"/>
  <c r="IW4" i="14" s="1"/>
  <c r="HW4" i="14" a="1"/>
  <c r="HW4" i="14" s="1"/>
  <c r="IV4" i="14" s="1"/>
  <c r="HV4" i="14" a="1"/>
  <c r="HV4" i="14" s="1"/>
  <c r="IU4" i="14" s="1"/>
  <c r="HU4" i="14" a="1"/>
  <c r="HU4" i="14" s="1"/>
  <c r="IT4" i="14" s="1"/>
  <c r="HT4" i="14" a="1"/>
  <c r="HT4" i="14" s="1"/>
  <c r="IS4" i="14" s="1"/>
  <c r="HS4" i="14" a="1"/>
  <c r="HS4" i="14" s="1"/>
  <c r="IR4" i="14" s="1"/>
  <c r="HR4" i="14" a="1"/>
  <c r="HR4" i="14" s="1"/>
  <c r="IQ4" i="14" s="1"/>
  <c r="HQ4" i="14" a="1"/>
  <c r="HQ4" i="14" s="1"/>
  <c r="IP4" i="14" s="1"/>
  <c r="HP4" i="14" a="1"/>
  <c r="HP4" i="14" s="1"/>
  <c r="IO4" i="14" s="1"/>
  <c r="HL4" i="14"/>
  <c r="HJ4" i="14"/>
  <c r="HH4" i="14"/>
  <c r="HI4" i="14" s="1"/>
  <c r="HB4" i="14"/>
  <c r="HA4" i="14"/>
  <c r="GZ4" i="14"/>
  <c r="GY4" i="14"/>
  <c r="GX4" i="14"/>
  <c r="GW4" i="14"/>
  <c r="GV4" i="14"/>
  <c r="GU4" i="14"/>
  <c r="GT4" i="14"/>
  <c r="GP4" i="14"/>
  <c r="GI4" i="14"/>
  <c r="GH4" i="14"/>
  <c r="GG4" i="14"/>
  <c r="GF4" i="14"/>
  <c r="GE4" i="14"/>
  <c r="GB4" i="14"/>
  <c r="GA4" i="14"/>
  <c r="FZ4" i="14"/>
  <c r="FY4" i="14"/>
  <c r="FW4" i="14"/>
  <c r="FV4" i="14"/>
  <c r="FU4" i="14"/>
  <c r="FT4" i="14"/>
  <c r="FS4" i="14"/>
  <c r="FR4" i="14"/>
  <c r="FQ4" i="14"/>
  <c r="FJ4" i="14"/>
  <c r="FI4" i="14"/>
  <c r="FH4" i="14"/>
  <c r="FG4" i="14"/>
  <c r="FF4" i="14"/>
  <c r="FE4" i="14"/>
  <c r="FD4" i="14"/>
  <c r="FB4" i="14"/>
  <c r="FA4" i="14"/>
  <c r="EZ4" i="14"/>
  <c r="EY4" i="14"/>
  <c r="EX4" i="14"/>
  <c r="EW4" i="14"/>
  <c r="EV4" i="14"/>
  <c r="EU4" i="14"/>
  <c r="ET4" i="14"/>
  <c r="ES4" i="14"/>
  <c r="ER4" i="14"/>
  <c r="EQ4" i="14"/>
  <c r="EP4" i="14"/>
  <c r="EO4" i="14"/>
  <c r="EN4" i="14"/>
  <c r="EM4" i="14"/>
  <c r="EL4" i="14"/>
  <c r="EK4" i="14"/>
  <c r="EJ4" i="14"/>
  <c r="EI4" i="14"/>
  <c r="EH4" i="14"/>
  <c r="EG4" i="14"/>
  <c r="EF4" i="14"/>
  <c r="EE4" i="14"/>
  <c r="ED4" i="14"/>
  <c r="EC4" i="14"/>
  <c r="EB4" i="14"/>
  <c r="EA4" i="14"/>
  <c r="DU4" i="14"/>
  <c r="DT4" i="14"/>
  <c r="DS4" i="14"/>
  <c r="DR4" i="14"/>
  <c r="DQ4" i="14"/>
  <c r="DP4" i="14"/>
  <c r="DO4" i="14"/>
  <c r="DN4" i="14"/>
  <c r="DK4" i="14"/>
  <c r="DJ4" i="14"/>
  <c r="DI4" i="14"/>
  <c r="DH4" i="14"/>
  <c r="DG4" i="14"/>
  <c r="DF4" i="14"/>
  <c r="DE4" i="14"/>
  <c r="DD4" i="14"/>
  <c r="DB4" i="14"/>
  <c r="DA4" i="14"/>
  <c r="CV4" i="14"/>
  <c r="CU4" i="14"/>
  <c r="CT4" i="14"/>
  <c r="CS4" i="14"/>
  <c r="GN4" i="14" s="1"/>
  <c r="CR4" i="14"/>
  <c r="GM4" i="14" s="1"/>
  <c r="CQ4" i="14"/>
  <c r="GL4" i="14" s="1"/>
  <c r="CP4" i="14"/>
  <c r="GJ4" i="14" s="1"/>
  <c r="GK4" i="14" s="1"/>
  <c r="CO4" i="14"/>
  <c r="DZ4" i="14" s="1"/>
  <c r="CN4" i="14"/>
  <c r="DY4" i="14" s="1"/>
  <c r="CM4" i="14"/>
  <c r="DX4" i="14" s="1"/>
  <c r="CL4" i="14"/>
  <c r="DW4" i="14" s="1"/>
  <c r="CG4" i="14" a="1"/>
  <c r="CG4" i="14" s="1"/>
  <c r="AW4" i="14"/>
  <c r="AV4" i="14"/>
  <c r="G4" i="14"/>
  <c r="HX3" i="14" a="1"/>
  <c r="HX3" i="14" s="1"/>
  <c r="IW3" i="14" s="1"/>
  <c r="HW3" i="14" a="1"/>
  <c r="HW3" i="14" s="1"/>
  <c r="IV3" i="14" s="1"/>
  <c r="HV3" i="14" a="1"/>
  <c r="HV3" i="14" s="1"/>
  <c r="IU3" i="14" s="1"/>
  <c r="HU3" i="14" a="1"/>
  <c r="HU3" i="14" s="1"/>
  <c r="IT3" i="14" s="1"/>
  <c r="HT3" i="14" a="1"/>
  <c r="HT3" i="14" s="1"/>
  <c r="IS3" i="14" s="1"/>
  <c r="HS3" i="14" a="1"/>
  <c r="HS3" i="14" s="1"/>
  <c r="IR3" i="14" s="1"/>
  <c r="HR3" i="14" a="1"/>
  <c r="HR3" i="14" s="1"/>
  <c r="IQ3" i="14" s="1"/>
  <c r="HQ3" i="14" a="1"/>
  <c r="HQ3" i="14" s="1"/>
  <c r="IP3" i="14" s="1"/>
  <c r="HP3" i="14" a="1"/>
  <c r="HP3" i="14" s="1"/>
  <c r="HL3" i="14"/>
  <c r="HJ3" i="14"/>
  <c r="HH3" i="14"/>
  <c r="HI3" i="14" s="1"/>
  <c r="HB3" i="14"/>
  <c r="HA3" i="14"/>
  <c r="GZ3" i="14"/>
  <c r="GY3" i="14"/>
  <c r="GX3" i="14"/>
  <c r="GW3" i="14"/>
  <c r="GV3" i="14"/>
  <c r="GU3" i="14"/>
  <c r="GT3" i="14"/>
  <c r="GP3" i="14"/>
  <c r="GI3" i="14"/>
  <c r="GH3" i="14"/>
  <c r="GG3" i="14"/>
  <c r="GF3" i="14"/>
  <c r="GE3" i="14"/>
  <c r="GB3" i="14"/>
  <c r="GA3" i="14"/>
  <c r="FZ3" i="14"/>
  <c r="FY3" i="14"/>
  <c r="FW3" i="14"/>
  <c r="FV3" i="14"/>
  <c r="FU3" i="14"/>
  <c r="FT3" i="14"/>
  <c r="FS3" i="14"/>
  <c r="FR3" i="14"/>
  <c r="FQ3" i="14"/>
  <c r="FJ3" i="14"/>
  <c r="FI3" i="14"/>
  <c r="FH3" i="14"/>
  <c r="FG3" i="14"/>
  <c r="FF3" i="14"/>
  <c r="FE3" i="14"/>
  <c r="FD3" i="14"/>
  <c r="FB3" i="14"/>
  <c r="FA3" i="14"/>
  <c r="EZ3" i="14"/>
  <c r="EY3" i="14"/>
  <c r="EX3" i="14"/>
  <c r="EW3" i="14"/>
  <c r="EV3" i="14"/>
  <c r="EU3" i="14"/>
  <c r="ET3" i="14"/>
  <c r="ES3" i="14"/>
  <c r="ER3" i="14"/>
  <c r="EQ3" i="14"/>
  <c r="EP3" i="14"/>
  <c r="EO3" i="14"/>
  <c r="EN3" i="14"/>
  <c r="EM3" i="14"/>
  <c r="EL3" i="14"/>
  <c r="EK3" i="14"/>
  <c r="EJ3" i="14"/>
  <c r="EI3" i="14"/>
  <c r="EH3" i="14"/>
  <c r="EG3" i="14"/>
  <c r="EF3" i="14"/>
  <c r="EE3" i="14"/>
  <c r="ED3" i="14"/>
  <c r="EC3" i="14"/>
  <c r="EB3" i="14"/>
  <c r="EA3" i="14"/>
  <c r="DU3" i="14"/>
  <c r="DT3" i="14"/>
  <c r="DS3" i="14"/>
  <c r="DR3" i="14"/>
  <c r="DQ3" i="14"/>
  <c r="DP3" i="14"/>
  <c r="DO3" i="14"/>
  <c r="DN3" i="14"/>
  <c r="DK3" i="14"/>
  <c r="DJ3" i="14"/>
  <c r="DI3" i="14"/>
  <c r="DH3" i="14"/>
  <c r="DG3" i="14"/>
  <c r="DF3" i="14"/>
  <c r="DE3" i="14"/>
  <c r="DD3" i="14"/>
  <c r="DB3" i="14"/>
  <c r="DA3" i="14"/>
  <c r="CV3" i="14"/>
  <c r="CU3" i="14"/>
  <c r="CT3" i="14"/>
  <c r="CS3" i="14"/>
  <c r="GN3" i="14" s="1"/>
  <c r="CR3" i="14"/>
  <c r="GM3" i="14" s="1"/>
  <c r="CQ3" i="14"/>
  <c r="GL3" i="14" s="1"/>
  <c r="CP3" i="14"/>
  <c r="GJ3" i="14" s="1"/>
  <c r="GK3" i="14" s="1"/>
  <c r="CO3" i="14"/>
  <c r="DZ3" i="14" s="1"/>
  <c r="CN3" i="14"/>
  <c r="DY3" i="14" s="1"/>
  <c r="CM3" i="14"/>
  <c r="DX3" i="14" s="1"/>
  <c r="CL3" i="14"/>
  <c r="DW3" i="14" s="1"/>
  <c r="CG3" i="14" a="1"/>
  <c r="CG3" i="14" s="1"/>
  <c r="CK3" i="14" s="1"/>
  <c r="CZ3" i="14" s="1"/>
  <c r="AW3" i="14"/>
  <c r="AV3" i="14"/>
  <c r="G3" i="14"/>
  <c r="IL2" i="14"/>
  <c r="HX2" i="14" a="1"/>
  <c r="HX2" i="14" s="1"/>
  <c r="IW2" i="14" s="1"/>
  <c r="HW2" i="14" a="1"/>
  <c r="HW2" i="14" s="1"/>
  <c r="IV2" i="14" s="1"/>
  <c r="HV2" i="14" a="1"/>
  <c r="HV2" i="14" s="1"/>
  <c r="IU2" i="14" s="1"/>
  <c r="HU2" i="14" a="1"/>
  <c r="HU2" i="14" s="1"/>
  <c r="IT2" i="14" s="1"/>
  <c r="HT2" i="14" a="1"/>
  <c r="HT2" i="14" s="1"/>
  <c r="IS2" i="14" s="1"/>
  <c r="HS2" i="14" a="1"/>
  <c r="HS2" i="14" s="1"/>
  <c r="IR2" i="14" s="1"/>
  <c r="HR2" i="14" a="1"/>
  <c r="HR2" i="14" s="1"/>
  <c r="IQ2" i="14" s="1"/>
  <c r="HQ2" i="14" a="1"/>
  <c r="HQ2" i="14" s="1"/>
  <c r="IP2" i="14" s="1"/>
  <c r="HP2" i="14" a="1"/>
  <c r="HP2" i="14" s="1"/>
  <c r="IO2" i="14" s="1"/>
  <c r="HL2" i="14"/>
  <c r="HJ2" i="14"/>
  <c r="HH2" i="14"/>
  <c r="HB2" i="14"/>
  <c r="HA2" i="14"/>
  <c r="GZ2" i="14"/>
  <c r="GY2" i="14"/>
  <c r="GX2" i="14"/>
  <c r="GW2" i="14"/>
  <c r="GV2" i="14"/>
  <c r="GU2" i="14"/>
  <c r="GT2" i="14"/>
  <c r="GP2" i="14"/>
  <c r="GI2" i="14"/>
  <c r="GH2" i="14"/>
  <c r="GG2" i="14"/>
  <c r="GF2" i="14"/>
  <c r="GE2" i="14"/>
  <c r="GD2" i="14"/>
  <c r="GC2" i="14"/>
  <c r="GB2" i="14"/>
  <c r="GA2" i="14"/>
  <c r="FZ2" i="14"/>
  <c r="FY2" i="14"/>
  <c r="FX2" i="14"/>
  <c r="FW2" i="14"/>
  <c r="FV2" i="14"/>
  <c r="FU2" i="14"/>
  <c r="FT2" i="14"/>
  <c r="FS2" i="14"/>
  <c r="FR2" i="14"/>
  <c r="FQ2" i="14"/>
  <c r="FJ2" i="14"/>
  <c r="FI2" i="14"/>
  <c r="FH2" i="14"/>
  <c r="FG2" i="14"/>
  <c r="FF2" i="14"/>
  <c r="FE2" i="14"/>
  <c r="FD2" i="14"/>
  <c r="FC2" i="14"/>
  <c r="FB2" i="14"/>
  <c r="FA2" i="14"/>
  <c r="EZ2" i="14"/>
  <c r="EY2" i="14"/>
  <c r="EX2" i="14"/>
  <c r="EW2" i="14"/>
  <c r="EV2" i="14"/>
  <c r="EU2" i="14"/>
  <c r="ET2" i="14"/>
  <c r="ES2" i="14"/>
  <c r="ER2" i="14"/>
  <c r="EQ2" i="14"/>
  <c r="EP2" i="14"/>
  <c r="EO2" i="14"/>
  <c r="EN2" i="14"/>
  <c r="EM2" i="14"/>
  <c r="EL2" i="14"/>
  <c r="EK2" i="14"/>
  <c r="EJ2" i="14"/>
  <c r="EI2" i="14"/>
  <c r="EH2" i="14"/>
  <c r="EG2" i="14"/>
  <c r="EF2" i="14"/>
  <c r="EE2" i="14"/>
  <c r="ED2" i="14"/>
  <c r="EC2" i="14"/>
  <c r="EB2" i="14"/>
  <c r="EA2" i="14"/>
  <c r="DV2" i="14"/>
  <c r="DU2" i="14"/>
  <c r="DT2" i="14"/>
  <c r="DS2" i="14"/>
  <c r="DR2" i="14"/>
  <c r="DQ2" i="14"/>
  <c r="DP2" i="14"/>
  <c r="DO2" i="14"/>
  <c r="DN2" i="14"/>
  <c r="DK2" i="14"/>
  <c r="DJ2" i="14"/>
  <c r="DI2" i="14"/>
  <c r="DH2" i="14"/>
  <c r="DG2" i="14"/>
  <c r="DF2" i="14"/>
  <c r="DE2" i="14"/>
  <c r="DD2" i="14"/>
  <c r="DC2" i="14"/>
  <c r="DB2" i="14"/>
  <c r="DA2" i="14"/>
  <c r="CV2" i="14"/>
  <c r="CU2" i="14"/>
  <c r="CT2" i="14"/>
  <c r="CS2" i="14"/>
  <c r="GN2" i="14" s="1"/>
  <c r="CR2" i="14"/>
  <c r="GM2" i="14" s="1"/>
  <c r="CQ2" i="14"/>
  <c r="GL2" i="14" s="1"/>
  <c r="CP2" i="14"/>
  <c r="GJ2" i="14" s="1"/>
  <c r="GK2" i="14" s="1"/>
  <c r="CO2" i="14"/>
  <c r="DZ2" i="14" s="1"/>
  <c r="CN2" i="14"/>
  <c r="DY2" i="14" s="1"/>
  <c r="CM2" i="14"/>
  <c r="DX2" i="14" s="1"/>
  <c r="CL2" i="14"/>
  <c r="DW2" i="14" s="1"/>
  <c r="CG2" i="14" a="1"/>
  <c r="CG2" i="14" s="1"/>
  <c r="CI2" i="14" s="1"/>
  <c r="CX2" i="14" s="1"/>
  <c r="AW2" i="14"/>
  <c r="AV2" i="14"/>
  <c r="G2" i="14"/>
  <c r="HX3" i="13" a="1"/>
  <c r="HX3" i="13" s="1"/>
  <c r="IW3" i="13" s="1"/>
  <c r="HW3" i="13" a="1"/>
  <c r="HW3" i="13" s="1"/>
  <c r="IV3" i="13" s="1"/>
  <c r="HV3" i="13" a="1"/>
  <c r="HV3" i="13" s="1"/>
  <c r="IU3" i="13" s="1"/>
  <c r="HU3" i="13" a="1"/>
  <c r="HU3" i="13" s="1"/>
  <c r="IT3" i="13" s="1"/>
  <c r="HT3" i="13" a="1"/>
  <c r="HT3" i="13" s="1"/>
  <c r="IS3" i="13" s="1"/>
  <c r="HS3" i="13" a="1"/>
  <c r="HS3" i="13" s="1"/>
  <c r="IR3" i="13" s="1"/>
  <c r="HR3" i="13" a="1"/>
  <c r="HR3" i="13" s="1"/>
  <c r="IQ3" i="13" s="1"/>
  <c r="HQ3" i="13" a="1"/>
  <c r="HQ3" i="13" s="1"/>
  <c r="IP3" i="13" s="1"/>
  <c r="HP3" i="13" a="1"/>
  <c r="HP3" i="13" s="1"/>
  <c r="IO3" i="13" s="1"/>
  <c r="HL3" i="13"/>
  <c r="HJ3" i="13"/>
  <c r="HH3" i="13"/>
  <c r="HB3" i="13"/>
  <c r="HA3" i="13"/>
  <c r="GZ3" i="13"/>
  <c r="GY3" i="13"/>
  <c r="GX3" i="13"/>
  <c r="GW3" i="13"/>
  <c r="GV3" i="13"/>
  <c r="GU3" i="13"/>
  <c r="GT3" i="13"/>
  <c r="GP3" i="13"/>
  <c r="GI3" i="13"/>
  <c r="GH3" i="13"/>
  <c r="GG3" i="13"/>
  <c r="GF3" i="13"/>
  <c r="GE3" i="13"/>
  <c r="GB3" i="13"/>
  <c r="GA3" i="13"/>
  <c r="FZ3" i="13"/>
  <c r="FY3" i="13"/>
  <c r="FW3" i="13"/>
  <c r="FV3" i="13"/>
  <c r="FU3" i="13"/>
  <c r="FT3" i="13"/>
  <c r="FS3" i="13"/>
  <c r="FR3" i="13"/>
  <c r="FQ3" i="13"/>
  <c r="FJ3" i="13"/>
  <c r="FI3" i="13"/>
  <c r="FH3" i="13"/>
  <c r="FG3" i="13"/>
  <c r="FF3" i="13"/>
  <c r="FP3" i="13" s="1"/>
  <c r="FE3" i="13"/>
  <c r="FD3" i="13"/>
  <c r="FB3" i="13"/>
  <c r="FA3" i="13"/>
  <c r="EZ3" i="13"/>
  <c r="EY3" i="13"/>
  <c r="EX3" i="13"/>
  <c r="EW3" i="13"/>
  <c r="EV3" i="13"/>
  <c r="EU3" i="13"/>
  <c r="ET3" i="13"/>
  <c r="ES3" i="13"/>
  <c r="ER3" i="13"/>
  <c r="EQ3" i="13"/>
  <c r="EP3" i="13"/>
  <c r="EO3" i="13"/>
  <c r="EN3" i="13"/>
  <c r="EM3" i="13"/>
  <c r="EL3" i="13"/>
  <c r="EK3" i="13"/>
  <c r="EJ3" i="13"/>
  <c r="EI3" i="13"/>
  <c r="EH3" i="13"/>
  <c r="EG3" i="13"/>
  <c r="EF3" i="13"/>
  <c r="EE3" i="13"/>
  <c r="ED3" i="13"/>
  <c r="EC3" i="13"/>
  <c r="EB3" i="13"/>
  <c r="EA3" i="13"/>
  <c r="DU3" i="13"/>
  <c r="DT3" i="13"/>
  <c r="DS3" i="13"/>
  <c r="DR3" i="13"/>
  <c r="DQ3" i="13"/>
  <c r="DP3" i="13"/>
  <c r="DO3" i="13"/>
  <c r="DN3" i="13"/>
  <c r="DK3" i="13"/>
  <c r="DJ3" i="13"/>
  <c r="DI3" i="13"/>
  <c r="DH3" i="13"/>
  <c r="DG3" i="13"/>
  <c r="DF3" i="13"/>
  <c r="DE3" i="13"/>
  <c r="DD3" i="13"/>
  <c r="DB3" i="13"/>
  <c r="DA3" i="13"/>
  <c r="CV3" i="13"/>
  <c r="CU3" i="13"/>
  <c r="CT3" i="13"/>
  <c r="CS3" i="13"/>
  <c r="GN3" i="13" s="1"/>
  <c r="CR3" i="13"/>
  <c r="GM3" i="13" s="1"/>
  <c r="CQ3" i="13"/>
  <c r="GL3" i="13" s="1"/>
  <c r="CP3" i="13"/>
  <c r="GJ3" i="13" s="1"/>
  <c r="GK3" i="13" s="1"/>
  <c r="CO3" i="13"/>
  <c r="DZ3" i="13" s="1"/>
  <c r="CN3" i="13"/>
  <c r="DY3" i="13" s="1"/>
  <c r="CM3" i="13"/>
  <c r="DX3" i="13" s="1"/>
  <c r="CL3" i="13"/>
  <c r="DW3" i="13" s="1"/>
  <c r="CG3" i="13" a="1"/>
  <c r="CG3" i="13" s="1"/>
  <c r="DM3" i="13" s="1" a="1"/>
  <c r="DM3" i="13" s="1"/>
  <c r="AW3" i="13"/>
  <c r="AV3" i="13"/>
  <c r="G3" i="13"/>
  <c r="HX5" i="13" a="1"/>
  <c r="HX5" i="13" s="1"/>
  <c r="IW5" i="13" s="1"/>
  <c r="HW5" i="13" a="1"/>
  <c r="HW5" i="13" s="1"/>
  <c r="IV5" i="13" s="1"/>
  <c r="HV5" i="13" a="1"/>
  <c r="HV5" i="13" s="1"/>
  <c r="IU5" i="13" s="1"/>
  <c r="HU5" i="13" a="1"/>
  <c r="HU5" i="13" s="1"/>
  <c r="IT5" i="13" s="1"/>
  <c r="HT5" i="13" a="1"/>
  <c r="HT5" i="13" s="1"/>
  <c r="IS5" i="13" s="1"/>
  <c r="HS5" i="13" a="1"/>
  <c r="HS5" i="13" s="1"/>
  <c r="IR5" i="13" s="1"/>
  <c r="HR5" i="13" a="1"/>
  <c r="HR5" i="13" s="1"/>
  <c r="IQ5" i="13" s="1"/>
  <c r="HQ5" i="13" a="1"/>
  <c r="HQ5" i="13" s="1"/>
  <c r="IP5" i="13" s="1"/>
  <c r="HP5" i="13" a="1"/>
  <c r="HP5" i="13" s="1"/>
  <c r="IO5" i="13" s="1"/>
  <c r="HJ5" i="13"/>
  <c r="HH5" i="13"/>
  <c r="HB5" i="13"/>
  <c r="HA5" i="13"/>
  <c r="GZ5" i="13"/>
  <c r="GY5" i="13"/>
  <c r="GX5" i="13"/>
  <c r="GW5" i="13"/>
  <c r="GV5" i="13"/>
  <c r="GU5" i="13"/>
  <c r="GT5" i="13"/>
  <c r="GP5" i="13"/>
  <c r="GI5" i="13"/>
  <c r="GH5" i="13"/>
  <c r="GG5" i="13"/>
  <c r="GF5" i="13"/>
  <c r="GE5" i="13"/>
  <c r="GB5" i="13"/>
  <c r="GA5" i="13"/>
  <c r="FZ5" i="13"/>
  <c r="FY5" i="13"/>
  <c r="FW5" i="13"/>
  <c r="FV5" i="13"/>
  <c r="FU5" i="13"/>
  <c r="FT5" i="13"/>
  <c r="FS5" i="13"/>
  <c r="FR5" i="13"/>
  <c r="FQ5" i="13"/>
  <c r="FJ5" i="13"/>
  <c r="FI5" i="13"/>
  <c r="FH5" i="13"/>
  <c r="FG5" i="13"/>
  <c r="FF5" i="13"/>
  <c r="FE5" i="13"/>
  <c r="FD5" i="13"/>
  <c r="FB5" i="13"/>
  <c r="FA5" i="13"/>
  <c r="EZ5" i="13"/>
  <c r="EY5" i="13"/>
  <c r="EX5" i="13"/>
  <c r="EW5" i="13"/>
  <c r="EV5" i="13"/>
  <c r="EU5" i="13"/>
  <c r="ET5" i="13"/>
  <c r="ES5" i="13"/>
  <c r="ER5" i="13"/>
  <c r="EQ5" i="13"/>
  <c r="EP5" i="13"/>
  <c r="EO5" i="13"/>
  <c r="EN5" i="13"/>
  <c r="EM5" i="13"/>
  <c r="EL5" i="13"/>
  <c r="EK5" i="13"/>
  <c r="EJ5" i="13"/>
  <c r="EI5" i="13"/>
  <c r="EH5" i="13"/>
  <c r="EG5" i="13"/>
  <c r="EF5" i="13"/>
  <c r="EE5" i="13"/>
  <c r="ED5" i="13"/>
  <c r="EC5" i="13"/>
  <c r="EB5" i="13"/>
  <c r="EA5" i="13"/>
  <c r="DU5" i="13"/>
  <c r="DT5" i="13"/>
  <c r="DS5" i="13"/>
  <c r="DR5" i="13"/>
  <c r="DQ5" i="13"/>
  <c r="DP5" i="13"/>
  <c r="DO5" i="13"/>
  <c r="DN5" i="13"/>
  <c r="DK5" i="13"/>
  <c r="DJ5" i="13"/>
  <c r="DI5" i="13"/>
  <c r="DH5" i="13"/>
  <c r="DG5" i="13"/>
  <c r="DF5" i="13"/>
  <c r="DE5" i="13"/>
  <c r="DD5" i="13"/>
  <c r="DB5" i="13"/>
  <c r="DA5" i="13"/>
  <c r="CV5" i="13"/>
  <c r="CU5" i="13"/>
  <c r="CT5" i="13"/>
  <c r="CS5" i="13"/>
  <c r="GN5" i="13" s="1"/>
  <c r="CR5" i="13"/>
  <c r="GM5" i="13" s="1"/>
  <c r="CQ5" i="13"/>
  <c r="GL5" i="13" s="1"/>
  <c r="CP5" i="13"/>
  <c r="GJ5" i="13" s="1"/>
  <c r="GK5" i="13" s="1"/>
  <c r="CO5" i="13"/>
  <c r="DZ5" i="13" s="1"/>
  <c r="CN5" i="13"/>
  <c r="DY5" i="13" s="1"/>
  <c r="CM5" i="13"/>
  <c r="DX5" i="13" s="1"/>
  <c r="CL5" i="13"/>
  <c r="DW5" i="13" s="1"/>
  <c r="CG5" i="13" a="1"/>
  <c r="CG5" i="13" s="1"/>
  <c r="AW5" i="13"/>
  <c r="AV5" i="13"/>
  <c r="G5" i="13"/>
  <c r="HX4" i="13" a="1"/>
  <c r="HX4" i="13" s="1"/>
  <c r="IW4" i="13" s="1"/>
  <c r="HW4" i="13" a="1"/>
  <c r="HW4" i="13" s="1"/>
  <c r="IV4" i="13" s="1"/>
  <c r="HV4" i="13" a="1"/>
  <c r="HV4" i="13" s="1"/>
  <c r="IU4" i="13" s="1"/>
  <c r="HU4" i="13" a="1"/>
  <c r="HU4" i="13" s="1"/>
  <c r="IT4" i="13" s="1"/>
  <c r="HT4" i="13" a="1"/>
  <c r="HT4" i="13" s="1"/>
  <c r="IS4" i="13" s="1"/>
  <c r="HS4" i="13" a="1"/>
  <c r="HS4" i="13" s="1"/>
  <c r="IR4" i="13" s="1"/>
  <c r="HR4" i="13" a="1"/>
  <c r="HR4" i="13" s="1"/>
  <c r="IQ4" i="13" s="1"/>
  <c r="HQ4" i="13" a="1"/>
  <c r="HQ4" i="13" s="1"/>
  <c r="IP4" i="13" s="1"/>
  <c r="HP4" i="13" a="1"/>
  <c r="HP4" i="13" s="1"/>
  <c r="IO4" i="13" s="1"/>
  <c r="HJ4" i="13"/>
  <c r="HH4" i="13"/>
  <c r="HB4" i="13"/>
  <c r="HA4" i="13"/>
  <c r="GZ4" i="13"/>
  <c r="GY4" i="13"/>
  <c r="GX4" i="13"/>
  <c r="GW4" i="13"/>
  <c r="GV4" i="13"/>
  <c r="GU4" i="13"/>
  <c r="GT4" i="13"/>
  <c r="GP4" i="13"/>
  <c r="GI4" i="13"/>
  <c r="GH4" i="13"/>
  <c r="GG4" i="13"/>
  <c r="GF4" i="13"/>
  <c r="GE4" i="13"/>
  <c r="GB4" i="13"/>
  <c r="GA4" i="13"/>
  <c r="FZ4" i="13"/>
  <c r="FY4" i="13"/>
  <c r="FW4" i="13"/>
  <c r="FV4" i="13"/>
  <c r="FU4" i="13"/>
  <c r="FT4" i="13"/>
  <c r="FS4" i="13"/>
  <c r="FR4" i="13"/>
  <c r="FQ4" i="13"/>
  <c r="FJ4" i="13"/>
  <c r="FI4" i="13"/>
  <c r="FH4" i="13"/>
  <c r="FG4" i="13"/>
  <c r="FF4" i="13"/>
  <c r="FP4" i="13" s="1"/>
  <c r="FE4" i="13"/>
  <c r="FD4" i="13"/>
  <c r="FB4" i="13"/>
  <c r="FA4" i="13"/>
  <c r="EZ4" i="13"/>
  <c r="EY4" i="13"/>
  <c r="EX4" i="13"/>
  <c r="EW4" i="13"/>
  <c r="EV4" i="13"/>
  <c r="EU4" i="13"/>
  <c r="ET4" i="13"/>
  <c r="ES4" i="13"/>
  <c r="ER4" i="13"/>
  <c r="EQ4" i="13"/>
  <c r="EP4" i="13"/>
  <c r="EO4" i="13"/>
  <c r="EN4" i="13"/>
  <c r="EM4" i="13"/>
  <c r="EL4" i="13"/>
  <c r="EK4" i="13"/>
  <c r="EJ4" i="13"/>
  <c r="EI4" i="13"/>
  <c r="EH4" i="13"/>
  <c r="EG4" i="13"/>
  <c r="EF4" i="13"/>
  <c r="EE4" i="13"/>
  <c r="ED4" i="13"/>
  <c r="EC4" i="13"/>
  <c r="EB4" i="13"/>
  <c r="EA4" i="13"/>
  <c r="DU4" i="13"/>
  <c r="DT4" i="13"/>
  <c r="DS4" i="13"/>
  <c r="DR4" i="13"/>
  <c r="DQ4" i="13"/>
  <c r="DP4" i="13"/>
  <c r="DO4" i="13"/>
  <c r="DN4" i="13"/>
  <c r="DK4" i="13"/>
  <c r="DJ4" i="13"/>
  <c r="DI4" i="13"/>
  <c r="DH4" i="13"/>
  <c r="DG4" i="13"/>
  <c r="DF4" i="13"/>
  <c r="DE4" i="13"/>
  <c r="DD4" i="13"/>
  <c r="DB4" i="13"/>
  <c r="DA4" i="13"/>
  <c r="CV4" i="13"/>
  <c r="CU4" i="13"/>
  <c r="CT4" i="13"/>
  <c r="CS4" i="13"/>
  <c r="GN4" i="13" s="1"/>
  <c r="CR4" i="13"/>
  <c r="GM4" i="13" s="1"/>
  <c r="CQ4" i="13"/>
  <c r="GL4" i="13" s="1"/>
  <c r="CP4" i="13"/>
  <c r="GJ4" i="13" s="1"/>
  <c r="GK4" i="13" s="1"/>
  <c r="CO4" i="13"/>
  <c r="DZ4" i="13" s="1"/>
  <c r="CN4" i="13"/>
  <c r="DY4" i="13" s="1"/>
  <c r="CM4" i="13"/>
  <c r="DX4" i="13" s="1"/>
  <c r="CL4" i="13"/>
  <c r="DW4" i="13" s="1"/>
  <c r="CG4" i="13" a="1"/>
  <c r="CG4" i="13" s="1"/>
  <c r="AW4" i="13"/>
  <c r="AV4" i="13"/>
  <c r="G4" i="13"/>
  <c r="IL2" i="13"/>
  <c r="HX2" i="13" a="1"/>
  <c r="HX2" i="13" s="1"/>
  <c r="IW2" i="13" s="1"/>
  <c r="HW2" i="13" a="1"/>
  <c r="HW2" i="13" s="1"/>
  <c r="IV2" i="13" s="1"/>
  <c r="HV2" i="13" a="1"/>
  <c r="HV2" i="13" s="1"/>
  <c r="IU2" i="13" s="1"/>
  <c r="HU2" i="13" a="1"/>
  <c r="HU2" i="13" s="1"/>
  <c r="IT2" i="13" s="1"/>
  <c r="HT2" i="13" a="1"/>
  <c r="HT2" i="13" s="1"/>
  <c r="IS2" i="13" s="1"/>
  <c r="HS2" i="13" a="1"/>
  <c r="HS2" i="13" s="1"/>
  <c r="IR2" i="13" s="1"/>
  <c r="HR2" i="13" a="1"/>
  <c r="HR2" i="13" s="1"/>
  <c r="IQ2" i="13" s="1"/>
  <c r="HQ2" i="13" a="1"/>
  <c r="HQ2" i="13" s="1"/>
  <c r="IP2" i="13" s="1"/>
  <c r="HP2" i="13" a="1"/>
  <c r="HP2" i="13" s="1"/>
  <c r="IO2" i="13" s="1"/>
  <c r="HL2" i="13"/>
  <c r="HJ2" i="13"/>
  <c r="HH2" i="13"/>
  <c r="HB2" i="13"/>
  <c r="HA2" i="13"/>
  <c r="GZ2" i="13"/>
  <c r="GY2" i="13"/>
  <c r="GX2" i="13"/>
  <c r="GW2" i="13"/>
  <c r="GV2" i="13"/>
  <c r="GU2" i="13"/>
  <c r="GT2" i="13"/>
  <c r="GP2" i="13"/>
  <c r="GI2" i="13"/>
  <c r="GH2" i="13"/>
  <c r="GG2" i="13"/>
  <c r="GF2" i="13"/>
  <c r="GE2" i="13"/>
  <c r="GD2" i="13"/>
  <c r="GC2" i="13"/>
  <c r="GB2" i="13"/>
  <c r="GA2" i="13"/>
  <c r="FZ2" i="13"/>
  <c r="FY2" i="13"/>
  <c r="FX2" i="13"/>
  <c r="FW2" i="13"/>
  <c r="FV2" i="13"/>
  <c r="FU2" i="13"/>
  <c r="FT2" i="13"/>
  <c r="FS2" i="13"/>
  <c r="FR2" i="13"/>
  <c r="FQ2" i="13"/>
  <c r="FJ2" i="13"/>
  <c r="FI2" i="13"/>
  <c r="FH2" i="13"/>
  <c r="FG2" i="13"/>
  <c r="FF2" i="13"/>
  <c r="FE2" i="13"/>
  <c r="FD2" i="13"/>
  <c r="FC2" i="13"/>
  <c r="FB2" i="13"/>
  <c r="FA2" i="13"/>
  <c r="EZ2" i="13"/>
  <c r="EY2" i="13"/>
  <c r="EX2" i="13"/>
  <c r="EW2" i="13"/>
  <c r="EV2" i="13"/>
  <c r="EU2" i="13"/>
  <c r="ET2" i="13"/>
  <c r="ES2" i="13"/>
  <c r="ER2" i="13"/>
  <c r="EQ2" i="13"/>
  <c r="EP2" i="13"/>
  <c r="EO2" i="13"/>
  <c r="EN2" i="13"/>
  <c r="EM2" i="13"/>
  <c r="EL2" i="13"/>
  <c r="EK2" i="13"/>
  <c r="EJ2" i="13"/>
  <c r="EI2" i="13"/>
  <c r="EH2" i="13"/>
  <c r="EG2" i="13"/>
  <c r="EF2" i="13"/>
  <c r="EE2" i="13"/>
  <c r="ED2" i="13"/>
  <c r="EC2" i="13"/>
  <c r="EB2" i="13"/>
  <c r="EA2" i="13"/>
  <c r="DV2" i="13"/>
  <c r="DU2" i="13"/>
  <c r="DT2" i="13"/>
  <c r="DS2" i="13"/>
  <c r="DR2" i="13"/>
  <c r="DQ2" i="13"/>
  <c r="DP2" i="13"/>
  <c r="DO2" i="13"/>
  <c r="DN2" i="13"/>
  <c r="DK2" i="13"/>
  <c r="DJ2" i="13"/>
  <c r="DI2" i="13"/>
  <c r="DH2" i="13"/>
  <c r="DG2" i="13"/>
  <c r="DF2" i="13"/>
  <c r="DE2" i="13"/>
  <c r="DD2" i="13"/>
  <c r="DC2" i="13"/>
  <c r="DB2" i="13"/>
  <c r="DA2" i="13"/>
  <c r="CV2" i="13"/>
  <c r="CU2" i="13"/>
  <c r="CT2" i="13"/>
  <c r="CS2" i="13"/>
  <c r="GN2" i="13" s="1"/>
  <c r="CR2" i="13"/>
  <c r="GM2" i="13" s="1"/>
  <c r="CQ2" i="13"/>
  <c r="GL2" i="13" s="1"/>
  <c r="CP2" i="13"/>
  <c r="GJ2" i="13" s="1"/>
  <c r="GK2" i="13" s="1"/>
  <c r="CO2" i="13"/>
  <c r="DZ2" i="13" s="1"/>
  <c r="CN2" i="13"/>
  <c r="DY2" i="13" s="1"/>
  <c r="CM2" i="13"/>
  <c r="DX2" i="13" s="1"/>
  <c r="CL2" i="13"/>
  <c r="DW2" i="13" s="1"/>
  <c r="CG2" i="13" a="1"/>
  <c r="CG2" i="13" s="1"/>
  <c r="CH2" i="13" s="1"/>
  <c r="CW2" i="13" s="1"/>
  <c r="AW2" i="13"/>
  <c r="AV2" i="13"/>
  <c r="G2" i="13"/>
  <c r="GI47" i="12"/>
  <c r="GH47" i="12"/>
  <c r="GG47" i="12"/>
  <c r="GE47" i="12"/>
  <c r="GI46" i="12"/>
  <c r="GH46" i="12"/>
  <c r="GG46" i="12"/>
  <c r="GE46" i="12"/>
  <c r="GI45" i="12"/>
  <c r="GH45" i="12"/>
  <c r="GG45" i="12"/>
  <c r="GE45" i="12"/>
  <c r="GI44" i="12"/>
  <c r="GH44" i="12"/>
  <c r="GG44" i="12"/>
  <c r="GE44" i="12"/>
  <c r="GI43" i="12"/>
  <c r="GH43" i="12"/>
  <c r="GG43" i="12"/>
  <c r="GE43" i="12"/>
  <c r="GI42" i="12"/>
  <c r="GH42" i="12"/>
  <c r="GG42" i="12"/>
  <c r="GE42" i="12"/>
  <c r="GI41" i="12"/>
  <c r="GH41" i="12"/>
  <c r="GG41" i="12"/>
  <c r="GE41" i="12"/>
  <c r="GI40" i="12"/>
  <c r="GH40" i="12"/>
  <c r="GG40" i="12"/>
  <c r="GE40" i="12"/>
  <c r="GI39" i="12"/>
  <c r="GH39" i="12"/>
  <c r="GG39" i="12"/>
  <c r="GE39" i="12"/>
  <c r="GI38" i="12"/>
  <c r="GH38" i="12"/>
  <c r="GG38" i="12"/>
  <c r="GE38" i="12"/>
  <c r="GI37" i="12"/>
  <c r="GH37" i="12"/>
  <c r="GG37" i="12"/>
  <c r="GE37" i="12"/>
  <c r="GI36" i="12"/>
  <c r="GH36" i="12"/>
  <c r="GG36" i="12"/>
  <c r="GE36" i="12"/>
  <c r="GI35" i="12"/>
  <c r="GH35" i="12"/>
  <c r="GG35" i="12"/>
  <c r="GE35" i="12"/>
  <c r="GI34" i="12"/>
  <c r="GH34" i="12"/>
  <c r="GG34" i="12"/>
  <c r="GE34" i="12"/>
  <c r="GI33" i="12"/>
  <c r="GH33" i="12"/>
  <c r="GG33" i="12"/>
  <c r="GE33" i="12"/>
  <c r="GI32" i="12"/>
  <c r="GH32" i="12"/>
  <c r="GG32" i="12"/>
  <c r="GE32" i="12"/>
  <c r="GI31" i="12"/>
  <c r="GH31" i="12"/>
  <c r="GG31" i="12"/>
  <c r="GE31" i="12"/>
  <c r="GI30" i="12"/>
  <c r="GH30" i="12"/>
  <c r="GG30" i="12"/>
  <c r="GE30" i="12"/>
  <c r="GI29" i="12"/>
  <c r="GH29" i="12"/>
  <c r="GG29" i="12"/>
  <c r="GE29" i="12"/>
  <c r="GI28" i="12"/>
  <c r="GH28" i="12"/>
  <c r="GG28" i="12"/>
  <c r="GE28" i="12"/>
  <c r="GI27" i="12"/>
  <c r="GH27" i="12"/>
  <c r="GG27" i="12"/>
  <c r="GE27" i="12"/>
  <c r="GI26" i="12"/>
  <c r="GH26" i="12"/>
  <c r="GG26" i="12"/>
  <c r="GE26" i="12"/>
  <c r="GI25" i="12"/>
  <c r="GH25" i="12"/>
  <c r="GG25" i="12"/>
  <c r="GE25" i="12"/>
  <c r="GI24" i="12"/>
  <c r="GH24" i="12"/>
  <c r="GG24" i="12"/>
  <c r="GE24" i="12"/>
  <c r="GI23" i="12"/>
  <c r="GH23" i="12"/>
  <c r="GG23" i="12"/>
  <c r="GE23" i="12"/>
  <c r="GI22" i="12"/>
  <c r="GH22" i="12"/>
  <c r="GG22" i="12"/>
  <c r="GE22" i="12"/>
  <c r="GI21" i="12"/>
  <c r="GH21" i="12"/>
  <c r="GG21" i="12"/>
  <c r="GE21" i="12"/>
  <c r="GI20" i="12"/>
  <c r="GH20" i="12"/>
  <c r="GG20" i="12"/>
  <c r="GE20" i="12"/>
  <c r="GI19" i="12"/>
  <c r="GH19" i="12"/>
  <c r="GG19" i="12"/>
  <c r="GE19" i="12"/>
  <c r="GI18" i="12"/>
  <c r="GH18" i="12"/>
  <c r="GG18" i="12"/>
  <c r="GE18" i="12"/>
  <c r="GI17" i="12"/>
  <c r="GH17" i="12"/>
  <c r="GG17" i="12"/>
  <c r="GE17" i="12"/>
  <c r="GI16" i="12"/>
  <c r="GH16" i="12"/>
  <c r="GG16" i="12"/>
  <c r="GE16" i="12"/>
  <c r="GI15" i="12"/>
  <c r="GH15" i="12"/>
  <c r="GG15" i="12"/>
  <c r="GE15" i="12"/>
  <c r="GI14" i="12"/>
  <c r="GH14" i="12"/>
  <c r="GG14" i="12"/>
  <c r="GE14" i="12"/>
  <c r="GI13" i="12"/>
  <c r="GH13" i="12"/>
  <c r="GG13" i="12"/>
  <c r="GE13" i="12"/>
  <c r="GI12" i="12"/>
  <c r="GH12" i="12"/>
  <c r="GG12" i="12"/>
  <c r="GE12" i="12"/>
  <c r="GI11" i="12"/>
  <c r="GH11" i="12"/>
  <c r="GG11" i="12"/>
  <c r="GE11" i="12"/>
  <c r="GI10" i="12"/>
  <c r="GH10" i="12"/>
  <c r="GG10" i="12"/>
  <c r="GE10" i="12"/>
  <c r="GI9" i="12"/>
  <c r="GH9" i="12"/>
  <c r="GG9" i="12"/>
  <c r="GE9" i="12"/>
  <c r="GI8" i="12"/>
  <c r="GH8" i="12"/>
  <c r="GG8" i="12"/>
  <c r="GE8" i="12"/>
  <c r="IL6" i="12"/>
  <c r="HX6" i="12" a="1"/>
  <c r="HX6" i="12" s="1"/>
  <c r="IW6" i="12" s="1"/>
  <c r="HW6" i="12" a="1"/>
  <c r="HW6" i="12" s="1"/>
  <c r="IV6" i="12" s="1"/>
  <c r="HV6" i="12" a="1"/>
  <c r="HV6" i="12" s="1"/>
  <c r="IU6" i="12" s="1"/>
  <c r="HU6" i="12" a="1"/>
  <c r="HU6" i="12" s="1"/>
  <c r="IT6" i="12" s="1"/>
  <c r="HT6" i="12" a="1"/>
  <c r="HT6" i="12" s="1"/>
  <c r="IS6" i="12" s="1"/>
  <c r="HS6" i="12" a="1"/>
  <c r="HS6" i="12" s="1"/>
  <c r="IR6" i="12" s="1"/>
  <c r="HR6" i="12" a="1"/>
  <c r="HR6" i="12" s="1"/>
  <c r="IQ6" i="12" s="1"/>
  <c r="HQ6" i="12" a="1"/>
  <c r="HQ6" i="12" s="1"/>
  <c r="IP6" i="12" s="1"/>
  <c r="HP6" i="12" a="1"/>
  <c r="HP6" i="12" s="1"/>
  <c r="IO6" i="12" s="1"/>
  <c r="HL6" i="12"/>
  <c r="HJ6" i="12"/>
  <c r="HH6" i="12"/>
  <c r="HB6" i="12"/>
  <c r="HA6" i="12"/>
  <c r="GZ6" i="12"/>
  <c r="GY6" i="12"/>
  <c r="GX6" i="12"/>
  <c r="GW6" i="12"/>
  <c r="GV6" i="12"/>
  <c r="GU6" i="12"/>
  <c r="GT6" i="12"/>
  <c r="GP6" i="12"/>
  <c r="GI6" i="12"/>
  <c r="GH6" i="12"/>
  <c r="GG6" i="12"/>
  <c r="GF6" i="12"/>
  <c r="GE6" i="12"/>
  <c r="GD6" i="12"/>
  <c r="GC6" i="12"/>
  <c r="GB6" i="12"/>
  <c r="GA6" i="12"/>
  <c r="FZ6" i="12"/>
  <c r="FY6" i="12"/>
  <c r="FX6" i="12"/>
  <c r="FW6" i="12"/>
  <c r="FV6" i="12"/>
  <c r="FU6" i="12"/>
  <c r="FT6" i="12"/>
  <c r="FS6" i="12"/>
  <c r="FR6" i="12"/>
  <c r="FQ6" i="12"/>
  <c r="FJ6" i="12"/>
  <c r="FI6" i="12"/>
  <c r="FH6" i="12"/>
  <c r="FG6" i="12"/>
  <c r="FF6" i="12"/>
  <c r="FP6" i="12" s="1"/>
  <c r="FE6" i="12"/>
  <c r="FD6" i="12"/>
  <c r="FC6" i="12"/>
  <c r="FB6" i="12"/>
  <c r="FA6" i="12"/>
  <c r="EZ6" i="12"/>
  <c r="EY6" i="12"/>
  <c r="EX6" i="12"/>
  <c r="EW6" i="12"/>
  <c r="EV6" i="12"/>
  <c r="EU6" i="12"/>
  <c r="ET6" i="12"/>
  <c r="ES6" i="12"/>
  <c r="ER6" i="12"/>
  <c r="EQ6" i="12"/>
  <c r="EP6" i="12"/>
  <c r="EO6" i="12"/>
  <c r="EN6" i="12"/>
  <c r="EM6" i="12"/>
  <c r="EL6" i="12"/>
  <c r="EK6" i="12"/>
  <c r="EJ6" i="12"/>
  <c r="EI6" i="12"/>
  <c r="EH6" i="12"/>
  <c r="EG6" i="12"/>
  <c r="EF6" i="12"/>
  <c r="EE6" i="12"/>
  <c r="ED6" i="12"/>
  <c r="EC6" i="12"/>
  <c r="EB6" i="12"/>
  <c r="EA6" i="12"/>
  <c r="DV6" i="12"/>
  <c r="DU6" i="12"/>
  <c r="DT6" i="12"/>
  <c r="DS6" i="12"/>
  <c r="DR6" i="12"/>
  <c r="DQ6" i="12"/>
  <c r="DP6" i="12"/>
  <c r="DO6" i="12"/>
  <c r="DN6" i="12"/>
  <c r="DK6" i="12"/>
  <c r="DJ6" i="12"/>
  <c r="DI6" i="12"/>
  <c r="DH6" i="12"/>
  <c r="DG6" i="12"/>
  <c r="DF6" i="12"/>
  <c r="DE6" i="12"/>
  <c r="DD6" i="12"/>
  <c r="DC6" i="12"/>
  <c r="DB6" i="12"/>
  <c r="DA6" i="12"/>
  <c r="CV6" i="12"/>
  <c r="CU6" i="12"/>
  <c r="CT6" i="12"/>
  <c r="CS6" i="12"/>
  <c r="GN6" i="12" s="1"/>
  <c r="CR6" i="12"/>
  <c r="GM6" i="12" s="1"/>
  <c r="CQ6" i="12"/>
  <c r="GL6" i="12" s="1"/>
  <c r="CP6" i="12"/>
  <c r="GJ6" i="12" s="1"/>
  <c r="GK6" i="12" s="1"/>
  <c r="CO6" i="12"/>
  <c r="DZ6" i="12" s="1"/>
  <c r="CN6" i="12"/>
  <c r="DY6" i="12" s="1"/>
  <c r="CM6" i="12"/>
  <c r="DX6" i="12" s="1"/>
  <c r="CL6" i="12"/>
  <c r="DW6" i="12" s="1"/>
  <c r="CG6" i="12" a="1"/>
  <c r="CG6" i="12" s="1"/>
  <c r="CJ6" i="12" s="1"/>
  <c r="CY6" i="12" s="1"/>
  <c r="AW6" i="12"/>
  <c r="AV6" i="12"/>
  <c r="G6" i="12"/>
  <c r="IL5" i="12"/>
  <c r="HX5" i="12" a="1"/>
  <c r="HX5" i="12" s="1"/>
  <c r="IW5" i="12" s="1"/>
  <c r="HW5" i="12" a="1"/>
  <c r="HW5" i="12" s="1"/>
  <c r="IV5" i="12" s="1"/>
  <c r="HV5" i="12" a="1"/>
  <c r="HV5" i="12" s="1"/>
  <c r="IU5" i="12" s="1"/>
  <c r="HU5" i="12" a="1"/>
  <c r="HU5" i="12" s="1"/>
  <c r="IT5" i="12" s="1"/>
  <c r="HT5" i="12" a="1"/>
  <c r="HT5" i="12" s="1"/>
  <c r="IS5" i="12" s="1"/>
  <c r="HS5" i="12" a="1"/>
  <c r="HS5" i="12" s="1"/>
  <c r="IR5" i="12" s="1"/>
  <c r="HR5" i="12" a="1"/>
  <c r="HR5" i="12" s="1"/>
  <c r="IQ5" i="12" s="1"/>
  <c r="HQ5" i="12" a="1"/>
  <c r="HQ5" i="12" s="1"/>
  <c r="IP5" i="12" s="1"/>
  <c r="HP5" i="12" a="1"/>
  <c r="HP5" i="12" s="1"/>
  <c r="IO5" i="12" s="1"/>
  <c r="HL5" i="12"/>
  <c r="HJ5" i="12"/>
  <c r="HH5" i="12"/>
  <c r="HB5" i="12"/>
  <c r="HA5" i="12"/>
  <c r="GZ5" i="12"/>
  <c r="GY5" i="12"/>
  <c r="GX5" i="12"/>
  <c r="GW5" i="12"/>
  <c r="GV5" i="12"/>
  <c r="GU5" i="12"/>
  <c r="GT5" i="12"/>
  <c r="GP5" i="12"/>
  <c r="GI5" i="12"/>
  <c r="GH5" i="12"/>
  <c r="GG5" i="12"/>
  <c r="GF5" i="12"/>
  <c r="GE5" i="12"/>
  <c r="GD5" i="12"/>
  <c r="GC5" i="12"/>
  <c r="GB5" i="12"/>
  <c r="GA5" i="12"/>
  <c r="FZ5" i="12"/>
  <c r="FY5" i="12"/>
  <c r="FX5" i="12"/>
  <c r="FW5" i="12"/>
  <c r="FV5" i="12"/>
  <c r="FU5" i="12"/>
  <c r="FT5" i="12"/>
  <c r="FS5" i="12"/>
  <c r="FR5" i="12"/>
  <c r="FQ5" i="12"/>
  <c r="FJ5" i="12"/>
  <c r="FI5" i="12"/>
  <c r="FH5" i="12"/>
  <c r="FG5" i="12"/>
  <c r="FF5" i="12"/>
  <c r="FP5" i="12" s="1"/>
  <c r="FE5" i="12"/>
  <c r="FO5" i="12" s="1"/>
  <c r="FD5" i="12"/>
  <c r="FC5" i="12"/>
  <c r="FB5" i="12"/>
  <c r="FA5" i="12"/>
  <c r="EZ5" i="12"/>
  <c r="EY5" i="12"/>
  <c r="EX5" i="12"/>
  <c r="EW5" i="12"/>
  <c r="EV5" i="12"/>
  <c r="EU5" i="12"/>
  <c r="ET5" i="12"/>
  <c r="ES5" i="12"/>
  <c r="ER5" i="12"/>
  <c r="EQ5" i="12"/>
  <c r="EP5" i="12"/>
  <c r="EO5" i="12"/>
  <c r="EN5" i="12"/>
  <c r="EM5" i="12"/>
  <c r="EL5" i="12"/>
  <c r="EK5" i="12"/>
  <c r="EJ5" i="12"/>
  <c r="EI5" i="12"/>
  <c r="EH5" i="12"/>
  <c r="EG5" i="12"/>
  <c r="EF5" i="12"/>
  <c r="EE5" i="12"/>
  <c r="ED5" i="12"/>
  <c r="EC5" i="12"/>
  <c r="EB5" i="12"/>
  <c r="EA5" i="12"/>
  <c r="DV5" i="12"/>
  <c r="DU5" i="12"/>
  <c r="DT5" i="12"/>
  <c r="DS5" i="12"/>
  <c r="DR5" i="12"/>
  <c r="DQ5" i="12"/>
  <c r="DP5" i="12"/>
  <c r="DO5" i="12"/>
  <c r="DN5" i="12"/>
  <c r="DK5" i="12"/>
  <c r="DJ5" i="12"/>
  <c r="DI5" i="12"/>
  <c r="DH5" i="12"/>
  <c r="DG5" i="12"/>
  <c r="DF5" i="12"/>
  <c r="DE5" i="12"/>
  <c r="DD5" i="12"/>
  <c r="DC5" i="12"/>
  <c r="DB5" i="12"/>
  <c r="DA5" i="12"/>
  <c r="CV5" i="12"/>
  <c r="CU5" i="12"/>
  <c r="CT5" i="12"/>
  <c r="CS5" i="12"/>
  <c r="GN5" i="12" s="1"/>
  <c r="CR5" i="12"/>
  <c r="GM5" i="12" s="1"/>
  <c r="CQ5" i="12"/>
  <c r="GL5" i="12" s="1"/>
  <c r="CP5" i="12"/>
  <c r="GJ5" i="12" s="1"/>
  <c r="GK5" i="12" s="1"/>
  <c r="CO5" i="12"/>
  <c r="DZ5" i="12" s="1"/>
  <c r="CN5" i="12"/>
  <c r="DY5" i="12" s="1"/>
  <c r="CM5" i="12"/>
  <c r="DX5" i="12" s="1"/>
  <c r="CL5" i="12"/>
  <c r="DW5" i="12" s="1"/>
  <c r="CG5" i="12" a="1"/>
  <c r="CG5" i="12" s="1"/>
  <c r="CK5" i="12" s="1"/>
  <c r="CZ5" i="12" s="1"/>
  <c r="AW5" i="12"/>
  <c r="AV5" i="12"/>
  <c r="G5" i="12"/>
  <c r="IL4" i="12"/>
  <c r="HX4" i="12" a="1"/>
  <c r="HX4" i="12" s="1"/>
  <c r="IW4" i="12" s="1"/>
  <c r="HW4" i="12" a="1"/>
  <c r="HW4" i="12" s="1"/>
  <c r="IV4" i="12" s="1"/>
  <c r="HV4" i="12" a="1"/>
  <c r="HV4" i="12" s="1"/>
  <c r="IU4" i="12" s="1"/>
  <c r="HU4" i="12" a="1"/>
  <c r="HU4" i="12" s="1"/>
  <c r="IT4" i="12" s="1"/>
  <c r="HT4" i="12" a="1"/>
  <c r="HT4" i="12" s="1"/>
  <c r="IS4" i="12" s="1"/>
  <c r="HS4" i="12" a="1"/>
  <c r="HS4" i="12" s="1"/>
  <c r="IR4" i="12" s="1"/>
  <c r="HR4" i="12" a="1"/>
  <c r="HR4" i="12" s="1"/>
  <c r="IQ4" i="12" s="1"/>
  <c r="HQ4" i="12" a="1"/>
  <c r="HQ4" i="12" s="1"/>
  <c r="IP4" i="12" s="1"/>
  <c r="HP4" i="12" a="1"/>
  <c r="HP4" i="12" s="1"/>
  <c r="IO4" i="12" s="1"/>
  <c r="HL4" i="12"/>
  <c r="HJ4" i="12"/>
  <c r="HH4" i="12"/>
  <c r="HI4" i="12" s="1"/>
  <c r="HB4" i="12"/>
  <c r="HA4" i="12"/>
  <c r="GZ4" i="12"/>
  <c r="GY4" i="12"/>
  <c r="GX4" i="12"/>
  <c r="GW4" i="12"/>
  <c r="GV4" i="12"/>
  <c r="GU4" i="12"/>
  <c r="GT4" i="12"/>
  <c r="GP4" i="12"/>
  <c r="GI4" i="12"/>
  <c r="GH4" i="12"/>
  <c r="GG4" i="12"/>
  <c r="GF4" i="12"/>
  <c r="GE4" i="12"/>
  <c r="GD4" i="12"/>
  <c r="GC4" i="12"/>
  <c r="GB4" i="12"/>
  <c r="GA4" i="12"/>
  <c r="FZ4" i="12"/>
  <c r="FY4" i="12"/>
  <c r="FX4" i="12"/>
  <c r="FW4" i="12"/>
  <c r="FV4" i="12"/>
  <c r="FU4" i="12"/>
  <c r="FT4" i="12"/>
  <c r="FS4" i="12"/>
  <c r="FR4" i="12"/>
  <c r="FQ4" i="12"/>
  <c r="FJ4" i="12"/>
  <c r="FI4" i="12"/>
  <c r="FH4" i="12"/>
  <c r="FG4" i="12"/>
  <c r="FF4" i="12"/>
  <c r="FP4" i="12" s="1"/>
  <c r="FE4" i="12"/>
  <c r="FD4" i="12"/>
  <c r="FC4" i="12"/>
  <c r="FB4" i="12"/>
  <c r="FA4" i="12"/>
  <c r="EZ4" i="12"/>
  <c r="EY4" i="12"/>
  <c r="EX4" i="12"/>
  <c r="EW4" i="12"/>
  <c r="EV4" i="12"/>
  <c r="EU4" i="12"/>
  <c r="ET4" i="12"/>
  <c r="ES4" i="12"/>
  <c r="ER4" i="12"/>
  <c r="EQ4" i="12"/>
  <c r="EP4" i="12"/>
  <c r="EO4" i="12"/>
  <c r="EN4" i="12"/>
  <c r="EM4" i="12"/>
  <c r="EL4" i="12"/>
  <c r="EK4" i="12"/>
  <c r="EJ4" i="12"/>
  <c r="EI4" i="12"/>
  <c r="EH4" i="12"/>
  <c r="EG4" i="12"/>
  <c r="EF4" i="12"/>
  <c r="EE4" i="12"/>
  <c r="ED4" i="12"/>
  <c r="EC4" i="12"/>
  <c r="EB4" i="12"/>
  <c r="EA4" i="12"/>
  <c r="DV4" i="12"/>
  <c r="DU4" i="12"/>
  <c r="DT4" i="12"/>
  <c r="DS4" i="12"/>
  <c r="DR4" i="12"/>
  <c r="DQ4" i="12"/>
  <c r="DP4" i="12"/>
  <c r="DO4" i="12"/>
  <c r="DN4" i="12"/>
  <c r="DK4" i="12"/>
  <c r="DJ4" i="12"/>
  <c r="DI4" i="12"/>
  <c r="DH4" i="12"/>
  <c r="DG4" i="12"/>
  <c r="DF4" i="12"/>
  <c r="DE4" i="12"/>
  <c r="DD4" i="12"/>
  <c r="DC4" i="12"/>
  <c r="DB4" i="12"/>
  <c r="DA4" i="12"/>
  <c r="CV4" i="12"/>
  <c r="CU4" i="12"/>
  <c r="CT4" i="12"/>
  <c r="CS4" i="12"/>
  <c r="GN4" i="12" s="1"/>
  <c r="CR4" i="12"/>
  <c r="GM4" i="12" s="1"/>
  <c r="CQ4" i="12"/>
  <c r="GL4" i="12" s="1"/>
  <c r="CP4" i="12"/>
  <c r="GJ4" i="12" s="1"/>
  <c r="GK4" i="12" s="1"/>
  <c r="CO4" i="12"/>
  <c r="DZ4" i="12" s="1"/>
  <c r="CN4" i="12"/>
  <c r="DY4" i="12" s="1"/>
  <c r="CM4" i="12"/>
  <c r="DX4" i="12" s="1"/>
  <c r="CL4" i="12"/>
  <c r="DW4" i="12" s="1"/>
  <c r="CG4" i="12" a="1"/>
  <c r="CG4" i="12" s="1"/>
  <c r="IN4" i="12" s="1"/>
  <c r="IX4" i="12" s="1"/>
  <c r="AW4" i="12"/>
  <c r="AV4" i="12"/>
  <c r="G4" i="12"/>
  <c r="IL3" i="12"/>
  <c r="HX3" i="12" a="1"/>
  <c r="HX3" i="12" s="1"/>
  <c r="IW3" i="12" s="1"/>
  <c r="HW3" i="12" a="1"/>
  <c r="HW3" i="12" s="1"/>
  <c r="IV3" i="12" s="1"/>
  <c r="HV3" i="12" a="1"/>
  <c r="HV3" i="12" s="1"/>
  <c r="IU3" i="12" s="1"/>
  <c r="HU3" i="12" a="1"/>
  <c r="HU3" i="12" s="1"/>
  <c r="IT3" i="12" s="1"/>
  <c r="HT3" i="12" a="1"/>
  <c r="HT3" i="12" s="1"/>
  <c r="IS3" i="12" s="1"/>
  <c r="HS3" i="12" a="1"/>
  <c r="HS3" i="12" s="1"/>
  <c r="IR3" i="12" s="1"/>
  <c r="HR3" i="12" a="1"/>
  <c r="HR3" i="12" s="1"/>
  <c r="IQ3" i="12" s="1"/>
  <c r="HQ3" i="12" a="1"/>
  <c r="HQ3" i="12" s="1"/>
  <c r="IP3" i="12" s="1"/>
  <c r="HP3" i="12" a="1"/>
  <c r="HP3" i="12" s="1"/>
  <c r="IO3" i="12" s="1"/>
  <c r="HL3" i="12"/>
  <c r="HJ3" i="12"/>
  <c r="HH3" i="12"/>
  <c r="HB3" i="12"/>
  <c r="HA3" i="12"/>
  <c r="GZ3" i="12"/>
  <c r="GY3" i="12"/>
  <c r="GX3" i="12"/>
  <c r="GW3" i="12"/>
  <c r="GV3" i="12"/>
  <c r="GU3" i="12"/>
  <c r="GT3" i="12"/>
  <c r="GP3" i="12"/>
  <c r="GI3" i="12"/>
  <c r="GH3" i="12"/>
  <c r="GG3" i="12"/>
  <c r="GF3" i="12"/>
  <c r="GE3" i="12"/>
  <c r="GD3" i="12"/>
  <c r="GC3" i="12"/>
  <c r="GB3" i="12"/>
  <c r="GA3" i="12"/>
  <c r="FZ3" i="12"/>
  <c r="FY3" i="12"/>
  <c r="FX3" i="12"/>
  <c r="FW3" i="12"/>
  <c r="FV3" i="12"/>
  <c r="FU3" i="12"/>
  <c r="FT3" i="12"/>
  <c r="FS3" i="12"/>
  <c r="FR3" i="12"/>
  <c r="FQ3" i="12"/>
  <c r="FJ3" i="12"/>
  <c r="FI3" i="12"/>
  <c r="FH3" i="12"/>
  <c r="FG3" i="12"/>
  <c r="FF3" i="12"/>
  <c r="FP3" i="12" s="1"/>
  <c r="FE3" i="12"/>
  <c r="FD3" i="12"/>
  <c r="FC3" i="12"/>
  <c r="FB3" i="12"/>
  <c r="FA3" i="12"/>
  <c r="EZ3" i="12"/>
  <c r="EY3" i="12"/>
  <c r="EX3" i="12"/>
  <c r="EW3" i="12"/>
  <c r="EV3" i="12"/>
  <c r="EU3" i="12"/>
  <c r="ET3" i="12"/>
  <c r="ES3" i="12"/>
  <c r="ER3" i="12"/>
  <c r="EQ3" i="12"/>
  <c r="EP3" i="12"/>
  <c r="EO3" i="12"/>
  <c r="EN3" i="12"/>
  <c r="EM3" i="12"/>
  <c r="EL3" i="12"/>
  <c r="EK3" i="12"/>
  <c r="EJ3" i="12"/>
  <c r="EI3" i="12"/>
  <c r="EH3" i="12"/>
  <c r="EG3" i="12"/>
  <c r="EF3" i="12"/>
  <c r="EE3" i="12"/>
  <c r="ED3" i="12"/>
  <c r="EC3" i="12"/>
  <c r="EB3" i="12"/>
  <c r="EA3" i="12"/>
  <c r="DV3" i="12"/>
  <c r="DU3" i="12"/>
  <c r="DT3" i="12"/>
  <c r="DS3" i="12"/>
  <c r="DR3" i="12"/>
  <c r="DQ3" i="12"/>
  <c r="DP3" i="12"/>
  <c r="DO3" i="12"/>
  <c r="DN3" i="12"/>
  <c r="DK3" i="12"/>
  <c r="DJ3" i="12"/>
  <c r="DI3" i="12"/>
  <c r="DH3" i="12"/>
  <c r="DG3" i="12"/>
  <c r="DF3" i="12"/>
  <c r="DE3" i="12"/>
  <c r="DD3" i="12"/>
  <c r="DC3" i="12"/>
  <c r="DB3" i="12"/>
  <c r="DA3" i="12"/>
  <c r="CV3" i="12"/>
  <c r="CU3" i="12"/>
  <c r="CT3" i="12"/>
  <c r="CS3" i="12"/>
  <c r="GN3" i="12" s="1"/>
  <c r="CR3" i="12"/>
  <c r="GM3" i="12" s="1"/>
  <c r="CQ3" i="12"/>
  <c r="GL3" i="12" s="1"/>
  <c r="CP3" i="12"/>
  <c r="GJ3" i="12" s="1"/>
  <c r="GK3" i="12" s="1"/>
  <c r="CO3" i="12"/>
  <c r="DZ3" i="12" s="1"/>
  <c r="CN3" i="12"/>
  <c r="DY3" i="12" s="1"/>
  <c r="CM3" i="12"/>
  <c r="DX3" i="12" s="1"/>
  <c r="CL3" i="12"/>
  <c r="DW3" i="12" s="1"/>
  <c r="CG3" i="12" a="1"/>
  <c r="CG3" i="12" s="1"/>
  <c r="DM3" i="12" s="1" a="1"/>
  <c r="DM3" i="12" s="1"/>
  <c r="AW3" i="12"/>
  <c r="AV3" i="12"/>
  <c r="G3" i="12"/>
  <c r="IL7" i="12"/>
  <c r="HX7" i="12" a="1"/>
  <c r="HX7" i="12" s="1"/>
  <c r="IW7" i="12" s="1"/>
  <c r="HW7" i="12" a="1"/>
  <c r="HW7" i="12" s="1"/>
  <c r="IV7" i="12" s="1"/>
  <c r="HV7" i="12" a="1"/>
  <c r="HV7" i="12" s="1"/>
  <c r="IU7" i="12" s="1"/>
  <c r="HU7" i="12" a="1"/>
  <c r="HU7" i="12" s="1"/>
  <c r="IT7" i="12" s="1"/>
  <c r="HT7" i="12" a="1"/>
  <c r="HT7" i="12" s="1"/>
  <c r="IS7" i="12" s="1"/>
  <c r="HS7" i="12" a="1"/>
  <c r="HS7" i="12" s="1"/>
  <c r="IR7" i="12" s="1"/>
  <c r="HR7" i="12" a="1"/>
  <c r="HR7" i="12" s="1"/>
  <c r="IQ7" i="12" s="1"/>
  <c r="HQ7" i="12" a="1"/>
  <c r="HQ7" i="12" s="1"/>
  <c r="IP7" i="12" s="1"/>
  <c r="HP7" i="12" a="1"/>
  <c r="HP7" i="12" s="1"/>
  <c r="IO7" i="12" s="1"/>
  <c r="HL7" i="12"/>
  <c r="HJ7" i="12"/>
  <c r="HH7" i="12"/>
  <c r="HI7" i="12" s="1"/>
  <c r="HB7" i="12"/>
  <c r="HA7" i="12"/>
  <c r="GZ7" i="12"/>
  <c r="GY7" i="12"/>
  <c r="GX7" i="12"/>
  <c r="GW7" i="12"/>
  <c r="GV7" i="12"/>
  <c r="GU7" i="12"/>
  <c r="GT7" i="12"/>
  <c r="GP7" i="12"/>
  <c r="GI7" i="12"/>
  <c r="GH7" i="12"/>
  <c r="GG7" i="12"/>
  <c r="GF7" i="12"/>
  <c r="GE7" i="12"/>
  <c r="GD7" i="12"/>
  <c r="GC7" i="12"/>
  <c r="GB7" i="12"/>
  <c r="GA7" i="12"/>
  <c r="FZ7" i="12"/>
  <c r="FY7" i="12"/>
  <c r="FX7" i="12"/>
  <c r="FW7" i="12"/>
  <c r="FV7" i="12"/>
  <c r="FU7" i="12"/>
  <c r="FT7" i="12"/>
  <c r="FS7" i="12"/>
  <c r="FR7" i="12"/>
  <c r="FQ7" i="12"/>
  <c r="FJ7" i="12"/>
  <c r="FI7" i="12"/>
  <c r="FH7" i="12"/>
  <c r="FG7" i="12"/>
  <c r="FF7" i="12"/>
  <c r="FE7" i="12"/>
  <c r="FD7" i="12"/>
  <c r="FC7" i="12"/>
  <c r="FB7" i="12"/>
  <c r="FA7" i="12"/>
  <c r="EZ7" i="12"/>
  <c r="EY7" i="12"/>
  <c r="EX7" i="12"/>
  <c r="EW7" i="12"/>
  <c r="EV7" i="12"/>
  <c r="EU7" i="12"/>
  <c r="ET7" i="12"/>
  <c r="ES7" i="12"/>
  <c r="ER7" i="12"/>
  <c r="EQ7" i="12"/>
  <c r="EP7" i="12"/>
  <c r="EO7" i="12"/>
  <c r="EN7" i="12"/>
  <c r="EM7" i="12"/>
  <c r="EL7" i="12"/>
  <c r="EK7" i="12"/>
  <c r="EJ7" i="12"/>
  <c r="EI7" i="12"/>
  <c r="EH7" i="12"/>
  <c r="EG7" i="12"/>
  <c r="EF7" i="12"/>
  <c r="EE7" i="12"/>
  <c r="ED7" i="12"/>
  <c r="EC7" i="12"/>
  <c r="EB7" i="12"/>
  <c r="EA7" i="12"/>
  <c r="DV7" i="12"/>
  <c r="DU7" i="12"/>
  <c r="DT7" i="12"/>
  <c r="DS7" i="12"/>
  <c r="DR7" i="12"/>
  <c r="DQ7" i="12"/>
  <c r="DP7" i="12"/>
  <c r="DO7" i="12"/>
  <c r="DN7" i="12"/>
  <c r="DK7" i="12"/>
  <c r="DJ7" i="12"/>
  <c r="DI7" i="12"/>
  <c r="DH7" i="12"/>
  <c r="DG7" i="12"/>
  <c r="DF7" i="12"/>
  <c r="DE7" i="12"/>
  <c r="DD7" i="12"/>
  <c r="DC7" i="12"/>
  <c r="DB7" i="12"/>
  <c r="DA7" i="12"/>
  <c r="CV7" i="12"/>
  <c r="CU7" i="12"/>
  <c r="CT7" i="12"/>
  <c r="CS7" i="12"/>
  <c r="GN7" i="12" s="1"/>
  <c r="CR7" i="12"/>
  <c r="GM7" i="12" s="1"/>
  <c r="CQ7" i="12"/>
  <c r="GL7" i="12" s="1"/>
  <c r="CP7" i="12"/>
  <c r="GJ7" i="12" s="1"/>
  <c r="GK7" i="12" s="1"/>
  <c r="CO7" i="12"/>
  <c r="DZ7" i="12" s="1"/>
  <c r="CN7" i="12"/>
  <c r="DY7" i="12" s="1"/>
  <c r="CM7" i="12"/>
  <c r="DX7" i="12" s="1"/>
  <c r="CL7" i="12"/>
  <c r="DW7" i="12" s="1"/>
  <c r="CG7" i="12" a="1"/>
  <c r="CG7" i="12" s="1"/>
  <c r="IN7" i="12" s="1"/>
  <c r="IX7" i="12" s="1"/>
  <c r="AW7" i="12"/>
  <c r="AV7" i="12"/>
  <c r="G7" i="12"/>
  <c r="IL2" i="12"/>
  <c r="HX2" i="12" a="1"/>
  <c r="HX2" i="12" s="1"/>
  <c r="IW2" i="12" s="1"/>
  <c r="HW2" i="12" a="1"/>
  <c r="HW2" i="12" s="1"/>
  <c r="IV2" i="12" s="1"/>
  <c r="HV2" i="12" a="1"/>
  <c r="HV2" i="12" s="1"/>
  <c r="IU2" i="12" s="1"/>
  <c r="HU2" i="12" a="1"/>
  <c r="HU2" i="12" s="1"/>
  <c r="IT2" i="12" s="1"/>
  <c r="HT2" i="12" a="1"/>
  <c r="HT2" i="12" s="1"/>
  <c r="IS2" i="12" s="1"/>
  <c r="HS2" i="12" a="1"/>
  <c r="HS2" i="12" s="1"/>
  <c r="IR2" i="12" s="1"/>
  <c r="HR2" i="12" a="1"/>
  <c r="HR2" i="12" s="1"/>
  <c r="IQ2" i="12" s="1"/>
  <c r="HQ2" i="12" a="1"/>
  <c r="HQ2" i="12" s="1"/>
  <c r="IP2" i="12" s="1"/>
  <c r="HP2" i="12" a="1"/>
  <c r="HP2" i="12" s="1"/>
  <c r="IO2" i="12" s="1"/>
  <c r="HL2" i="12"/>
  <c r="HJ2" i="12"/>
  <c r="HH2" i="12"/>
  <c r="HB2" i="12"/>
  <c r="HA2" i="12"/>
  <c r="GZ2" i="12"/>
  <c r="GY2" i="12"/>
  <c r="GX2" i="12"/>
  <c r="GW2" i="12"/>
  <c r="GV2" i="12"/>
  <c r="GU2" i="12"/>
  <c r="GT2" i="12"/>
  <c r="GP2" i="12"/>
  <c r="GI2" i="12"/>
  <c r="GH2" i="12"/>
  <c r="GG2" i="12"/>
  <c r="GF2" i="12"/>
  <c r="GE2" i="12"/>
  <c r="GD2" i="12"/>
  <c r="GC2" i="12"/>
  <c r="GB2" i="12"/>
  <c r="GA2" i="12"/>
  <c r="FZ2" i="12"/>
  <c r="FY2" i="12"/>
  <c r="FX2" i="12"/>
  <c r="FW2" i="12"/>
  <c r="FV2" i="12"/>
  <c r="FU2" i="12"/>
  <c r="FT2" i="12"/>
  <c r="FS2" i="12"/>
  <c r="FR2" i="12"/>
  <c r="FQ2" i="12"/>
  <c r="FJ2" i="12"/>
  <c r="FI2" i="12"/>
  <c r="FH2" i="12"/>
  <c r="FG2" i="12"/>
  <c r="FF2" i="12"/>
  <c r="FP2" i="12" s="1"/>
  <c r="FE2" i="12"/>
  <c r="FD2" i="12"/>
  <c r="FC2" i="12"/>
  <c r="FB2" i="12"/>
  <c r="FA2" i="12"/>
  <c r="EZ2" i="12"/>
  <c r="EY2" i="12"/>
  <c r="EX2" i="12"/>
  <c r="EW2" i="12"/>
  <c r="EV2" i="12"/>
  <c r="EU2" i="12"/>
  <c r="ET2" i="12"/>
  <c r="ES2" i="12"/>
  <c r="ER2" i="12"/>
  <c r="EQ2" i="12"/>
  <c r="EP2" i="12"/>
  <c r="EO2" i="12"/>
  <c r="EN2" i="12"/>
  <c r="EM2" i="12"/>
  <c r="EL2" i="12"/>
  <c r="EK2" i="12"/>
  <c r="EJ2" i="12"/>
  <c r="EI2" i="12"/>
  <c r="EH2" i="12"/>
  <c r="EG2" i="12"/>
  <c r="EF2" i="12"/>
  <c r="EE2" i="12"/>
  <c r="ED2" i="12"/>
  <c r="EC2" i="12"/>
  <c r="EB2" i="12"/>
  <c r="EA2" i="12"/>
  <c r="DV2" i="12"/>
  <c r="DU2" i="12"/>
  <c r="DT2" i="12"/>
  <c r="DS2" i="12"/>
  <c r="DR2" i="12"/>
  <c r="DQ2" i="12"/>
  <c r="DP2" i="12"/>
  <c r="DO2" i="12"/>
  <c r="DN2" i="12"/>
  <c r="DK2" i="12"/>
  <c r="DJ2" i="12"/>
  <c r="DI2" i="12"/>
  <c r="DH2" i="12"/>
  <c r="DG2" i="12"/>
  <c r="DF2" i="12"/>
  <c r="DE2" i="12"/>
  <c r="DD2" i="12"/>
  <c r="DC2" i="12"/>
  <c r="DB2" i="12"/>
  <c r="DA2" i="12"/>
  <c r="CV2" i="12"/>
  <c r="CU2" i="12"/>
  <c r="CT2" i="12"/>
  <c r="CS2" i="12"/>
  <c r="GN2" i="12" s="1"/>
  <c r="CR2" i="12"/>
  <c r="GM2" i="12" s="1"/>
  <c r="CQ2" i="12"/>
  <c r="GL2" i="12" s="1"/>
  <c r="CP2" i="12"/>
  <c r="GJ2" i="12" s="1"/>
  <c r="GK2" i="12" s="1"/>
  <c r="CO2" i="12"/>
  <c r="DZ2" i="12" s="1"/>
  <c r="CN2" i="12"/>
  <c r="DY2" i="12" s="1"/>
  <c r="CM2" i="12"/>
  <c r="DX2" i="12" s="1"/>
  <c r="CL2" i="12"/>
  <c r="DW2" i="12" s="1"/>
  <c r="CG2" i="12" a="1"/>
  <c r="CG2" i="12" s="1"/>
  <c r="AW2" i="12"/>
  <c r="AV2" i="12"/>
  <c r="G2" i="12"/>
  <c r="GI50" i="11"/>
  <c r="GH50" i="11"/>
  <c r="GG50" i="11"/>
  <c r="GE50" i="11"/>
  <c r="GI49" i="11"/>
  <c r="GH49" i="11"/>
  <c r="GG49" i="11"/>
  <c r="GE49" i="11"/>
  <c r="GI48" i="11"/>
  <c r="GH48" i="11"/>
  <c r="GG48" i="11"/>
  <c r="GE48" i="11"/>
  <c r="GI47" i="11"/>
  <c r="GH47" i="11"/>
  <c r="GG47" i="11"/>
  <c r="GE47" i="11"/>
  <c r="GI46" i="11"/>
  <c r="GH46" i="11"/>
  <c r="GG46" i="11"/>
  <c r="GE46" i="11"/>
  <c r="GI45" i="11"/>
  <c r="GH45" i="11"/>
  <c r="GG45" i="11"/>
  <c r="GE45" i="11"/>
  <c r="GI44" i="11"/>
  <c r="GH44" i="11"/>
  <c r="GG44" i="11"/>
  <c r="GE44" i="11"/>
  <c r="GI43" i="11"/>
  <c r="GH43" i="11"/>
  <c r="GG43" i="11"/>
  <c r="GE43" i="11"/>
  <c r="GI42" i="11"/>
  <c r="GH42" i="11"/>
  <c r="GG42" i="11"/>
  <c r="GE42" i="11"/>
  <c r="GI41" i="11"/>
  <c r="GH41" i="11"/>
  <c r="GG41" i="11"/>
  <c r="GE41" i="11"/>
  <c r="GI40" i="11"/>
  <c r="GH40" i="11"/>
  <c r="GG40" i="11"/>
  <c r="GE40" i="11"/>
  <c r="GI39" i="11"/>
  <c r="GH39" i="11"/>
  <c r="GG39" i="11"/>
  <c r="GE39" i="11"/>
  <c r="GI38" i="11"/>
  <c r="GH38" i="11"/>
  <c r="GG38" i="11"/>
  <c r="GE38" i="11"/>
  <c r="GI37" i="11"/>
  <c r="GH37" i="11"/>
  <c r="GG37" i="11"/>
  <c r="GE37" i="11"/>
  <c r="GI36" i="11"/>
  <c r="GH36" i="11"/>
  <c r="GG36" i="11"/>
  <c r="GE36" i="11"/>
  <c r="GI35" i="11"/>
  <c r="GH35" i="11"/>
  <c r="GG35" i="11"/>
  <c r="GE35" i="11"/>
  <c r="GI34" i="11"/>
  <c r="GH34" i="11"/>
  <c r="GG34" i="11"/>
  <c r="GE34" i="11"/>
  <c r="GI33" i="11"/>
  <c r="GH33" i="11"/>
  <c r="GG33" i="11"/>
  <c r="GE33" i="11"/>
  <c r="GI32" i="11"/>
  <c r="GH32" i="11"/>
  <c r="GG32" i="11"/>
  <c r="GE32" i="11"/>
  <c r="GI31" i="11"/>
  <c r="GH31" i="11"/>
  <c r="GG31" i="11"/>
  <c r="GE31" i="11"/>
  <c r="GI30" i="11"/>
  <c r="GH30" i="11"/>
  <c r="GG30" i="11"/>
  <c r="GE30" i="11"/>
  <c r="GI29" i="11"/>
  <c r="GH29" i="11"/>
  <c r="GG29" i="11"/>
  <c r="GE29" i="11"/>
  <c r="GI28" i="11"/>
  <c r="GH28" i="11"/>
  <c r="GG28" i="11"/>
  <c r="GE28" i="11"/>
  <c r="GI27" i="11"/>
  <c r="GH27" i="11"/>
  <c r="GG27" i="11"/>
  <c r="GE27" i="11"/>
  <c r="GI26" i="11"/>
  <c r="GH26" i="11"/>
  <c r="GG26" i="11"/>
  <c r="GE26" i="11"/>
  <c r="GI25" i="11"/>
  <c r="GH25" i="11"/>
  <c r="GG25" i="11"/>
  <c r="GE25" i="11"/>
  <c r="GI24" i="11"/>
  <c r="GH24" i="11"/>
  <c r="GG24" i="11"/>
  <c r="GE24" i="11"/>
  <c r="GI23" i="11"/>
  <c r="GH23" i="11"/>
  <c r="GG23" i="11"/>
  <c r="GE23" i="11"/>
  <c r="GI22" i="11"/>
  <c r="GH22" i="11"/>
  <c r="GG22" i="11"/>
  <c r="GE22" i="11"/>
  <c r="GI21" i="11"/>
  <c r="GH21" i="11"/>
  <c r="GG21" i="11"/>
  <c r="GE21" i="11"/>
  <c r="GI20" i="11"/>
  <c r="GH20" i="11"/>
  <c r="GG20" i="11"/>
  <c r="GE20" i="11"/>
  <c r="GI19" i="11"/>
  <c r="GH19" i="11"/>
  <c r="GG19" i="11"/>
  <c r="GE19" i="11"/>
  <c r="GI18" i="11"/>
  <c r="GH18" i="11"/>
  <c r="GG18" i="11"/>
  <c r="GE18" i="11"/>
  <c r="GI17" i="11"/>
  <c r="GH17" i="11"/>
  <c r="GG17" i="11"/>
  <c r="GE17" i="11"/>
  <c r="GI16" i="11"/>
  <c r="GH16" i="11"/>
  <c r="GG16" i="11"/>
  <c r="GE16" i="11"/>
  <c r="GI15" i="11"/>
  <c r="GH15" i="11"/>
  <c r="GG15" i="11"/>
  <c r="GE15" i="11"/>
  <c r="GI14" i="11"/>
  <c r="GH14" i="11"/>
  <c r="GG14" i="11"/>
  <c r="GE14" i="11"/>
  <c r="GI13" i="11"/>
  <c r="GH13" i="11"/>
  <c r="GG13" i="11"/>
  <c r="GE13" i="11"/>
  <c r="GI12" i="11"/>
  <c r="GH12" i="11"/>
  <c r="GG12" i="11"/>
  <c r="GE12" i="11"/>
  <c r="GI11" i="11"/>
  <c r="GH11" i="11"/>
  <c r="GG11" i="11"/>
  <c r="GE11" i="11"/>
  <c r="GI10" i="11"/>
  <c r="GH10" i="11"/>
  <c r="GG10" i="11"/>
  <c r="GE10" i="11"/>
  <c r="GI9" i="11"/>
  <c r="GH9" i="11"/>
  <c r="GG9" i="11"/>
  <c r="GE9" i="11"/>
  <c r="GI8" i="11"/>
  <c r="GH8" i="11"/>
  <c r="GG8" i="11"/>
  <c r="GE8" i="11"/>
  <c r="IL7" i="11"/>
  <c r="HX7" i="11" a="1"/>
  <c r="HX7" i="11" s="1"/>
  <c r="IW7" i="11" s="1"/>
  <c r="HW7" i="11" a="1"/>
  <c r="HW7" i="11" s="1"/>
  <c r="IV7" i="11" s="1"/>
  <c r="HV7" i="11" a="1"/>
  <c r="HV7" i="11" s="1"/>
  <c r="IU7" i="11" s="1"/>
  <c r="HU7" i="11" a="1"/>
  <c r="HU7" i="11" s="1"/>
  <c r="IT7" i="11" s="1"/>
  <c r="HT7" i="11" a="1"/>
  <c r="HT7" i="11" s="1"/>
  <c r="IS7" i="11" s="1"/>
  <c r="HS7" i="11" a="1"/>
  <c r="HS7" i="11" s="1"/>
  <c r="IR7" i="11" s="1"/>
  <c r="HR7" i="11" a="1"/>
  <c r="HR7" i="11" s="1"/>
  <c r="IQ7" i="11" s="1"/>
  <c r="HQ7" i="11" a="1"/>
  <c r="HQ7" i="11" s="1"/>
  <c r="IP7" i="11" s="1"/>
  <c r="HP7" i="11" a="1"/>
  <c r="HP7" i="11" s="1"/>
  <c r="IO7" i="11" s="1"/>
  <c r="HL7" i="11"/>
  <c r="HJ7" i="11"/>
  <c r="HH7" i="11"/>
  <c r="HB7" i="11"/>
  <c r="HA7" i="11"/>
  <c r="GZ7" i="11"/>
  <c r="GY7" i="11"/>
  <c r="GX7" i="11"/>
  <c r="GW7" i="11"/>
  <c r="GV7" i="11"/>
  <c r="GU7" i="11"/>
  <c r="GT7" i="11"/>
  <c r="GP7" i="11"/>
  <c r="GI7" i="11"/>
  <c r="GH7" i="11"/>
  <c r="GG7" i="11"/>
  <c r="GF7" i="11"/>
  <c r="GE7" i="11"/>
  <c r="GD7" i="11"/>
  <c r="GC7" i="11"/>
  <c r="GB7" i="11"/>
  <c r="GA7" i="11"/>
  <c r="FZ7" i="11"/>
  <c r="FY7" i="11"/>
  <c r="FX7" i="11"/>
  <c r="FW7" i="11"/>
  <c r="FV7" i="11"/>
  <c r="FU7" i="11"/>
  <c r="FT7" i="11"/>
  <c r="FS7" i="11"/>
  <c r="FR7" i="11"/>
  <c r="FQ7" i="11"/>
  <c r="FJ7" i="11"/>
  <c r="FI7" i="11"/>
  <c r="FH7" i="11"/>
  <c r="FG7" i="11"/>
  <c r="FF7" i="11"/>
  <c r="FP7" i="11" s="1"/>
  <c r="FE7" i="11"/>
  <c r="FD7" i="11"/>
  <c r="FC7" i="11"/>
  <c r="FB7" i="11"/>
  <c r="FA7" i="11"/>
  <c r="EZ7" i="11"/>
  <c r="EY7" i="11"/>
  <c r="EX7" i="11"/>
  <c r="EW7" i="11"/>
  <c r="EV7" i="11"/>
  <c r="EU7" i="11"/>
  <c r="ET7" i="11"/>
  <c r="ES7" i="11"/>
  <c r="ER7" i="11"/>
  <c r="EQ7" i="11"/>
  <c r="EP7" i="11"/>
  <c r="EO7" i="11"/>
  <c r="EN7" i="11"/>
  <c r="EM7" i="11"/>
  <c r="EL7" i="11"/>
  <c r="EK7" i="11"/>
  <c r="EJ7" i="11"/>
  <c r="EI7" i="11"/>
  <c r="EH7" i="11"/>
  <c r="EG7" i="11"/>
  <c r="EF7" i="11"/>
  <c r="EE7" i="11"/>
  <c r="ED7" i="11"/>
  <c r="EC7" i="11"/>
  <c r="EB7" i="11"/>
  <c r="EA7" i="11"/>
  <c r="DV7" i="11"/>
  <c r="DU7" i="11"/>
  <c r="DT7" i="11"/>
  <c r="DS7" i="11"/>
  <c r="DR7" i="11"/>
  <c r="DQ7" i="11"/>
  <c r="DP7" i="11"/>
  <c r="DO7" i="11"/>
  <c r="DN7" i="11"/>
  <c r="DK7" i="11"/>
  <c r="DJ7" i="11"/>
  <c r="DI7" i="11"/>
  <c r="DH7" i="11"/>
  <c r="DG7" i="11"/>
  <c r="DF7" i="11"/>
  <c r="DE7" i="11"/>
  <c r="DD7" i="11"/>
  <c r="DC7" i="11"/>
  <c r="DB7" i="11"/>
  <c r="DA7" i="11"/>
  <c r="CV7" i="11"/>
  <c r="CU7" i="11"/>
  <c r="CT7" i="11"/>
  <c r="CS7" i="11"/>
  <c r="GN7" i="11" s="1"/>
  <c r="CR7" i="11"/>
  <c r="GM7" i="11" s="1"/>
  <c r="CQ7" i="11"/>
  <c r="GL7" i="11" s="1"/>
  <c r="CP7" i="11"/>
  <c r="GJ7" i="11" s="1"/>
  <c r="GK7" i="11" s="1"/>
  <c r="CO7" i="11"/>
  <c r="DZ7" i="11" s="1"/>
  <c r="CN7" i="11"/>
  <c r="DY7" i="11" s="1"/>
  <c r="CM7" i="11"/>
  <c r="DX7" i="11" s="1"/>
  <c r="CL7" i="11"/>
  <c r="DW7" i="11" s="1"/>
  <c r="CG7" i="11" a="1"/>
  <c r="CG7" i="11" s="1"/>
  <c r="AW7" i="11"/>
  <c r="AV7" i="11"/>
  <c r="G7" i="11"/>
  <c r="IL6" i="11"/>
  <c r="HX6" i="11" a="1"/>
  <c r="HX6" i="11" s="1"/>
  <c r="IW6" i="11" s="1"/>
  <c r="HW6" i="11" a="1"/>
  <c r="HW6" i="11" s="1"/>
  <c r="IV6" i="11" s="1"/>
  <c r="HV6" i="11" a="1"/>
  <c r="HV6" i="11" s="1"/>
  <c r="IU6" i="11" s="1"/>
  <c r="HU6" i="11" a="1"/>
  <c r="HU6" i="11" s="1"/>
  <c r="IT6" i="11" s="1"/>
  <c r="HT6" i="11" a="1"/>
  <c r="HT6" i="11" s="1"/>
  <c r="IS6" i="11" s="1"/>
  <c r="HS6" i="11" a="1"/>
  <c r="HS6" i="11" s="1"/>
  <c r="IR6" i="11" s="1"/>
  <c r="HR6" i="11" a="1"/>
  <c r="HR6" i="11" s="1"/>
  <c r="IQ6" i="11" s="1"/>
  <c r="HQ6" i="11" a="1"/>
  <c r="HQ6" i="11" s="1"/>
  <c r="IP6" i="11" s="1"/>
  <c r="HP6" i="11" a="1"/>
  <c r="HP6" i="11" s="1"/>
  <c r="IO6" i="11" s="1"/>
  <c r="HL6" i="11"/>
  <c r="HJ6" i="11"/>
  <c r="HH6" i="11"/>
  <c r="HB6" i="11"/>
  <c r="HA6" i="11"/>
  <c r="GZ6" i="11"/>
  <c r="GY6" i="11"/>
  <c r="GX6" i="11"/>
  <c r="GW6" i="11"/>
  <c r="GV6" i="11"/>
  <c r="GU6" i="11"/>
  <c r="GT6" i="11"/>
  <c r="GP6" i="11"/>
  <c r="GI6" i="11"/>
  <c r="GH6" i="11"/>
  <c r="GG6" i="11"/>
  <c r="GF6" i="11"/>
  <c r="GE6" i="11"/>
  <c r="GD6" i="11"/>
  <c r="GC6" i="11"/>
  <c r="GB6" i="11"/>
  <c r="GA6" i="11"/>
  <c r="FZ6" i="11"/>
  <c r="FY6" i="11"/>
  <c r="FX6" i="11"/>
  <c r="FW6" i="11"/>
  <c r="FV6" i="11"/>
  <c r="FU6" i="11"/>
  <c r="FT6" i="11"/>
  <c r="FS6" i="11"/>
  <c r="FR6" i="11"/>
  <c r="FQ6" i="11"/>
  <c r="FJ6" i="11"/>
  <c r="FI6" i="11"/>
  <c r="FH6" i="11"/>
  <c r="FG6" i="11"/>
  <c r="FF6" i="11"/>
  <c r="FP6" i="11" s="1"/>
  <c r="FE6" i="11"/>
  <c r="FD6" i="11"/>
  <c r="FC6" i="11"/>
  <c r="FB6" i="11"/>
  <c r="FA6" i="11"/>
  <c r="EZ6" i="11"/>
  <c r="EY6" i="11"/>
  <c r="EX6" i="11"/>
  <c r="EW6" i="11"/>
  <c r="EV6" i="11"/>
  <c r="EU6" i="11"/>
  <c r="ET6" i="11"/>
  <c r="ES6" i="11"/>
  <c r="ER6" i="11"/>
  <c r="EQ6" i="11"/>
  <c r="EP6" i="11"/>
  <c r="EO6" i="11"/>
  <c r="EN6" i="11"/>
  <c r="EM6" i="11"/>
  <c r="EL6" i="11"/>
  <c r="EK6" i="11"/>
  <c r="EJ6" i="11"/>
  <c r="EI6" i="11"/>
  <c r="EH6" i="11"/>
  <c r="EG6" i="11"/>
  <c r="EF6" i="11"/>
  <c r="EE6" i="11"/>
  <c r="ED6" i="11"/>
  <c r="EC6" i="11"/>
  <c r="EB6" i="11"/>
  <c r="EA6" i="11"/>
  <c r="DV6" i="11"/>
  <c r="DU6" i="11"/>
  <c r="DT6" i="11"/>
  <c r="DS6" i="11"/>
  <c r="DR6" i="11"/>
  <c r="DQ6" i="11"/>
  <c r="DP6" i="11"/>
  <c r="DO6" i="11"/>
  <c r="DN6" i="11"/>
  <c r="DK6" i="11"/>
  <c r="DJ6" i="11"/>
  <c r="DI6" i="11"/>
  <c r="DH6" i="11"/>
  <c r="DG6" i="11"/>
  <c r="DF6" i="11"/>
  <c r="DE6" i="11"/>
  <c r="DD6" i="11"/>
  <c r="DC6" i="11"/>
  <c r="DB6" i="11"/>
  <c r="DA6" i="11"/>
  <c r="CV6" i="11"/>
  <c r="CU6" i="11"/>
  <c r="CT6" i="11"/>
  <c r="CS6" i="11"/>
  <c r="GN6" i="11" s="1"/>
  <c r="CR6" i="11"/>
  <c r="GM6" i="11" s="1"/>
  <c r="CQ6" i="11"/>
  <c r="GL6" i="11" s="1"/>
  <c r="CP6" i="11"/>
  <c r="GJ6" i="11" s="1"/>
  <c r="GK6" i="11" s="1"/>
  <c r="CO6" i="11"/>
  <c r="DZ6" i="11" s="1"/>
  <c r="CN6" i="11"/>
  <c r="DY6" i="11" s="1"/>
  <c r="CM6" i="11"/>
  <c r="DX6" i="11" s="1"/>
  <c r="CL6" i="11"/>
  <c r="DW6" i="11" s="1"/>
  <c r="CG6" i="11" a="1"/>
  <c r="CG6" i="11" s="1"/>
  <c r="AW6" i="11"/>
  <c r="AV6" i="11"/>
  <c r="G6" i="11"/>
  <c r="IL5" i="11"/>
  <c r="HX5" i="11" a="1"/>
  <c r="HX5" i="11" s="1"/>
  <c r="IW5" i="11" s="1"/>
  <c r="HW5" i="11" a="1"/>
  <c r="HW5" i="11" s="1"/>
  <c r="IV5" i="11" s="1"/>
  <c r="HV5" i="11" a="1"/>
  <c r="HV5" i="11" s="1"/>
  <c r="IU5" i="11" s="1"/>
  <c r="HU5" i="11" a="1"/>
  <c r="HU5" i="11" s="1"/>
  <c r="IT5" i="11" s="1"/>
  <c r="HT5" i="11" a="1"/>
  <c r="HT5" i="11" s="1"/>
  <c r="IS5" i="11" s="1"/>
  <c r="HS5" i="11" a="1"/>
  <c r="HS5" i="11" s="1"/>
  <c r="IR5" i="11" s="1"/>
  <c r="HR5" i="11" a="1"/>
  <c r="HR5" i="11" s="1"/>
  <c r="IQ5" i="11" s="1"/>
  <c r="HQ5" i="11" a="1"/>
  <c r="HQ5" i="11" s="1"/>
  <c r="IP5" i="11" s="1"/>
  <c r="HP5" i="11" a="1"/>
  <c r="HP5" i="11" s="1"/>
  <c r="HL5" i="11"/>
  <c r="HJ5" i="11"/>
  <c r="HH5" i="11"/>
  <c r="HI5" i="11" s="1"/>
  <c r="HB5" i="11"/>
  <c r="HA5" i="11"/>
  <c r="GZ5" i="11"/>
  <c r="GY5" i="11"/>
  <c r="GX5" i="11"/>
  <c r="GW5" i="11"/>
  <c r="GV5" i="11"/>
  <c r="GU5" i="11"/>
  <c r="GT5" i="11"/>
  <c r="GP5" i="11"/>
  <c r="GI5" i="11"/>
  <c r="GH5" i="11"/>
  <c r="GG5" i="11"/>
  <c r="GF5" i="11"/>
  <c r="GE5" i="11"/>
  <c r="GD5" i="11"/>
  <c r="GC5" i="11"/>
  <c r="GB5" i="11"/>
  <c r="GA5" i="11"/>
  <c r="FZ5" i="11"/>
  <c r="FY5" i="11"/>
  <c r="FX5" i="11"/>
  <c r="FW5" i="11"/>
  <c r="FV5" i="11"/>
  <c r="FU5" i="11"/>
  <c r="FT5" i="11"/>
  <c r="FS5" i="11"/>
  <c r="FR5" i="11"/>
  <c r="FQ5" i="11"/>
  <c r="FJ5" i="11"/>
  <c r="FI5" i="11"/>
  <c r="FH5" i="11"/>
  <c r="FG5" i="11"/>
  <c r="FF5" i="11"/>
  <c r="FP5" i="11" s="1"/>
  <c r="FE5" i="11"/>
  <c r="FD5" i="11"/>
  <c r="FC5" i="11"/>
  <c r="FB5" i="11"/>
  <c r="FA5" i="11"/>
  <c r="EZ5" i="11"/>
  <c r="EY5" i="11"/>
  <c r="EX5" i="11"/>
  <c r="EW5" i="11"/>
  <c r="EV5" i="11"/>
  <c r="EU5" i="11"/>
  <c r="ET5" i="11"/>
  <c r="ES5" i="11"/>
  <c r="ER5" i="11"/>
  <c r="EQ5" i="11"/>
  <c r="EP5" i="11"/>
  <c r="EO5" i="11"/>
  <c r="EN5" i="11"/>
  <c r="EM5" i="11"/>
  <c r="EL5" i="11"/>
  <c r="EK5" i="11"/>
  <c r="EJ5" i="11"/>
  <c r="EI5" i="11"/>
  <c r="EH5" i="11"/>
  <c r="EG5" i="11"/>
  <c r="EF5" i="11"/>
  <c r="EE5" i="11"/>
  <c r="ED5" i="11"/>
  <c r="EC5" i="11"/>
  <c r="EB5" i="11"/>
  <c r="EA5" i="11"/>
  <c r="DV5" i="11"/>
  <c r="DU5" i="11"/>
  <c r="DT5" i="11"/>
  <c r="DS5" i="11"/>
  <c r="DR5" i="11"/>
  <c r="DQ5" i="11"/>
  <c r="DP5" i="11"/>
  <c r="DO5" i="11"/>
  <c r="DN5" i="11"/>
  <c r="DK5" i="11"/>
  <c r="DJ5" i="11"/>
  <c r="DI5" i="11"/>
  <c r="DH5" i="11"/>
  <c r="DG5" i="11"/>
  <c r="DF5" i="11"/>
  <c r="DE5" i="11"/>
  <c r="DD5" i="11"/>
  <c r="DC5" i="11"/>
  <c r="DB5" i="11"/>
  <c r="DA5" i="11"/>
  <c r="CV5" i="11"/>
  <c r="CU5" i="11"/>
  <c r="CT5" i="11"/>
  <c r="CS5" i="11"/>
  <c r="GN5" i="11" s="1"/>
  <c r="CR5" i="11"/>
  <c r="GM5" i="11" s="1"/>
  <c r="CQ5" i="11"/>
  <c r="GL5" i="11" s="1"/>
  <c r="CP5" i="11"/>
  <c r="GJ5" i="11" s="1"/>
  <c r="GK5" i="11" s="1"/>
  <c r="CO5" i="11"/>
  <c r="DZ5" i="11" s="1"/>
  <c r="CN5" i="11"/>
  <c r="DY5" i="11" s="1"/>
  <c r="CM5" i="11"/>
  <c r="DX5" i="11" s="1"/>
  <c r="CL5" i="11"/>
  <c r="DW5" i="11" s="1"/>
  <c r="CG5" i="11" a="1"/>
  <c r="CG5" i="11" s="1"/>
  <c r="AW5" i="11"/>
  <c r="AV5" i="11"/>
  <c r="G5" i="11"/>
  <c r="IL4" i="11"/>
  <c r="HX4" i="11" a="1"/>
  <c r="HX4" i="11" s="1"/>
  <c r="IW4" i="11" s="1"/>
  <c r="HW4" i="11" a="1"/>
  <c r="HW4" i="11" s="1"/>
  <c r="IV4" i="11" s="1"/>
  <c r="HV4" i="11" a="1"/>
  <c r="HV4" i="11" s="1"/>
  <c r="IU4" i="11" s="1"/>
  <c r="HU4" i="11" a="1"/>
  <c r="HU4" i="11" s="1"/>
  <c r="IT4" i="11" s="1"/>
  <c r="HT4" i="11" a="1"/>
  <c r="HT4" i="11" s="1"/>
  <c r="IS4" i="11" s="1"/>
  <c r="HS4" i="11" a="1"/>
  <c r="HS4" i="11" s="1"/>
  <c r="IR4" i="11" s="1"/>
  <c r="HR4" i="11" a="1"/>
  <c r="HR4" i="11" s="1"/>
  <c r="HQ4" i="11" a="1"/>
  <c r="HQ4" i="11" s="1"/>
  <c r="IP4" i="11" s="1"/>
  <c r="HP4" i="11" a="1"/>
  <c r="HP4" i="11" s="1"/>
  <c r="IO4" i="11" s="1"/>
  <c r="HL4" i="11"/>
  <c r="HJ4" i="11"/>
  <c r="HH4" i="11"/>
  <c r="HB4" i="11"/>
  <c r="HA4" i="11"/>
  <c r="GZ4" i="11"/>
  <c r="GY4" i="11"/>
  <c r="GX4" i="11"/>
  <c r="GW4" i="11"/>
  <c r="GV4" i="11"/>
  <c r="GU4" i="11"/>
  <c r="GT4" i="11"/>
  <c r="GP4" i="11"/>
  <c r="GI4" i="11"/>
  <c r="GH4" i="11"/>
  <c r="GG4" i="11"/>
  <c r="GF4" i="11"/>
  <c r="GE4" i="11"/>
  <c r="GD4" i="11"/>
  <c r="GC4" i="11"/>
  <c r="GB4" i="11"/>
  <c r="GA4" i="11"/>
  <c r="FZ4" i="11"/>
  <c r="FY4" i="11"/>
  <c r="FX4" i="11"/>
  <c r="FW4" i="11"/>
  <c r="FV4" i="11"/>
  <c r="FU4" i="11"/>
  <c r="FT4" i="11"/>
  <c r="FS4" i="11"/>
  <c r="FR4" i="11"/>
  <c r="FQ4" i="11"/>
  <c r="FJ4" i="11"/>
  <c r="FI4" i="11"/>
  <c r="FH4" i="11"/>
  <c r="FG4" i="11"/>
  <c r="FF4" i="11"/>
  <c r="FE4" i="11"/>
  <c r="FD4" i="11"/>
  <c r="FC4" i="11"/>
  <c r="FB4" i="11"/>
  <c r="FA4" i="11"/>
  <c r="EZ4" i="11"/>
  <c r="EY4" i="11"/>
  <c r="EX4" i="11"/>
  <c r="EW4" i="11"/>
  <c r="EV4" i="11"/>
  <c r="EU4" i="11"/>
  <c r="ET4" i="11"/>
  <c r="ES4" i="11"/>
  <c r="ER4" i="11"/>
  <c r="EQ4" i="11"/>
  <c r="EP4" i="11"/>
  <c r="EO4" i="11"/>
  <c r="EN4" i="11"/>
  <c r="EM4" i="11"/>
  <c r="EL4" i="11"/>
  <c r="EK4" i="11"/>
  <c r="EJ4" i="11"/>
  <c r="EI4" i="11"/>
  <c r="EH4" i="11"/>
  <c r="EG4" i="11"/>
  <c r="EF4" i="11"/>
  <c r="EE4" i="11"/>
  <c r="ED4" i="11"/>
  <c r="EC4" i="11"/>
  <c r="EB4" i="11"/>
  <c r="EA4" i="11"/>
  <c r="DV4" i="11"/>
  <c r="DU4" i="11"/>
  <c r="DT4" i="11"/>
  <c r="DS4" i="11"/>
  <c r="DR4" i="11"/>
  <c r="DQ4" i="11"/>
  <c r="DP4" i="11"/>
  <c r="DO4" i="11"/>
  <c r="DN4" i="11"/>
  <c r="DK4" i="11"/>
  <c r="DJ4" i="11"/>
  <c r="DI4" i="11"/>
  <c r="DH4" i="11"/>
  <c r="DG4" i="11"/>
  <c r="DF4" i="11"/>
  <c r="DE4" i="11"/>
  <c r="DD4" i="11"/>
  <c r="DC4" i="11"/>
  <c r="DB4" i="11"/>
  <c r="DA4" i="11"/>
  <c r="CV4" i="11"/>
  <c r="CU4" i="11"/>
  <c r="CT4" i="11"/>
  <c r="CS4" i="11"/>
  <c r="GN4" i="11" s="1"/>
  <c r="CR4" i="11"/>
  <c r="GM4" i="11" s="1"/>
  <c r="CQ4" i="11"/>
  <c r="GL4" i="11" s="1"/>
  <c r="CP4" i="11"/>
  <c r="GJ4" i="11" s="1"/>
  <c r="GK4" i="11" s="1"/>
  <c r="CO4" i="11"/>
  <c r="DZ4" i="11" s="1"/>
  <c r="CN4" i="11"/>
  <c r="DY4" i="11" s="1"/>
  <c r="CM4" i="11"/>
  <c r="DX4" i="11" s="1"/>
  <c r="CL4" i="11"/>
  <c r="DW4" i="11" s="1"/>
  <c r="CG4" i="11" a="1"/>
  <c r="CG4" i="11" s="1"/>
  <c r="AW4" i="11"/>
  <c r="AV4" i="11"/>
  <c r="G4" i="11"/>
  <c r="IL3" i="11"/>
  <c r="HX3" i="11" a="1"/>
  <c r="HX3" i="11" s="1"/>
  <c r="IW3" i="11" s="1"/>
  <c r="HW3" i="11" a="1"/>
  <c r="HW3" i="11" s="1"/>
  <c r="IV3" i="11" s="1"/>
  <c r="HV3" i="11" a="1"/>
  <c r="HV3" i="11" s="1"/>
  <c r="IU3" i="11" s="1"/>
  <c r="HU3" i="11" a="1"/>
  <c r="HU3" i="11" s="1"/>
  <c r="IT3" i="11" s="1"/>
  <c r="HT3" i="11" a="1"/>
  <c r="HT3" i="11" s="1"/>
  <c r="IS3" i="11" s="1"/>
  <c r="HS3" i="11" a="1"/>
  <c r="HS3" i="11" s="1"/>
  <c r="IR3" i="11" s="1"/>
  <c r="HR3" i="11" a="1"/>
  <c r="HR3" i="11" s="1"/>
  <c r="IQ3" i="11" s="1"/>
  <c r="HQ3" i="11" a="1"/>
  <c r="HQ3" i="11" s="1"/>
  <c r="IP3" i="11" s="1"/>
  <c r="HP3" i="11" a="1"/>
  <c r="HP3" i="11" s="1"/>
  <c r="IO3" i="11" s="1"/>
  <c r="HL3" i="11"/>
  <c r="HJ3" i="11"/>
  <c r="HH3" i="11"/>
  <c r="HB3" i="11"/>
  <c r="HA3" i="11"/>
  <c r="GZ3" i="11"/>
  <c r="GY3" i="11"/>
  <c r="GX3" i="11"/>
  <c r="GW3" i="11"/>
  <c r="GV3" i="11"/>
  <c r="GU3" i="11"/>
  <c r="GT3" i="11"/>
  <c r="GP3" i="11"/>
  <c r="GI3" i="11"/>
  <c r="GH3" i="11"/>
  <c r="GG3" i="11"/>
  <c r="GF3" i="11"/>
  <c r="GE3" i="11"/>
  <c r="GD3" i="11"/>
  <c r="GC3" i="11"/>
  <c r="GB3" i="11"/>
  <c r="GA3" i="11"/>
  <c r="FZ3" i="11"/>
  <c r="FY3" i="11"/>
  <c r="FX3" i="11"/>
  <c r="FW3" i="11"/>
  <c r="FV3" i="11"/>
  <c r="FU3" i="11"/>
  <c r="FT3" i="11"/>
  <c r="FS3" i="11"/>
  <c r="FR3" i="11"/>
  <c r="FQ3" i="11"/>
  <c r="FJ3" i="11"/>
  <c r="FI3" i="11"/>
  <c r="FH3" i="11"/>
  <c r="FG3" i="11"/>
  <c r="FF3" i="11"/>
  <c r="FE3" i="11"/>
  <c r="FD3" i="11"/>
  <c r="FC3" i="11"/>
  <c r="FB3" i="11"/>
  <c r="FA3" i="11"/>
  <c r="EZ3" i="11"/>
  <c r="EY3" i="11"/>
  <c r="EX3" i="11"/>
  <c r="EW3" i="11"/>
  <c r="EV3" i="11"/>
  <c r="EU3" i="11"/>
  <c r="ET3" i="11"/>
  <c r="ES3" i="11"/>
  <c r="ER3" i="11"/>
  <c r="EQ3" i="11"/>
  <c r="EP3" i="11"/>
  <c r="EO3" i="11"/>
  <c r="EN3" i="11"/>
  <c r="EM3" i="11"/>
  <c r="EL3" i="11"/>
  <c r="EK3" i="11"/>
  <c r="EJ3" i="11"/>
  <c r="EI3" i="11"/>
  <c r="EH3" i="11"/>
  <c r="EG3" i="11"/>
  <c r="EF3" i="11"/>
  <c r="EE3" i="11"/>
  <c r="ED3" i="11"/>
  <c r="EC3" i="11"/>
  <c r="EB3" i="11"/>
  <c r="EA3" i="11"/>
  <c r="DV3" i="11"/>
  <c r="DU3" i="11"/>
  <c r="DT3" i="11"/>
  <c r="DS3" i="11"/>
  <c r="DR3" i="11"/>
  <c r="DQ3" i="11"/>
  <c r="DP3" i="11"/>
  <c r="DO3" i="11"/>
  <c r="DN3" i="11"/>
  <c r="DK3" i="11"/>
  <c r="DJ3" i="11"/>
  <c r="DI3" i="11"/>
  <c r="DH3" i="11"/>
  <c r="DG3" i="11"/>
  <c r="DF3" i="11"/>
  <c r="DE3" i="11"/>
  <c r="DD3" i="11"/>
  <c r="DC3" i="11"/>
  <c r="DB3" i="11"/>
  <c r="DA3" i="11"/>
  <c r="CV3" i="11"/>
  <c r="CU3" i="11"/>
  <c r="CT3" i="11"/>
  <c r="CS3" i="11"/>
  <c r="GN3" i="11" s="1"/>
  <c r="CR3" i="11"/>
  <c r="GM3" i="11" s="1"/>
  <c r="CQ3" i="11"/>
  <c r="GL3" i="11" s="1"/>
  <c r="CP3" i="11"/>
  <c r="GJ3" i="11" s="1"/>
  <c r="GK3" i="11" s="1"/>
  <c r="CO3" i="11"/>
  <c r="DZ3" i="11" s="1"/>
  <c r="CN3" i="11"/>
  <c r="DY3" i="11" s="1"/>
  <c r="CM3" i="11"/>
  <c r="DX3" i="11" s="1"/>
  <c r="CL3" i="11"/>
  <c r="DW3" i="11" s="1"/>
  <c r="CG3" i="11" a="1"/>
  <c r="CG3" i="11" s="1"/>
  <c r="IM3" i="11" s="1"/>
  <c r="AW3" i="11"/>
  <c r="AV3" i="11"/>
  <c r="G3" i="11"/>
  <c r="IL2" i="11"/>
  <c r="HX2" i="11" a="1"/>
  <c r="HX2" i="11" s="1"/>
  <c r="IW2" i="11" s="1"/>
  <c r="HW2" i="11" a="1"/>
  <c r="HW2" i="11" s="1"/>
  <c r="IV2" i="11" s="1"/>
  <c r="HV2" i="11" a="1"/>
  <c r="HV2" i="11" s="1"/>
  <c r="IU2" i="11" s="1"/>
  <c r="HU2" i="11" a="1"/>
  <c r="HU2" i="11" s="1"/>
  <c r="IT2" i="11" s="1"/>
  <c r="HT2" i="11" a="1"/>
  <c r="HT2" i="11" s="1"/>
  <c r="IS2" i="11" s="1"/>
  <c r="HS2" i="11" a="1"/>
  <c r="HS2" i="11" s="1"/>
  <c r="IR2" i="11" s="1"/>
  <c r="HR2" i="11" a="1"/>
  <c r="HR2" i="11" s="1"/>
  <c r="IQ2" i="11" s="1"/>
  <c r="HQ2" i="11" a="1"/>
  <c r="HQ2" i="11" s="1"/>
  <c r="IP2" i="11" s="1"/>
  <c r="HP2" i="11" a="1"/>
  <c r="HP2" i="11" s="1"/>
  <c r="IO2" i="11" s="1"/>
  <c r="HL2" i="11"/>
  <c r="HJ2" i="11"/>
  <c r="HH2" i="11"/>
  <c r="HB2" i="11"/>
  <c r="HA2" i="11"/>
  <c r="GZ2" i="11"/>
  <c r="GY2" i="11"/>
  <c r="GX2" i="11"/>
  <c r="GW2" i="11"/>
  <c r="GV2" i="11"/>
  <c r="GU2" i="11"/>
  <c r="GT2" i="11"/>
  <c r="GP2" i="11"/>
  <c r="GI2" i="11"/>
  <c r="GH2" i="11"/>
  <c r="GG2" i="11"/>
  <c r="GF2" i="11"/>
  <c r="GE2" i="11"/>
  <c r="GD2" i="11"/>
  <c r="GC2" i="11"/>
  <c r="GB2" i="11"/>
  <c r="GA2" i="11"/>
  <c r="FZ2" i="11"/>
  <c r="FY2" i="11"/>
  <c r="FX2" i="11"/>
  <c r="FW2" i="11"/>
  <c r="FV2" i="11"/>
  <c r="FU2" i="11"/>
  <c r="FT2" i="11"/>
  <c r="FS2" i="11"/>
  <c r="FR2" i="11"/>
  <c r="FQ2" i="11"/>
  <c r="FJ2" i="11"/>
  <c r="FI2" i="11"/>
  <c r="FH2" i="11"/>
  <c r="FG2" i="11"/>
  <c r="FF2" i="11"/>
  <c r="FP2" i="11" s="1"/>
  <c r="FE2" i="11"/>
  <c r="FD2" i="11"/>
  <c r="FC2" i="11"/>
  <c r="FB2" i="11"/>
  <c r="FA2" i="11"/>
  <c r="EZ2" i="11"/>
  <c r="EY2" i="11"/>
  <c r="EX2" i="11"/>
  <c r="EW2" i="11"/>
  <c r="EV2" i="11"/>
  <c r="EU2" i="11"/>
  <c r="ET2" i="11"/>
  <c r="ES2" i="11"/>
  <c r="ER2" i="11"/>
  <c r="EQ2" i="11"/>
  <c r="EP2" i="11"/>
  <c r="EO2" i="11"/>
  <c r="EN2" i="11"/>
  <c r="EM2" i="11"/>
  <c r="EL2" i="11"/>
  <c r="EK2" i="11"/>
  <c r="EJ2" i="11"/>
  <c r="EI2" i="11"/>
  <c r="EH2" i="11"/>
  <c r="EG2" i="11"/>
  <c r="EF2" i="11"/>
  <c r="EE2" i="11"/>
  <c r="ED2" i="11"/>
  <c r="EC2" i="11"/>
  <c r="EB2" i="11"/>
  <c r="EA2" i="11"/>
  <c r="DV2" i="11"/>
  <c r="DU2" i="11"/>
  <c r="DT2" i="11"/>
  <c r="DS2" i="11"/>
  <c r="DR2" i="11"/>
  <c r="DQ2" i="11"/>
  <c r="DP2" i="11"/>
  <c r="DO2" i="11"/>
  <c r="DN2" i="11"/>
  <c r="DK2" i="11"/>
  <c r="DJ2" i="11"/>
  <c r="DI2" i="11"/>
  <c r="DH2" i="11"/>
  <c r="DG2" i="11"/>
  <c r="DF2" i="11"/>
  <c r="DE2" i="11"/>
  <c r="DD2" i="11"/>
  <c r="DC2" i="11"/>
  <c r="DB2" i="11"/>
  <c r="DA2" i="11"/>
  <c r="CV2" i="11"/>
  <c r="CU2" i="11"/>
  <c r="CT2" i="11"/>
  <c r="CS2" i="11"/>
  <c r="GN2" i="11" s="1"/>
  <c r="CR2" i="11"/>
  <c r="GM2" i="11" s="1"/>
  <c r="CQ2" i="11"/>
  <c r="GL2" i="11" s="1"/>
  <c r="CP2" i="11"/>
  <c r="GJ2" i="11" s="1"/>
  <c r="GK2" i="11" s="1"/>
  <c r="CO2" i="11"/>
  <c r="DZ2" i="11" s="1"/>
  <c r="CN2" i="11"/>
  <c r="DY2" i="11" s="1"/>
  <c r="CM2" i="11"/>
  <c r="DX2" i="11" s="1"/>
  <c r="CL2" i="11"/>
  <c r="DW2" i="11" s="1"/>
  <c r="CG2" i="11" a="1"/>
  <c r="CG2" i="11" s="1"/>
  <c r="AW2" i="11"/>
  <c r="AV2" i="11"/>
  <c r="G2" i="11"/>
  <c r="HX11" i="10" a="1"/>
  <c r="HX11" i="10" s="1"/>
  <c r="IW11" i="10" s="1"/>
  <c r="HW11" i="10" a="1"/>
  <c r="HW11" i="10" s="1"/>
  <c r="IV11" i="10" s="1"/>
  <c r="HV11" i="10" a="1"/>
  <c r="HV11" i="10" s="1"/>
  <c r="IU11" i="10" s="1"/>
  <c r="HU11" i="10" a="1"/>
  <c r="HU11" i="10" s="1"/>
  <c r="IT11" i="10" s="1"/>
  <c r="HT11" i="10" a="1"/>
  <c r="HT11" i="10" s="1"/>
  <c r="HS11" i="10" a="1"/>
  <c r="HS11" i="10" s="1"/>
  <c r="IR11" i="10" s="1"/>
  <c r="HR11" i="10" a="1"/>
  <c r="HR11" i="10" s="1"/>
  <c r="IQ11" i="10" s="1"/>
  <c r="HQ11" i="10" a="1"/>
  <c r="HQ11" i="10" s="1"/>
  <c r="IP11" i="10" s="1"/>
  <c r="HP11" i="10" a="1"/>
  <c r="HP11" i="10" s="1"/>
  <c r="IO11" i="10" s="1"/>
  <c r="HL11" i="10"/>
  <c r="HJ11" i="10"/>
  <c r="HH11" i="10"/>
  <c r="HI11" i="10" s="1"/>
  <c r="HB11" i="10"/>
  <c r="HA11" i="10"/>
  <c r="GZ11" i="10"/>
  <c r="GY11" i="10"/>
  <c r="GX11" i="10"/>
  <c r="GW11" i="10"/>
  <c r="GV11" i="10"/>
  <c r="GU11" i="10"/>
  <c r="GT11" i="10"/>
  <c r="GP11" i="10"/>
  <c r="GI11" i="10"/>
  <c r="GH11" i="10"/>
  <c r="GG11" i="10"/>
  <c r="GF11" i="10"/>
  <c r="GE11" i="10"/>
  <c r="GB11" i="10"/>
  <c r="GA11" i="10"/>
  <c r="FZ11" i="10"/>
  <c r="FY11" i="10"/>
  <c r="FW11" i="10"/>
  <c r="FV11" i="10"/>
  <c r="FU11" i="10"/>
  <c r="FT11" i="10"/>
  <c r="FS11" i="10"/>
  <c r="FR11" i="10"/>
  <c r="FQ11" i="10"/>
  <c r="FJ11" i="10"/>
  <c r="FI11" i="10"/>
  <c r="FH11" i="10"/>
  <c r="FG11" i="10"/>
  <c r="FF11" i="10"/>
  <c r="FP11" i="10" s="1"/>
  <c r="FE11" i="10"/>
  <c r="FD11" i="10"/>
  <c r="FB11" i="10"/>
  <c r="FA11" i="10"/>
  <c r="EZ11" i="10"/>
  <c r="EY11" i="10"/>
  <c r="EX11" i="10"/>
  <c r="EW11" i="10"/>
  <c r="EV11" i="10"/>
  <c r="EU11" i="10"/>
  <c r="ET11" i="10"/>
  <c r="ES11" i="10"/>
  <c r="ER11" i="10"/>
  <c r="EQ11" i="10"/>
  <c r="EP11" i="10"/>
  <c r="EO11" i="10"/>
  <c r="EN11" i="10"/>
  <c r="EM11" i="10"/>
  <c r="EL11" i="10"/>
  <c r="EK11" i="10"/>
  <c r="EJ11" i="10"/>
  <c r="EI11" i="10"/>
  <c r="EH11" i="10"/>
  <c r="EG11" i="10"/>
  <c r="EF11" i="10"/>
  <c r="EE11" i="10"/>
  <c r="ED11" i="10"/>
  <c r="EC11" i="10"/>
  <c r="EB11" i="10"/>
  <c r="EA11" i="10"/>
  <c r="DU11" i="10"/>
  <c r="DT11" i="10"/>
  <c r="DS11" i="10"/>
  <c r="DR11" i="10"/>
  <c r="DQ11" i="10"/>
  <c r="DP11" i="10"/>
  <c r="DO11" i="10"/>
  <c r="DN11" i="10"/>
  <c r="DK11" i="10"/>
  <c r="DJ11" i="10"/>
  <c r="DI11" i="10"/>
  <c r="DH11" i="10"/>
  <c r="DG11" i="10"/>
  <c r="DF11" i="10"/>
  <c r="DE11" i="10"/>
  <c r="DD11" i="10"/>
  <c r="DB11" i="10"/>
  <c r="DA11" i="10"/>
  <c r="CV11" i="10"/>
  <c r="CU11" i="10"/>
  <c r="CT11" i="10"/>
  <c r="CS11" i="10"/>
  <c r="GN11" i="10" s="1"/>
  <c r="CR11" i="10"/>
  <c r="GM11" i="10" s="1"/>
  <c r="CQ11" i="10"/>
  <c r="GL11" i="10" s="1"/>
  <c r="CP11" i="10"/>
  <c r="GJ11" i="10" s="1"/>
  <c r="GK11" i="10" s="1"/>
  <c r="CO11" i="10"/>
  <c r="DZ11" i="10" s="1"/>
  <c r="CN11" i="10"/>
  <c r="DY11" i="10" s="1"/>
  <c r="CM11" i="10"/>
  <c r="DX11" i="10" s="1"/>
  <c r="CL11" i="10"/>
  <c r="DW11" i="10" s="1"/>
  <c r="CG11" i="10" a="1"/>
  <c r="CG11" i="10" s="1"/>
  <c r="CK11" i="10" s="1"/>
  <c r="CZ11" i="10" s="1"/>
  <c r="AW11" i="10"/>
  <c r="AV11" i="10"/>
  <c r="G11" i="10"/>
  <c r="HX10" i="10" a="1"/>
  <c r="HX10" i="10" s="1"/>
  <c r="IW10" i="10" s="1"/>
  <c r="HW10" i="10" a="1"/>
  <c r="HW10" i="10" s="1"/>
  <c r="IV10" i="10" s="1"/>
  <c r="HV10" i="10" a="1"/>
  <c r="HV10" i="10" s="1"/>
  <c r="IU10" i="10" s="1"/>
  <c r="HU10" i="10" a="1"/>
  <c r="HU10" i="10" s="1"/>
  <c r="IT10" i="10" s="1"/>
  <c r="HT10" i="10" a="1"/>
  <c r="HT10" i="10" s="1"/>
  <c r="IS10" i="10" s="1"/>
  <c r="HS10" i="10" a="1"/>
  <c r="HS10" i="10" s="1"/>
  <c r="IR10" i="10" s="1"/>
  <c r="HR10" i="10" a="1"/>
  <c r="HR10" i="10" s="1"/>
  <c r="IQ10" i="10" s="1"/>
  <c r="HQ10" i="10" a="1"/>
  <c r="HQ10" i="10" s="1"/>
  <c r="IP10" i="10" s="1"/>
  <c r="HP10" i="10" a="1"/>
  <c r="HP10" i="10" s="1"/>
  <c r="IO10" i="10" s="1"/>
  <c r="HL10" i="10"/>
  <c r="HJ10" i="10"/>
  <c r="HH10" i="10"/>
  <c r="HI10" i="10" s="1"/>
  <c r="HB10" i="10"/>
  <c r="HA10" i="10"/>
  <c r="GZ10" i="10"/>
  <c r="GY10" i="10"/>
  <c r="GX10" i="10"/>
  <c r="GW10" i="10"/>
  <c r="GV10" i="10"/>
  <c r="GU10" i="10"/>
  <c r="GT10" i="10"/>
  <c r="GP10" i="10"/>
  <c r="GI10" i="10"/>
  <c r="GH10" i="10"/>
  <c r="GG10" i="10"/>
  <c r="GF10" i="10"/>
  <c r="GE10" i="10"/>
  <c r="GB10" i="10"/>
  <c r="GA10" i="10"/>
  <c r="FZ10" i="10"/>
  <c r="FY10" i="10"/>
  <c r="FW10" i="10"/>
  <c r="FV10" i="10"/>
  <c r="FU10" i="10"/>
  <c r="FT10" i="10"/>
  <c r="FS10" i="10"/>
  <c r="FR10" i="10"/>
  <c r="FQ10" i="10"/>
  <c r="FJ10" i="10"/>
  <c r="FI10" i="10"/>
  <c r="FH10" i="10"/>
  <c r="FG10" i="10"/>
  <c r="FF10" i="10"/>
  <c r="FP10" i="10" s="1"/>
  <c r="FE10" i="10"/>
  <c r="FD10" i="10"/>
  <c r="FB10" i="10"/>
  <c r="FA10" i="10"/>
  <c r="EZ10" i="10"/>
  <c r="EY10" i="10"/>
  <c r="EX10" i="10"/>
  <c r="EW10" i="10"/>
  <c r="EV10" i="10"/>
  <c r="EU10" i="10"/>
  <c r="ET10" i="10"/>
  <c r="ES10" i="10"/>
  <c r="ER10" i="10"/>
  <c r="EQ10" i="10"/>
  <c r="EP10" i="10"/>
  <c r="EO10" i="10"/>
  <c r="EN10" i="10"/>
  <c r="EM10" i="10"/>
  <c r="EL10" i="10"/>
  <c r="EK10" i="10"/>
  <c r="EJ10" i="10"/>
  <c r="EI10" i="10"/>
  <c r="EH10" i="10"/>
  <c r="EG10" i="10"/>
  <c r="EF10" i="10"/>
  <c r="EE10" i="10"/>
  <c r="ED10" i="10"/>
  <c r="EC10" i="10"/>
  <c r="EB10" i="10"/>
  <c r="EA10" i="10"/>
  <c r="DU10" i="10"/>
  <c r="DT10" i="10"/>
  <c r="DS10" i="10"/>
  <c r="DR10" i="10"/>
  <c r="DQ10" i="10"/>
  <c r="DP10" i="10"/>
  <c r="DO10" i="10"/>
  <c r="DN10" i="10"/>
  <c r="DK10" i="10"/>
  <c r="DJ10" i="10"/>
  <c r="DI10" i="10"/>
  <c r="DH10" i="10"/>
  <c r="DG10" i="10"/>
  <c r="DF10" i="10"/>
  <c r="DE10" i="10"/>
  <c r="DD10" i="10"/>
  <c r="DB10" i="10"/>
  <c r="DA10" i="10"/>
  <c r="CV10" i="10"/>
  <c r="CU10" i="10"/>
  <c r="CT10" i="10"/>
  <c r="CS10" i="10"/>
  <c r="GN10" i="10" s="1"/>
  <c r="CR10" i="10"/>
  <c r="GM10" i="10" s="1"/>
  <c r="CQ10" i="10"/>
  <c r="GL10" i="10" s="1"/>
  <c r="CP10" i="10"/>
  <c r="GJ10" i="10" s="1"/>
  <c r="GK10" i="10" s="1"/>
  <c r="CO10" i="10"/>
  <c r="DZ10" i="10" s="1"/>
  <c r="CN10" i="10"/>
  <c r="DY10" i="10" s="1"/>
  <c r="CM10" i="10"/>
  <c r="DX10" i="10" s="1"/>
  <c r="CL10" i="10"/>
  <c r="DW10" i="10" s="1"/>
  <c r="CG10" i="10" a="1"/>
  <c r="CG10" i="10" s="1"/>
  <c r="CJ10" i="10" s="1"/>
  <c r="CY10" i="10" s="1"/>
  <c r="AW10" i="10"/>
  <c r="AV10" i="10"/>
  <c r="G10" i="10"/>
  <c r="IL9" i="10"/>
  <c r="HX9" i="10" a="1"/>
  <c r="HX9" i="10" s="1"/>
  <c r="IW9" i="10" s="1"/>
  <c r="HW9" i="10" a="1"/>
  <c r="HW9" i="10" s="1"/>
  <c r="IV9" i="10" s="1"/>
  <c r="HV9" i="10" a="1"/>
  <c r="HV9" i="10" s="1"/>
  <c r="IU9" i="10" s="1"/>
  <c r="HU9" i="10" a="1"/>
  <c r="HU9" i="10" s="1"/>
  <c r="IT9" i="10" s="1"/>
  <c r="HT9" i="10" a="1"/>
  <c r="HT9" i="10" s="1"/>
  <c r="IS9" i="10" s="1"/>
  <c r="HS9" i="10" a="1"/>
  <c r="HS9" i="10" s="1"/>
  <c r="IR9" i="10" s="1"/>
  <c r="HR9" i="10" a="1"/>
  <c r="HR9" i="10" s="1"/>
  <c r="IQ9" i="10" s="1"/>
  <c r="HQ9" i="10" a="1"/>
  <c r="HQ9" i="10" s="1"/>
  <c r="IP9" i="10" s="1"/>
  <c r="HP9" i="10" a="1"/>
  <c r="HP9" i="10" s="1"/>
  <c r="IO9" i="10" s="1"/>
  <c r="HL9" i="10"/>
  <c r="HJ9" i="10"/>
  <c r="HH9" i="10"/>
  <c r="HB9" i="10"/>
  <c r="HA9" i="10"/>
  <c r="GZ9" i="10"/>
  <c r="GY9" i="10"/>
  <c r="GX9" i="10"/>
  <c r="GW9" i="10"/>
  <c r="GV9" i="10"/>
  <c r="GU9" i="10"/>
  <c r="GT9" i="10"/>
  <c r="GP9" i="10"/>
  <c r="GI9" i="10"/>
  <c r="GH9" i="10"/>
  <c r="GG9" i="10"/>
  <c r="GF9" i="10"/>
  <c r="GE9" i="10"/>
  <c r="GD9" i="10"/>
  <c r="GC9" i="10"/>
  <c r="GB9" i="10"/>
  <c r="GA9" i="10"/>
  <c r="FZ9" i="10"/>
  <c r="FY9" i="10"/>
  <c r="FX9" i="10"/>
  <c r="FW9" i="10"/>
  <c r="FV9" i="10"/>
  <c r="FU9" i="10"/>
  <c r="FT9" i="10"/>
  <c r="FS9" i="10"/>
  <c r="FR9" i="10"/>
  <c r="FQ9" i="10"/>
  <c r="FJ9" i="10"/>
  <c r="FI9" i="10"/>
  <c r="FH9" i="10"/>
  <c r="FG9" i="10"/>
  <c r="FF9" i="10"/>
  <c r="FE9" i="10"/>
  <c r="FD9" i="10"/>
  <c r="FC9" i="10"/>
  <c r="FB9" i="10"/>
  <c r="FA9" i="10"/>
  <c r="EZ9" i="10"/>
  <c r="EY9" i="10"/>
  <c r="EX9" i="10"/>
  <c r="EW9" i="10"/>
  <c r="EV9" i="10"/>
  <c r="EU9" i="10"/>
  <c r="ET9" i="10"/>
  <c r="ES9" i="10"/>
  <c r="ER9" i="10"/>
  <c r="EQ9" i="10"/>
  <c r="EP9" i="10"/>
  <c r="EO9" i="10"/>
  <c r="EN9" i="10"/>
  <c r="EM9" i="10"/>
  <c r="EL9" i="10"/>
  <c r="EK9" i="10"/>
  <c r="EJ9" i="10"/>
  <c r="EI9" i="10"/>
  <c r="EH9" i="10"/>
  <c r="EG9" i="10"/>
  <c r="EF9" i="10"/>
  <c r="EE9" i="10"/>
  <c r="ED9" i="10"/>
  <c r="EC9" i="10"/>
  <c r="EB9" i="10"/>
  <c r="EA9" i="10"/>
  <c r="DV9" i="10"/>
  <c r="DU9" i="10"/>
  <c r="DT9" i="10"/>
  <c r="DS9" i="10"/>
  <c r="DR9" i="10"/>
  <c r="DQ9" i="10"/>
  <c r="DP9" i="10"/>
  <c r="DO9" i="10"/>
  <c r="DN9" i="10"/>
  <c r="DK9" i="10"/>
  <c r="DJ9" i="10"/>
  <c r="DI9" i="10"/>
  <c r="DH9" i="10"/>
  <c r="DG9" i="10"/>
  <c r="DF9" i="10"/>
  <c r="DE9" i="10"/>
  <c r="DD9" i="10"/>
  <c r="DC9" i="10"/>
  <c r="DB9" i="10"/>
  <c r="DA9" i="10"/>
  <c r="CV9" i="10"/>
  <c r="CU9" i="10"/>
  <c r="CT9" i="10"/>
  <c r="CS9" i="10"/>
  <c r="GN9" i="10" s="1"/>
  <c r="CR9" i="10"/>
  <c r="GM9" i="10" s="1"/>
  <c r="CQ9" i="10"/>
  <c r="GL9" i="10" s="1"/>
  <c r="CP9" i="10"/>
  <c r="GJ9" i="10" s="1"/>
  <c r="GK9" i="10" s="1"/>
  <c r="CO9" i="10"/>
  <c r="DZ9" i="10" s="1"/>
  <c r="CN9" i="10"/>
  <c r="DY9" i="10" s="1"/>
  <c r="CM9" i="10"/>
  <c r="DX9" i="10" s="1"/>
  <c r="CL9" i="10"/>
  <c r="DW9" i="10" s="1"/>
  <c r="CG9" i="10" a="1"/>
  <c r="CG9" i="10" s="1"/>
  <c r="IN9" i="10" s="1"/>
  <c r="IX9" i="10" s="1"/>
  <c r="AW9" i="10"/>
  <c r="AV9" i="10"/>
  <c r="G9" i="10"/>
  <c r="IL8" i="10"/>
  <c r="HX8" i="10" a="1"/>
  <c r="HX8" i="10" s="1"/>
  <c r="IW8" i="10" s="1"/>
  <c r="HW8" i="10" a="1"/>
  <c r="HW8" i="10" s="1"/>
  <c r="IV8" i="10" s="1"/>
  <c r="HV8" i="10" a="1"/>
  <c r="HV8" i="10" s="1"/>
  <c r="IU8" i="10" s="1"/>
  <c r="HU8" i="10" a="1"/>
  <c r="HU8" i="10" s="1"/>
  <c r="IT8" i="10" s="1"/>
  <c r="HT8" i="10" a="1"/>
  <c r="HT8" i="10" s="1"/>
  <c r="IS8" i="10" s="1"/>
  <c r="HS8" i="10" a="1"/>
  <c r="HS8" i="10" s="1"/>
  <c r="IR8" i="10" s="1"/>
  <c r="HR8" i="10" a="1"/>
  <c r="HR8" i="10" s="1"/>
  <c r="IQ8" i="10" s="1"/>
  <c r="HQ8" i="10" a="1"/>
  <c r="HQ8" i="10" s="1"/>
  <c r="IP8" i="10" s="1"/>
  <c r="HP8" i="10" a="1"/>
  <c r="HP8" i="10" s="1"/>
  <c r="IO8" i="10" s="1"/>
  <c r="HL8" i="10"/>
  <c r="HJ8" i="10"/>
  <c r="HH8" i="10"/>
  <c r="HB8" i="10"/>
  <c r="HA8" i="10"/>
  <c r="GZ8" i="10"/>
  <c r="GY8" i="10"/>
  <c r="GX8" i="10"/>
  <c r="GW8" i="10"/>
  <c r="GV8" i="10"/>
  <c r="GU8" i="10"/>
  <c r="GT8" i="10"/>
  <c r="GP8" i="10"/>
  <c r="GI8" i="10"/>
  <c r="GH8" i="10"/>
  <c r="GG8" i="10"/>
  <c r="GF8" i="10"/>
  <c r="GE8" i="10"/>
  <c r="GD8" i="10"/>
  <c r="GC8" i="10"/>
  <c r="GB8" i="10"/>
  <c r="GA8" i="10"/>
  <c r="FZ8" i="10"/>
  <c r="FY8" i="10"/>
  <c r="FX8" i="10"/>
  <c r="FW8" i="10"/>
  <c r="FV8" i="10"/>
  <c r="FU8" i="10"/>
  <c r="FT8" i="10"/>
  <c r="FS8" i="10"/>
  <c r="FR8" i="10"/>
  <c r="FQ8" i="10"/>
  <c r="FJ8" i="10"/>
  <c r="FI8" i="10"/>
  <c r="FH8" i="10"/>
  <c r="FG8" i="10"/>
  <c r="FF8" i="10"/>
  <c r="FP8" i="10" s="1"/>
  <c r="FE8" i="10"/>
  <c r="FD8" i="10"/>
  <c r="FC8" i="10"/>
  <c r="FB8" i="10"/>
  <c r="FA8" i="10"/>
  <c r="EZ8" i="10"/>
  <c r="EY8" i="10"/>
  <c r="EX8" i="10"/>
  <c r="EW8" i="10"/>
  <c r="EV8" i="10"/>
  <c r="EU8" i="10"/>
  <c r="ET8" i="10"/>
  <c r="ES8" i="10"/>
  <c r="ER8" i="10"/>
  <c r="EQ8" i="10"/>
  <c r="EP8" i="10"/>
  <c r="EO8" i="10"/>
  <c r="EN8" i="10"/>
  <c r="EM8" i="10"/>
  <c r="EL8" i="10"/>
  <c r="EK8" i="10"/>
  <c r="EJ8" i="10"/>
  <c r="EI8" i="10"/>
  <c r="EH8" i="10"/>
  <c r="EG8" i="10"/>
  <c r="EF8" i="10"/>
  <c r="EE8" i="10"/>
  <c r="ED8" i="10"/>
  <c r="EC8" i="10"/>
  <c r="EB8" i="10"/>
  <c r="EA8" i="10"/>
  <c r="DV8" i="10"/>
  <c r="DU8" i="10"/>
  <c r="DT8" i="10"/>
  <c r="DS8" i="10"/>
  <c r="DR8" i="10"/>
  <c r="DQ8" i="10"/>
  <c r="DP8" i="10"/>
  <c r="DO8" i="10"/>
  <c r="DN8" i="10"/>
  <c r="DK8" i="10"/>
  <c r="DJ8" i="10"/>
  <c r="DI8" i="10"/>
  <c r="DH8" i="10"/>
  <c r="DG8" i="10"/>
  <c r="DF8" i="10"/>
  <c r="DE8" i="10"/>
  <c r="DD8" i="10"/>
  <c r="DC8" i="10"/>
  <c r="DB8" i="10"/>
  <c r="DA8" i="10"/>
  <c r="CV8" i="10"/>
  <c r="CU8" i="10"/>
  <c r="CT8" i="10"/>
  <c r="CS8" i="10"/>
  <c r="GN8" i="10" s="1"/>
  <c r="CR8" i="10"/>
  <c r="GM8" i="10" s="1"/>
  <c r="CQ8" i="10"/>
  <c r="GL8" i="10" s="1"/>
  <c r="CP8" i="10"/>
  <c r="GJ8" i="10" s="1"/>
  <c r="GK8" i="10" s="1"/>
  <c r="CO8" i="10"/>
  <c r="DZ8" i="10" s="1"/>
  <c r="CN8" i="10"/>
  <c r="DY8" i="10" s="1"/>
  <c r="CM8" i="10"/>
  <c r="DX8" i="10" s="1"/>
  <c r="CL8" i="10"/>
  <c r="DW8" i="10" s="1"/>
  <c r="CG8" i="10" a="1"/>
  <c r="CG8" i="10" s="1"/>
  <c r="AW8" i="10"/>
  <c r="AV8" i="10"/>
  <c r="G8" i="10"/>
  <c r="IL7" i="10"/>
  <c r="HX7" i="10" a="1"/>
  <c r="HX7" i="10" s="1"/>
  <c r="IW7" i="10" s="1"/>
  <c r="HW7" i="10" a="1"/>
  <c r="HW7" i="10" s="1"/>
  <c r="IV7" i="10" s="1"/>
  <c r="HV7" i="10" a="1"/>
  <c r="HV7" i="10" s="1"/>
  <c r="IU7" i="10" s="1"/>
  <c r="HU7" i="10" a="1"/>
  <c r="HU7" i="10" s="1"/>
  <c r="IT7" i="10" s="1"/>
  <c r="HT7" i="10" a="1"/>
  <c r="HT7" i="10" s="1"/>
  <c r="IS7" i="10" s="1"/>
  <c r="HS7" i="10" a="1"/>
  <c r="HS7" i="10" s="1"/>
  <c r="IR7" i="10" s="1"/>
  <c r="HR7" i="10" a="1"/>
  <c r="HR7" i="10" s="1"/>
  <c r="IQ7" i="10" s="1"/>
  <c r="HQ7" i="10" a="1"/>
  <c r="HQ7" i="10" s="1"/>
  <c r="IP7" i="10" s="1"/>
  <c r="HP7" i="10" a="1"/>
  <c r="HP7" i="10" s="1"/>
  <c r="IO7" i="10" s="1"/>
  <c r="HL7" i="10"/>
  <c r="HJ7" i="10"/>
  <c r="HH7" i="10"/>
  <c r="HB7" i="10"/>
  <c r="HA7" i="10"/>
  <c r="GZ7" i="10"/>
  <c r="GY7" i="10"/>
  <c r="GX7" i="10"/>
  <c r="GW7" i="10"/>
  <c r="GV7" i="10"/>
  <c r="GU7" i="10"/>
  <c r="GT7" i="10"/>
  <c r="GP7" i="10"/>
  <c r="GI7" i="10"/>
  <c r="GH7" i="10"/>
  <c r="GG7" i="10"/>
  <c r="GF7" i="10"/>
  <c r="GE7" i="10"/>
  <c r="GD7" i="10"/>
  <c r="GC7" i="10"/>
  <c r="GB7" i="10"/>
  <c r="GA7" i="10"/>
  <c r="FZ7" i="10"/>
  <c r="FY7" i="10"/>
  <c r="FX7" i="10"/>
  <c r="FW7" i="10"/>
  <c r="FV7" i="10"/>
  <c r="FU7" i="10"/>
  <c r="FT7" i="10"/>
  <c r="FS7" i="10"/>
  <c r="FR7" i="10"/>
  <c r="FQ7" i="10"/>
  <c r="FJ7" i="10"/>
  <c r="FI7" i="10"/>
  <c r="FH7" i="10"/>
  <c r="FG7" i="10"/>
  <c r="FF7" i="10"/>
  <c r="FP7" i="10" s="1"/>
  <c r="FE7" i="10"/>
  <c r="FD7" i="10"/>
  <c r="FC7" i="10"/>
  <c r="FB7" i="10"/>
  <c r="FA7" i="10"/>
  <c r="EZ7" i="10"/>
  <c r="EY7" i="10"/>
  <c r="EX7" i="10"/>
  <c r="EW7" i="10"/>
  <c r="EV7" i="10"/>
  <c r="EU7" i="10"/>
  <c r="ET7" i="10"/>
  <c r="ES7" i="10"/>
  <c r="ER7" i="10"/>
  <c r="EQ7" i="10"/>
  <c r="EP7" i="10"/>
  <c r="EO7" i="10"/>
  <c r="EN7" i="10"/>
  <c r="EM7" i="10"/>
  <c r="EL7" i="10"/>
  <c r="EK7" i="10"/>
  <c r="EJ7" i="10"/>
  <c r="EI7" i="10"/>
  <c r="EH7" i="10"/>
  <c r="EG7" i="10"/>
  <c r="EF7" i="10"/>
  <c r="EE7" i="10"/>
  <c r="ED7" i="10"/>
  <c r="EC7" i="10"/>
  <c r="EB7" i="10"/>
  <c r="EA7" i="10"/>
  <c r="DV7" i="10"/>
  <c r="DU7" i="10"/>
  <c r="DT7" i="10"/>
  <c r="DS7" i="10"/>
  <c r="DR7" i="10"/>
  <c r="DQ7" i="10"/>
  <c r="DP7" i="10"/>
  <c r="DO7" i="10"/>
  <c r="DN7" i="10"/>
  <c r="DK7" i="10"/>
  <c r="DJ7" i="10"/>
  <c r="DI7" i="10"/>
  <c r="DH7" i="10"/>
  <c r="DG7" i="10"/>
  <c r="DF7" i="10"/>
  <c r="DE7" i="10"/>
  <c r="DD7" i="10"/>
  <c r="DC7" i="10"/>
  <c r="DB7" i="10"/>
  <c r="DA7" i="10"/>
  <c r="CV7" i="10"/>
  <c r="CU7" i="10"/>
  <c r="CT7" i="10"/>
  <c r="CS7" i="10"/>
  <c r="GN7" i="10" s="1"/>
  <c r="CR7" i="10"/>
  <c r="GM7" i="10" s="1"/>
  <c r="CQ7" i="10"/>
  <c r="GL7" i="10" s="1"/>
  <c r="CP7" i="10"/>
  <c r="GJ7" i="10" s="1"/>
  <c r="GK7" i="10" s="1"/>
  <c r="CO7" i="10"/>
  <c r="DZ7" i="10" s="1"/>
  <c r="CN7" i="10"/>
  <c r="DY7" i="10" s="1"/>
  <c r="CM7" i="10"/>
  <c r="DX7" i="10" s="1"/>
  <c r="CL7" i="10"/>
  <c r="DW7" i="10" s="1"/>
  <c r="CG7" i="10" a="1"/>
  <c r="CG7" i="10" s="1"/>
  <c r="CH7" i="10" s="1"/>
  <c r="CW7" i="10" s="1"/>
  <c r="AW7" i="10"/>
  <c r="AV7" i="10"/>
  <c r="G7" i="10"/>
  <c r="IL6" i="10"/>
  <c r="HX6" i="10" a="1"/>
  <c r="HX6" i="10" s="1"/>
  <c r="IW6" i="10" s="1"/>
  <c r="HW6" i="10" a="1"/>
  <c r="HW6" i="10" s="1"/>
  <c r="IV6" i="10" s="1"/>
  <c r="HV6" i="10" a="1"/>
  <c r="HV6" i="10" s="1"/>
  <c r="IU6" i="10" s="1"/>
  <c r="HU6" i="10" a="1"/>
  <c r="HU6" i="10" s="1"/>
  <c r="IT6" i="10" s="1"/>
  <c r="HT6" i="10" a="1"/>
  <c r="HT6" i="10" s="1"/>
  <c r="IS6" i="10" s="1"/>
  <c r="HS6" i="10" a="1"/>
  <c r="HS6" i="10" s="1"/>
  <c r="IR6" i="10" s="1"/>
  <c r="HR6" i="10" a="1"/>
  <c r="HR6" i="10" s="1"/>
  <c r="IQ6" i="10" s="1"/>
  <c r="HQ6" i="10" a="1"/>
  <c r="HQ6" i="10" s="1"/>
  <c r="IP6" i="10" s="1"/>
  <c r="HP6" i="10" a="1"/>
  <c r="HP6" i="10" s="1"/>
  <c r="IO6" i="10" s="1"/>
  <c r="HL6" i="10"/>
  <c r="HJ6" i="10"/>
  <c r="HH6" i="10"/>
  <c r="HB6" i="10"/>
  <c r="HA6" i="10"/>
  <c r="GZ6" i="10"/>
  <c r="GY6" i="10"/>
  <c r="GX6" i="10"/>
  <c r="GW6" i="10"/>
  <c r="GV6" i="10"/>
  <c r="GU6" i="10"/>
  <c r="GT6" i="10"/>
  <c r="GP6" i="10"/>
  <c r="GI6" i="10"/>
  <c r="GH6" i="10"/>
  <c r="GG6" i="10"/>
  <c r="GF6" i="10"/>
  <c r="GE6" i="10"/>
  <c r="GD6" i="10"/>
  <c r="GC6" i="10"/>
  <c r="GB6" i="10"/>
  <c r="GA6" i="10"/>
  <c r="FZ6" i="10"/>
  <c r="FY6" i="10"/>
  <c r="FX6" i="10"/>
  <c r="FW6" i="10"/>
  <c r="FV6" i="10"/>
  <c r="FU6" i="10"/>
  <c r="FT6" i="10"/>
  <c r="FS6" i="10"/>
  <c r="FR6" i="10"/>
  <c r="FQ6" i="10"/>
  <c r="FJ6" i="10"/>
  <c r="FI6" i="10"/>
  <c r="FH6" i="10"/>
  <c r="FG6" i="10"/>
  <c r="FF6" i="10"/>
  <c r="FE6" i="10"/>
  <c r="FD6" i="10"/>
  <c r="FC6" i="10"/>
  <c r="FB6" i="10"/>
  <c r="FA6" i="10"/>
  <c r="EZ6" i="10"/>
  <c r="EY6" i="10"/>
  <c r="EX6" i="10"/>
  <c r="EW6" i="10"/>
  <c r="EV6" i="10"/>
  <c r="EU6" i="10"/>
  <c r="ET6" i="10"/>
  <c r="ES6" i="10"/>
  <c r="ER6" i="10"/>
  <c r="EQ6" i="10"/>
  <c r="EP6" i="10"/>
  <c r="EO6" i="10"/>
  <c r="EN6" i="10"/>
  <c r="EM6" i="10"/>
  <c r="EL6" i="10"/>
  <c r="EK6" i="10"/>
  <c r="EJ6" i="10"/>
  <c r="EI6" i="10"/>
  <c r="EH6" i="10"/>
  <c r="EG6" i="10"/>
  <c r="EF6" i="10"/>
  <c r="EE6" i="10"/>
  <c r="ED6" i="10"/>
  <c r="EC6" i="10"/>
  <c r="EB6" i="10"/>
  <c r="EA6" i="10"/>
  <c r="DV6" i="10"/>
  <c r="DU6" i="10"/>
  <c r="DT6" i="10"/>
  <c r="DS6" i="10"/>
  <c r="DR6" i="10"/>
  <c r="DQ6" i="10"/>
  <c r="DP6" i="10"/>
  <c r="DO6" i="10"/>
  <c r="DN6" i="10"/>
  <c r="DK6" i="10"/>
  <c r="DJ6" i="10"/>
  <c r="DI6" i="10"/>
  <c r="DH6" i="10"/>
  <c r="DG6" i="10"/>
  <c r="DF6" i="10"/>
  <c r="DE6" i="10"/>
  <c r="DD6" i="10"/>
  <c r="DC6" i="10"/>
  <c r="DB6" i="10"/>
  <c r="DA6" i="10"/>
  <c r="CV6" i="10"/>
  <c r="CU6" i="10"/>
  <c r="CT6" i="10"/>
  <c r="CS6" i="10"/>
  <c r="GN6" i="10" s="1"/>
  <c r="CR6" i="10"/>
  <c r="GM6" i="10" s="1"/>
  <c r="CQ6" i="10"/>
  <c r="GL6" i="10" s="1"/>
  <c r="CP6" i="10"/>
  <c r="GJ6" i="10" s="1"/>
  <c r="GK6" i="10" s="1"/>
  <c r="CO6" i="10"/>
  <c r="DZ6" i="10" s="1"/>
  <c r="CN6" i="10"/>
  <c r="DY6" i="10" s="1"/>
  <c r="CM6" i="10"/>
  <c r="DX6" i="10" s="1"/>
  <c r="CL6" i="10"/>
  <c r="DW6" i="10" s="1"/>
  <c r="CG6" i="10" a="1"/>
  <c r="CG6" i="10" s="1"/>
  <c r="AW6" i="10"/>
  <c r="AV6" i="10"/>
  <c r="G6" i="10"/>
  <c r="IL5" i="10"/>
  <c r="HX5" i="10" a="1"/>
  <c r="HX5" i="10" s="1"/>
  <c r="IW5" i="10" s="1"/>
  <c r="HW5" i="10" a="1"/>
  <c r="HW5" i="10" s="1"/>
  <c r="IV5" i="10" s="1"/>
  <c r="HV5" i="10" a="1"/>
  <c r="HV5" i="10" s="1"/>
  <c r="IU5" i="10" s="1"/>
  <c r="HU5" i="10" a="1"/>
  <c r="HU5" i="10" s="1"/>
  <c r="IT5" i="10" s="1"/>
  <c r="HT5" i="10" a="1"/>
  <c r="HT5" i="10" s="1"/>
  <c r="IS5" i="10" s="1"/>
  <c r="HS5" i="10" a="1"/>
  <c r="HS5" i="10" s="1"/>
  <c r="IR5" i="10" s="1"/>
  <c r="HR5" i="10" a="1"/>
  <c r="HR5" i="10" s="1"/>
  <c r="IQ5" i="10" s="1"/>
  <c r="HQ5" i="10" a="1"/>
  <c r="HQ5" i="10" s="1"/>
  <c r="IP5" i="10" s="1"/>
  <c r="HP5" i="10" a="1"/>
  <c r="HP5" i="10" s="1"/>
  <c r="IO5" i="10" s="1"/>
  <c r="HL5" i="10"/>
  <c r="HJ5" i="10"/>
  <c r="HH5" i="10"/>
  <c r="HB5" i="10"/>
  <c r="HA5" i="10"/>
  <c r="GZ5" i="10"/>
  <c r="GY5" i="10"/>
  <c r="GX5" i="10"/>
  <c r="GW5" i="10"/>
  <c r="GV5" i="10"/>
  <c r="GU5" i="10"/>
  <c r="GT5" i="10"/>
  <c r="GP5" i="10"/>
  <c r="GI5" i="10"/>
  <c r="GH5" i="10"/>
  <c r="GG5" i="10"/>
  <c r="GF5" i="10"/>
  <c r="GE5" i="10"/>
  <c r="GD5" i="10"/>
  <c r="GC5" i="10"/>
  <c r="GB5" i="10"/>
  <c r="GA5" i="10"/>
  <c r="FZ5" i="10"/>
  <c r="FY5" i="10"/>
  <c r="FX5" i="10"/>
  <c r="FW5" i="10"/>
  <c r="FV5" i="10"/>
  <c r="FU5" i="10"/>
  <c r="FT5" i="10"/>
  <c r="FS5" i="10"/>
  <c r="FR5" i="10"/>
  <c r="FQ5" i="10"/>
  <c r="FJ5" i="10"/>
  <c r="FI5" i="10"/>
  <c r="FH5" i="10"/>
  <c r="FG5" i="10"/>
  <c r="FF5" i="10"/>
  <c r="FP5" i="10" s="1"/>
  <c r="FE5" i="10"/>
  <c r="FD5" i="10"/>
  <c r="FC5" i="10"/>
  <c r="FB5" i="10"/>
  <c r="FA5" i="10"/>
  <c r="EZ5" i="10"/>
  <c r="EY5" i="10"/>
  <c r="EX5" i="10"/>
  <c r="EW5" i="10"/>
  <c r="EV5" i="10"/>
  <c r="EU5" i="10"/>
  <c r="ET5" i="10"/>
  <c r="ES5" i="10"/>
  <c r="ER5" i="10"/>
  <c r="EQ5" i="10"/>
  <c r="EP5" i="10"/>
  <c r="EO5" i="10"/>
  <c r="EN5" i="10"/>
  <c r="EM5" i="10"/>
  <c r="EL5" i="10"/>
  <c r="EK5" i="10"/>
  <c r="EJ5" i="10"/>
  <c r="EI5" i="10"/>
  <c r="EH5" i="10"/>
  <c r="EG5" i="10"/>
  <c r="EF5" i="10"/>
  <c r="EE5" i="10"/>
  <c r="ED5" i="10"/>
  <c r="EC5" i="10"/>
  <c r="EB5" i="10"/>
  <c r="EA5" i="10"/>
  <c r="DV5" i="10"/>
  <c r="DU5" i="10"/>
  <c r="DT5" i="10"/>
  <c r="DS5" i="10"/>
  <c r="DR5" i="10"/>
  <c r="DQ5" i="10"/>
  <c r="DP5" i="10"/>
  <c r="DO5" i="10"/>
  <c r="DN5" i="10"/>
  <c r="DK5" i="10"/>
  <c r="DJ5" i="10"/>
  <c r="DI5" i="10"/>
  <c r="DH5" i="10"/>
  <c r="DG5" i="10"/>
  <c r="DF5" i="10"/>
  <c r="DE5" i="10"/>
  <c r="DD5" i="10"/>
  <c r="DC5" i="10"/>
  <c r="DB5" i="10"/>
  <c r="DA5" i="10"/>
  <c r="CV5" i="10"/>
  <c r="CU5" i="10"/>
  <c r="CT5" i="10"/>
  <c r="CS5" i="10"/>
  <c r="GN5" i="10" s="1"/>
  <c r="CR5" i="10"/>
  <c r="GM5" i="10" s="1"/>
  <c r="CQ5" i="10"/>
  <c r="GL5" i="10" s="1"/>
  <c r="CP5" i="10"/>
  <c r="GJ5" i="10" s="1"/>
  <c r="GK5" i="10" s="1"/>
  <c r="CO5" i="10"/>
  <c r="DZ5" i="10" s="1"/>
  <c r="CN5" i="10"/>
  <c r="DY5" i="10" s="1"/>
  <c r="CM5" i="10"/>
  <c r="DX5" i="10" s="1"/>
  <c r="CL5" i="10"/>
  <c r="DW5" i="10" s="1"/>
  <c r="CG5" i="10" a="1"/>
  <c r="CG5" i="10" s="1"/>
  <c r="AW5" i="10"/>
  <c r="AV5" i="10"/>
  <c r="G5" i="10"/>
  <c r="IL4" i="10"/>
  <c r="HX4" i="10" a="1"/>
  <c r="HX4" i="10" s="1"/>
  <c r="IW4" i="10" s="1"/>
  <c r="HW4" i="10" a="1"/>
  <c r="HW4" i="10" s="1"/>
  <c r="IV4" i="10" s="1"/>
  <c r="HV4" i="10" a="1"/>
  <c r="HV4" i="10" s="1"/>
  <c r="IU4" i="10" s="1"/>
  <c r="HU4" i="10" a="1"/>
  <c r="HU4" i="10" s="1"/>
  <c r="IT4" i="10" s="1"/>
  <c r="HT4" i="10" a="1"/>
  <c r="HT4" i="10" s="1"/>
  <c r="IS4" i="10" s="1"/>
  <c r="HS4" i="10" a="1"/>
  <c r="HS4" i="10" s="1"/>
  <c r="IR4" i="10" s="1"/>
  <c r="HR4" i="10" a="1"/>
  <c r="HR4" i="10" s="1"/>
  <c r="IQ4" i="10" s="1"/>
  <c r="HQ4" i="10" a="1"/>
  <c r="HQ4" i="10" s="1"/>
  <c r="IP4" i="10" s="1"/>
  <c r="HP4" i="10" a="1"/>
  <c r="HP4" i="10" s="1"/>
  <c r="IO4" i="10" s="1"/>
  <c r="HL4" i="10"/>
  <c r="HJ4" i="10"/>
  <c r="HH4" i="10"/>
  <c r="HB4" i="10"/>
  <c r="HA4" i="10"/>
  <c r="GZ4" i="10"/>
  <c r="GY4" i="10"/>
  <c r="GX4" i="10"/>
  <c r="GW4" i="10"/>
  <c r="GV4" i="10"/>
  <c r="GU4" i="10"/>
  <c r="GT4" i="10"/>
  <c r="GP4" i="10"/>
  <c r="GI4" i="10"/>
  <c r="GH4" i="10"/>
  <c r="GG4" i="10"/>
  <c r="GF4" i="10"/>
  <c r="GE4" i="10"/>
  <c r="GD4" i="10"/>
  <c r="GC4" i="10"/>
  <c r="GB4" i="10"/>
  <c r="GA4" i="10"/>
  <c r="FZ4" i="10"/>
  <c r="FY4" i="10"/>
  <c r="FX4" i="10"/>
  <c r="FW4" i="10"/>
  <c r="FV4" i="10"/>
  <c r="FU4" i="10"/>
  <c r="FT4" i="10"/>
  <c r="FS4" i="10"/>
  <c r="FR4" i="10"/>
  <c r="FQ4" i="10"/>
  <c r="FJ4" i="10"/>
  <c r="FI4" i="10"/>
  <c r="FH4" i="10"/>
  <c r="FG4" i="10"/>
  <c r="FF4" i="10"/>
  <c r="FE4" i="10"/>
  <c r="FD4" i="10"/>
  <c r="FC4" i="10"/>
  <c r="FB4" i="10"/>
  <c r="FA4" i="10"/>
  <c r="EZ4" i="10"/>
  <c r="EY4" i="10"/>
  <c r="EX4" i="10"/>
  <c r="EW4" i="10"/>
  <c r="EV4" i="10"/>
  <c r="EU4" i="10"/>
  <c r="ET4" i="10"/>
  <c r="ES4" i="10"/>
  <c r="ER4" i="10"/>
  <c r="EQ4" i="10"/>
  <c r="EP4" i="10"/>
  <c r="EO4" i="10"/>
  <c r="EN4" i="10"/>
  <c r="EM4" i="10"/>
  <c r="EL4" i="10"/>
  <c r="EK4" i="10"/>
  <c r="EJ4" i="10"/>
  <c r="EI4" i="10"/>
  <c r="EH4" i="10"/>
  <c r="EG4" i="10"/>
  <c r="EF4" i="10"/>
  <c r="EE4" i="10"/>
  <c r="ED4" i="10"/>
  <c r="EC4" i="10"/>
  <c r="EB4" i="10"/>
  <c r="EA4" i="10"/>
  <c r="DV4" i="10"/>
  <c r="DU4" i="10"/>
  <c r="DT4" i="10"/>
  <c r="DS4" i="10"/>
  <c r="DR4" i="10"/>
  <c r="DQ4" i="10"/>
  <c r="DP4" i="10"/>
  <c r="DO4" i="10"/>
  <c r="DN4" i="10"/>
  <c r="DK4" i="10"/>
  <c r="DJ4" i="10"/>
  <c r="DI4" i="10"/>
  <c r="DH4" i="10"/>
  <c r="DG4" i="10"/>
  <c r="DF4" i="10"/>
  <c r="DE4" i="10"/>
  <c r="DD4" i="10"/>
  <c r="DC4" i="10"/>
  <c r="DB4" i="10"/>
  <c r="DA4" i="10"/>
  <c r="CV4" i="10"/>
  <c r="CU4" i="10"/>
  <c r="CT4" i="10"/>
  <c r="CS4" i="10"/>
  <c r="GN4" i="10" s="1"/>
  <c r="CR4" i="10"/>
  <c r="GM4" i="10" s="1"/>
  <c r="CQ4" i="10"/>
  <c r="GL4" i="10" s="1"/>
  <c r="CP4" i="10"/>
  <c r="GJ4" i="10" s="1"/>
  <c r="GK4" i="10" s="1"/>
  <c r="CO4" i="10"/>
  <c r="DZ4" i="10" s="1"/>
  <c r="CN4" i="10"/>
  <c r="DY4" i="10" s="1"/>
  <c r="CM4" i="10"/>
  <c r="DX4" i="10" s="1"/>
  <c r="CL4" i="10"/>
  <c r="DW4" i="10" s="1"/>
  <c r="CG4" i="10" a="1"/>
  <c r="CG4" i="10" s="1"/>
  <c r="CH4" i="10" s="1"/>
  <c r="CW4" i="10" s="1"/>
  <c r="AW4" i="10"/>
  <c r="AV4" i="10"/>
  <c r="G4" i="10"/>
  <c r="IL3" i="10"/>
  <c r="HX3" i="10" a="1"/>
  <c r="HX3" i="10" s="1"/>
  <c r="IW3" i="10" s="1"/>
  <c r="HW3" i="10" a="1"/>
  <c r="HW3" i="10" s="1"/>
  <c r="IV3" i="10" s="1"/>
  <c r="HV3" i="10" a="1"/>
  <c r="HV3" i="10" s="1"/>
  <c r="IU3" i="10" s="1"/>
  <c r="HU3" i="10" a="1"/>
  <c r="HU3" i="10" s="1"/>
  <c r="IT3" i="10" s="1"/>
  <c r="HT3" i="10" a="1"/>
  <c r="HT3" i="10" s="1"/>
  <c r="IS3" i="10" s="1"/>
  <c r="HS3" i="10" a="1"/>
  <c r="HS3" i="10" s="1"/>
  <c r="IR3" i="10" s="1"/>
  <c r="HR3" i="10" a="1"/>
  <c r="HR3" i="10" s="1"/>
  <c r="IQ3" i="10" s="1"/>
  <c r="HQ3" i="10" a="1"/>
  <c r="HQ3" i="10" s="1"/>
  <c r="IP3" i="10" s="1"/>
  <c r="HP3" i="10" a="1"/>
  <c r="HP3" i="10" s="1"/>
  <c r="IO3" i="10" s="1"/>
  <c r="HL3" i="10"/>
  <c r="HJ3" i="10"/>
  <c r="HH3" i="10"/>
  <c r="HB3" i="10"/>
  <c r="HA3" i="10"/>
  <c r="GZ3" i="10"/>
  <c r="GY3" i="10"/>
  <c r="GX3" i="10"/>
  <c r="GW3" i="10"/>
  <c r="GV3" i="10"/>
  <c r="GU3" i="10"/>
  <c r="GT3" i="10"/>
  <c r="GP3" i="10"/>
  <c r="GI3" i="10"/>
  <c r="GH3" i="10"/>
  <c r="GG3" i="10"/>
  <c r="GF3" i="10"/>
  <c r="GE3" i="10"/>
  <c r="GD3" i="10"/>
  <c r="GC3" i="10"/>
  <c r="GB3" i="10"/>
  <c r="GA3" i="10"/>
  <c r="FZ3" i="10"/>
  <c r="FY3" i="10"/>
  <c r="FX3" i="10"/>
  <c r="FW3" i="10"/>
  <c r="FV3" i="10"/>
  <c r="FU3" i="10"/>
  <c r="FT3" i="10"/>
  <c r="FS3" i="10"/>
  <c r="FR3" i="10"/>
  <c r="FQ3" i="10"/>
  <c r="FJ3" i="10"/>
  <c r="FI3" i="10"/>
  <c r="FH3" i="10"/>
  <c r="FG3" i="10"/>
  <c r="FF3" i="10"/>
  <c r="FP3" i="10" s="1"/>
  <c r="FE3" i="10"/>
  <c r="FD3" i="10"/>
  <c r="FC3" i="10"/>
  <c r="FB3" i="10"/>
  <c r="FA3" i="10"/>
  <c r="EZ3" i="10"/>
  <c r="EY3" i="10"/>
  <c r="EX3" i="10"/>
  <c r="EW3" i="10"/>
  <c r="EV3" i="10"/>
  <c r="EU3" i="10"/>
  <c r="ET3" i="10"/>
  <c r="ES3" i="10"/>
  <c r="ER3" i="10"/>
  <c r="EQ3" i="10"/>
  <c r="EP3" i="10"/>
  <c r="EO3" i="10"/>
  <c r="EN3" i="10"/>
  <c r="EM3" i="10"/>
  <c r="EL3" i="10"/>
  <c r="EK3" i="10"/>
  <c r="EJ3" i="10"/>
  <c r="EI3" i="10"/>
  <c r="EH3" i="10"/>
  <c r="EG3" i="10"/>
  <c r="EF3" i="10"/>
  <c r="EE3" i="10"/>
  <c r="ED3" i="10"/>
  <c r="EC3" i="10"/>
  <c r="EB3" i="10"/>
  <c r="EA3" i="10"/>
  <c r="DV3" i="10"/>
  <c r="DU3" i="10"/>
  <c r="DT3" i="10"/>
  <c r="DS3" i="10"/>
  <c r="DR3" i="10"/>
  <c r="DQ3" i="10"/>
  <c r="DP3" i="10"/>
  <c r="DO3" i="10"/>
  <c r="DN3" i="10"/>
  <c r="DK3" i="10"/>
  <c r="DJ3" i="10"/>
  <c r="DI3" i="10"/>
  <c r="DH3" i="10"/>
  <c r="DG3" i="10"/>
  <c r="DF3" i="10"/>
  <c r="DE3" i="10"/>
  <c r="DD3" i="10"/>
  <c r="DC3" i="10"/>
  <c r="DB3" i="10"/>
  <c r="DA3" i="10"/>
  <c r="CV3" i="10"/>
  <c r="CU3" i="10"/>
  <c r="CT3" i="10"/>
  <c r="CS3" i="10"/>
  <c r="GN3" i="10" s="1"/>
  <c r="CR3" i="10"/>
  <c r="GM3" i="10" s="1"/>
  <c r="CQ3" i="10"/>
  <c r="GL3" i="10" s="1"/>
  <c r="CP3" i="10"/>
  <c r="GJ3" i="10" s="1"/>
  <c r="GK3" i="10" s="1"/>
  <c r="CO3" i="10"/>
  <c r="DZ3" i="10" s="1"/>
  <c r="CN3" i="10"/>
  <c r="DY3" i="10" s="1"/>
  <c r="CM3" i="10"/>
  <c r="DX3" i="10" s="1"/>
  <c r="CL3" i="10"/>
  <c r="DW3" i="10" s="1"/>
  <c r="CG3" i="10" a="1"/>
  <c r="CG3" i="10" s="1"/>
  <c r="CH3" i="10" s="1"/>
  <c r="CW3" i="10" s="1"/>
  <c r="AW3" i="10"/>
  <c r="AV3" i="10"/>
  <c r="G3" i="10"/>
  <c r="IL2" i="10"/>
  <c r="HX2" i="10" a="1"/>
  <c r="HX2" i="10" s="1"/>
  <c r="IW2" i="10" s="1"/>
  <c r="HW2" i="10" a="1"/>
  <c r="HW2" i="10" s="1"/>
  <c r="IV2" i="10" s="1"/>
  <c r="HV2" i="10" a="1"/>
  <c r="HV2" i="10" s="1"/>
  <c r="IU2" i="10" s="1"/>
  <c r="HU2" i="10" a="1"/>
  <c r="HU2" i="10" s="1"/>
  <c r="IT2" i="10" s="1"/>
  <c r="HT2" i="10" a="1"/>
  <c r="HT2" i="10" s="1"/>
  <c r="IS2" i="10" s="1"/>
  <c r="HS2" i="10" a="1"/>
  <c r="HS2" i="10" s="1"/>
  <c r="IR2" i="10" s="1"/>
  <c r="HR2" i="10" a="1"/>
  <c r="HR2" i="10" s="1"/>
  <c r="IQ2" i="10" s="1"/>
  <c r="HQ2" i="10" a="1"/>
  <c r="HQ2" i="10" s="1"/>
  <c r="IP2" i="10" s="1"/>
  <c r="HP2" i="10" a="1"/>
  <c r="HP2" i="10" s="1"/>
  <c r="IO2" i="10" s="1"/>
  <c r="HL2" i="10"/>
  <c r="HJ2" i="10"/>
  <c r="HH2" i="10"/>
  <c r="HB2" i="10"/>
  <c r="HA2" i="10"/>
  <c r="GZ2" i="10"/>
  <c r="GY2" i="10"/>
  <c r="GX2" i="10"/>
  <c r="GW2" i="10"/>
  <c r="GV2" i="10"/>
  <c r="GU2" i="10"/>
  <c r="GT2" i="10"/>
  <c r="GP2" i="10"/>
  <c r="GI2" i="10"/>
  <c r="GH2" i="10"/>
  <c r="GG2" i="10"/>
  <c r="GF2" i="10"/>
  <c r="GE2" i="10"/>
  <c r="GD2" i="10"/>
  <c r="GC2" i="10"/>
  <c r="GB2" i="10"/>
  <c r="GA2" i="10"/>
  <c r="FZ2" i="10"/>
  <c r="FY2" i="10"/>
  <c r="FX2" i="10"/>
  <c r="FW2" i="10"/>
  <c r="FV2" i="10"/>
  <c r="FU2" i="10"/>
  <c r="FT2" i="10"/>
  <c r="FS2" i="10"/>
  <c r="FR2" i="10"/>
  <c r="FQ2" i="10"/>
  <c r="FJ2" i="10"/>
  <c r="FI2" i="10"/>
  <c r="FH2" i="10"/>
  <c r="FG2" i="10"/>
  <c r="FF2" i="10"/>
  <c r="FE2" i="10"/>
  <c r="FD2" i="10"/>
  <c r="FC2" i="10"/>
  <c r="FB2" i="10"/>
  <c r="FA2" i="10"/>
  <c r="EZ2" i="10"/>
  <c r="EY2" i="10"/>
  <c r="EX2" i="10"/>
  <c r="EW2" i="10"/>
  <c r="EV2" i="10"/>
  <c r="EU2" i="10"/>
  <c r="ET2" i="10"/>
  <c r="ES2" i="10"/>
  <c r="ER2" i="10"/>
  <c r="EQ2" i="10"/>
  <c r="EP2" i="10"/>
  <c r="EO2" i="10"/>
  <c r="EN2" i="10"/>
  <c r="EM2" i="10"/>
  <c r="EL2" i="10"/>
  <c r="EK2" i="10"/>
  <c r="EJ2" i="10"/>
  <c r="EI2" i="10"/>
  <c r="EH2" i="10"/>
  <c r="EG2" i="10"/>
  <c r="EF2" i="10"/>
  <c r="EE2" i="10"/>
  <c r="ED2" i="10"/>
  <c r="EC2" i="10"/>
  <c r="EB2" i="10"/>
  <c r="EA2" i="10"/>
  <c r="DV2" i="10"/>
  <c r="DU2" i="10"/>
  <c r="DT2" i="10"/>
  <c r="DS2" i="10"/>
  <c r="DR2" i="10"/>
  <c r="DQ2" i="10"/>
  <c r="DP2" i="10"/>
  <c r="DO2" i="10"/>
  <c r="DN2" i="10"/>
  <c r="DK2" i="10"/>
  <c r="DJ2" i="10"/>
  <c r="DI2" i="10"/>
  <c r="DH2" i="10"/>
  <c r="DG2" i="10"/>
  <c r="DF2" i="10"/>
  <c r="DE2" i="10"/>
  <c r="DD2" i="10"/>
  <c r="DC2" i="10"/>
  <c r="DB2" i="10"/>
  <c r="DA2" i="10"/>
  <c r="CV2" i="10"/>
  <c r="CU2" i="10"/>
  <c r="CT2" i="10"/>
  <c r="CS2" i="10"/>
  <c r="GN2" i="10" s="1"/>
  <c r="CR2" i="10"/>
  <c r="GM2" i="10" s="1"/>
  <c r="CQ2" i="10"/>
  <c r="GL2" i="10" s="1"/>
  <c r="CP2" i="10"/>
  <c r="GJ2" i="10" s="1"/>
  <c r="GK2" i="10" s="1"/>
  <c r="CO2" i="10"/>
  <c r="DZ2" i="10" s="1"/>
  <c r="CN2" i="10"/>
  <c r="DY2" i="10" s="1"/>
  <c r="CM2" i="10"/>
  <c r="DX2" i="10" s="1"/>
  <c r="CL2" i="10"/>
  <c r="DW2" i="10" s="1"/>
  <c r="CG2" i="10" a="1"/>
  <c r="CG2" i="10" s="1"/>
  <c r="AW2" i="10"/>
  <c r="AV2" i="10"/>
  <c r="G2" i="10"/>
  <c r="HX3" i="9" a="1"/>
  <c r="HX3" i="9" s="1"/>
  <c r="IW3" i="9" s="1"/>
  <c r="HW3" i="9" a="1"/>
  <c r="HW3" i="9" s="1"/>
  <c r="IV3" i="9" s="1"/>
  <c r="HV3" i="9" a="1"/>
  <c r="HV3" i="9" s="1"/>
  <c r="IU3" i="9" s="1"/>
  <c r="HU3" i="9" a="1"/>
  <c r="HU3" i="9" s="1"/>
  <c r="IT3" i="9" s="1"/>
  <c r="HT3" i="9" a="1"/>
  <c r="HT3" i="9" s="1"/>
  <c r="IS3" i="9" s="1"/>
  <c r="HS3" i="9" a="1"/>
  <c r="HS3" i="9" s="1"/>
  <c r="IR3" i="9" s="1"/>
  <c r="HR3" i="9" a="1"/>
  <c r="HR3" i="9" s="1"/>
  <c r="IQ3" i="9" s="1"/>
  <c r="HQ3" i="9" a="1"/>
  <c r="HQ3" i="9" s="1"/>
  <c r="IP3" i="9" s="1"/>
  <c r="HP3" i="9" a="1"/>
  <c r="HP3" i="9" s="1"/>
  <c r="IO3" i="9" s="1"/>
  <c r="HL3" i="9"/>
  <c r="HJ3" i="9"/>
  <c r="HH3" i="9"/>
  <c r="HB3" i="9"/>
  <c r="HA3" i="9"/>
  <c r="GZ3" i="9"/>
  <c r="GY3" i="9"/>
  <c r="GX3" i="9"/>
  <c r="GW3" i="9"/>
  <c r="GV3" i="9"/>
  <c r="GU3" i="9"/>
  <c r="GT3" i="9"/>
  <c r="GP3" i="9"/>
  <c r="GI3" i="9"/>
  <c r="GH3" i="9"/>
  <c r="GG3" i="9"/>
  <c r="GF3" i="9"/>
  <c r="GE3" i="9"/>
  <c r="GB3" i="9"/>
  <c r="GA3" i="9"/>
  <c r="FZ3" i="9"/>
  <c r="FY3" i="9"/>
  <c r="FW3" i="9"/>
  <c r="FV3" i="9"/>
  <c r="FU3" i="9"/>
  <c r="FT3" i="9"/>
  <c r="FS3" i="9"/>
  <c r="FR3" i="9"/>
  <c r="FQ3" i="9"/>
  <c r="FJ3" i="9"/>
  <c r="FI3" i="9"/>
  <c r="FH3" i="9"/>
  <c r="FG3" i="9"/>
  <c r="FF3" i="9"/>
  <c r="FP3" i="9" s="1"/>
  <c r="FE3" i="9"/>
  <c r="FN3" i="9" s="1"/>
  <c r="FD3" i="9"/>
  <c r="FB3" i="9"/>
  <c r="FA3" i="9"/>
  <c r="EZ3" i="9"/>
  <c r="EY3" i="9"/>
  <c r="EX3" i="9"/>
  <c r="EW3" i="9"/>
  <c r="EV3" i="9"/>
  <c r="EU3" i="9"/>
  <c r="ET3" i="9"/>
  <c r="ES3" i="9"/>
  <c r="ER3" i="9"/>
  <c r="EQ3" i="9"/>
  <c r="EP3" i="9"/>
  <c r="EO3" i="9"/>
  <c r="EN3" i="9"/>
  <c r="EM3" i="9"/>
  <c r="EL3" i="9"/>
  <c r="EK3" i="9"/>
  <c r="EJ3" i="9"/>
  <c r="EI3" i="9"/>
  <c r="EH3" i="9"/>
  <c r="EG3" i="9"/>
  <c r="EF3" i="9"/>
  <c r="EE3" i="9"/>
  <c r="ED3" i="9"/>
  <c r="EC3" i="9"/>
  <c r="EB3" i="9"/>
  <c r="EA3" i="9"/>
  <c r="DU3" i="9"/>
  <c r="DT3" i="9"/>
  <c r="DS3" i="9"/>
  <c r="DR3" i="9"/>
  <c r="DQ3" i="9"/>
  <c r="DP3" i="9"/>
  <c r="DO3" i="9"/>
  <c r="DN3" i="9"/>
  <c r="DK3" i="9"/>
  <c r="DJ3" i="9"/>
  <c r="DI3" i="9"/>
  <c r="DH3" i="9"/>
  <c r="DG3" i="9"/>
  <c r="DF3" i="9"/>
  <c r="DE3" i="9"/>
  <c r="DD3" i="9"/>
  <c r="DB3" i="9"/>
  <c r="DA3" i="9"/>
  <c r="CV3" i="9"/>
  <c r="CU3" i="9"/>
  <c r="CT3" i="9"/>
  <c r="CS3" i="9"/>
  <c r="GN3" i="9" s="1"/>
  <c r="CR3" i="9"/>
  <c r="GM3" i="9" s="1"/>
  <c r="CQ3" i="9"/>
  <c r="GL3" i="9" s="1"/>
  <c r="CP3" i="9"/>
  <c r="GJ3" i="9" s="1"/>
  <c r="GK3" i="9" s="1"/>
  <c r="CO3" i="9"/>
  <c r="DZ3" i="9" s="1"/>
  <c r="CN3" i="9"/>
  <c r="DY3" i="9" s="1"/>
  <c r="CM3" i="9"/>
  <c r="DX3" i="9" s="1"/>
  <c r="CL3" i="9"/>
  <c r="DW3" i="9" s="1"/>
  <c r="CG3" i="9" a="1"/>
  <c r="CG3" i="9" s="1"/>
  <c r="DM3" i="9" s="1" a="1"/>
  <c r="DM3" i="9" s="1"/>
  <c r="AW3" i="9"/>
  <c r="AV3" i="9"/>
  <c r="G3" i="9"/>
  <c r="GI49" i="9"/>
  <c r="GH49" i="9"/>
  <c r="GG49" i="9"/>
  <c r="GE49" i="9"/>
  <c r="GI48" i="9"/>
  <c r="GH48" i="9"/>
  <c r="GG48" i="9"/>
  <c r="GE48" i="9"/>
  <c r="GI47" i="9"/>
  <c r="GH47" i="9"/>
  <c r="GG47" i="9"/>
  <c r="GE47" i="9"/>
  <c r="GI46" i="9"/>
  <c r="GH46" i="9"/>
  <c r="GG46" i="9"/>
  <c r="GE46" i="9"/>
  <c r="GI45" i="9"/>
  <c r="GH45" i="9"/>
  <c r="GG45" i="9"/>
  <c r="GE45" i="9"/>
  <c r="GI44" i="9"/>
  <c r="GH44" i="9"/>
  <c r="GG44" i="9"/>
  <c r="GE44" i="9"/>
  <c r="GI43" i="9"/>
  <c r="GH43" i="9"/>
  <c r="GG43" i="9"/>
  <c r="GE43" i="9"/>
  <c r="GI42" i="9"/>
  <c r="GH42" i="9"/>
  <c r="GG42" i="9"/>
  <c r="GE42" i="9"/>
  <c r="GI41" i="9"/>
  <c r="GH41" i="9"/>
  <c r="GG41" i="9"/>
  <c r="GE41" i="9"/>
  <c r="GI40" i="9"/>
  <c r="GH40" i="9"/>
  <c r="GG40" i="9"/>
  <c r="GE40" i="9"/>
  <c r="GI39" i="9"/>
  <c r="GH39" i="9"/>
  <c r="GG39" i="9"/>
  <c r="GE39" i="9"/>
  <c r="GI38" i="9"/>
  <c r="GH38" i="9"/>
  <c r="GG38" i="9"/>
  <c r="GE38" i="9"/>
  <c r="GI37" i="9"/>
  <c r="GH37" i="9"/>
  <c r="GG37" i="9"/>
  <c r="GE37" i="9"/>
  <c r="GI36" i="9"/>
  <c r="GH36" i="9"/>
  <c r="GG36" i="9"/>
  <c r="GE36" i="9"/>
  <c r="GI35" i="9"/>
  <c r="GH35" i="9"/>
  <c r="GG35" i="9"/>
  <c r="GE35" i="9"/>
  <c r="GI34" i="9"/>
  <c r="GH34" i="9"/>
  <c r="GG34" i="9"/>
  <c r="GE34" i="9"/>
  <c r="GI33" i="9"/>
  <c r="GH33" i="9"/>
  <c r="GG33" i="9"/>
  <c r="GE33" i="9"/>
  <c r="GI32" i="9"/>
  <c r="GH32" i="9"/>
  <c r="GG32" i="9"/>
  <c r="GE32" i="9"/>
  <c r="GI31" i="9"/>
  <c r="GH31" i="9"/>
  <c r="GG31" i="9"/>
  <c r="GE31" i="9"/>
  <c r="GI30" i="9"/>
  <c r="GH30" i="9"/>
  <c r="GG30" i="9"/>
  <c r="GE30" i="9"/>
  <c r="GI29" i="9"/>
  <c r="GH29" i="9"/>
  <c r="GG29" i="9"/>
  <c r="GE29" i="9"/>
  <c r="GI28" i="9"/>
  <c r="GH28" i="9"/>
  <c r="GG28" i="9"/>
  <c r="GE28" i="9"/>
  <c r="GI27" i="9"/>
  <c r="GH27" i="9"/>
  <c r="GG27" i="9"/>
  <c r="GE27" i="9"/>
  <c r="GI26" i="9"/>
  <c r="GH26" i="9"/>
  <c r="GG26" i="9"/>
  <c r="GE26" i="9"/>
  <c r="GI25" i="9"/>
  <c r="GH25" i="9"/>
  <c r="GG25" i="9"/>
  <c r="GE25" i="9"/>
  <c r="GI24" i="9"/>
  <c r="GH24" i="9"/>
  <c r="GG24" i="9"/>
  <c r="GE24" i="9"/>
  <c r="GI23" i="9"/>
  <c r="GH23" i="9"/>
  <c r="GG23" i="9"/>
  <c r="GE23" i="9"/>
  <c r="GI22" i="9"/>
  <c r="GH22" i="9"/>
  <c r="GG22" i="9"/>
  <c r="GE22" i="9"/>
  <c r="GI21" i="9"/>
  <c r="GH21" i="9"/>
  <c r="GG21" i="9"/>
  <c r="GE21" i="9"/>
  <c r="GI20" i="9"/>
  <c r="GH20" i="9"/>
  <c r="GG20" i="9"/>
  <c r="GE20" i="9"/>
  <c r="GI19" i="9"/>
  <c r="GH19" i="9"/>
  <c r="GG19" i="9"/>
  <c r="GE19" i="9"/>
  <c r="GI18" i="9"/>
  <c r="GH18" i="9"/>
  <c r="GG18" i="9"/>
  <c r="GE18" i="9"/>
  <c r="GI17" i="9"/>
  <c r="GH17" i="9"/>
  <c r="GG17" i="9"/>
  <c r="GE17" i="9"/>
  <c r="GI16" i="9"/>
  <c r="GH16" i="9"/>
  <c r="GG16" i="9"/>
  <c r="GE16" i="9"/>
  <c r="GI15" i="9"/>
  <c r="GH15" i="9"/>
  <c r="GG15" i="9"/>
  <c r="GE15" i="9"/>
  <c r="GI14" i="9"/>
  <c r="GH14" i="9"/>
  <c r="GG14" i="9"/>
  <c r="GE14" i="9"/>
  <c r="GI13" i="9"/>
  <c r="GH13" i="9"/>
  <c r="GG13" i="9"/>
  <c r="GE13" i="9"/>
  <c r="GI12" i="9"/>
  <c r="GH12" i="9"/>
  <c r="GG12" i="9"/>
  <c r="GE12" i="9"/>
  <c r="GI11" i="9"/>
  <c r="GH11" i="9"/>
  <c r="GG11" i="9"/>
  <c r="GE11" i="9"/>
  <c r="HX10" i="9" a="1"/>
  <c r="HX10" i="9" s="1"/>
  <c r="IW10" i="9" s="1"/>
  <c r="HW10" i="9" a="1"/>
  <c r="HW10" i="9" s="1"/>
  <c r="IV10" i="9" s="1"/>
  <c r="HV10" i="9" a="1"/>
  <c r="HV10" i="9" s="1"/>
  <c r="IU10" i="9" s="1"/>
  <c r="HU10" i="9" a="1"/>
  <c r="HU10" i="9" s="1"/>
  <c r="IT10" i="9" s="1"/>
  <c r="HT10" i="9" a="1"/>
  <c r="HT10" i="9" s="1"/>
  <c r="IS10" i="9" s="1"/>
  <c r="HS10" i="9" a="1"/>
  <c r="HS10" i="9" s="1"/>
  <c r="IR10" i="9" s="1"/>
  <c r="HR10" i="9" a="1"/>
  <c r="HR10" i="9" s="1"/>
  <c r="IQ10" i="9" s="1"/>
  <c r="HQ10" i="9" a="1"/>
  <c r="HQ10" i="9" s="1"/>
  <c r="IP10" i="9" s="1"/>
  <c r="HP10" i="9" a="1"/>
  <c r="HP10" i="9" s="1"/>
  <c r="IO10" i="9" s="1"/>
  <c r="HL10" i="9"/>
  <c r="HJ10" i="9"/>
  <c r="HI10" i="9"/>
  <c r="HH10" i="9"/>
  <c r="HB10" i="9"/>
  <c r="HA10" i="9"/>
  <c r="GZ10" i="9"/>
  <c r="GY10" i="9"/>
  <c r="GX10" i="9"/>
  <c r="GW10" i="9"/>
  <c r="GV10" i="9"/>
  <c r="GU10" i="9"/>
  <c r="GT10" i="9"/>
  <c r="GP10" i="9"/>
  <c r="GI10" i="9"/>
  <c r="GH10" i="9"/>
  <c r="GG10" i="9"/>
  <c r="GF10" i="9"/>
  <c r="GE10" i="9"/>
  <c r="GB10" i="9"/>
  <c r="GA10" i="9"/>
  <c r="FZ10" i="9"/>
  <c r="FY10" i="9"/>
  <c r="FW10" i="9"/>
  <c r="FV10" i="9"/>
  <c r="FU10" i="9"/>
  <c r="FT10" i="9"/>
  <c r="FS10" i="9"/>
  <c r="FR10" i="9"/>
  <c r="FQ10" i="9"/>
  <c r="FJ10" i="9"/>
  <c r="FI10" i="9"/>
  <c r="FH10" i="9"/>
  <c r="FG10" i="9"/>
  <c r="FF10" i="9"/>
  <c r="FP10" i="9" s="1"/>
  <c r="FE10" i="9"/>
  <c r="FD10" i="9"/>
  <c r="FB10" i="9"/>
  <c r="FA10" i="9"/>
  <c r="EZ10" i="9"/>
  <c r="EY10" i="9"/>
  <c r="EX10" i="9"/>
  <c r="EW10" i="9"/>
  <c r="EV10" i="9"/>
  <c r="EU10" i="9"/>
  <c r="ET10" i="9"/>
  <c r="ES10" i="9"/>
  <c r="ER10" i="9"/>
  <c r="EQ10" i="9"/>
  <c r="EP10" i="9"/>
  <c r="EO10" i="9"/>
  <c r="EN10" i="9"/>
  <c r="EM10" i="9"/>
  <c r="EL10" i="9"/>
  <c r="EK10" i="9"/>
  <c r="EJ10" i="9"/>
  <c r="EI10" i="9"/>
  <c r="EH10" i="9"/>
  <c r="EG10" i="9"/>
  <c r="EF10" i="9"/>
  <c r="EE10" i="9"/>
  <c r="ED10" i="9"/>
  <c r="EC10" i="9"/>
  <c r="EB10" i="9"/>
  <c r="EA10" i="9"/>
  <c r="DU10" i="9"/>
  <c r="DT10" i="9"/>
  <c r="DS10" i="9"/>
  <c r="DR10" i="9"/>
  <c r="DQ10" i="9"/>
  <c r="DP10" i="9"/>
  <c r="DO10" i="9"/>
  <c r="DN10" i="9"/>
  <c r="DK10" i="9"/>
  <c r="DJ10" i="9"/>
  <c r="DI10" i="9"/>
  <c r="DH10" i="9"/>
  <c r="DG10" i="9"/>
  <c r="DF10" i="9"/>
  <c r="DE10" i="9"/>
  <c r="DD10" i="9"/>
  <c r="DB10" i="9"/>
  <c r="DA10" i="9"/>
  <c r="CV10" i="9"/>
  <c r="CU10" i="9"/>
  <c r="CT10" i="9"/>
  <c r="CS10" i="9"/>
  <c r="GN10" i="9" s="1"/>
  <c r="CR10" i="9"/>
  <c r="GM10" i="9" s="1"/>
  <c r="CQ10" i="9"/>
  <c r="GL10" i="9" s="1"/>
  <c r="CP10" i="9"/>
  <c r="GJ10" i="9" s="1"/>
  <c r="GK10" i="9" s="1"/>
  <c r="CO10" i="9"/>
  <c r="DZ10" i="9" s="1"/>
  <c r="CN10" i="9"/>
  <c r="DY10" i="9" s="1"/>
  <c r="CM10" i="9"/>
  <c r="DX10" i="9" s="1"/>
  <c r="CL10" i="9"/>
  <c r="DW10" i="9" s="1"/>
  <c r="CG10" i="9" a="1"/>
  <c r="CG10" i="9" s="1"/>
  <c r="AW10" i="9"/>
  <c r="AV10" i="9"/>
  <c r="G10" i="9"/>
  <c r="HX6" i="9" a="1"/>
  <c r="HX6" i="9" s="1"/>
  <c r="IW6" i="9" s="1"/>
  <c r="HW6" i="9" a="1"/>
  <c r="HW6" i="9" s="1"/>
  <c r="IV6" i="9" s="1"/>
  <c r="HV6" i="9" a="1"/>
  <c r="HV6" i="9" s="1"/>
  <c r="IU6" i="9" s="1"/>
  <c r="HU6" i="9" a="1"/>
  <c r="HU6" i="9" s="1"/>
  <c r="IT6" i="9" s="1"/>
  <c r="HT6" i="9" a="1"/>
  <c r="HT6" i="9" s="1"/>
  <c r="IS6" i="9" s="1"/>
  <c r="HS6" i="9" a="1"/>
  <c r="HS6" i="9" s="1"/>
  <c r="IR6" i="9" s="1"/>
  <c r="HR6" i="9" a="1"/>
  <c r="HR6" i="9" s="1"/>
  <c r="IQ6" i="9" s="1"/>
  <c r="HQ6" i="9" a="1"/>
  <c r="HQ6" i="9" s="1"/>
  <c r="IP6" i="9" s="1"/>
  <c r="HP6" i="9" a="1"/>
  <c r="HP6" i="9" s="1"/>
  <c r="IO6" i="9" s="1"/>
  <c r="HL6" i="9"/>
  <c r="HJ6" i="9"/>
  <c r="HH6" i="9"/>
  <c r="HB6" i="9"/>
  <c r="HA6" i="9"/>
  <c r="GZ6" i="9"/>
  <c r="GY6" i="9"/>
  <c r="GX6" i="9"/>
  <c r="GW6" i="9"/>
  <c r="GV6" i="9"/>
  <c r="GU6" i="9"/>
  <c r="GT6" i="9"/>
  <c r="GP6" i="9"/>
  <c r="GI6" i="9"/>
  <c r="GH6" i="9"/>
  <c r="GG6" i="9"/>
  <c r="GF6" i="9"/>
  <c r="GE6" i="9"/>
  <c r="GB6" i="9"/>
  <c r="GA6" i="9"/>
  <c r="FZ6" i="9"/>
  <c r="FY6" i="9"/>
  <c r="FW6" i="9"/>
  <c r="FV6" i="9"/>
  <c r="FU6" i="9"/>
  <c r="FT6" i="9"/>
  <c r="FS6" i="9"/>
  <c r="FR6" i="9"/>
  <c r="FQ6" i="9"/>
  <c r="FJ6" i="9"/>
  <c r="FI6" i="9"/>
  <c r="FH6" i="9"/>
  <c r="FG6" i="9"/>
  <c r="FF6" i="9"/>
  <c r="FE6" i="9"/>
  <c r="FD6" i="9"/>
  <c r="FB6" i="9"/>
  <c r="FA6" i="9"/>
  <c r="EZ6" i="9"/>
  <c r="EY6" i="9"/>
  <c r="EX6" i="9"/>
  <c r="EW6" i="9"/>
  <c r="EV6" i="9"/>
  <c r="EU6" i="9"/>
  <c r="ET6" i="9"/>
  <c r="ES6" i="9"/>
  <c r="ER6" i="9"/>
  <c r="EQ6" i="9"/>
  <c r="EP6" i="9"/>
  <c r="EO6" i="9"/>
  <c r="EN6" i="9"/>
  <c r="EM6" i="9"/>
  <c r="EL6" i="9"/>
  <c r="EK6" i="9"/>
  <c r="EJ6" i="9"/>
  <c r="EI6" i="9"/>
  <c r="EH6" i="9"/>
  <c r="EG6" i="9"/>
  <c r="EF6" i="9"/>
  <c r="EE6" i="9"/>
  <c r="ED6" i="9"/>
  <c r="EC6" i="9"/>
  <c r="EB6" i="9"/>
  <c r="EA6" i="9"/>
  <c r="DU6" i="9"/>
  <c r="DT6" i="9"/>
  <c r="DS6" i="9"/>
  <c r="DR6" i="9"/>
  <c r="DQ6" i="9"/>
  <c r="DP6" i="9"/>
  <c r="DO6" i="9"/>
  <c r="DN6" i="9"/>
  <c r="DK6" i="9"/>
  <c r="DJ6" i="9"/>
  <c r="DI6" i="9"/>
  <c r="DH6" i="9"/>
  <c r="DG6" i="9"/>
  <c r="DF6" i="9"/>
  <c r="DE6" i="9"/>
  <c r="DD6" i="9"/>
  <c r="DB6" i="9"/>
  <c r="DA6" i="9"/>
  <c r="CV6" i="9"/>
  <c r="CU6" i="9"/>
  <c r="CT6" i="9"/>
  <c r="CS6" i="9"/>
  <c r="GN6" i="9" s="1"/>
  <c r="CR6" i="9"/>
  <c r="GM6" i="9" s="1"/>
  <c r="CQ6" i="9"/>
  <c r="GL6" i="9" s="1"/>
  <c r="CP6" i="9"/>
  <c r="GJ6" i="9" s="1"/>
  <c r="GK6" i="9" s="1"/>
  <c r="CO6" i="9"/>
  <c r="DZ6" i="9" s="1"/>
  <c r="CN6" i="9"/>
  <c r="DY6" i="9" s="1"/>
  <c r="CM6" i="9"/>
  <c r="DX6" i="9" s="1"/>
  <c r="CL6" i="9"/>
  <c r="DW6" i="9" s="1"/>
  <c r="CG6" i="9" a="1"/>
  <c r="CG6" i="9" s="1"/>
  <c r="AW6" i="9"/>
  <c r="AV6" i="9"/>
  <c r="G6" i="9"/>
  <c r="HX9" i="9" a="1"/>
  <c r="HX9" i="9" s="1"/>
  <c r="IW9" i="9" s="1"/>
  <c r="HW9" i="9" a="1"/>
  <c r="HW9" i="9" s="1"/>
  <c r="IV9" i="9" s="1"/>
  <c r="HV9" i="9" a="1"/>
  <c r="HV9" i="9" s="1"/>
  <c r="IU9" i="9" s="1"/>
  <c r="HU9" i="9" a="1"/>
  <c r="HU9" i="9" s="1"/>
  <c r="IT9" i="9" s="1"/>
  <c r="HT9" i="9" a="1"/>
  <c r="HT9" i="9" s="1"/>
  <c r="IS9" i="9" s="1"/>
  <c r="HS9" i="9" a="1"/>
  <c r="HS9" i="9" s="1"/>
  <c r="IR9" i="9" s="1"/>
  <c r="HR9" i="9" a="1"/>
  <c r="HR9" i="9" s="1"/>
  <c r="IQ9" i="9" s="1"/>
  <c r="HQ9" i="9" a="1"/>
  <c r="HQ9" i="9" s="1"/>
  <c r="IP9" i="9" s="1"/>
  <c r="HP9" i="9" a="1"/>
  <c r="HP9" i="9" s="1"/>
  <c r="IO9" i="9" s="1"/>
  <c r="HL9" i="9"/>
  <c r="HJ9" i="9"/>
  <c r="HH9" i="9"/>
  <c r="HI9" i="9" s="1"/>
  <c r="HB9" i="9"/>
  <c r="HA9" i="9"/>
  <c r="GZ9" i="9"/>
  <c r="GY9" i="9"/>
  <c r="GX9" i="9"/>
  <c r="GW9" i="9"/>
  <c r="GV9" i="9"/>
  <c r="GU9" i="9"/>
  <c r="GT9" i="9"/>
  <c r="GP9" i="9"/>
  <c r="GI9" i="9"/>
  <c r="GH9" i="9"/>
  <c r="GG9" i="9"/>
  <c r="GF9" i="9"/>
  <c r="GE9" i="9"/>
  <c r="GB9" i="9"/>
  <c r="GA9" i="9"/>
  <c r="FZ9" i="9"/>
  <c r="FY9" i="9"/>
  <c r="FW9" i="9"/>
  <c r="FV9" i="9"/>
  <c r="FU9" i="9"/>
  <c r="FT9" i="9"/>
  <c r="FS9" i="9"/>
  <c r="FR9" i="9"/>
  <c r="FQ9" i="9"/>
  <c r="FJ9" i="9"/>
  <c r="FI9" i="9"/>
  <c r="FH9" i="9"/>
  <c r="FG9" i="9"/>
  <c r="FF9" i="9"/>
  <c r="FP9" i="9" s="1"/>
  <c r="FE9" i="9"/>
  <c r="FD9" i="9"/>
  <c r="FB9" i="9"/>
  <c r="FA9" i="9"/>
  <c r="EZ9" i="9"/>
  <c r="EY9" i="9"/>
  <c r="EX9" i="9"/>
  <c r="EW9" i="9"/>
  <c r="EV9" i="9"/>
  <c r="EU9" i="9"/>
  <c r="ET9" i="9"/>
  <c r="ES9" i="9"/>
  <c r="ER9" i="9"/>
  <c r="EQ9" i="9"/>
  <c r="EP9" i="9"/>
  <c r="EO9" i="9"/>
  <c r="EN9" i="9"/>
  <c r="EM9" i="9"/>
  <c r="EL9" i="9"/>
  <c r="EK9" i="9"/>
  <c r="EJ9" i="9"/>
  <c r="EI9" i="9"/>
  <c r="EH9" i="9"/>
  <c r="EG9" i="9"/>
  <c r="EF9" i="9"/>
  <c r="EE9" i="9"/>
  <c r="ED9" i="9"/>
  <c r="EC9" i="9"/>
  <c r="EB9" i="9"/>
  <c r="EA9" i="9"/>
  <c r="DU9" i="9"/>
  <c r="DT9" i="9"/>
  <c r="DS9" i="9"/>
  <c r="DR9" i="9"/>
  <c r="DQ9" i="9"/>
  <c r="DP9" i="9"/>
  <c r="DO9" i="9"/>
  <c r="DN9" i="9"/>
  <c r="DK9" i="9"/>
  <c r="DJ9" i="9"/>
  <c r="DI9" i="9"/>
  <c r="DH9" i="9"/>
  <c r="DG9" i="9"/>
  <c r="DF9" i="9"/>
  <c r="DE9" i="9"/>
  <c r="DD9" i="9"/>
  <c r="DB9" i="9"/>
  <c r="DA9" i="9"/>
  <c r="CV9" i="9"/>
  <c r="CU9" i="9"/>
  <c r="CT9" i="9"/>
  <c r="CS9" i="9"/>
  <c r="GN9" i="9" s="1"/>
  <c r="CR9" i="9"/>
  <c r="GM9" i="9" s="1"/>
  <c r="CQ9" i="9"/>
  <c r="GL9" i="9" s="1"/>
  <c r="CP9" i="9"/>
  <c r="GJ9" i="9" s="1"/>
  <c r="GK9" i="9" s="1"/>
  <c r="CO9" i="9"/>
  <c r="DZ9" i="9" s="1"/>
  <c r="CN9" i="9"/>
  <c r="DY9" i="9" s="1"/>
  <c r="CM9" i="9"/>
  <c r="DX9" i="9" s="1"/>
  <c r="CL9" i="9"/>
  <c r="DW9" i="9" s="1"/>
  <c r="CG9" i="9" a="1"/>
  <c r="CG9" i="9" s="1"/>
  <c r="IM9" i="9" s="1"/>
  <c r="AW9" i="9"/>
  <c r="AV9" i="9"/>
  <c r="G9" i="9"/>
  <c r="HX8" i="9" a="1"/>
  <c r="HX8" i="9" s="1"/>
  <c r="IW8" i="9" s="1"/>
  <c r="HW8" i="9" a="1"/>
  <c r="HW8" i="9" s="1"/>
  <c r="IV8" i="9" s="1"/>
  <c r="HV8" i="9" a="1"/>
  <c r="HV8" i="9" s="1"/>
  <c r="IU8" i="9" s="1"/>
  <c r="HU8" i="9" a="1"/>
  <c r="HU8" i="9" s="1"/>
  <c r="IT8" i="9" s="1"/>
  <c r="HT8" i="9" a="1"/>
  <c r="HT8" i="9" s="1"/>
  <c r="IS8" i="9" s="1"/>
  <c r="HS8" i="9" a="1"/>
  <c r="HS8" i="9" s="1"/>
  <c r="IR8" i="9" s="1"/>
  <c r="HR8" i="9" a="1"/>
  <c r="HR8" i="9" s="1"/>
  <c r="IQ8" i="9" s="1"/>
  <c r="HQ8" i="9" a="1"/>
  <c r="HQ8" i="9" s="1"/>
  <c r="IP8" i="9" s="1"/>
  <c r="HP8" i="9" a="1"/>
  <c r="HP8" i="9" s="1"/>
  <c r="IO8" i="9" s="1"/>
  <c r="HL8" i="9"/>
  <c r="HJ8" i="9"/>
  <c r="HH8" i="9"/>
  <c r="HI8" i="9" s="1"/>
  <c r="HB8" i="9"/>
  <c r="HA8" i="9"/>
  <c r="GZ8" i="9"/>
  <c r="GY8" i="9"/>
  <c r="GX8" i="9"/>
  <c r="GW8" i="9"/>
  <c r="GV8" i="9"/>
  <c r="GU8" i="9"/>
  <c r="GT8" i="9"/>
  <c r="GP8" i="9"/>
  <c r="GI8" i="9"/>
  <c r="GH8" i="9"/>
  <c r="GG8" i="9"/>
  <c r="GF8" i="9"/>
  <c r="GE8" i="9"/>
  <c r="GB8" i="9"/>
  <c r="GA8" i="9"/>
  <c r="FZ8" i="9"/>
  <c r="FY8" i="9"/>
  <c r="FW8" i="9"/>
  <c r="FV8" i="9"/>
  <c r="FU8" i="9"/>
  <c r="FT8" i="9"/>
  <c r="FS8" i="9"/>
  <c r="FR8" i="9"/>
  <c r="FQ8" i="9"/>
  <c r="FJ8" i="9"/>
  <c r="FI8" i="9"/>
  <c r="FH8" i="9"/>
  <c r="FG8" i="9"/>
  <c r="FF8" i="9"/>
  <c r="FP8" i="9" s="1"/>
  <c r="FE8" i="9"/>
  <c r="FD8" i="9"/>
  <c r="FB8" i="9"/>
  <c r="FA8" i="9"/>
  <c r="EZ8" i="9"/>
  <c r="EY8" i="9"/>
  <c r="EX8" i="9"/>
  <c r="EW8" i="9"/>
  <c r="EV8" i="9"/>
  <c r="EU8" i="9"/>
  <c r="ET8" i="9"/>
  <c r="ES8" i="9"/>
  <c r="ER8" i="9"/>
  <c r="EQ8" i="9"/>
  <c r="EP8" i="9"/>
  <c r="EO8" i="9"/>
  <c r="EN8" i="9"/>
  <c r="EM8" i="9"/>
  <c r="EL8" i="9"/>
  <c r="EK8" i="9"/>
  <c r="EJ8" i="9"/>
  <c r="EI8" i="9"/>
  <c r="EH8" i="9"/>
  <c r="EG8" i="9"/>
  <c r="EF8" i="9"/>
  <c r="EE8" i="9"/>
  <c r="ED8" i="9"/>
  <c r="EC8" i="9"/>
  <c r="EB8" i="9"/>
  <c r="EA8" i="9"/>
  <c r="DU8" i="9"/>
  <c r="DT8" i="9"/>
  <c r="DS8" i="9"/>
  <c r="DR8" i="9"/>
  <c r="DQ8" i="9"/>
  <c r="DP8" i="9"/>
  <c r="DO8" i="9"/>
  <c r="DN8" i="9"/>
  <c r="DK8" i="9"/>
  <c r="DJ8" i="9"/>
  <c r="DI8" i="9"/>
  <c r="DH8" i="9"/>
  <c r="DG8" i="9"/>
  <c r="DF8" i="9"/>
  <c r="DE8" i="9"/>
  <c r="DD8" i="9"/>
  <c r="DB8" i="9"/>
  <c r="DA8" i="9"/>
  <c r="CV8" i="9"/>
  <c r="CU8" i="9"/>
  <c r="CT8" i="9"/>
  <c r="CS8" i="9"/>
  <c r="GN8" i="9" s="1"/>
  <c r="CR8" i="9"/>
  <c r="GM8" i="9" s="1"/>
  <c r="CQ8" i="9"/>
  <c r="GL8" i="9" s="1"/>
  <c r="CP8" i="9"/>
  <c r="GJ8" i="9" s="1"/>
  <c r="GK8" i="9" s="1"/>
  <c r="CO8" i="9"/>
  <c r="DZ8" i="9" s="1"/>
  <c r="CN8" i="9"/>
  <c r="DY8" i="9" s="1"/>
  <c r="CM8" i="9"/>
  <c r="DX8" i="9" s="1"/>
  <c r="CL8" i="9"/>
  <c r="DW8" i="9" s="1"/>
  <c r="CG8" i="9" a="1"/>
  <c r="CG8" i="9" s="1"/>
  <c r="AW8" i="9"/>
  <c r="AV8" i="9"/>
  <c r="G8" i="9"/>
  <c r="HX7" i="9" a="1"/>
  <c r="HX7" i="9" s="1"/>
  <c r="IW7" i="9" s="1"/>
  <c r="HW7" i="9" a="1"/>
  <c r="HW7" i="9" s="1"/>
  <c r="IV7" i="9" s="1"/>
  <c r="HV7" i="9" a="1"/>
  <c r="HV7" i="9" s="1"/>
  <c r="IU7" i="9" s="1"/>
  <c r="HU7" i="9" a="1"/>
  <c r="HU7" i="9" s="1"/>
  <c r="IT7" i="9" s="1"/>
  <c r="HT7" i="9" a="1"/>
  <c r="HT7" i="9" s="1"/>
  <c r="IS7" i="9" s="1"/>
  <c r="HS7" i="9" a="1"/>
  <c r="HS7" i="9" s="1"/>
  <c r="IR7" i="9" s="1"/>
  <c r="HR7" i="9" a="1"/>
  <c r="HR7" i="9" s="1"/>
  <c r="IQ7" i="9" s="1"/>
  <c r="HQ7" i="9" a="1"/>
  <c r="HQ7" i="9" s="1"/>
  <c r="IP7" i="9" s="1"/>
  <c r="HP7" i="9" a="1"/>
  <c r="HP7" i="9" s="1"/>
  <c r="IO7" i="9" s="1"/>
  <c r="HL7" i="9"/>
  <c r="HJ7" i="9"/>
  <c r="HH7" i="9"/>
  <c r="HI7" i="9" s="1"/>
  <c r="HB7" i="9"/>
  <c r="HA7" i="9"/>
  <c r="GZ7" i="9"/>
  <c r="GY7" i="9"/>
  <c r="GX7" i="9"/>
  <c r="GW7" i="9"/>
  <c r="GV7" i="9"/>
  <c r="GU7" i="9"/>
  <c r="GT7" i="9"/>
  <c r="GP7" i="9"/>
  <c r="GI7" i="9"/>
  <c r="GH7" i="9"/>
  <c r="GG7" i="9"/>
  <c r="GF7" i="9"/>
  <c r="GE7" i="9"/>
  <c r="GB7" i="9"/>
  <c r="GA7" i="9"/>
  <c r="FZ7" i="9"/>
  <c r="FY7" i="9"/>
  <c r="FW7" i="9"/>
  <c r="FV7" i="9"/>
  <c r="FU7" i="9"/>
  <c r="FT7" i="9"/>
  <c r="FS7" i="9"/>
  <c r="FR7" i="9"/>
  <c r="FQ7" i="9"/>
  <c r="FJ7" i="9"/>
  <c r="FI7" i="9"/>
  <c r="FH7" i="9"/>
  <c r="FG7" i="9"/>
  <c r="FF7" i="9"/>
  <c r="FP7" i="9" s="1"/>
  <c r="FE7" i="9"/>
  <c r="FD7" i="9"/>
  <c r="FB7" i="9"/>
  <c r="FA7" i="9"/>
  <c r="EZ7" i="9"/>
  <c r="EY7" i="9"/>
  <c r="EX7" i="9"/>
  <c r="EW7" i="9"/>
  <c r="EV7" i="9"/>
  <c r="EU7" i="9"/>
  <c r="ET7" i="9"/>
  <c r="ES7" i="9"/>
  <c r="ER7" i="9"/>
  <c r="EQ7" i="9"/>
  <c r="EP7" i="9"/>
  <c r="EO7" i="9"/>
  <c r="EN7" i="9"/>
  <c r="EM7" i="9"/>
  <c r="EL7" i="9"/>
  <c r="EK7" i="9"/>
  <c r="EJ7" i="9"/>
  <c r="EI7" i="9"/>
  <c r="EH7" i="9"/>
  <c r="EG7" i="9"/>
  <c r="EF7" i="9"/>
  <c r="EE7" i="9"/>
  <c r="ED7" i="9"/>
  <c r="EC7" i="9"/>
  <c r="EB7" i="9"/>
  <c r="EA7" i="9"/>
  <c r="DU7" i="9"/>
  <c r="DT7" i="9"/>
  <c r="DS7" i="9"/>
  <c r="DR7" i="9"/>
  <c r="DQ7" i="9"/>
  <c r="DP7" i="9"/>
  <c r="DO7" i="9"/>
  <c r="DN7" i="9"/>
  <c r="DK7" i="9"/>
  <c r="DJ7" i="9"/>
  <c r="DI7" i="9"/>
  <c r="DH7" i="9"/>
  <c r="DG7" i="9"/>
  <c r="DF7" i="9"/>
  <c r="DE7" i="9"/>
  <c r="DD7" i="9"/>
  <c r="DB7" i="9"/>
  <c r="DA7" i="9"/>
  <c r="CV7" i="9"/>
  <c r="CU7" i="9"/>
  <c r="CT7" i="9"/>
  <c r="CS7" i="9"/>
  <c r="GN7" i="9" s="1"/>
  <c r="CR7" i="9"/>
  <c r="GM7" i="9" s="1"/>
  <c r="CQ7" i="9"/>
  <c r="GL7" i="9" s="1"/>
  <c r="CP7" i="9"/>
  <c r="GJ7" i="9" s="1"/>
  <c r="GK7" i="9" s="1"/>
  <c r="CO7" i="9"/>
  <c r="DZ7" i="9" s="1"/>
  <c r="CN7" i="9"/>
  <c r="DY7" i="9" s="1"/>
  <c r="CM7" i="9"/>
  <c r="DX7" i="9" s="1"/>
  <c r="CL7" i="9"/>
  <c r="DW7" i="9" s="1"/>
  <c r="CG7" i="9" a="1"/>
  <c r="CG7" i="9" s="1"/>
  <c r="AW7" i="9"/>
  <c r="AV7" i="9"/>
  <c r="G7" i="9"/>
  <c r="HX5" i="9" a="1"/>
  <c r="HX5" i="9" s="1"/>
  <c r="IW5" i="9" s="1"/>
  <c r="HW5" i="9" a="1"/>
  <c r="HW5" i="9" s="1"/>
  <c r="IV5" i="9" s="1"/>
  <c r="HV5" i="9" a="1"/>
  <c r="HV5" i="9" s="1"/>
  <c r="IU5" i="9" s="1"/>
  <c r="HU5" i="9" a="1"/>
  <c r="HU5" i="9" s="1"/>
  <c r="IT5" i="9" s="1"/>
  <c r="HT5" i="9" a="1"/>
  <c r="HT5" i="9" s="1"/>
  <c r="IS5" i="9" s="1"/>
  <c r="HS5" i="9" a="1"/>
  <c r="HS5" i="9" s="1"/>
  <c r="IR5" i="9" s="1"/>
  <c r="HR5" i="9" a="1"/>
  <c r="HR5" i="9" s="1"/>
  <c r="IQ5" i="9" s="1"/>
  <c r="HQ5" i="9" a="1"/>
  <c r="HQ5" i="9" s="1"/>
  <c r="IP5" i="9" s="1"/>
  <c r="HP5" i="9" a="1"/>
  <c r="HP5" i="9" s="1"/>
  <c r="IO5" i="9" s="1"/>
  <c r="HL5" i="9"/>
  <c r="HJ5" i="9"/>
  <c r="HH5" i="9"/>
  <c r="HB5" i="9"/>
  <c r="HA5" i="9"/>
  <c r="GZ5" i="9"/>
  <c r="GY5" i="9"/>
  <c r="GX5" i="9"/>
  <c r="GW5" i="9"/>
  <c r="GV5" i="9"/>
  <c r="GU5" i="9"/>
  <c r="GT5" i="9"/>
  <c r="GP5" i="9"/>
  <c r="GI5" i="9"/>
  <c r="GH5" i="9"/>
  <c r="GG5" i="9"/>
  <c r="GF5" i="9"/>
  <c r="GE5" i="9"/>
  <c r="GB5" i="9"/>
  <c r="GA5" i="9"/>
  <c r="FZ5" i="9"/>
  <c r="FY5" i="9"/>
  <c r="FW5" i="9"/>
  <c r="FV5" i="9"/>
  <c r="FU5" i="9"/>
  <c r="FT5" i="9"/>
  <c r="FS5" i="9"/>
  <c r="FR5" i="9"/>
  <c r="FQ5" i="9"/>
  <c r="FJ5" i="9"/>
  <c r="FI5" i="9"/>
  <c r="FH5" i="9"/>
  <c r="FG5" i="9"/>
  <c r="FF5" i="9"/>
  <c r="FE5" i="9"/>
  <c r="FD5" i="9"/>
  <c r="FB5" i="9"/>
  <c r="FA5" i="9"/>
  <c r="EZ5" i="9"/>
  <c r="EY5" i="9"/>
  <c r="EX5" i="9"/>
  <c r="EW5" i="9"/>
  <c r="EV5" i="9"/>
  <c r="EU5" i="9"/>
  <c r="ET5" i="9"/>
  <c r="ES5" i="9"/>
  <c r="ER5" i="9"/>
  <c r="EQ5" i="9"/>
  <c r="EP5" i="9"/>
  <c r="EO5" i="9"/>
  <c r="EN5" i="9"/>
  <c r="EM5" i="9"/>
  <c r="EL5" i="9"/>
  <c r="EK5" i="9"/>
  <c r="EJ5" i="9"/>
  <c r="EI5" i="9"/>
  <c r="EH5" i="9"/>
  <c r="EG5" i="9"/>
  <c r="EF5" i="9"/>
  <c r="EE5" i="9"/>
  <c r="ED5" i="9"/>
  <c r="EC5" i="9"/>
  <c r="EB5" i="9"/>
  <c r="EA5" i="9"/>
  <c r="DU5" i="9"/>
  <c r="DT5" i="9"/>
  <c r="DS5" i="9"/>
  <c r="DR5" i="9"/>
  <c r="DQ5" i="9"/>
  <c r="DP5" i="9"/>
  <c r="DO5" i="9"/>
  <c r="DN5" i="9"/>
  <c r="DK5" i="9"/>
  <c r="DJ5" i="9"/>
  <c r="DI5" i="9"/>
  <c r="DH5" i="9"/>
  <c r="DG5" i="9"/>
  <c r="DF5" i="9"/>
  <c r="DE5" i="9"/>
  <c r="DD5" i="9"/>
  <c r="DB5" i="9"/>
  <c r="DA5" i="9"/>
  <c r="CV5" i="9"/>
  <c r="CU5" i="9"/>
  <c r="CT5" i="9"/>
  <c r="CS5" i="9"/>
  <c r="GN5" i="9" s="1"/>
  <c r="CR5" i="9"/>
  <c r="GM5" i="9" s="1"/>
  <c r="CQ5" i="9"/>
  <c r="GL5" i="9" s="1"/>
  <c r="CP5" i="9"/>
  <c r="GJ5" i="9" s="1"/>
  <c r="GK5" i="9" s="1"/>
  <c r="CO5" i="9"/>
  <c r="DZ5" i="9" s="1"/>
  <c r="CN5" i="9"/>
  <c r="DY5" i="9" s="1"/>
  <c r="CM5" i="9"/>
  <c r="DX5" i="9" s="1"/>
  <c r="CL5" i="9"/>
  <c r="DW5" i="9" s="1"/>
  <c r="CG5" i="9" a="1"/>
  <c r="CG5" i="9" s="1"/>
  <c r="IM5" i="9" s="1"/>
  <c r="AW5" i="9"/>
  <c r="AV5" i="9"/>
  <c r="G5" i="9"/>
  <c r="IL4" i="9"/>
  <c r="HX4" i="9" a="1"/>
  <c r="HX4" i="9" s="1"/>
  <c r="IW4" i="9" s="1"/>
  <c r="HW4" i="9" a="1"/>
  <c r="HW4" i="9" s="1"/>
  <c r="IV4" i="9" s="1"/>
  <c r="HV4" i="9" a="1"/>
  <c r="HV4" i="9" s="1"/>
  <c r="IU4" i="9" s="1"/>
  <c r="HU4" i="9" a="1"/>
  <c r="HU4" i="9" s="1"/>
  <c r="IT4" i="9" s="1"/>
  <c r="HT4" i="9" a="1"/>
  <c r="HT4" i="9" s="1"/>
  <c r="IS4" i="9" s="1"/>
  <c r="HS4" i="9" a="1"/>
  <c r="HS4" i="9" s="1"/>
  <c r="IR4" i="9" s="1"/>
  <c r="HR4" i="9" a="1"/>
  <c r="HR4" i="9" s="1"/>
  <c r="IQ4" i="9" s="1"/>
  <c r="HQ4" i="9" a="1"/>
  <c r="HQ4" i="9" s="1"/>
  <c r="IP4" i="9" s="1"/>
  <c r="HP4" i="9" a="1"/>
  <c r="HP4" i="9" s="1"/>
  <c r="IO4" i="9" s="1"/>
  <c r="HL4" i="9"/>
  <c r="HJ4" i="9"/>
  <c r="HH4" i="9"/>
  <c r="HB4" i="9"/>
  <c r="HA4" i="9"/>
  <c r="GZ4" i="9"/>
  <c r="GY4" i="9"/>
  <c r="GX4" i="9"/>
  <c r="GW4" i="9"/>
  <c r="GV4" i="9"/>
  <c r="GU4" i="9"/>
  <c r="GT4" i="9"/>
  <c r="GP4" i="9"/>
  <c r="GI4" i="9"/>
  <c r="GH4" i="9"/>
  <c r="GG4" i="9"/>
  <c r="GF4" i="9"/>
  <c r="GE4" i="9"/>
  <c r="GD4" i="9"/>
  <c r="GC4" i="9"/>
  <c r="GB4" i="9"/>
  <c r="GA4" i="9"/>
  <c r="FZ4" i="9"/>
  <c r="FY4" i="9"/>
  <c r="FX4" i="9"/>
  <c r="FW4" i="9"/>
  <c r="FV4" i="9"/>
  <c r="FU4" i="9"/>
  <c r="FT4" i="9"/>
  <c r="FS4" i="9"/>
  <c r="FR4" i="9"/>
  <c r="FQ4" i="9"/>
  <c r="FJ4" i="9"/>
  <c r="FI4" i="9"/>
  <c r="FH4" i="9"/>
  <c r="FG4" i="9"/>
  <c r="FF4" i="9"/>
  <c r="FE4" i="9"/>
  <c r="FD4" i="9"/>
  <c r="FC4" i="9"/>
  <c r="FB4" i="9"/>
  <c r="FA4" i="9"/>
  <c r="EZ4" i="9"/>
  <c r="EY4" i="9"/>
  <c r="EX4" i="9"/>
  <c r="EW4" i="9"/>
  <c r="EV4" i="9"/>
  <c r="EU4" i="9"/>
  <c r="ET4" i="9"/>
  <c r="ES4" i="9"/>
  <c r="ER4" i="9"/>
  <c r="EQ4" i="9"/>
  <c r="EP4" i="9"/>
  <c r="EO4" i="9"/>
  <c r="EN4" i="9"/>
  <c r="EM4" i="9"/>
  <c r="EL4" i="9"/>
  <c r="EK4" i="9"/>
  <c r="EJ4" i="9"/>
  <c r="EI4" i="9"/>
  <c r="EH4" i="9"/>
  <c r="EG4" i="9"/>
  <c r="EF4" i="9"/>
  <c r="EE4" i="9"/>
  <c r="ED4" i="9"/>
  <c r="EC4" i="9"/>
  <c r="EB4" i="9"/>
  <c r="EA4" i="9"/>
  <c r="DV4" i="9"/>
  <c r="DU4" i="9"/>
  <c r="DT4" i="9"/>
  <c r="DS4" i="9"/>
  <c r="DR4" i="9"/>
  <c r="DQ4" i="9"/>
  <c r="DP4" i="9"/>
  <c r="DO4" i="9"/>
  <c r="DN4" i="9"/>
  <c r="DK4" i="9"/>
  <c r="DJ4" i="9"/>
  <c r="DI4" i="9"/>
  <c r="DH4" i="9"/>
  <c r="DG4" i="9"/>
  <c r="DF4" i="9"/>
  <c r="DE4" i="9"/>
  <c r="DD4" i="9"/>
  <c r="DC4" i="9"/>
  <c r="DB4" i="9"/>
  <c r="DA4" i="9"/>
  <c r="CV4" i="9"/>
  <c r="CU4" i="9"/>
  <c r="CT4" i="9"/>
  <c r="CS4" i="9"/>
  <c r="GN4" i="9" s="1"/>
  <c r="CR4" i="9"/>
  <c r="GM4" i="9" s="1"/>
  <c r="CQ4" i="9"/>
  <c r="GL4" i="9" s="1"/>
  <c r="CP4" i="9"/>
  <c r="GJ4" i="9" s="1"/>
  <c r="GK4" i="9" s="1"/>
  <c r="CO4" i="9"/>
  <c r="DZ4" i="9" s="1"/>
  <c r="CN4" i="9"/>
  <c r="DY4" i="9" s="1"/>
  <c r="CM4" i="9"/>
  <c r="DX4" i="9" s="1"/>
  <c r="CL4" i="9"/>
  <c r="DW4" i="9" s="1"/>
  <c r="CG4" i="9" a="1"/>
  <c r="CG4" i="9" s="1"/>
  <c r="CJ4" i="9" s="1"/>
  <c r="CY4" i="9" s="1"/>
  <c r="AW4" i="9"/>
  <c r="AV4" i="9"/>
  <c r="G4" i="9"/>
  <c r="IL2" i="9"/>
  <c r="HX2" i="9" a="1"/>
  <c r="HX2" i="9" s="1"/>
  <c r="IW2" i="9" s="1"/>
  <c r="HW2" i="9" a="1"/>
  <c r="HW2" i="9" s="1"/>
  <c r="IV2" i="9" s="1"/>
  <c r="HV2" i="9" a="1"/>
  <c r="HV2" i="9" s="1"/>
  <c r="IU2" i="9" s="1"/>
  <c r="HU2" i="9" a="1"/>
  <c r="HU2" i="9" s="1"/>
  <c r="IT2" i="9" s="1"/>
  <c r="HT2" i="9" a="1"/>
  <c r="HT2" i="9" s="1"/>
  <c r="IS2" i="9" s="1"/>
  <c r="HS2" i="9" a="1"/>
  <c r="HS2" i="9" s="1"/>
  <c r="IR2" i="9" s="1"/>
  <c r="HR2" i="9" a="1"/>
  <c r="HR2" i="9" s="1"/>
  <c r="IQ2" i="9" s="1"/>
  <c r="HQ2" i="9" a="1"/>
  <c r="HQ2" i="9" s="1"/>
  <c r="IP2" i="9" s="1"/>
  <c r="HP2" i="9" a="1"/>
  <c r="HP2" i="9" s="1"/>
  <c r="IO2" i="9" s="1"/>
  <c r="HL2" i="9"/>
  <c r="HJ2" i="9"/>
  <c r="HH2" i="9"/>
  <c r="HI2" i="9" s="1"/>
  <c r="HB2" i="9"/>
  <c r="HA2" i="9"/>
  <c r="GZ2" i="9"/>
  <c r="GY2" i="9"/>
  <c r="GX2" i="9"/>
  <c r="GW2" i="9"/>
  <c r="GV2" i="9"/>
  <c r="GU2" i="9"/>
  <c r="GT2" i="9"/>
  <c r="GP2" i="9"/>
  <c r="GI2" i="9"/>
  <c r="GH2" i="9"/>
  <c r="GG2" i="9"/>
  <c r="GF2" i="9"/>
  <c r="GE2" i="9"/>
  <c r="GD2" i="9"/>
  <c r="GC2" i="9"/>
  <c r="GB2" i="9"/>
  <c r="GA2" i="9"/>
  <c r="FZ2" i="9"/>
  <c r="FY2" i="9"/>
  <c r="FX2" i="9"/>
  <c r="FW2" i="9"/>
  <c r="FV2" i="9"/>
  <c r="FU2" i="9"/>
  <c r="FT2" i="9"/>
  <c r="FS2" i="9"/>
  <c r="FR2" i="9"/>
  <c r="FQ2" i="9"/>
  <c r="FJ2" i="9"/>
  <c r="FI2" i="9"/>
  <c r="FH2" i="9"/>
  <c r="FG2" i="9"/>
  <c r="FF2" i="9"/>
  <c r="FP2" i="9" s="1"/>
  <c r="FE2" i="9"/>
  <c r="FD2" i="9"/>
  <c r="FC2" i="9"/>
  <c r="FB2" i="9"/>
  <c r="FA2" i="9"/>
  <c r="EZ2" i="9"/>
  <c r="EY2" i="9"/>
  <c r="EX2" i="9"/>
  <c r="EW2" i="9"/>
  <c r="EV2" i="9"/>
  <c r="EU2" i="9"/>
  <c r="ET2" i="9"/>
  <c r="ES2" i="9"/>
  <c r="ER2" i="9"/>
  <c r="EQ2" i="9"/>
  <c r="EP2" i="9"/>
  <c r="EO2" i="9"/>
  <c r="EN2" i="9"/>
  <c r="EM2" i="9"/>
  <c r="EL2" i="9"/>
  <c r="EK2" i="9"/>
  <c r="EJ2" i="9"/>
  <c r="EI2" i="9"/>
  <c r="EH2" i="9"/>
  <c r="EG2" i="9"/>
  <c r="EF2" i="9"/>
  <c r="EE2" i="9"/>
  <c r="ED2" i="9"/>
  <c r="EC2" i="9"/>
  <c r="EB2" i="9"/>
  <c r="EA2" i="9"/>
  <c r="DV2" i="9"/>
  <c r="DU2" i="9"/>
  <c r="DT2" i="9"/>
  <c r="DS2" i="9"/>
  <c r="DR2" i="9"/>
  <c r="DQ2" i="9"/>
  <c r="DP2" i="9"/>
  <c r="DO2" i="9"/>
  <c r="DN2" i="9"/>
  <c r="DK2" i="9"/>
  <c r="DJ2" i="9"/>
  <c r="DI2" i="9"/>
  <c r="DH2" i="9"/>
  <c r="DG2" i="9"/>
  <c r="DF2" i="9"/>
  <c r="DE2" i="9"/>
  <c r="DD2" i="9"/>
  <c r="DC2" i="9"/>
  <c r="DB2" i="9"/>
  <c r="DA2" i="9"/>
  <c r="CV2" i="9"/>
  <c r="CU2" i="9"/>
  <c r="CT2" i="9"/>
  <c r="CS2" i="9"/>
  <c r="GN2" i="9" s="1"/>
  <c r="CR2" i="9"/>
  <c r="GM2" i="9" s="1"/>
  <c r="CQ2" i="9"/>
  <c r="GL2" i="9" s="1"/>
  <c r="CP2" i="9"/>
  <c r="GJ2" i="9" s="1"/>
  <c r="GK2" i="9" s="1"/>
  <c r="CO2" i="9"/>
  <c r="DZ2" i="9" s="1"/>
  <c r="CN2" i="9"/>
  <c r="DY2" i="9" s="1"/>
  <c r="CM2" i="9"/>
  <c r="DX2" i="9" s="1"/>
  <c r="CL2" i="9"/>
  <c r="DW2" i="9" s="1"/>
  <c r="CG2" i="9" a="1"/>
  <c r="CG2" i="9" s="1"/>
  <c r="AW2" i="9"/>
  <c r="AV2" i="9"/>
  <c r="AX2" i="9" s="1"/>
  <c r="G2" i="9"/>
  <c r="HX5" i="8" a="1"/>
  <c r="HX5" i="8" s="1"/>
  <c r="IW5" i="8" s="1"/>
  <c r="HW5" i="8" a="1"/>
  <c r="HW5" i="8" s="1"/>
  <c r="IV5" i="8" s="1"/>
  <c r="HV5" i="8" a="1"/>
  <c r="HV5" i="8" s="1"/>
  <c r="IU5" i="8" s="1"/>
  <c r="HU5" i="8" a="1"/>
  <c r="HU5" i="8" s="1"/>
  <c r="IT5" i="8" s="1"/>
  <c r="HT5" i="8" a="1"/>
  <c r="HT5" i="8" s="1"/>
  <c r="IS5" i="8" s="1"/>
  <c r="HS5" i="8" a="1"/>
  <c r="HS5" i="8" s="1"/>
  <c r="IR5" i="8" s="1"/>
  <c r="HR5" i="8" a="1"/>
  <c r="HR5" i="8" s="1"/>
  <c r="IQ5" i="8" s="1"/>
  <c r="HQ5" i="8" a="1"/>
  <c r="HQ5" i="8" s="1"/>
  <c r="IP5" i="8" s="1"/>
  <c r="HP5" i="8" a="1"/>
  <c r="HP5" i="8" s="1"/>
  <c r="IO5" i="8" s="1"/>
  <c r="HL5" i="8"/>
  <c r="HJ5" i="8"/>
  <c r="HH5" i="8"/>
  <c r="HB5" i="8"/>
  <c r="HA5" i="8"/>
  <c r="GZ5" i="8"/>
  <c r="GY5" i="8"/>
  <c r="GX5" i="8"/>
  <c r="GW5" i="8"/>
  <c r="GV5" i="8"/>
  <c r="GU5" i="8"/>
  <c r="GT5" i="8"/>
  <c r="GP5" i="8"/>
  <c r="GI5" i="8"/>
  <c r="GH5" i="8"/>
  <c r="GG5" i="8"/>
  <c r="GF5" i="8"/>
  <c r="GE5" i="8"/>
  <c r="GB5" i="8"/>
  <c r="GA5" i="8"/>
  <c r="FZ5" i="8"/>
  <c r="FY5" i="8"/>
  <c r="FW5" i="8"/>
  <c r="FV5" i="8"/>
  <c r="FU5" i="8"/>
  <c r="FT5" i="8"/>
  <c r="FS5" i="8"/>
  <c r="FR5" i="8"/>
  <c r="FQ5" i="8"/>
  <c r="FJ5" i="8"/>
  <c r="FI5" i="8"/>
  <c r="FH5" i="8"/>
  <c r="FG5" i="8"/>
  <c r="FF5" i="8"/>
  <c r="FE5" i="8"/>
  <c r="FD5" i="8"/>
  <c r="FB5" i="8"/>
  <c r="FA5" i="8"/>
  <c r="EZ5" i="8"/>
  <c r="EY5" i="8"/>
  <c r="EX5" i="8"/>
  <c r="EW5" i="8"/>
  <c r="EV5" i="8"/>
  <c r="EU5" i="8"/>
  <c r="ET5" i="8"/>
  <c r="ES5" i="8"/>
  <c r="ER5" i="8"/>
  <c r="EQ5" i="8"/>
  <c r="EP5" i="8"/>
  <c r="EO5" i="8"/>
  <c r="EN5" i="8"/>
  <c r="EM5" i="8"/>
  <c r="EL5" i="8"/>
  <c r="EK5" i="8"/>
  <c r="EJ5" i="8"/>
  <c r="EI5" i="8"/>
  <c r="EH5" i="8"/>
  <c r="EG5" i="8"/>
  <c r="EF5" i="8"/>
  <c r="EE5" i="8"/>
  <c r="ED5" i="8"/>
  <c r="EC5" i="8"/>
  <c r="EB5" i="8"/>
  <c r="EA5" i="8"/>
  <c r="DU5" i="8"/>
  <c r="DT5" i="8"/>
  <c r="DS5" i="8"/>
  <c r="DR5" i="8"/>
  <c r="DQ5" i="8"/>
  <c r="DP5" i="8"/>
  <c r="DO5" i="8"/>
  <c r="DN5" i="8"/>
  <c r="DK5" i="8"/>
  <c r="DJ5" i="8"/>
  <c r="DI5" i="8"/>
  <c r="DH5" i="8"/>
  <c r="DG5" i="8"/>
  <c r="DF5" i="8"/>
  <c r="DE5" i="8"/>
  <c r="DD5" i="8"/>
  <c r="DB5" i="8"/>
  <c r="DA5" i="8"/>
  <c r="CV5" i="8"/>
  <c r="CU5" i="8"/>
  <c r="CT5" i="8"/>
  <c r="CS5" i="8"/>
  <c r="GN5" i="8" s="1"/>
  <c r="CR5" i="8"/>
  <c r="GM5" i="8" s="1"/>
  <c r="CQ5" i="8"/>
  <c r="GL5" i="8" s="1"/>
  <c r="CP5" i="8"/>
  <c r="GJ5" i="8" s="1"/>
  <c r="GK5" i="8" s="1"/>
  <c r="CO5" i="8"/>
  <c r="DZ5" i="8" s="1"/>
  <c r="CN5" i="8"/>
  <c r="DY5" i="8" s="1"/>
  <c r="CM5" i="8"/>
  <c r="DX5" i="8" s="1"/>
  <c r="CL5" i="8"/>
  <c r="DW5" i="8" s="1"/>
  <c r="CG5" i="8" a="1"/>
  <c r="CG5" i="8" s="1"/>
  <c r="DL5" i="8" s="1"/>
  <c r="AW5" i="8"/>
  <c r="AV5" i="8"/>
  <c r="G5" i="8"/>
  <c r="HX4" i="8" a="1"/>
  <c r="HX4" i="8" s="1"/>
  <c r="IW4" i="8" s="1"/>
  <c r="HW4" i="8" a="1"/>
  <c r="HW4" i="8" s="1"/>
  <c r="IV4" i="8" s="1"/>
  <c r="HV4" i="8" a="1"/>
  <c r="HV4" i="8" s="1"/>
  <c r="IU4" i="8" s="1"/>
  <c r="HU4" i="8" a="1"/>
  <c r="HU4" i="8" s="1"/>
  <c r="IT4" i="8" s="1"/>
  <c r="HT4" i="8" a="1"/>
  <c r="HT4" i="8" s="1"/>
  <c r="IS4" i="8" s="1"/>
  <c r="HS4" i="8" a="1"/>
  <c r="HS4" i="8" s="1"/>
  <c r="IR4" i="8" s="1"/>
  <c r="HR4" i="8" a="1"/>
  <c r="HR4" i="8" s="1"/>
  <c r="IQ4" i="8" s="1"/>
  <c r="HQ4" i="8" a="1"/>
  <c r="HQ4" i="8" s="1"/>
  <c r="IP4" i="8" s="1"/>
  <c r="HP4" i="8" a="1"/>
  <c r="HP4" i="8" s="1"/>
  <c r="IO4" i="8" s="1"/>
  <c r="HL4" i="8"/>
  <c r="HJ4" i="8"/>
  <c r="HH4" i="8"/>
  <c r="HB4" i="8"/>
  <c r="HA4" i="8"/>
  <c r="GZ4" i="8"/>
  <c r="GY4" i="8"/>
  <c r="GX4" i="8"/>
  <c r="GW4" i="8"/>
  <c r="GV4" i="8"/>
  <c r="GU4" i="8"/>
  <c r="GT4" i="8"/>
  <c r="GP4" i="8"/>
  <c r="GI4" i="8"/>
  <c r="GH4" i="8"/>
  <c r="GG4" i="8"/>
  <c r="GF4" i="8"/>
  <c r="GE4" i="8"/>
  <c r="GB4" i="8"/>
  <c r="GA4" i="8"/>
  <c r="FZ4" i="8"/>
  <c r="FY4" i="8"/>
  <c r="FW4" i="8"/>
  <c r="FV4" i="8"/>
  <c r="FU4" i="8"/>
  <c r="FT4" i="8"/>
  <c r="FS4" i="8"/>
  <c r="FR4" i="8"/>
  <c r="FQ4" i="8"/>
  <c r="FJ4" i="8"/>
  <c r="FI4" i="8"/>
  <c r="FH4" i="8"/>
  <c r="FG4" i="8"/>
  <c r="FF4" i="8"/>
  <c r="FP4" i="8" s="1"/>
  <c r="FE4" i="8"/>
  <c r="FD4" i="8"/>
  <c r="FB4" i="8"/>
  <c r="FA4" i="8"/>
  <c r="EZ4" i="8"/>
  <c r="EY4" i="8"/>
  <c r="EX4" i="8"/>
  <c r="EW4" i="8"/>
  <c r="EV4" i="8"/>
  <c r="EU4" i="8"/>
  <c r="ET4" i="8"/>
  <c r="ES4" i="8"/>
  <c r="ER4" i="8"/>
  <c r="EQ4" i="8"/>
  <c r="EP4" i="8"/>
  <c r="EO4" i="8"/>
  <c r="EN4" i="8"/>
  <c r="EM4" i="8"/>
  <c r="EL4" i="8"/>
  <c r="EK4" i="8"/>
  <c r="EJ4" i="8"/>
  <c r="EI4" i="8"/>
  <c r="EH4" i="8"/>
  <c r="EG4" i="8"/>
  <c r="EF4" i="8"/>
  <c r="EE4" i="8"/>
  <c r="ED4" i="8"/>
  <c r="EC4" i="8"/>
  <c r="EB4" i="8"/>
  <c r="EA4" i="8"/>
  <c r="DU4" i="8"/>
  <c r="DT4" i="8"/>
  <c r="DS4" i="8"/>
  <c r="DR4" i="8"/>
  <c r="DQ4" i="8"/>
  <c r="DP4" i="8"/>
  <c r="DO4" i="8"/>
  <c r="DN4" i="8"/>
  <c r="DK4" i="8"/>
  <c r="DJ4" i="8"/>
  <c r="DI4" i="8"/>
  <c r="DH4" i="8"/>
  <c r="DG4" i="8"/>
  <c r="DF4" i="8"/>
  <c r="DE4" i="8"/>
  <c r="DD4" i="8"/>
  <c r="DB4" i="8"/>
  <c r="DA4" i="8"/>
  <c r="CV4" i="8"/>
  <c r="CU4" i="8"/>
  <c r="CT4" i="8"/>
  <c r="CS4" i="8"/>
  <c r="GN4" i="8" s="1"/>
  <c r="CR4" i="8"/>
  <c r="GM4" i="8" s="1"/>
  <c r="CQ4" i="8"/>
  <c r="GL4" i="8" s="1"/>
  <c r="CP4" i="8"/>
  <c r="GJ4" i="8" s="1"/>
  <c r="GK4" i="8" s="1"/>
  <c r="CO4" i="8"/>
  <c r="DZ4" i="8" s="1"/>
  <c r="CN4" i="8"/>
  <c r="DY4" i="8" s="1"/>
  <c r="CM4" i="8"/>
  <c r="DX4" i="8" s="1"/>
  <c r="CL4" i="8"/>
  <c r="DW4" i="8" s="1"/>
  <c r="CG4" i="8" a="1"/>
  <c r="CG4" i="8" s="1"/>
  <c r="CK4" i="8" s="1"/>
  <c r="CZ4" i="8" s="1"/>
  <c r="AW4" i="8"/>
  <c r="AV4" i="8"/>
  <c r="G4" i="8"/>
  <c r="HX3" i="8" a="1"/>
  <c r="HX3" i="8" s="1"/>
  <c r="IW3" i="8" s="1"/>
  <c r="HW3" i="8" a="1"/>
  <c r="HW3" i="8" s="1"/>
  <c r="IV3" i="8" s="1"/>
  <c r="HV3" i="8" a="1"/>
  <c r="HV3" i="8" s="1"/>
  <c r="IU3" i="8" s="1"/>
  <c r="HU3" i="8" a="1"/>
  <c r="HU3" i="8" s="1"/>
  <c r="IT3" i="8" s="1"/>
  <c r="HT3" i="8" a="1"/>
  <c r="HT3" i="8" s="1"/>
  <c r="IS3" i="8" s="1"/>
  <c r="HS3" i="8" a="1"/>
  <c r="HS3" i="8" s="1"/>
  <c r="IR3" i="8" s="1"/>
  <c r="HR3" i="8" a="1"/>
  <c r="HR3" i="8" s="1"/>
  <c r="IQ3" i="8" s="1"/>
  <c r="HQ3" i="8" a="1"/>
  <c r="HQ3" i="8" s="1"/>
  <c r="IP3" i="8" s="1"/>
  <c r="HP3" i="8" a="1"/>
  <c r="HP3" i="8" s="1"/>
  <c r="IO3" i="8" s="1"/>
  <c r="HL3" i="8"/>
  <c r="HJ3" i="8"/>
  <c r="HH3" i="8"/>
  <c r="HB3" i="8"/>
  <c r="HA3" i="8"/>
  <c r="GZ3" i="8"/>
  <c r="GY3" i="8"/>
  <c r="GX3" i="8"/>
  <c r="GW3" i="8"/>
  <c r="GV3" i="8"/>
  <c r="GU3" i="8"/>
  <c r="GT3" i="8"/>
  <c r="GP3" i="8"/>
  <c r="GI3" i="8"/>
  <c r="GH3" i="8"/>
  <c r="GG3" i="8"/>
  <c r="GF3" i="8"/>
  <c r="GE3" i="8"/>
  <c r="GB3" i="8"/>
  <c r="GA3" i="8"/>
  <c r="FZ3" i="8"/>
  <c r="FY3" i="8"/>
  <c r="FW3" i="8"/>
  <c r="FV3" i="8"/>
  <c r="FU3" i="8"/>
  <c r="FT3" i="8"/>
  <c r="FS3" i="8"/>
  <c r="FR3" i="8"/>
  <c r="FQ3" i="8"/>
  <c r="FJ3" i="8"/>
  <c r="FI3" i="8"/>
  <c r="FH3" i="8"/>
  <c r="FG3" i="8"/>
  <c r="FF3" i="8"/>
  <c r="FE3" i="8"/>
  <c r="FD3" i="8"/>
  <c r="FB3" i="8"/>
  <c r="FA3" i="8"/>
  <c r="EZ3" i="8"/>
  <c r="EY3" i="8"/>
  <c r="EX3" i="8"/>
  <c r="EW3" i="8"/>
  <c r="EV3" i="8"/>
  <c r="EU3" i="8"/>
  <c r="ET3" i="8"/>
  <c r="ES3" i="8"/>
  <c r="ER3" i="8"/>
  <c r="EQ3" i="8"/>
  <c r="EP3" i="8"/>
  <c r="EO3" i="8"/>
  <c r="EN3" i="8"/>
  <c r="EM3" i="8"/>
  <c r="EL3" i="8"/>
  <c r="EK3" i="8"/>
  <c r="EJ3" i="8"/>
  <c r="EI3" i="8"/>
  <c r="EH3" i="8"/>
  <c r="EG3" i="8"/>
  <c r="EF3" i="8"/>
  <c r="EE3" i="8"/>
  <c r="ED3" i="8"/>
  <c r="EC3" i="8"/>
  <c r="EB3" i="8"/>
  <c r="EA3" i="8"/>
  <c r="DU3" i="8"/>
  <c r="DT3" i="8"/>
  <c r="DS3" i="8"/>
  <c r="DR3" i="8"/>
  <c r="DQ3" i="8"/>
  <c r="DP3" i="8"/>
  <c r="DO3" i="8"/>
  <c r="DN3" i="8"/>
  <c r="DK3" i="8"/>
  <c r="DJ3" i="8"/>
  <c r="DI3" i="8"/>
  <c r="DH3" i="8"/>
  <c r="DG3" i="8"/>
  <c r="DF3" i="8"/>
  <c r="DE3" i="8"/>
  <c r="DD3" i="8"/>
  <c r="DB3" i="8"/>
  <c r="DA3" i="8"/>
  <c r="CV3" i="8"/>
  <c r="CU3" i="8"/>
  <c r="CT3" i="8"/>
  <c r="CS3" i="8"/>
  <c r="GN3" i="8" s="1"/>
  <c r="CR3" i="8"/>
  <c r="GM3" i="8" s="1"/>
  <c r="CQ3" i="8"/>
  <c r="GL3" i="8" s="1"/>
  <c r="CP3" i="8"/>
  <c r="GJ3" i="8" s="1"/>
  <c r="GK3" i="8" s="1"/>
  <c r="CO3" i="8"/>
  <c r="DZ3" i="8" s="1"/>
  <c r="CN3" i="8"/>
  <c r="DY3" i="8" s="1"/>
  <c r="CM3" i="8"/>
  <c r="DX3" i="8" s="1"/>
  <c r="CL3" i="8"/>
  <c r="DW3" i="8" s="1"/>
  <c r="CG3" i="8" a="1"/>
  <c r="CG3" i="8" s="1"/>
  <c r="IM3" i="8" s="1"/>
  <c r="AW3" i="8"/>
  <c r="AV3" i="8"/>
  <c r="G3" i="8"/>
  <c r="IL2" i="8"/>
  <c r="HX2" i="8" a="1"/>
  <c r="HX2" i="8" s="1"/>
  <c r="IW2" i="8" s="1"/>
  <c r="HW2" i="8" a="1"/>
  <c r="HW2" i="8" s="1"/>
  <c r="IV2" i="8" s="1"/>
  <c r="HV2" i="8" a="1"/>
  <c r="HV2" i="8" s="1"/>
  <c r="IU2" i="8" s="1"/>
  <c r="HU2" i="8" a="1"/>
  <c r="HU2" i="8" s="1"/>
  <c r="IT2" i="8" s="1"/>
  <c r="HT2" i="8" a="1"/>
  <c r="HT2" i="8" s="1"/>
  <c r="IS2" i="8" s="1"/>
  <c r="HS2" i="8" a="1"/>
  <c r="HS2" i="8" s="1"/>
  <c r="IR2" i="8" s="1"/>
  <c r="HR2" i="8" a="1"/>
  <c r="HR2" i="8" s="1"/>
  <c r="IQ2" i="8" s="1"/>
  <c r="HQ2" i="8" a="1"/>
  <c r="HQ2" i="8" s="1"/>
  <c r="IP2" i="8" s="1"/>
  <c r="HP2" i="8" a="1"/>
  <c r="HP2" i="8" s="1"/>
  <c r="IO2" i="8" s="1"/>
  <c r="HL2" i="8"/>
  <c r="HJ2" i="8"/>
  <c r="HH2" i="8"/>
  <c r="HB2" i="8"/>
  <c r="HA2" i="8"/>
  <c r="GZ2" i="8"/>
  <c r="GY2" i="8"/>
  <c r="GX2" i="8"/>
  <c r="GW2" i="8"/>
  <c r="GV2" i="8"/>
  <c r="GU2" i="8"/>
  <c r="GT2" i="8"/>
  <c r="GP2" i="8"/>
  <c r="GI2" i="8"/>
  <c r="GH2" i="8"/>
  <c r="GG2" i="8"/>
  <c r="GF2" i="8"/>
  <c r="GE2" i="8"/>
  <c r="GD2" i="8"/>
  <c r="GC2" i="8"/>
  <c r="GB2" i="8"/>
  <c r="GA2" i="8"/>
  <c r="FZ2" i="8"/>
  <c r="FY2" i="8"/>
  <c r="FX2" i="8"/>
  <c r="FW2" i="8"/>
  <c r="FV2" i="8"/>
  <c r="FU2" i="8"/>
  <c r="FT2" i="8"/>
  <c r="FS2" i="8"/>
  <c r="FR2" i="8"/>
  <c r="FQ2" i="8"/>
  <c r="FJ2" i="8"/>
  <c r="FI2" i="8"/>
  <c r="FH2" i="8"/>
  <c r="FG2" i="8"/>
  <c r="FF2" i="8"/>
  <c r="FP2" i="8" s="1"/>
  <c r="FE2" i="8"/>
  <c r="FD2" i="8"/>
  <c r="FC2" i="8"/>
  <c r="FB2" i="8"/>
  <c r="FA2" i="8"/>
  <c r="EZ2" i="8"/>
  <c r="EY2" i="8"/>
  <c r="EX2" i="8"/>
  <c r="EW2" i="8"/>
  <c r="EV2" i="8"/>
  <c r="EU2" i="8"/>
  <c r="ET2" i="8"/>
  <c r="ES2" i="8"/>
  <c r="ER2" i="8"/>
  <c r="EQ2" i="8"/>
  <c r="EP2" i="8"/>
  <c r="EO2" i="8"/>
  <c r="EN2" i="8"/>
  <c r="EM2" i="8"/>
  <c r="EL2" i="8"/>
  <c r="EK2" i="8"/>
  <c r="EJ2" i="8"/>
  <c r="EI2" i="8"/>
  <c r="EH2" i="8"/>
  <c r="EG2" i="8"/>
  <c r="EF2" i="8"/>
  <c r="EE2" i="8"/>
  <c r="ED2" i="8"/>
  <c r="EC2" i="8"/>
  <c r="EB2" i="8"/>
  <c r="EA2" i="8"/>
  <c r="DV2" i="8"/>
  <c r="DU2" i="8"/>
  <c r="DT2" i="8"/>
  <c r="DS2" i="8"/>
  <c r="DR2" i="8"/>
  <c r="DQ2" i="8"/>
  <c r="DP2" i="8"/>
  <c r="DO2" i="8"/>
  <c r="DN2" i="8"/>
  <c r="DK2" i="8"/>
  <c r="DJ2" i="8"/>
  <c r="DI2" i="8"/>
  <c r="DH2" i="8"/>
  <c r="DG2" i="8"/>
  <c r="DF2" i="8"/>
  <c r="DE2" i="8"/>
  <c r="DD2" i="8"/>
  <c r="DC2" i="8"/>
  <c r="DB2" i="8"/>
  <c r="DA2" i="8"/>
  <c r="CV2" i="8"/>
  <c r="CU2" i="8"/>
  <c r="CT2" i="8"/>
  <c r="CS2" i="8"/>
  <c r="GN2" i="8" s="1"/>
  <c r="CR2" i="8"/>
  <c r="GM2" i="8" s="1"/>
  <c r="CQ2" i="8"/>
  <c r="GL2" i="8" s="1"/>
  <c r="CP2" i="8"/>
  <c r="GJ2" i="8" s="1"/>
  <c r="GK2" i="8" s="1"/>
  <c r="CO2" i="8"/>
  <c r="DZ2" i="8" s="1"/>
  <c r="CN2" i="8"/>
  <c r="DY2" i="8" s="1"/>
  <c r="CM2" i="8"/>
  <c r="DX2" i="8" s="1"/>
  <c r="CL2" i="8"/>
  <c r="DW2" i="8" s="1"/>
  <c r="CG2" i="8" a="1"/>
  <c r="CG2" i="8" s="1"/>
  <c r="AW2" i="8"/>
  <c r="AV2" i="8"/>
  <c r="G2" i="8"/>
  <c r="IN7" i="33" l="1"/>
  <c r="IX7" i="33" s="1"/>
  <c r="CK7" i="33"/>
  <c r="CZ7" i="33" s="1"/>
  <c r="HI3" i="13"/>
  <c r="HI3" i="23"/>
  <c r="HI4" i="13"/>
  <c r="FN10" i="9"/>
  <c r="HI9" i="10"/>
  <c r="HI3" i="18"/>
  <c r="HI2" i="31"/>
  <c r="HI3" i="15"/>
  <c r="FL9" i="33"/>
  <c r="FO10" i="33"/>
  <c r="FK12" i="33"/>
  <c r="FK16" i="33"/>
  <c r="HI3" i="8"/>
  <c r="HI3" i="28"/>
  <c r="HI5" i="13"/>
  <c r="HI5" i="10"/>
  <c r="HI7" i="11"/>
  <c r="HI3" i="26"/>
  <c r="HI3" i="10"/>
  <c r="HI7" i="10"/>
  <c r="HI6" i="12"/>
  <c r="HI3" i="27"/>
  <c r="HI4" i="15"/>
  <c r="AX2" i="33"/>
  <c r="FK6" i="33"/>
  <c r="FK8" i="33"/>
  <c r="FM9" i="33"/>
  <c r="HI10" i="33"/>
  <c r="HI4" i="8"/>
  <c r="HI6" i="10"/>
  <c r="FN4" i="33"/>
  <c r="FP9" i="33"/>
  <c r="HI3" i="24"/>
  <c r="HI3" i="29"/>
  <c r="FK7" i="33"/>
  <c r="FO8" i="33"/>
  <c r="HI11" i="33"/>
  <c r="HI12" i="33"/>
  <c r="FL13" i="33"/>
  <c r="FL7" i="33"/>
  <c r="HI15" i="33"/>
  <c r="HI2" i="25"/>
  <c r="HI5" i="9"/>
  <c r="HI5" i="12"/>
  <c r="FK2" i="33"/>
  <c r="HI3" i="33"/>
  <c r="FO9" i="33"/>
  <c r="HI14" i="33"/>
  <c r="HI2" i="28"/>
  <c r="CK5" i="33"/>
  <c r="CZ5" i="33" s="1"/>
  <c r="FL11" i="33"/>
  <c r="FM5" i="33"/>
  <c r="FN14" i="33"/>
  <c r="FL16" i="33"/>
  <c r="HI2" i="23"/>
  <c r="FM16" i="33"/>
  <c r="HI2" i="18"/>
  <c r="HI6" i="9"/>
  <c r="FK13" i="33"/>
  <c r="HI3" i="11"/>
  <c r="HI4" i="10"/>
  <c r="FK11" i="33"/>
  <c r="HI2" i="26"/>
  <c r="FM15" i="33"/>
  <c r="HI2" i="19"/>
  <c r="FM6" i="33"/>
  <c r="HI2" i="12"/>
  <c r="HI2" i="15"/>
  <c r="FL3" i="33"/>
  <c r="IM5" i="33"/>
  <c r="FN6" i="33"/>
  <c r="FN7" i="33"/>
  <c r="FL8" i="33"/>
  <c r="FN16" i="33"/>
  <c r="HI4" i="11"/>
  <c r="CI5" i="33"/>
  <c r="CX5" i="33" s="1"/>
  <c r="FL6" i="33"/>
  <c r="FM7" i="33"/>
  <c r="HI2" i="27"/>
  <c r="FO2" i="33"/>
  <c r="IN5" i="33"/>
  <c r="IX5" i="33" s="1"/>
  <c r="FM13" i="33"/>
  <c r="HI2" i="16"/>
  <c r="HI2" i="8"/>
  <c r="HI2" i="13"/>
  <c r="HI2" i="21"/>
  <c r="HI2" i="24"/>
  <c r="FM10" i="33"/>
  <c r="HC10" i="33"/>
  <c r="FL12" i="33"/>
  <c r="FO14" i="33"/>
  <c r="HI6" i="11"/>
  <c r="HI2" i="10"/>
  <c r="HI2" i="11"/>
  <c r="IN8" i="33"/>
  <c r="IX8" i="33" s="1"/>
  <c r="CJ8" i="33"/>
  <c r="CY8" i="33" s="1"/>
  <c r="CH8" i="33"/>
  <c r="CW8" i="33" s="1"/>
  <c r="DM15" i="33" a="1"/>
  <c r="DM15" i="33" s="1"/>
  <c r="CI15" i="33"/>
  <c r="CX15" i="33" s="1"/>
  <c r="CH15" i="33"/>
  <c r="CW15" i="33" s="1"/>
  <c r="IN15" i="33"/>
  <c r="IX15" i="33" s="1"/>
  <c r="IM15" i="33"/>
  <c r="CK15" i="33"/>
  <c r="CZ15" i="33" s="1"/>
  <c r="CJ15" i="33"/>
  <c r="CY15" i="33" s="1"/>
  <c r="IN2" i="33"/>
  <c r="IX2" i="33" s="1"/>
  <c r="CI2" i="33"/>
  <c r="CX2" i="33" s="1"/>
  <c r="CJ2" i="33"/>
  <c r="CY2" i="33" s="1"/>
  <c r="FN2" i="33"/>
  <c r="HC8" i="33"/>
  <c r="FO11" i="33"/>
  <c r="FP12" i="33"/>
  <c r="FM14" i="33"/>
  <c r="FK4" i="33"/>
  <c r="FO5" i="33"/>
  <c r="HI8" i="33"/>
  <c r="FK14" i="33"/>
  <c r="FN15" i="33"/>
  <c r="HC2" i="33"/>
  <c r="HC6" i="33"/>
  <c r="HI2" i="33"/>
  <c r="HC5" i="33"/>
  <c r="HC11" i="33"/>
  <c r="HC13" i="33"/>
  <c r="HC15" i="33"/>
  <c r="HC3" i="33"/>
  <c r="FK5" i="33"/>
  <c r="CH7" i="33"/>
  <c r="CW7" i="33" s="1"/>
  <c r="HC7" i="33"/>
  <c r="HC9" i="33"/>
  <c r="FK15" i="33"/>
  <c r="FK3" i="33"/>
  <c r="HI4" i="33"/>
  <c r="FL5" i="33"/>
  <c r="CI7" i="33"/>
  <c r="CX7" i="33" s="1"/>
  <c r="FM11" i="33"/>
  <c r="FL15" i="33"/>
  <c r="HC14" i="33"/>
  <c r="FN12" i="33"/>
  <c r="HC12" i="33"/>
  <c r="FM3" i="33"/>
  <c r="HI6" i="33"/>
  <c r="HI16" i="33"/>
  <c r="FL4" i="33"/>
  <c r="HC4" i="33"/>
  <c r="CH5" i="33"/>
  <c r="CW5" i="33" s="1"/>
  <c r="HI7" i="33"/>
  <c r="HI13" i="33"/>
  <c r="FO13" i="33"/>
  <c r="HC16" i="33"/>
  <c r="DL11" i="33"/>
  <c r="DM11" i="33" a="1"/>
  <c r="DM11" i="33" s="1"/>
  <c r="CK11" i="33"/>
  <c r="CZ11" i="33" s="1"/>
  <c r="CJ11" i="33"/>
  <c r="CY11" i="33" s="1"/>
  <c r="IN11" i="33"/>
  <c r="IX11" i="33" s="1"/>
  <c r="CI11" i="33"/>
  <c r="CX11" i="33" s="1"/>
  <c r="IM11" i="33"/>
  <c r="CH11" i="33"/>
  <c r="CW11" i="33" s="1"/>
  <c r="CK3" i="33"/>
  <c r="CZ3" i="33" s="1"/>
  <c r="DM3" i="33" a="1"/>
  <c r="DM3" i="33" s="1"/>
  <c r="DL3" i="33"/>
  <c r="CJ3" i="33"/>
  <c r="CY3" i="33" s="1"/>
  <c r="IN3" i="33"/>
  <c r="IX3" i="33" s="1"/>
  <c r="CI3" i="33"/>
  <c r="CX3" i="33" s="1"/>
  <c r="IM3" i="33"/>
  <c r="CH3" i="33"/>
  <c r="CW3" i="33" s="1"/>
  <c r="DL9" i="33"/>
  <c r="CH9" i="33"/>
  <c r="CW9" i="33" s="1"/>
  <c r="CK9" i="33"/>
  <c r="CZ9" i="33" s="1"/>
  <c r="CJ9" i="33"/>
  <c r="CY9" i="33" s="1"/>
  <c r="CI9" i="33"/>
  <c r="CX9" i="33" s="1"/>
  <c r="IN9" i="33"/>
  <c r="IX9" i="33" s="1"/>
  <c r="IM9" i="33"/>
  <c r="DM9" i="33" a="1"/>
  <c r="DM9" i="33" s="1"/>
  <c r="CK4" i="33"/>
  <c r="CZ4" i="33" s="1"/>
  <c r="CJ4" i="33"/>
  <c r="CY4" i="33" s="1"/>
  <c r="IN4" i="33"/>
  <c r="IX4" i="33" s="1"/>
  <c r="CI4" i="33"/>
  <c r="CX4" i="33" s="1"/>
  <c r="IM4" i="33"/>
  <c r="CH4" i="33"/>
  <c r="CW4" i="33" s="1"/>
  <c r="DM4" i="33" a="1"/>
  <c r="DM4" i="33" s="1"/>
  <c r="DL4" i="33"/>
  <c r="CK14" i="33"/>
  <c r="CZ14" i="33" s="1"/>
  <c r="CJ14" i="33"/>
  <c r="CY14" i="33" s="1"/>
  <c r="IN14" i="33"/>
  <c r="IX14" i="33" s="1"/>
  <c r="CI14" i="33"/>
  <c r="CX14" i="33" s="1"/>
  <c r="IM14" i="33"/>
  <c r="CH14" i="33"/>
  <c r="CW14" i="33" s="1"/>
  <c r="DM14" i="33" a="1"/>
  <c r="DM14" i="33" s="1"/>
  <c r="DL14" i="33"/>
  <c r="CK6" i="33"/>
  <c r="CZ6" i="33" s="1"/>
  <c r="CJ6" i="33"/>
  <c r="CY6" i="33" s="1"/>
  <c r="IN6" i="33"/>
  <c r="IX6" i="33" s="1"/>
  <c r="CI6" i="33"/>
  <c r="CX6" i="33" s="1"/>
  <c r="IM6" i="33"/>
  <c r="CH6" i="33"/>
  <c r="CW6" i="33" s="1"/>
  <c r="DM6" i="33" a="1"/>
  <c r="DM6" i="33" s="1"/>
  <c r="DL6" i="33"/>
  <c r="CK16" i="33"/>
  <c r="CZ16" i="33" s="1"/>
  <c r="CJ16" i="33"/>
  <c r="CY16" i="33" s="1"/>
  <c r="IN16" i="33"/>
  <c r="IX16" i="33" s="1"/>
  <c r="CI16" i="33"/>
  <c r="CX16" i="33" s="1"/>
  <c r="IM16" i="33"/>
  <c r="CH16" i="33"/>
  <c r="CW16" i="33" s="1"/>
  <c r="DM16" i="33" a="1"/>
  <c r="DM16" i="33" s="1"/>
  <c r="DL16" i="33"/>
  <c r="FN3" i="33"/>
  <c r="FN5" i="33"/>
  <c r="DM10" i="33" a="1"/>
  <c r="DM10" i="33" s="1"/>
  <c r="DM12" i="33" a="1"/>
  <c r="DM12" i="33" s="1"/>
  <c r="IM12" i="33"/>
  <c r="DL13" i="33"/>
  <c r="FO15" i="33"/>
  <c r="CH2" i="33"/>
  <c r="CW2" i="33" s="1"/>
  <c r="IN12" i="33"/>
  <c r="IX12" i="33" s="1"/>
  <c r="DM13" i="33" a="1"/>
  <c r="DM13" i="33" s="1"/>
  <c r="IM13" i="33"/>
  <c r="IN13" i="33"/>
  <c r="IX13" i="33" s="1"/>
  <c r="CK2" i="33"/>
  <c r="CZ2" i="33" s="1"/>
  <c r="CJ5" i="33"/>
  <c r="CY5" i="33" s="1"/>
  <c r="CJ7" i="33"/>
  <c r="CY7" i="33" s="1"/>
  <c r="CI8" i="33"/>
  <c r="CX8" i="33" s="1"/>
  <c r="CK8" i="33"/>
  <c r="CZ8" i="33" s="1"/>
  <c r="CH10" i="33"/>
  <c r="CW10" i="33" s="1"/>
  <c r="IM10" i="33"/>
  <c r="CH12" i="33"/>
  <c r="CW12" i="33" s="1"/>
  <c r="CH13" i="33"/>
  <c r="CW13" i="33" s="1"/>
  <c r="DL15" i="33"/>
  <c r="DL2" i="33"/>
  <c r="DL5" i="33"/>
  <c r="CI10" i="33"/>
  <c r="CX10" i="33" s="1"/>
  <c r="IN10" i="33"/>
  <c r="IX10" i="33" s="1"/>
  <c r="CI12" i="33"/>
  <c r="CX12" i="33" s="1"/>
  <c r="CI13" i="33"/>
  <c r="CX13" i="33" s="1"/>
  <c r="DM2" i="33" a="1"/>
  <c r="DM2" i="33" s="1"/>
  <c r="IM2" i="33"/>
  <c r="DL7" i="33"/>
  <c r="CJ10" i="33"/>
  <c r="CY10" i="33" s="1"/>
  <c r="CJ12" i="33"/>
  <c r="CY12" i="33" s="1"/>
  <c r="CJ13" i="33"/>
  <c r="CY13" i="33" s="1"/>
  <c r="DM7" i="33" a="1"/>
  <c r="DM7" i="33" s="1"/>
  <c r="IM7" i="33"/>
  <c r="DL8" i="33"/>
  <c r="CK10" i="33"/>
  <c r="CZ10" i="33" s="1"/>
  <c r="CK12" i="33"/>
  <c r="CZ12" i="33" s="1"/>
  <c r="DM8" i="33" a="1"/>
  <c r="DM8" i="33" s="1"/>
  <c r="IM8" i="33"/>
  <c r="FN11" i="33"/>
  <c r="HI2" i="14"/>
  <c r="FM5" i="8"/>
  <c r="FN2" i="31"/>
  <c r="FL3" i="29"/>
  <c r="FN2" i="27"/>
  <c r="FK3" i="29"/>
  <c r="FK2" i="27"/>
  <c r="FL2" i="31"/>
  <c r="FO2" i="31"/>
  <c r="FM2" i="31"/>
  <c r="AX2" i="31"/>
  <c r="HC2" i="31"/>
  <c r="IN2" i="31"/>
  <c r="IX2" i="31" s="1"/>
  <c r="DL2" i="31"/>
  <c r="IM2" i="31"/>
  <c r="CK2" i="31"/>
  <c r="CZ2" i="31" s="1"/>
  <c r="CJ2" i="31"/>
  <c r="CY2" i="31" s="1"/>
  <c r="CI2" i="31"/>
  <c r="CX2" i="31" s="1"/>
  <c r="DM2" i="31" a="1"/>
  <c r="DM2" i="31" s="1"/>
  <c r="CH2" i="31"/>
  <c r="CW2" i="31" s="1"/>
  <c r="FK2" i="31"/>
  <c r="FK2" i="30"/>
  <c r="FL2" i="30"/>
  <c r="FM2" i="30"/>
  <c r="FN2" i="30"/>
  <c r="FL3" i="30"/>
  <c r="FM3" i="30"/>
  <c r="FO2" i="30"/>
  <c r="AX2" i="30"/>
  <c r="FK3" i="30"/>
  <c r="DL2" i="30"/>
  <c r="IM2" i="30"/>
  <c r="CJ2" i="30"/>
  <c r="CY2" i="30" s="1"/>
  <c r="DM2" i="30" a="1"/>
  <c r="DM2" i="30" s="1"/>
  <c r="FN3" i="30"/>
  <c r="FO3" i="30"/>
  <c r="HC3" i="30"/>
  <c r="IN3" i="30"/>
  <c r="IX3" i="30" s="1"/>
  <c r="IM3" i="30"/>
  <c r="DM3" i="30" a="1"/>
  <c r="DM3" i="30" s="1"/>
  <c r="CI3" i="30"/>
  <c r="CX3" i="30" s="1"/>
  <c r="CH3" i="30"/>
  <c r="CW3" i="30" s="1"/>
  <c r="CJ3" i="30"/>
  <c r="CY3" i="30" s="1"/>
  <c r="CK3" i="30"/>
  <c r="CZ3" i="30" s="1"/>
  <c r="DL3" i="30"/>
  <c r="CK2" i="30"/>
  <c r="CZ2" i="30" s="1"/>
  <c r="CI2" i="30"/>
  <c r="CX2" i="30" s="1"/>
  <c r="CH2" i="30"/>
  <c r="CW2" i="30" s="1"/>
  <c r="HC2" i="30"/>
  <c r="HC3" i="29"/>
  <c r="FM3" i="29"/>
  <c r="FO3" i="29"/>
  <c r="DM3" i="29" a="1"/>
  <c r="DM3" i="29" s="1"/>
  <c r="CK3" i="29"/>
  <c r="CZ3" i="29" s="1"/>
  <c r="DL3" i="29"/>
  <c r="CJ3" i="29"/>
  <c r="CY3" i="29" s="1"/>
  <c r="IN3" i="29"/>
  <c r="IX3" i="29" s="1"/>
  <c r="CI3" i="29"/>
  <c r="CX3" i="29" s="1"/>
  <c r="IM3" i="29"/>
  <c r="CH3" i="29"/>
  <c r="CW3" i="29" s="1"/>
  <c r="FN3" i="29"/>
  <c r="AX2" i="29"/>
  <c r="FK2" i="29"/>
  <c r="IN2" i="29"/>
  <c r="IX2" i="29" s="1"/>
  <c r="CI2" i="29"/>
  <c r="CX2" i="29" s="1"/>
  <c r="CK2" i="29"/>
  <c r="CZ2" i="29" s="1"/>
  <c r="CH2" i="29"/>
  <c r="CW2" i="29" s="1"/>
  <c r="CJ2" i="29"/>
  <c r="CY2" i="29" s="1"/>
  <c r="FL2" i="29"/>
  <c r="FP2" i="29"/>
  <c r="HC2" i="29"/>
  <c r="IO2" i="29"/>
  <c r="DL2" i="29"/>
  <c r="FO2" i="29"/>
  <c r="FN2" i="29"/>
  <c r="FM2" i="29"/>
  <c r="DM2" i="29" a="1"/>
  <c r="DM2" i="29" s="1"/>
  <c r="IM2" i="29"/>
  <c r="AX2" i="28"/>
  <c r="FK3" i="28"/>
  <c r="FO3" i="28"/>
  <c r="FL3" i="28"/>
  <c r="FM3" i="28"/>
  <c r="FP3" i="28"/>
  <c r="FN3" i="28"/>
  <c r="CH2" i="28"/>
  <c r="CW2" i="28" s="1"/>
  <c r="DL2" i="28"/>
  <c r="IN2" i="28"/>
  <c r="IX2" i="28" s="1"/>
  <c r="FO2" i="28"/>
  <c r="HC3" i="28"/>
  <c r="CK3" i="28"/>
  <c r="CZ3" i="28" s="1"/>
  <c r="CJ3" i="28"/>
  <c r="CY3" i="28" s="1"/>
  <c r="IM3" i="28"/>
  <c r="DM3" i="28" a="1"/>
  <c r="DM3" i="28" s="1"/>
  <c r="DL3" i="28"/>
  <c r="CH3" i="28"/>
  <c r="CW3" i="28" s="1"/>
  <c r="IN3" i="28"/>
  <c r="IX3" i="28" s="1"/>
  <c r="CI3" i="28"/>
  <c r="CX3" i="28" s="1"/>
  <c r="FP2" i="28"/>
  <c r="FK2" i="28"/>
  <c r="FM2" i="28"/>
  <c r="FN2" i="28"/>
  <c r="FL2" i="28"/>
  <c r="CK2" i="28"/>
  <c r="CZ2" i="28" s="1"/>
  <c r="DM2" i="28" a="1"/>
  <c r="DM2" i="28" s="1"/>
  <c r="CJ2" i="28"/>
  <c r="CY2" i="28" s="1"/>
  <c r="CI2" i="28"/>
  <c r="CX2" i="28" s="1"/>
  <c r="IM2" i="28"/>
  <c r="HC2" i="28"/>
  <c r="FL2" i="27"/>
  <c r="FP2" i="27"/>
  <c r="FL3" i="27"/>
  <c r="HC3" i="27"/>
  <c r="AX2" i="27"/>
  <c r="FO3" i="27"/>
  <c r="FM3" i="27"/>
  <c r="CK3" i="27"/>
  <c r="CZ3" i="27" s="1"/>
  <c r="IN3" i="27"/>
  <c r="IX3" i="27" s="1"/>
  <c r="IM3" i="27"/>
  <c r="DM3" i="27" a="1"/>
  <c r="DM3" i="27" s="1"/>
  <c r="CH3" i="27"/>
  <c r="CW3" i="27" s="1"/>
  <c r="CI3" i="27"/>
  <c r="CX3" i="27" s="1"/>
  <c r="DL3" i="27"/>
  <c r="FP3" i="27"/>
  <c r="FK3" i="27"/>
  <c r="FN3" i="27"/>
  <c r="CJ2" i="27"/>
  <c r="CY2" i="27" s="1"/>
  <c r="CH2" i="27"/>
  <c r="CW2" i="27" s="1"/>
  <c r="DM2" i="27" a="1"/>
  <c r="DM2" i="27" s="1"/>
  <c r="DL2" i="27"/>
  <c r="IN2" i="27"/>
  <c r="IX2" i="27" s="1"/>
  <c r="CI2" i="27"/>
  <c r="CX2" i="27" s="1"/>
  <c r="IM2" i="27"/>
  <c r="HC2" i="27"/>
  <c r="FO2" i="27"/>
  <c r="FM2" i="27"/>
  <c r="FL2" i="26"/>
  <c r="FO3" i="26"/>
  <c r="AX2" i="26"/>
  <c r="FM2" i="26"/>
  <c r="FK3" i="26"/>
  <c r="FL3" i="26"/>
  <c r="FM3" i="26"/>
  <c r="HC2" i="26"/>
  <c r="CK3" i="26"/>
  <c r="CZ3" i="26" s="1"/>
  <c r="IN3" i="26"/>
  <c r="IX3" i="26" s="1"/>
  <c r="CI3" i="26"/>
  <c r="CX3" i="26" s="1"/>
  <c r="IM3" i="26"/>
  <c r="CJ3" i="26"/>
  <c r="CY3" i="26" s="1"/>
  <c r="CH3" i="26"/>
  <c r="CW3" i="26" s="1"/>
  <c r="DL3" i="26"/>
  <c r="DL2" i="26"/>
  <c r="DM2" i="26" a="1"/>
  <c r="DM2" i="26" s="1"/>
  <c r="CJ2" i="26"/>
  <c r="CY2" i="26" s="1"/>
  <c r="CK2" i="26"/>
  <c r="CZ2" i="26" s="1"/>
  <c r="CI2" i="26"/>
  <c r="CX2" i="26" s="1"/>
  <c r="CH2" i="26"/>
  <c r="CW2" i="26" s="1"/>
  <c r="IM2" i="26"/>
  <c r="HC3" i="26"/>
  <c r="FP3" i="26"/>
  <c r="FN3" i="26"/>
  <c r="FN2" i="26"/>
  <c r="FO2" i="26"/>
  <c r="FK2" i="26"/>
  <c r="FK3" i="25"/>
  <c r="IM2" i="25"/>
  <c r="CJ2" i="25"/>
  <c r="CY2" i="25" s="1"/>
  <c r="DL2" i="25"/>
  <c r="CK2" i="25"/>
  <c r="CZ2" i="25" s="1"/>
  <c r="DM2" i="25" a="1"/>
  <c r="DM2" i="25" s="1"/>
  <c r="AX2" i="25"/>
  <c r="FL2" i="25"/>
  <c r="FM2" i="25"/>
  <c r="FK2" i="25"/>
  <c r="FO3" i="25"/>
  <c r="FP3" i="25"/>
  <c r="FL3" i="25"/>
  <c r="FM3" i="25"/>
  <c r="HC3" i="25"/>
  <c r="FN3" i="25"/>
  <c r="HC2" i="25"/>
  <c r="IN3" i="25"/>
  <c r="IX3" i="25" s="1"/>
  <c r="CI3" i="25"/>
  <c r="CX3" i="25" s="1"/>
  <c r="DL3" i="25"/>
  <c r="DM3" i="25" a="1"/>
  <c r="DM3" i="25" s="1"/>
  <c r="CK3" i="25"/>
  <c r="CZ3" i="25" s="1"/>
  <c r="CJ3" i="25"/>
  <c r="CY3" i="25" s="1"/>
  <c r="CH3" i="25"/>
  <c r="CW3" i="25" s="1"/>
  <c r="IM3" i="25"/>
  <c r="CI2" i="25"/>
  <c r="CX2" i="25" s="1"/>
  <c r="CH2" i="25"/>
  <c r="CW2" i="25" s="1"/>
  <c r="FN2" i="25"/>
  <c r="FO2" i="25"/>
  <c r="FM2" i="24"/>
  <c r="FN3" i="24"/>
  <c r="FM3" i="24"/>
  <c r="FP3" i="24"/>
  <c r="CH3" i="24"/>
  <c r="CW3" i="24" s="1"/>
  <c r="DM3" i="24" a="1"/>
  <c r="DM3" i="24" s="1"/>
  <c r="CJ2" i="24"/>
  <c r="CY2" i="24" s="1"/>
  <c r="DL2" i="24"/>
  <c r="CK3" i="24"/>
  <c r="CZ3" i="24" s="1"/>
  <c r="CK2" i="24"/>
  <c r="CZ2" i="24" s="1"/>
  <c r="DM2" i="24" a="1"/>
  <c r="DM2" i="24" s="1"/>
  <c r="FP2" i="24"/>
  <c r="HC2" i="24"/>
  <c r="IM2" i="24"/>
  <c r="AX2" i="24"/>
  <c r="FK3" i="24"/>
  <c r="FN2" i="24"/>
  <c r="FO2" i="24"/>
  <c r="FL2" i="24"/>
  <c r="FK2" i="24"/>
  <c r="CI2" i="24"/>
  <c r="CX2" i="24" s="1"/>
  <c r="CH2" i="24"/>
  <c r="CW2" i="24" s="1"/>
  <c r="IM3" i="24"/>
  <c r="DL3" i="24"/>
  <c r="IN3" i="24"/>
  <c r="IX3" i="24" s="1"/>
  <c r="CJ3" i="24"/>
  <c r="CY3" i="24" s="1"/>
  <c r="HC3" i="24"/>
  <c r="FO3" i="24"/>
  <c r="FL3" i="24"/>
  <c r="FM2" i="23"/>
  <c r="FL3" i="23"/>
  <c r="HC2" i="23"/>
  <c r="FO2" i="23"/>
  <c r="FK2" i="23"/>
  <c r="FL2" i="23"/>
  <c r="FK3" i="23"/>
  <c r="DM2" i="23" a="1"/>
  <c r="DM2" i="23" s="1"/>
  <c r="FN2" i="23"/>
  <c r="FM3" i="23"/>
  <c r="CI2" i="23"/>
  <c r="CX2" i="23" s="1"/>
  <c r="CJ3" i="23"/>
  <c r="CY3" i="23" s="1"/>
  <c r="CH3" i="23"/>
  <c r="CW3" i="23" s="1"/>
  <c r="DM3" i="23" a="1"/>
  <c r="DM3" i="23" s="1"/>
  <c r="DL3" i="23"/>
  <c r="IN3" i="23"/>
  <c r="IX3" i="23" s="1"/>
  <c r="IM3" i="23"/>
  <c r="CK3" i="23"/>
  <c r="CZ3" i="23" s="1"/>
  <c r="CI3" i="23"/>
  <c r="CX3" i="23" s="1"/>
  <c r="AX2" i="23"/>
  <c r="IM2" i="23"/>
  <c r="HC3" i="23"/>
  <c r="CH2" i="23"/>
  <c r="CW2" i="23" s="1"/>
  <c r="IN2" i="23"/>
  <c r="IX2" i="23" s="1"/>
  <c r="CJ2" i="23"/>
  <c r="CY2" i="23" s="1"/>
  <c r="FO3" i="23"/>
  <c r="FN3" i="23"/>
  <c r="DL2" i="23"/>
  <c r="FN3" i="22"/>
  <c r="FK3" i="22"/>
  <c r="FL2" i="22"/>
  <c r="CI3" i="22"/>
  <c r="CX3" i="22" s="1"/>
  <c r="FM3" i="22"/>
  <c r="HC3" i="22"/>
  <c r="FL3" i="22"/>
  <c r="FP2" i="22"/>
  <c r="IM2" i="22"/>
  <c r="IN2" i="22"/>
  <c r="IX2" i="22" s="1"/>
  <c r="FN2" i="22"/>
  <c r="FO2" i="22"/>
  <c r="HC2" i="22"/>
  <c r="AX2" i="22"/>
  <c r="FM2" i="22"/>
  <c r="CJ3" i="22"/>
  <c r="CY3" i="22" s="1"/>
  <c r="IN3" i="22"/>
  <c r="IX3" i="22" s="1"/>
  <c r="IM3" i="22"/>
  <c r="DL3" i="22"/>
  <c r="CK3" i="22"/>
  <c r="CZ3" i="22" s="1"/>
  <c r="CI2" i="22"/>
  <c r="CX2" i="22" s="1"/>
  <c r="CK2" i="22"/>
  <c r="CZ2" i="22" s="1"/>
  <c r="CH2" i="22"/>
  <c r="CW2" i="22" s="1"/>
  <c r="CJ2" i="22"/>
  <c r="CY2" i="22" s="1"/>
  <c r="DM2" i="22" a="1"/>
  <c r="DM2" i="22" s="1"/>
  <c r="FK2" i="22"/>
  <c r="DM3" i="22" a="1"/>
  <c r="DM3" i="22" s="1"/>
  <c r="FO3" i="22"/>
  <c r="CI3" i="21"/>
  <c r="CX3" i="21" s="1"/>
  <c r="IN3" i="21"/>
  <c r="IX3" i="21" s="1"/>
  <c r="FK2" i="21"/>
  <c r="FL2" i="21"/>
  <c r="FO4" i="21"/>
  <c r="FM2" i="21"/>
  <c r="HC2" i="21"/>
  <c r="DL2" i="21"/>
  <c r="CK2" i="21"/>
  <c r="CZ2" i="21" s="1"/>
  <c r="FK4" i="21"/>
  <c r="HC3" i="21"/>
  <c r="FM4" i="21"/>
  <c r="FO2" i="21"/>
  <c r="FN2" i="21"/>
  <c r="FO3" i="21"/>
  <c r="FN3" i="21"/>
  <c r="CJ2" i="21"/>
  <c r="CY2" i="21" s="1"/>
  <c r="CI2" i="21"/>
  <c r="CX2" i="21" s="1"/>
  <c r="CH2" i="21"/>
  <c r="CW2" i="21" s="1"/>
  <c r="IM2" i="21"/>
  <c r="DM2" i="21" a="1"/>
  <c r="DM2" i="21" s="1"/>
  <c r="FL3" i="21"/>
  <c r="FM3" i="21"/>
  <c r="FP3" i="21"/>
  <c r="FK3" i="21"/>
  <c r="FP4" i="21"/>
  <c r="FN4" i="21"/>
  <c r="IN4" i="21"/>
  <c r="IX4" i="21" s="1"/>
  <c r="CI4" i="21"/>
  <c r="CX4" i="21" s="1"/>
  <c r="IM4" i="21"/>
  <c r="CH4" i="21"/>
  <c r="CW4" i="21" s="1"/>
  <c r="DL4" i="21"/>
  <c r="CK4" i="21"/>
  <c r="CZ4" i="21" s="1"/>
  <c r="HC4" i="21"/>
  <c r="DM3" i="21" a="1"/>
  <c r="DM3" i="21" s="1"/>
  <c r="DL3" i="21"/>
  <c r="IM3" i="21"/>
  <c r="CJ3" i="21"/>
  <c r="CY3" i="21" s="1"/>
  <c r="CH3" i="21"/>
  <c r="CW3" i="21" s="1"/>
  <c r="CJ4" i="21"/>
  <c r="CY4" i="21" s="1"/>
  <c r="DM4" i="21" a="1"/>
  <c r="DM4" i="21" s="1"/>
  <c r="FL4" i="21"/>
  <c r="CH2" i="20"/>
  <c r="CW2" i="20" s="1"/>
  <c r="DL2" i="20"/>
  <c r="CI2" i="20"/>
  <c r="CX2" i="20" s="1"/>
  <c r="CJ2" i="20"/>
  <c r="CY2" i="20" s="1"/>
  <c r="FO3" i="20"/>
  <c r="DM4" i="20" a="1"/>
  <c r="DM4" i="20" s="1"/>
  <c r="CH4" i="20"/>
  <c r="CW4" i="20" s="1"/>
  <c r="HC2" i="20"/>
  <c r="FN3" i="20"/>
  <c r="FP3" i="20"/>
  <c r="FM3" i="20"/>
  <c r="FK3" i="20"/>
  <c r="HC3" i="20"/>
  <c r="FL3" i="20"/>
  <c r="IN4" i="20"/>
  <c r="IX4" i="20" s="1"/>
  <c r="CI4" i="20"/>
  <c r="CX4" i="20" s="1"/>
  <c r="FO2" i="20"/>
  <c r="FK2" i="20"/>
  <c r="FP4" i="20"/>
  <c r="FM4" i="20"/>
  <c r="FK4" i="20"/>
  <c r="FL4" i="20"/>
  <c r="CJ3" i="20"/>
  <c r="CY3" i="20" s="1"/>
  <c r="CI3" i="20"/>
  <c r="CX3" i="20" s="1"/>
  <c r="DL3" i="20"/>
  <c r="CK3" i="20"/>
  <c r="CZ3" i="20" s="1"/>
  <c r="CH3" i="20"/>
  <c r="CW3" i="20" s="1"/>
  <c r="IN3" i="20"/>
  <c r="IX3" i="20" s="1"/>
  <c r="IM3" i="20"/>
  <c r="DM3" i="20" a="1"/>
  <c r="DM3" i="20" s="1"/>
  <c r="FP2" i="20"/>
  <c r="FN2" i="20"/>
  <c r="FL2" i="20"/>
  <c r="FM2" i="20"/>
  <c r="AX2" i="20"/>
  <c r="IN2" i="20"/>
  <c r="IX2" i="20" s="1"/>
  <c r="IM2" i="20"/>
  <c r="CK2" i="20"/>
  <c r="CZ2" i="20" s="1"/>
  <c r="FO4" i="20"/>
  <c r="CJ4" i="20"/>
  <c r="CY4" i="20" s="1"/>
  <c r="IM4" i="20"/>
  <c r="DL4" i="20"/>
  <c r="CK4" i="20"/>
  <c r="CZ4" i="20" s="1"/>
  <c r="HC4" i="20"/>
  <c r="FN4" i="20"/>
  <c r="FK3" i="19"/>
  <c r="FL2" i="19"/>
  <c r="FN3" i="19"/>
  <c r="FM2" i="19"/>
  <c r="FO2" i="19"/>
  <c r="HC2" i="19"/>
  <c r="FM3" i="19"/>
  <c r="HC3" i="19"/>
  <c r="FL3" i="19"/>
  <c r="CI3" i="19"/>
  <c r="CX3" i="19" s="1"/>
  <c r="CH3" i="19"/>
  <c r="CW3" i="19" s="1"/>
  <c r="CK3" i="19"/>
  <c r="CZ3" i="19" s="1"/>
  <c r="DM3" i="19" a="1"/>
  <c r="DM3" i="19" s="1"/>
  <c r="IM3" i="19"/>
  <c r="DL3" i="19"/>
  <c r="IN3" i="19"/>
  <c r="IX3" i="19" s="1"/>
  <c r="IM2" i="19"/>
  <c r="CK2" i="19"/>
  <c r="CZ2" i="19" s="1"/>
  <c r="CI2" i="19"/>
  <c r="CX2" i="19" s="1"/>
  <c r="IN2" i="19"/>
  <c r="IX2" i="19" s="1"/>
  <c r="CJ2" i="19"/>
  <c r="CY2" i="19" s="1"/>
  <c r="DM2" i="19" a="1"/>
  <c r="DM2" i="19" s="1"/>
  <c r="DL2" i="19"/>
  <c r="FN2" i="19"/>
  <c r="FK2" i="19"/>
  <c r="FO3" i="19"/>
  <c r="FO2" i="18"/>
  <c r="HC2" i="18"/>
  <c r="FK2" i="18"/>
  <c r="CI3" i="18"/>
  <c r="CX3" i="18" s="1"/>
  <c r="DM3" i="18" a="1"/>
  <c r="DM3" i="18" s="1"/>
  <c r="CK3" i="18"/>
  <c r="CZ3" i="18" s="1"/>
  <c r="DL3" i="18"/>
  <c r="CJ3" i="18"/>
  <c r="CY3" i="18" s="1"/>
  <c r="HC3" i="18"/>
  <c r="FL2" i="18"/>
  <c r="FL3" i="18"/>
  <c r="FM2" i="18"/>
  <c r="FM3" i="18"/>
  <c r="FN2" i="18"/>
  <c r="IM3" i="18"/>
  <c r="IN3" i="18"/>
  <c r="IX3" i="18" s="1"/>
  <c r="CH3" i="18"/>
  <c r="CW3" i="18" s="1"/>
  <c r="CK2" i="18"/>
  <c r="CZ2" i="18" s="1"/>
  <c r="CJ2" i="18"/>
  <c r="CY2" i="18" s="1"/>
  <c r="CI2" i="18"/>
  <c r="CX2" i="18" s="1"/>
  <c r="CH2" i="18"/>
  <c r="CW2" i="18" s="1"/>
  <c r="DL2" i="18"/>
  <c r="IN2" i="18"/>
  <c r="IX2" i="18" s="1"/>
  <c r="DM2" i="18" a="1"/>
  <c r="DM2" i="18" s="1"/>
  <c r="IM2" i="18"/>
  <c r="FO3" i="18"/>
  <c r="FN3" i="18"/>
  <c r="FK3" i="18"/>
  <c r="FO3" i="17"/>
  <c r="CK3" i="17"/>
  <c r="CZ3" i="17" s="1"/>
  <c r="CJ3" i="17"/>
  <c r="CY3" i="17" s="1"/>
  <c r="IN3" i="17"/>
  <c r="IX3" i="17" s="1"/>
  <c r="IM3" i="17"/>
  <c r="DM3" i="17" a="1"/>
  <c r="DM3" i="17" s="1"/>
  <c r="CH3" i="17"/>
  <c r="CW3" i="17" s="1"/>
  <c r="CI3" i="17"/>
  <c r="CX3" i="17" s="1"/>
  <c r="FL3" i="17"/>
  <c r="FK3" i="17"/>
  <c r="HC3" i="17"/>
  <c r="FM3" i="17"/>
  <c r="IO3" i="17"/>
  <c r="DL3" i="17"/>
  <c r="FN3" i="17"/>
  <c r="FK2" i="17"/>
  <c r="FL2" i="17"/>
  <c r="FM2" i="17"/>
  <c r="FO4" i="17"/>
  <c r="DM4" i="17" a="1"/>
  <c r="DM4" i="17" s="1"/>
  <c r="CK4" i="17"/>
  <c r="CZ4" i="17" s="1"/>
  <c r="DL4" i="17"/>
  <c r="HC2" i="17"/>
  <c r="FM4" i="17"/>
  <c r="HC4" i="17"/>
  <c r="FN2" i="17"/>
  <c r="FO2" i="17"/>
  <c r="CI2" i="17"/>
  <c r="CX2" i="17" s="1"/>
  <c r="CH2" i="17"/>
  <c r="CW2" i="17" s="1"/>
  <c r="CK2" i="17"/>
  <c r="CZ2" i="17" s="1"/>
  <c r="IM2" i="17"/>
  <c r="IN2" i="17"/>
  <c r="IX2" i="17" s="1"/>
  <c r="DL2" i="17"/>
  <c r="DM2" i="17" a="1"/>
  <c r="DM2" i="17" s="1"/>
  <c r="FN4" i="17"/>
  <c r="FP4" i="17"/>
  <c r="IN4" i="17"/>
  <c r="IX4" i="17" s="1"/>
  <c r="CI4" i="17"/>
  <c r="CX4" i="17" s="1"/>
  <c r="CH4" i="17"/>
  <c r="CW4" i="17" s="1"/>
  <c r="IM4" i="17"/>
  <c r="CJ4" i="17"/>
  <c r="CY4" i="17" s="1"/>
  <c r="FK4" i="17"/>
  <c r="FL4" i="17"/>
  <c r="FN2" i="16"/>
  <c r="FL2" i="16"/>
  <c r="FM2" i="16"/>
  <c r="FO4" i="16"/>
  <c r="FO2" i="16"/>
  <c r="FK2" i="16"/>
  <c r="HC3" i="16"/>
  <c r="FK5" i="16"/>
  <c r="IN5" i="16"/>
  <c r="IX5" i="16" s="1"/>
  <c r="IM5" i="16"/>
  <c r="FK3" i="16"/>
  <c r="FM5" i="16"/>
  <c r="FM3" i="16"/>
  <c r="FL3" i="16"/>
  <c r="IN2" i="16"/>
  <c r="IX2" i="16" s="1"/>
  <c r="CK2" i="16"/>
  <c r="CZ2" i="16" s="1"/>
  <c r="CJ2" i="16"/>
  <c r="CY2" i="16" s="1"/>
  <c r="CI2" i="16"/>
  <c r="CX2" i="16" s="1"/>
  <c r="CH2" i="16"/>
  <c r="CW2" i="16" s="1"/>
  <c r="FP4" i="16"/>
  <c r="FM4" i="16"/>
  <c r="FK4" i="16"/>
  <c r="AX2" i="16"/>
  <c r="HC2" i="16"/>
  <c r="FL4" i="16"/>
  <c r="CI4" i="16"/>
  <c r="CX4" i="16" s="1"/>
  <c r="DL4" i="16"/>
  <c r="FN3" i="16"/>
  <c r="FO3" i="16"/>
  <c r="HC4" i="16"/>
  <c r="FN4" i="16"/>
  <c r="CJ5" i="16"/>
  <c r="CY5" i="16" s="1"/>
  <c r="DL5" i="16"/>
  <c r="CK5" i="16"/>
  <c r="CZ5" i="16" s="1"/>
  <c r="FL5" i="16"/>
  <c r="IM2" i="16"/>
  <c r="DM2" i="16" a="1"/>
  <c r="DM2" i="16" s="1"/>
  <c r="DL2" i="16"/>
  <c r="IO4" i="16"/>
  <c r="DM4" i="16" a="1"/>
  <c r="DM4" i="16" s="1"/>
  <c r="DM5" i="16" a="1"/>
  <c r="DM5" i="16" s="1"/>
  <c r="IQ5" i="16"/>
  <c r="FO5" i="16"/>
  <c r="FN5" i="16"/>
  <c r="DL3" i="16"/>
  <c r="IN3" i="16"/>
  <c r="IX3" i="16" s="1"/>
  <c r="CK3" i="16"/>
  <c r="CZ3" i="16" s="1"/>
  <c r="IM3" i="16"/>
  <c r="CJ3" i="16"/>
  <c r="CY3" i="16" s="1"/>
  <c r="CI3" i="16"/>
  <c r="CX3" i="16" s="1"/>
  <c r="CH3" i="16"/>
  <c r="CW3" i="16" s="1"/>
  <c r="DM3" i="16" a="1"/>
  <c r="DM3" i="16" s="1"/>
  <c r="CJ4" i="16"/>
  <c r="CY4" i="16" s="1"/>
  <c r="CH4" i="16"/>
  <c r="CW4" i="16" s="1"/>
  <c r="IN4" i="16"/>
  <c r="IX4" i="16" s="1"/>
  <c r="IM4" i="16"/>
  <c r="HC5" i="16"/>
  <c r="CH5" i="16"/>
  <c r="CW5" i="16" s="1"/>
  <c r="AX2" i="15"/>
  <c r="FN2" i="15"/>
  <c r="FK4" i="15"/>
  <c r="FL4" i="15"/>
  <c r="IN2" i="15"/>
  <c r="IX2" i="15" s="1"/>
  <c r="FO3" i="15"/>
  <c r="IM2" i="15"/>
  <c r="DL2" i="15"/>
  <c r="IM3" i="15"/>
  <c r="IN3" i="15"/>
  <c r="IX3" i="15" s="1"/>
  <c r="CK3" i="15"/>
  <c r="CZ3" i="15" s="1"/>
  <c r="DL3" i="15"/>
  <c r="CJ3" i="15"/>
  <c r="CY3" i="15" s="1"/>
  <c r="CI3" i="15"/>
  <c r="CX3" i="15" s="1"/>
  <c r="CH3" i="15"/>
  <c r="CW3" i="15" s="1"/>
  <c r="FM4" i="15"/>
  <c r="FK2" i="15"/>
  <c r="DM2" i="15" a="1"/>
  <c r="DM2" i="15" s="1"/>
  <c r="FM2" i="15"/>
  <c r="FL2" i="15"/>
  <c r="HC2" i="15"/>
  <c r="CJ2" i="15"/>
  <c r="CY2" i="15" s="1"/>
  <c r="FN3" i="15"/>
  <c r="FK5" i="15"/>
  <c r="CI2" i="15"/>
  <c r="CX2" i="15" s="1"/>
  <c r="CK2" i="15"/>
  <c r="CZ2" i="15" s="1"/>
  <c r="FO2" i="15"/>
  <c r="IN5" i="15"/>
  <c r="IX5" i="15" s="1"/>
  <c r="IM5" i="15"/>
  <c r="DL5" i="15"/>
  <c r="CK5" i="15"/>
  <c r="CZ5" i="15" s="1"/>
  <c r="CJ5" i="15"/>
  <c r="CY5" i="15" s="1"/>
  <c r="CI5" i="15"/>
  <c r="CX5" i="15" s="1"/>
  <c r="FM3" i="15"/>
  <c r="FK3" i="15"/>
  <c r="FL3" i="15"/>
  <c r="DM3" i="15" a="1"/>
  <c r="DM3" i="15" s="1"/>
  <c r="CK4" i="15"/>
  <c r="CZ4" i="15" s="1"/>
  <c r="CJ4" i="15"/>
  <c r="CY4" i="15" s="1"/>
  <c r="IN4" i="15"/>
  <c r="IX4" i="15" s="1"/>
  <c r="IM4" i="15"/>
  <c r="DM4" i="15" a="1"/>
  <c r="DM4" i="15" s="1"/>
  <c r="DL4" i="15"/>
  <c r="CI4" i="15"/>
  <c r="CX4" i="15" s="1"/>
  <c r="CH4" i="15"/>
  <c r="CW4" i="15" s="1"/>
  <c r="FO4" i="15"/>
  <c r="FN4" i="15"/>
  <c r="FP5" i="15"/>
  <c r="FL5" i="15"/>
  <c r="FO5" i="15"/>
  <c r="FN5" i="15"/>
  <c r="HC3" i="15"/>
  <c r="DM5" i="15" a="1"/>
  <c r="DM5" i="15" s="1"/>
  <c r="FM5" i="15"/>
  <c r="HC4" i="15"/>
  <c r="HC5" i="15"/>
  <c r="FO2" i="14"/>
  <c r="FM6" i="14"/>
  <c r="FM4" i="14"/>
  <c r="FL2" i="14"/>
  <c r="DM3" i="14" a="1"/>
  <c r="DM3" i="14" s="1"/>
  <c r="FO5" i="14"/>
  <c r="FN2" i="14"/>
  <c r="FP2" i="14"/>
  <c r="IN6" i="14"/>
  <c r="IX6" i="14" s="1"/>
  <c r="DM6" i="14" a="1"/>
  <c r="DM6" i="14" s="1"/>
  <c r="CK6" i="14"/>
  <c r="CZ6" i="14" s="1"/>
  <c r="DL6" i="14"/>
  <c r="CJ6" i="14"/>
  <c r="CY6" i="14" s="1"/>
  <c r="CI6" i="14"/>
  <c r="CX6" i="14" s="1"/>
  <c r="CH6" i="14"/>
  <c r="CW6" i="14" s="1"/>
  <c r="AX2" i="14"/>
  <c r="FM2" i="14"/>
  <c r="FK2" i="14"/>
  <c r="CJ2" i="14"/>
  <c r="CY2" i="14" s="1"/>
  <c r="FN5" i="14"/>
  <c r="FL5" i="14"/>
  <c r="FK5" i="14"/>
  <c r="FO6" i="14"/>
  <c r="FN6" i="14"/>
  <c r="CK2" i="14"/>
  <c r="CZ2" i="14" s="1"/>
  <c r="HC2" i="14"/>
  <c r="DL2" i="14"/>
  <c r="CJ3" i="14"/>
  <c r="CY3" i="14" s="1"/>
  <c r="CI3" i="14"/>
  <c r="CX3" i="14" s="1"/>
  <c r="CH3" i="14"/>
  <c r="CW3" i="14" s="1"/>
  <c r="IN3" i="14"/>
  <c r="IX3" i="14" s="1"/>
  <c r="HC3" i="14"/>
  <c r="IM3" i="14"/>
  <c r="FP3" i="14"/>
  <c r="FN3" i="14"/>
  <c r="FL3" i="14"/>
  <c r="FM3" i="14"/>
  <c r="FK6" i="14"/>
  <c r="HC4" i="14"/>
  <c r="FM5" i="14"/>
  <c r="FL6" i="14"/>
  <c r="DM2" i="14" a="1"/>
  <c r="DM2" i="14" s="1"/>
  <c r="IM2" i="14"/>
  <c r="IN2" i="14"/>
  <c r="IX2" i="14" s="1"/>
  <c r="CH2" i="14"/>
  <c r="CW2" i="14" s="1"/>
  <c r="DM4" i="14" a="1"/>
  <c r="DM4" i="14" s="1"/>
  <c r="DL4" i="14"/>
  <c r="CK4" i="14"/>
  <c r="CZ4" i="14" s="1"/>
  <c r="CJ4" i="14"/>
  <c r="CY4" i="14" s="1"/>
  <c r="CI4" i="14"/>
  <c r="CX4" i="14" s="1"/>
  <c r="CH4" i="14"/>
  <c r="CW4" i="14" s="1"/>
  <c r="IN4" i="14"/>
  <c r="IX4" i="14" s="1"/>
  <c r="IM4" i="14"/>
  <c r="FO4" i="14"/>
  <c r="FN4" i="14"/>
  <c r="IO3" i="14"/>
  <c r="DL3" i="14"/>
  <c r="FK4" i="14"/>
  <c r="FP4" i="14"/>
  <c r="HC5" i="14"/>
  <c r="FL4" i="14"/>
  <c r="HC6" i="14"/>
  <c r="IN5" i="14"/>
  <c r="IX5" i="14" s="1"/>
  <c r="CI5" i="14"/>
  <c r="CX5" i="14" s="1"/>
  <c r="DM5" i="14" a="1"/>
  <c r="DM5" i="14" s="1"/>
  <c r="DL5" i="14"/>
  <c r="CK5" i="14"/>
  <c r="CZ5" i="14" s="1"/>
  <c r="CJ5" i="14"/>
  <c r="CY5" i="14" s="1"/>
  <c r="CH5" i="14"/>
  <c r="CW5" i="14" s="1"/>
  <c r="IM5" i="14"/>
  <c r="FK3" i="14"/>
  <c r="IM6" i="14"/>
  <c r="FO3" i="14"/>
  <c r="FL3" i="13"/>
  <c r="FM3" i="13"/>
  <c r="FN3" i="13"/>
  <c r="FO3" i="13"/>
  <c r="FK3" i="13"/>
  <c r="FM5" i="13"/>
  <c r="FN4" i="13"/>
  <c r="AX2" i="13"/>
  <c r="FL4" i="13"/>
  <c r="FN5" i="13"/>
  <c r="FM4" i="13"/>
  <c r="FK5" i="13"/>
  <c r="FM2" i="13"/>
  <c r="FK4" i="13"/>
  <c r="FL5" i="13"/>
  <c r="FO2" i="13"/>
  <c r="FP5" i="13"/>
  <c r="HC2" i="13"/>
  <c r="FL2" i="13"/>
  <c r="HC3" i="13"/>
  <c r="DL3" i="13"/>
  <c r="HC5" i="13"/>
  <c r="FO4" i="13"/>
  <c r="IN2" i="13"/>
  <c r="IX2" i="13" s="1"/>
  <c r="IM2" i="13"/>
  <c r="DM2" i="13" a="1"/>
  <c r="DM2" i="13" s="1"/>
  <c r="DL2" i="13"/>
  <c r="CK2" i="13"/>
  <c r="CZ2" i="13" s="1"/>
  <c r="CJ2" i="13"/>
  <c r="CY2" i="13" s="1"/>
  <c r="CI2" i="13"/>
  <c r="CX2" i="13" s="1"/>
  <c r="FK2" i="13"/>
  <c r="FP2" i="13"/>
  <c r="FN2" i="13"/>
  <c r="CJ4" i="13"/>
  <c r="CY4" i="13" s="1"/>
  <c r="IN4" i="13"/>
  <c r="IX4" i="13" s="1"/>
  <c r="CI4" i="13"/>
  <c r="CX4" i="13" s="1"/>
  <c r="IM4" i="13"/>
  <c r="CH4" i="13"/>
  <c r="CW4" i="13" s="1"/>
  <c r="CK4" i="13"/>
  <c r="CZ4" i="13" s="1"/>
  <c r="DM4" i="13" a="1"/>
  <c r="DM4" i="13" s="1"/>
  <c r="DL4" i="13"/>
  <c r="IN5" i="13"/>
  <c r="IX5" i="13" s="1"/>
  <c r="IM5" i="13"/>
  <c r="DM5" i="13" a="1"/>
  <c r="DM5" i="13" s="1"/>
  <c r="CJ5" i="13"/>
  <c r="CY5" i="13" s="1"/>
  <c r="DL5" i="13"/>
  <c r="CK5" i="13"/>
  <c r="CZ5" i="13" s="1"/>
  <c r="CH5" i="13"/>
  <c r="CW5" i="13" s="1"/>
  <c r="CI5" i="13"/>
  <c r="CX5" i="13" s="1"/>
  <c r="HC4" i="13"/>
  <c r="FO5" i="13"/>
  <c r="CJ3" i="13"/>
  <c r="CY3" i="13" s="1"/>
  <c r="IM3" i="13"/>
  <c r="CH3" i="13"/>
  <c r="CW3" i="13" s="1"/>
  <c r="CI3" i="13"/>
  <c r="CX3" i="13" s="1"/>
  <c r="CK3" i="13"/>
  <c r="CZ3" i="13" s="1"/>
  <c r="IN3" i="13"/>
  <c r="IX3" i="13" s="1"/>
  <c r="FN4" i="12"/>
  <c r="FL5" i="12"/>
  <c r="IN3" i="12"/>
  <c r="IX3" i="12" s="1"/>
  <c r="FM5" i="12"/>
  <c r="FN5" i="12"/>
  <c r="FL2" i="12"/>
  <c r="CJ5" i="12"/>
  <c r="CY5" i="12" s="1"/>
  <c r="DM5" i="12" a="1"/>
  <c r="DM5" i="12" s="1"/>
  <c r="FK3" i="12"/>
  <c r="IM7" i="12"/>
  <c r="FK5" i="12"/>
  <c r="HC6" i="12"/>
  <c r="FK4" i="12"/>
  <c r="FL3" i="12"/>
  <c r="FL4" i="12"/>
  <c r="CI3" i="12"/>
  <c r="CX3" i="12" s="1"/>
  <c r="CI4" i="12"/>
  <c r="CX4" i="12" s="1"/>
  <c r="DM4" i="12" a="1"/>
  <c r="DM4" i="12" s="1"/>
  <c r="CJ3" i="12"/>
  <c r="CY3" i="12" s="1"/>
  <c r="CJ4" i="12"/>
  <c r="CY4" i="12" s="1"/>
  <c r="FO7" i="12"/>
  <c r="FM4" i="12"/>
  <c r="FK7" i="12"/>
  <c r="FO3" i="12"/>
  <c r="FM7" i="12"/>
  <c r="CH6" i="12"/>
  <c r="CW6" i="12" s="1"/>
  <c r="HC5" i="12"/>
  <c r="IM6" i="12"/>
  <c r="CI6" i="12"/>
  <c r="CX6" i="12" s="1"/>
  <c r="FO2" i="12"/>
  <c r="FK2" i="12"/>
  <c r="HC3" i="12"/>
  <c r="DM6" i="12" a="1"/>
  <c r="DM6" i="12" s="1"/>
  <c r="CK6" i="12"/>
  <c r="CZ6" i="12" s="1"/>
  <c r="IN6" i="12"/>
  <c r="IX6" i="12" s="1"/>
  <c r="FP7" i="12"/>
  <c r="FK6" i="12"/>
  <c r="FM2" i="12"/>
  <c r="HC2" i="12"/>
  <c r="CJ7" i="12"/>
  <c r="CY7" i="12" s="1"/>
  <c r="DM7" i="12" a="1"/>
  <c r="DM7" i="12" s="1"/>
  <c r="CI7" i="12"/>
  <c r="CX7" i="12" s="1"/>
  <c r="HC4" i="12"/>
  <c r="AX2" i="12"/>
  <c r="HC7" i="12"/>
  <c r="FM3" i="12"/>
  <c r="FM6" i="12"/>
  <c r="IN2" i="12"/>
  <c r="IX2" i="12" s="1"/>
  <c r="IM2" i="12"/>
  <c r="CJ2" i="12"/>
  <c r="CY2" i="12" s="1"/>
  <c r="CK2" i="12"/>
  <c r="CZ2" i="12" s="1"/>
  <c r="CI2" i="12"/>
  <c r="CX2" i="12" s="1"/>
  <c r="CH2" i="12"/>
  <c r="CW2" i="12" s="1"/>
  <c r="DM2" i="12" a="1"/>
  <c r="DM2" i="12" s="1"/>
  <c r="DL2" i="12"/>
  <c r="FN2" i="12"/>
  <c r="DL7" i="12"/>
  <c r="CH7" i="12"/>
  <c r="CW7" i="12" s="1"/>
  <c r="FN7" i="12"/>
  <c r="FO4" i="12"/>
  <c r="FO6" i="12"/>
  <c r="FN6" i="12"/>
  <c r="CK7" i="12"/>
  <c r="CZ7" i="12" s="1"/>
  <c r="FL7" i="12"/>
  <c r="FN3" i="12"/>
  <c r="DL5" i="12"/>
  <c r="IN5" i="12"/>
  <c r="IX5" i="12" s="1"/>
  <c r="CI5" i="12"/>
  <c r="CX5" i="12" s="1"/>
  <c r="IM5" i="12"/>
  <c r="CH5" i="12"/>
  <c r="CW5" i="12" s="1"/>
  <c r="CH3" i="12"/>
  <c r="CW3" i="12" s="1"/>
  <c r="DL3" i="12"/>
  <c r="IM3" i="12"/>
  <c r="CK3" i="12"/>
  <c r="CZ3" i="12" s="1"/>
  <c r="DL4" i="12"/>
  <c r="IM4" i="12"/>
  <c r="CK4" i="12"/>
  <c r="CZ4" i="12" s="1"/>
  <c r="CH4" i="12"/>
  <c r="CW4" i="12" s="1"/>
  <c r="FL6" i="12"/>
  <c r="DL6" i="12"/>
  <c r="FK5" i="11"/>
  <c r="FO2" i="11"/>
  <c r="AX2" i="11"/>
  <c r="FN2" i="11"/>
  <c r="FM2" i="11"/>
  <c r="HC2" i="11"/>
  <c r="FL6" i="11"/>
  <c r="FO4" i="11"/>
  <c r="FK3" i="11"/>
  <c r="FL7" i="11"/>
  <c r="FM6" i="11"/>
  <c r="FL2" i="11"/>
  <c r="FM7" i="11"/>
  <c r="FM5" i="11"/>
  <c r="IN7" i="11"/>
  <c r="IX7" i="11" s="1"/>
  <c r="IM7" i="11"/>
  <c r="CJ7" i="11"/>
  <c r="CY7" i="11" s="1"/>
  <c r="CK7" i="11"/>
  <c r="CZ7" i="11" s="1"/>
  <c r="CH4" i="11"/>
  <c r="CW4" i="11" s="1"/>
  <c r="IN4" i="11"/>
  <c r="IX4" i="11" s="1"/>
  <c r="DM4" i="11" a="1"/>
  <c r="DM4" i="11" s="1"/>
  <c r="CK4" i="11"/>
  <c r="CZ4" i="11" s="1"/>
  <c r="IM4" i="11"/>
  <c r="CJ4" i="11"/>
  <c r="CY4" i="11" s="1"/>
  <c r="CI4" i="11"/>
  <c r="CX4" i="11" s="1"/>
  <c r="IN5" i="11"/>
  <c r="IX5" i="11" s="1"/>
  <c r="CI5" i="11"/>
  <c r="CX5" i="11" s="1"/>
  <c r="DM5" i="11" a="1"/>
  <c r="DM5" i="11" s="1"/>
  <c r="CH5" i="11"/>
  <c r="CW5" i="11" s="1"/>
  <c r="CH2" i="11"/>
  <c r="CW2" i="11" s="1"/>
  <c r="IM2" i="11"/>
  <c r="CJ2" i="11"/>
  <c r="CY2" i="11" s="1"/>
  <c r="HC4" i="11"/>
  <c r="CI2" i="11"/>
  <c r="CX2" i="11" s="1"/>
  <c r="CK2" i="11"/>
  <c r="CZ2" i="11" s="1"/>
  <c r="FP3" i="11"/>
  <c r="CK3" i="11"/>
  <c r="CZ3" i="11" s="1"/>
  <c r="FM3" i="11"/>
  <c r="FL3" i="11"/>
  <c r="IQ4" i="11"/>
  <c r="DL4" i="11"/>
  <c r="HC6" i="11"/>
  <c r="DM7" i="11" a="1"/>
  <c r="DM7" i="11" s="1"/>
  <c r="FP4" i="11"/>
  <c r="FK4" i="11"/>
  <c r="DM2" i="11" a="1"/>
  <c r="DM2" i="11" s="1"/>
  <c r="DL2" i="11"/>
  <c r="IN2" i="11"/>
  <c r="IX2" i="11" s="1"/>
  <c r="HC5" i="11"/>
  <c r="DL5" i="11"/>
  <c r="IO5" i="11"/>
  <c r="HC3" i="11"/>
  <c r="DM6" i="11" a="1"/>
  <c r="DM6" i="11" s="1"/>
  <c r="DL6" i="11"/>
  <c r="IN6" i="11"/>
  <c r="IX6" i="11" s="1"/>
  <c r="IM6" i="11"/>
  <c r="CH6" i="11"/>
  <c r="CW6" i="11" s="1"/>
  <c r="CK6" i="11"/>
  <c r="CZ6" i="11" s="1"/>
  <c r="CI6" i="11"/>
  <c r="CX6" i="11" s="1"/>
  <c r="CJ6" i="11"/>
  <c r="CY6" i="11" s="1"/>
  <c r="FN3" i="11"/>
  <c r="FO3" i="11"/>
  <c r="FO6" i="11"/>
  <c r="FN6" i="11"/>
  <c r="FK2" i="11"/>
  <c r="FO5" i="11"/>
  <c r="FN5" i="11"/>
  <c r="HC7" i="11"/>
  <c r="CI3" i="11"/>
  <c r="CX3" i="11" s="1"/>
  <c r="DM3" i="11" a="1"/>
  <c r="DM3" i="11" s="1"/>
  <c r="DL3" i="11"/>
  <c r="CJ3" i="11"/>
  <c r="CY3" i="11" s="1"/>
  <c r="IN3" i="11"/>
  <c r="IX3" i="11" s="1"/>
  <c r="CH3" i="11"/>
  <c r="CW3" i="11" s="1"/>
  <c r="FN4" i="11"/>
  <c r="IM5" i="11"/>
  <c r="CK5" i="11"/>
  <c r="CZ5" i="11" s="1"/>
  <c r="CJ5" i="11"/>
  <c r="CY5" i="11" s="1"/>
  <c r="FL4" i="11"/>
  <c r="FO7" i="11"/>
  <c r="FN7" i="11"/>
  <c r="FM4" i="11"/>
  <c r="FL5" i="11"/>
  <c r="CI7" i="11"/>
  <c r="CX7" i="11" s="1"/>
  <c r="CH7" i="11"/>
  <c r="CW7" i="11" s="1"/>
  <c r="DL7" i="11"/>
  <c r="FK7" i="11"/>
  <c r="FK6" i="11"/>
  <c r="FN10" i="10"/>
  <c r="FL6" i="10"/>
  <c r="FL10" i="10"/>
  <c r="FK11" i="10"/>
  <c r="FL11" i="10"/>
  <c r="FO3" i="10"/>
  <c r="FM11" i="10"/>
  <c r="FM7" i="10"/>
  <c r="DM5" i="10" a="1"/>
  <c r="DM5" i="10" s="1"/>
  <c r="CJ5" i="10"/>
  <c r="CY5" i="10" s="1"/>
  <c r="CK5" i="10"/>
  <c r="CZ5" i="10" s="1"/>
  <c r="IN5" i="10"/>
  <c r="IX5" i="10" s="1"/>
  <c r="CH5" i="10"/>
  <c r="CW5" i="10" s="1"/>
  <c r="DM8" i="10" a="1"/>
  <c r="DM8" i="10" s="1"/>
  <c r="IN8" i="10"/>
  <c r="IX8" i="10" s="1"/>
  <c r="CJ8" i="10"/>
  <c r="CY8" i="10" s="1"/>
  <c r="CI8" i="10"/>
  <c r="CX8" i="10" s="1"/>
  <c r="IM8" i="10"/>
  <c r="FK3" i="10"/>
  <c r="FM3" i="10"/>
  <c r="FN3" i="10"/>
  <c r="FM8" i="10"/>
  <c r="FK10" i="10"/>
  <c r="CJ11" i="10"/>
  <c r="CY11" i="10" s="1"/>
  <c r="FK9" i="10"/>
  <c r="FO6" i="10"/>
  <c r="FK8" i="10"/>
  <c r="FL3" i="10"/>
  <c r="FL7" i="10"/>
  <c r="AX2" i="10"/>
  <c r="DM3" i="10" a="1"/>
  <c r="DM3" i="10" s="1"/>
  <c r="IN6" i="10"/>
  <c r="IX6" i="10" s="1"/>
  <c r="IM6" i="10"/>
  <c r="HC5" i="10"/>
  <c r="HC8" i="10"/>
  <c r="FN6" i="10"/>
  <c r="FP6" i="10"/>
  <c r="FO9" i="10"/>
  <c r="FN9" i="10"/>
  <c r="DL8" i="10"/>
  <c r="CK8" i="10"/>
  <c r="CZ8" i="10" s="1"/>
  <c r="CH8" i="10"/>
  <c r="CW8" i="10" s="1"/>
  <c r="FM9" i="10"/>
  <c r="FP9" i="10"/>
  <c r="FK6" i="10"/>
  <c r="FO2" i="10"/>
  <c r="FN7" i="10"/>
  <c r="FO7" i="10"/>
  <c r="FM6" i="10"/>
  <c r="HC7" i="10"/>
  <c r="FL9" i="10"/>
  <c r="HC4" i="10"/>
  <c r="DL5" i="10"/>
  <c r="IM5" i="10"/>
  <c r="CI5" i="10"/>
  <c r="CX5" i="10" s="1"/>
  <c r="FL8" i="10"/>
  <c r="FO10" i="10"/>
  <c r="HC11" i="10"/>
  <c r="CK2" i="10"/>
  <c r="CZ2" i="10" s="1"/>
  <c r="DM2" i="10" a="1"/>
  <c r="DM2" i="10" s="1"/>
  <c r="CH2" i="10"/>
  <c r="CW2" i="10" s="1"/>
  <c r="CI2" i="10"/>
  <c r="CX2" i="10" s="1"/>
  <c r="CJ2" i="10"/>
  <c r="CY2" i="10" s="1"/>
  <c r="FK2" i="10"/>
  <c r="IN2" i="10"/>
  <c r="IX2" i="10" s="1"/>
  <c r="HC6" i="10"/>
  <c r="DL7" i="10"/>
  <c r="IN7" i="10"/>
  <c r="IX7" i="10" s="1"/>
  <c r="DM7" i="10" a="1"/>
  <c r="DM7" i="10" s="1"/>
  <c r="IM7" i="10"/>
  <c r="CK7" i="10"/>
  <c r="CZ7" i="10" s="1"/>
  <c r="CJ7" i="10"/>
  <c r="CY7" i="10" s="1"/>
  <c r="FL2" i="10"/>
  <c r="FP2" i="10"/>
  <c r="FM2" i="10"/>
  <c r="IM2" i="10"/>
  <c r="DL2" i="10"/>
  <c r="FM4" i="10"/>
  <c r="FP4" i="10"/>
  <c r="FL4" i="10"/>
  <c r="CI7" i="10"/>
  <c r="CX7" i="10" s="1"/>
  <c r="FN2" i="10"/>
  <c r="HC2" i="10"/>
  <c r="DL3" i="10"/>
  <c r="CK3" i="10"/>
  <c r="CZ3" i="10" s="1"/>
  <c r="CJ3" i="10"/>
  <c r="CY3" i="10" s="1"/>
  <c r="CI3" i="10"/>
  <c r="CX3" i="10" s="1"/>
  <c r="IN3" i="10"/>
  <c r="IX3" i="10" s="1"/>
  <c r="IM3" i="10"/>
  <c r="HC3" i="10"/>
  <c r="DL4" i="10"/>
  <c r="IN4" i="10"/>
  <c r="IX4" i="10" s="1"/>
  <c r="DM4" i="10" a="1"/>
  <c r="DM4" i="10" s="1"/>
  <c r="IM4" i="10"/>
  <c r="FK4" i="10"/>
  <c r="FK5" i="10"/>
  <c r="IS11" i="10"/>
  <c r="DM11" i="10" a="1"/>
  <c r="DM11" i="10" s="1"/>
  <c r="CI4" i="10"/>
  <c r="CX4" i="10" s="1"/>
  <c r="FL5" i="10"/>
  <c r="CJ4" i="10"/>
  <c r="CY4" i="10" s="1"/>
  <c r="CK4" i="10"/>
  <c r="CZ4" i="10" s="1"/>
  <c r="DL6" i="10"/>
  <c r="CK6" i="10"/>
  <c r="CZ6" i="10" s="1"/>
  <c r="CJ6" i="10"/>
  <c r="CY6" i="10" s="1"/>
  <c r="CI6" i="10"/>
  <c r="CX6" i="10" s="1"/>
  <c r="CH6" i="10"/>
  <c r="CW6" i="10" s="1"/>
  <c r="DM6" i="10" a="1"/>
  <c r="DM6" i="10" s="1"/>
  <c r="DL9" i="10"/>
  <c r="CK9" i="10"/>
  <c r="CZ9" i="10" s="1"/>
  <c r="CJ9" i="10"/>
  <c r="CY9" i="10" s="1"/>
  <c r="CI9" i="10"/>
  <c r="CX9" i="10" s="1"/>
  <c r="CH9" i="10"/>
  <c r="CW9" i="10" s="1"/>
  <c r="IM9" i="10"/>
  <c r="DM9" i="10" a="1"/>
  <c r="DM9" i="10" s="1"/>
  <c r="FO4" i="10"/>
  <c r="FN4" i="10"/>
  <c r="FO5" i="10"/>
  <c r="FN5" i="10"/>
  <c r="FM5" i="10"/>
  <c r="HC9" i="10"/>
  <c r="FO8" i="10"/>
  <c r="FN8" i="10"/>
  <c r="FK7" i="10"/>
  <c r="HC10" i="10"/>
  <c r="FO11" i="10"/>
  <c r="FN11" i="10"/>
  <c r="IM11" i="10"/>
  <c r="CH11" i="10"/>
  <c r="CW11" i="10" s="1"/>
  <c r="IN11" i="10"/>
  <c r="IX11" i="10" s="1"/>
  <c r="DL11" i="10"/>
  <c r="CI11" i="10"/>
  <c r="CX11" i="10" s="1"/>
  <c r="DL10" i="10"/>
  <c r="IM10" i="10"/>
  <c r="IN10" i="10"/>
  <c r="IX10" i="10" s="1"/>
  <c r="CK10" i="10"/>
  <c r="CZ10" i="10" s="1"/>
  <c r="CH10" i="10"/>
  <c r="CW10" i="10" s="1"/>
  <c r="CI10" i="10"/>
  <c r="CX10" i="10" s="1"/>
  <c r="DM10" i="10" a="1"/>
  <c r="DM10" i="10" s="1"/>
  <c r="FM10" i="10"/>
  <c r="FK3" i="9"/>
  <c r="FL3" i="9"/>
  <c r="HC3" i="9"/>
  <c r="FM7" i="9"/>
  <c r="FM3" i="9"/>
  <c r="FO3" i="9"/>
  <c r="CH3" i="9"/>
  <c r="CW3" i="9" s="1"/>
  <c r="IM3" i="9"/>
  <c r="CI3" i="9"/>
  <c r="CX3" i="9" s="1"/>
  <c r="IN3" i="9"/>
  <c r="IX3" i="9" s="1"/>
  <c r="CJ3" i="9"/>
  <c r="CY3" i="9" s="1"/>
  <c r="CK3" i="9"/>
  <c r="CZ3" i="9" s="1"/>
  <c r="DL3" i="9"/>
  <c r="FL6" i="9"/>
  <c r="FL10" i="9"/>
  <c r="FM9" i="9"/>
  <c r="FM10" i="9"/>
  <c r="CK4" i="9"/>
  <c r="CZ4" i="9" s="1"/>
  <c r="FL7" i="9"/>
  <c r="CH10" i="9"/>
  <c r="CW10" i="9" s="1"/>
  <c r="CK10" i="9"/>
  <c r="CZ10" i="9" s="1"/>
  <c r="FO9" i="9"/>
  <c r="FK9" i="9"/>
  <c r="FL9" i="9"/>
  <c r="IN5" i="9"/>
  <c r="IX5" i="9" s="1"/>
  <c r="FN9" i="9"/>
  <c r="FM6" i="9"/>
  <c r="HC7" i="9"/>
  <c r="FK7" i="9"/>
  <c r="CH2" i="9"/>
  <c r="CW2" i="9" s="1"/>
  <c r="CJ2" i="9"/>
  <c r="CY2" i="9" s="1"/>
  <c r="FO4" i="9"/>
  <c r="HC2" i="9"/>
  <c r="FO6" i="9"/>
  <c r="FN6" i="9"/>
  <c r="FN8" i="9"/>
  <c r="FO8" i="9"/>
  <c r="IN7" i="9"/>
  <c r="IX7" i="9" s="1"/>
  <c r="CJ7" i="9"/>
  <c r="CY7" i="9" s="1"/>
  <c r="CI7" i="9"/>
  <c r="CX7" i="9" s="1"/>
  <c r="IM7" i="9"/>
  <c r="DM6" i="9" a="1"/>
  <c r="DM6" i="9" s="1"/>
  <c r="CK6" i="9"/>
  <c r="CZ6" i="9" s="1"/>
  <c r="DL6" i="9"/>
  <c r="CJ6" i="9"/>
  <c r="CY6" i="9" s="1"/>
  <c r="CI6" i="9"/>
  <c r="CX6" i="9" s="1"/>
  <c r="IN6" i="9"/>
  <c r="IX6" i="9" s="1"/>
  <c r="IM6" i="9"/>
  <c r="CH6" i="9"/>
  <c r="CW6" i="9" s="1"/>
  <c r="FL5" i="9"/>
  <c r="FK5" i="9"/>
  <c r="HC9" i="9"/>
  <c r="FK6" i="9"/>
  <c r="HC6" i="9"/>
  <c r="FN2" i="9"/>
  <c r="FM4" i="9"/>
  <c r="FO10" i="9"/>
  <c r="FK10" i="9"/>
  <c r="FL8" i="9"/>
  <c r="HC4" i="9"/>
  <c r="IN2" i="9"/>
  <c r="IX2" i="9" s="1"/>
  <c r="IM2" i="9"/>
  <c r="DM2" i="9" a="1"/>
  <c r="DM2" i="9" s="1"/>
  <c r="DL2" i="9"/>
  <c r="CK2" i="9"/>
  <c r="CZ2" i="9" s="1"/>
  <c r="CI2" i="9"/>
  <c r="CX2" i="9" s="1"/>
  <c r="DM8" i="9" a="1"/>
  <c r="DM8" i="9" s="1"/>
  <c r="DL8" i="9"/>
  <c r="CI8" i="9"/>
  <c r="CX8" i="9" s="1"/>
  <c r="IN8" i="9"/>
  <c r="IX8" i="9" s="1"/>
  <c r="CH8" i="9"/>
  <c r="CW8" i="9" s="1"/>
  <c r="IM8" i="9"/>
  <c r="CK8" i="9"/>
  <c r="CZ8" i="9" s="1"/>
  <c r="CJ8" i="9"/>
  <c r="CY8" i="9" s="1"/>
  <c r="FK2" i="9"/>
  <c r="FL2" i="9"/>
  <c r="FM2" i="9"/>
  <c r="FO2" i="9"/>
  <c r="DL4" i="9"/>
  <c r="IN4" i="9"/>
  <c r="IX4" i="9" s="1"/>
  <c r="DM4" i="9" a="1"/>
  <c r="DM4" i="9" s="1"/>
  <c r="IM4" i="9"/>
  <c r="CI4" i="9"/>
  <c r="CX4" i="9" s="1"/>
  <c r="CH4" i="9"/>
  <c r="CW4" i="9" s="1"/>
  <c r="FK4" i="9"/>
  <c r="FP4" i="9"/>
  <c r="FO5" i="9"/>
  <c r="FN5" i="9"/>
  <c r="FL4" i="9"/>
  <c r="FN4" i="9"/>
  <c r="IN9" i="9"/>
  <c r="IX9" i="9" s="1"/>
  <c r="CI9" i="9"/>
  <c r="CX9" i="9" s="1"/>
  <c r="DM9" i="9" a="1"/>
  <c r="DM9" i="9" s="1"/>
  <c r="DL9" i="9"/>
  <c r="CJ9" i="9"/>
  <c r="CY9" i="9" s="1"/>
  <c r="CK9" i="9"/>
  <c r="CZ9" i="9" s="1"/>
  <c r="CH9" i="9"/>
  <c r="CW9" i="9" s="1"/>
  <c r="FO7" i="9"/>
  <c r="FN7" i="9"/>
  <c r="FP5" i="9"/>
  <c r="DL5" i="9"/>
  <c r="CK5" i="9"/>
  <c r="CZ5" i="9" s="1"/>
  <c r="CJ5" i="9"/>
  <c r="CY5" i="9" s="1"/>
  <c r="CI5" i="9"/>
  <c r="CX5" i="9" s="1"/>
  <c r="CH5" i="9"/>
  <c r="CW5" i="9" s="1"/>
  <c r="DM5" i="9" a="1"/>
  <c r="DM5" i="9" s="1"/>
  <c r="HC5" i="9"/>
  <c r="FM8" i="9"/>
  <c r="FK8" i="9"/>
  <c r="HC10" i="9"/>
  <c r="FM5" i="9"/>
  <c r="DM7" i="9" a="1"/>
  <c r="DM7" i="9" s="1"/>
  <c r="DL7" i="9"/>
  <c r="CK7" i="9"/>
  <c r="CZ7" i="9" s="1"/>
  <c r="CH7" i="9"/>
  <c r="CW7" i="9" s="1"/>
  <c r="HC8" i="9"/>
  <c r="IN10" i="9"/>
  <c r="IX10" i="9" s="1"/>
  <c r="CI10" i="9"/>
  <c r="CX10" i="9" s="1"/>
  <c r="CJ10" i="9"/>
  <c r="CY10" i="9" s="1"/>
  <c r="IM10" i="9"/>
  <c r="DM10" i="9" a="1"/>
  <c r="DM10" i="9" s="1"/>
  <c r="DL10" i="9"/>
  <c r="FP6" i="9"/>
  <c r="FO4" i="8"/>
  <c r="DL4" i="8"/>
  <c r="HC4" i="8"/>
  <c r="FO5" i="8"/>
  <c r="IN5" i="8"/>
  <c r="IX5" i="8" s="1"/>
  <c r="FP5" i="8"/>
  <c r="CI3" i="8"/>
  <c r="CX3" i="8" s="1"/>
  <c r="CJ3" i="8"/>
  <c r="CY3" i="8" s="1"/>
  <c r="FK5" i="8"/>
  <c r="IN2" i="8"/>
  <c r="IX2" i="8" s="1"/>
  <c r="IM2" i="8"/>
  <c r="DL2" i="8"/>
  <c r="FK2" i="8"/>
  <c r="FN4" i="8"/>
  <c r="FM4" i="8"/>
  <c r="FK4" i="8"/>
  <c r="FM2" i="8"/>
  <c r="FL4" i="8"/>
  <c r="DM4" i="8" a="1"/>
  <c r="DM4" i="8" s="1"/>
  <c r="DM3" i="8" a="1"/>
  <c r="DM3" i="8" s="1"/>
  <c r="CH3" i="8"/>
  <c r="CW3" i="8" s="1"/>
  <c r="CK3" i="8"/>
  <c r="CZ3" i="8" s="1"/>
  <c r="DL3" i="8"/>
  <c r="CJ4" i="8"/>
  <c r="CY4" i="8" s="1"/>
  <c r="FO3" i="8"/>
  <c r="FL5" i="8"/>
  <c r="HC5" i="8"/>
  <c r="FN2" i="8"/>
  <c r="FO2" i="8"/>
  <c r="CK2" i="8"/>
  <c r="CZ2" i="8" s="1"/>
  <c r="CI2" i="8"/>
  <c r="CX2" i="8" s="1"/>
  <c r="CH2" i="8"/>
  <c r="CW2" i="8" s="1"/>
  <c r="DM2" i="8" a="1"/>
  <c r="DM2" i="8" s="1"/>
  <c r="CJ2" i="8"/>
  <c r="CY2" i="8" s="1"/>
  <c r="FL2" i="8"/>
  <c r="HC2" i="8"/>
  <c r="FM3" i="8"/>
  <c r="FP3" i="8"/>
  <c r="FK3" i="8"/>
  <c r="HC3" i="8"/>
  <c r="FL3" i="8"/>
  <c r="FN3" i="8"/>
  <c r="DM5" i="8" a="1"/>
  <c r="DM5" i="8" s="1"/>
  <c r="IM5" i="8"/>
  <c r="CJ5" i="8"/>
  <c r="CY5" i="8" s="1"/>
  <c r="CI5" i="8"/>
  <c r="CX5" i="8" s="1"/>
  <c r="CH5" i="8"/>
  <c r="CW5" i="8" s="1"/>
  <c r="CK5" i="8"/>
  <c r="CZ5" i="8" s="1"/>
  <c r="IN4" i="8"/>
  <c r="IX4" i="8" s="1"/>
  <c r="CI4" i="8"/>
  <c r="CX4" i="8" s="1"/>
  <c r="IM4" i="8"/>
  <c r="FN5" i="8"/>
  <c r="IN3" i="8"/>
  <c r="IX3" i="8" s="1"/>
  <c r="CH4" i="8"/>
  <c r="CW4" i="8" s="1"/>
  <c r="GS13" i="33" l="1"/>
  <c r="HG13" i="33" s="1"/>
  <c r="GS15" i="33"/>
  <c r="HN15" i="33" s="1"/>
  <c r="GS11" i="33"/>
  <c r="HM11" i="33" s="1"/>
  <c r="GS2" i="33"/>
  <c r="HF2" i="33" s="1"/>
  <c r="GS10" i="33"/>
  <c r="HM10" i="33" s="1"/>
  <c r="GS8" i="33"/>
  <c r="HG8" i="33" s="1"/>
  <c r="GS7" i="33"/>
  <c r="HN7" i="33" s="1"/>
  <c r="GS5" i="33"/>
  <c r="HN5" i="33" s="1"/>
  <c r="GS12" i="33"/>
  <c r="HG12" i="33" s="1"/>
  <c r="HM8" i="33"/>
  <c r="HN8" i="33"/>
  <c r="GS6" i="33"/>
  <c r="HM13" i="33"/>
  <c r="GS16" i="33"/>
  <c r="GS4" i="33"/>
  <c r="HM2" i="33"/>
  <c r="GS9" i="33"/>
  <c r="HF13" i="33"/>
  <c r="HG2" i="33"/>
  <c r="GS3" i="33"/>
  <c r="GS14" i="33"/>
  <c r="HN13" i="33"/>
  <c r="GS2" i="31"/>
  <c r="HN2" i="31" s="1"/>
  <c r="GS2" i="30"/>
  <c r="HN2" i="30" s="1"/>
  <c r="GS3" i="30"/>
  <c r="HM3" i="30" s="1"/>
  <c r="GS3" i="29"/>
  <c r="GS2" i="29"/>
  <c r="HF2" i="29" s="1"/>
  <c r="GS3" i="28"/>
  <c r="HF3" i="28" s="1"/>
  <c r="GS2" i="28"/>
  <c r="HM2" i="28" s="1"/>
  <c r="GS3" i="27"/>
  <c r="GS2" i="27"/>
  <c r="HF2" i="27" s="1"/>
  <c r="GS2" i="26"/>
  <c r="GS3" i="26"/>
  <c r="HN3" i="26" s="1"/>
  <c r="GS3" i="25"/>
  <c r="HN3" i="25" s="1"/>
  <c r="GS2" i="25"/>
  <c r="GS3" i="24"/>
  <c r="HF3" i="24" s="1"/>
  <c r="GS2" i="24"/>
  <c r="GS3" i="23"/>
  <c r="HG3" i="23" s="1"/>
  <c r="GS2" i="23"/>
  <c r="GS3" i="22"/>
  <c r="HG3" i="22" s="1"/>
  <c r="GS2" i="22"/>
  <c r="HG2" i="22" s="1"/>
  <c r="GS3" i="21"/>
  <c r="GS2" i="21"/>
  <c r="GS4" i="21"/>
  <c r="HG4" i="21" s="1"/>
  <c r="GS2" i="20"/>
  <c r="HF2" i="20" s="1"/>
  <c r="GS4" i="20"/>
  <c r="HM4" i="20" s="1"/>
  <c r="GS3" i="20"/>
  <c r="GS2" i="19"/>
  <c r="HG2" i="19" s="1"/>
  <c r="GS3" i="19"/>
  <c r="GS3" i="18"/>
  <c r="HN3" i="18" s="1"/>
  <c r="HM3" i="18"/>
  <c r="GS2" i="18"/>
  <c r="GS3" i="17"/>
  <c r="HF3" i="17" s="1"/>
  <c r="GS4" i="17"/>
  <c r="GS2" i="17"/>
  <c r="GS4" i="16"/>
  <c r="HN4" i="16" s="1"/>
  <c r="GS2" i="16"/>
  <c r="HM2" i="16" s="1"/>
  <c r="GS5" i="16"/>
  <c r="HM5" i="16" s="1"/>
  <c r="GS3" i="16"/>
  <c r="GS2" i="15"/>
  <c r="HN2" i="15" s="1"/>
  <c r="GS5" i="15"/>
  <c r="HG5" i="15" s="1"/>
  <c r="GS3" i="15"/>
  <c r="HF3" i="15" s="1"/>
  <c r="GS4" i="15"/>
  <c r="HF4" i="15" s="1"/>
  <c r="GS6" i="14"/>
  <c r="HG6" i="14" s="1"/>
  <c r="GS2" i="14"/>
  <c r="HN2" i="14" s="1"/>
  <c r="GS3" i="14"/>
  <c r="HN3" i="14" s="1"/>
  <c r="GS5" i="14"/>
  <c r="GS4" i="14"/>
  <c r="GS2" i="13"/>
  <c r="HF2" i="13" s="1"/>
  <c r="HN2" i="13"/>
  <c r="GS4" i="13"/>
  <c r="HF4" i="13" s="1"/>
  <c r="GS3" i="13"/>
  <c r="GS5" i="13"/>
  <c r="HM4" i="13"/>
  <c r="GS5" i="12"/>
  <c r="HF5" i="12" s="1"/>
  <c r="GS6" i="12"/>
  <c r="HN6" i="12" s="1"/>
  <c r="GS7" i="12"/>
  <c r="HN7" i="12" s="1"/>
  <c r="GS4" i="12"/>
  <c r="GS2" i="12"/>
  <c r="GS3" i="12"/>
  <c r="GS5" i="11"/>
  <c r="HN5" i="11" s="1"/>
  <c r="GS4" i="11"/>
  <c r="HG4" i="11" s="1"/>
  <c r="GS7" i="11"/>
  <c r="HM7" i="11" s="1"/>
  <c r="GS2" i="11"/>
  <c r="HN2" i="11" s="1"/>
  <c r="GS3" i="11"/>
  <c r="HM3" i="11" s="1"/>
  <c r="GS6" i="11"/>
  <c r="HF6" i="11" s="1"/>
  <c r="GS3" i="10"/>
  <c r="HG3" i="10" s="1"/>
  <c r="GS6" i="10"/>
  <c r="HG6" i="10" s="1"/>
  <c r="GS8" i="10"/>
  <c r="HF8" i="10" s="1"/>
  <c r="GS5" i="10"/>
  <c r="HM5" i="10" s="1"/>
  <c r="GS7" i="10"/>
  <c r="HF7" i="10" s="1"/>
  <c r="GS4" i="10"/>
  <c r="HG4" i="10" s="1"/>
  <c r="HG5" i="10"/>
  <c r="GS10" i="10"/>
  <c r="GS9" i="10"/>
  <c r="HG9" i="10" s="1"/>
  <c r="GS2" i="10"/>
  <c r="HN2" i="10" s="1"/>
  <c r="GS11" i="10"/>
  <c r="GS3" i="9"/>
  <c r="GS6" i="9"/>
  <c r="HF6" i="9" s="1"/>
  <c r="GS9" i="9"/>
  <c r="HF9" i="9" s="1"/>
  <c r="GS2" i="9"/>
  <c r="HF2" i="9" s="1"/>
  <c r="GS4" i="9"/>
  <c r="HN4" i="9" s="1"/>
  <c r="GS10" i="9"/>
  <c r="HG10" i="9" s="1"/>
  <c r="GS7" i="9"/>
  <c r="HG7" i="9" s="1"/>
  <c r="GS8" i="9"/>
  <c r="HN8" i="9" s="1"/>
  <c r="GS5" i="9"/>
  <c r="HM5" i="9" s="1"/>
  <c r="GS5" i="8"/>
  <c r="HF5" i="8" s="1"/>
  <c r="GS4" i="8"/>
  <c r="HN4" i="8" s="1"/>
  <c r="GS3" i="8"/>
  <c r="HF3" i="8" s="1"/>
  <c r="GS2" i="8"/>
  <c r="HG2" i="8" s="1"/>
  <c r="HM15" i="33" l="1"/>
  <c r="HN2" i="33"/>
  <c r="HG11" i="33"/>
  <c r="HF15" i="33"/>
  <c r="HM6" i="14"/>
  <c r="HF11" i="33"/>
  <c r="HG15" i="33"/>
  <c r="HN11" i="33"/>
  <c r="HF8" i="33"/>
  <c r="HM5" i="33"/>
  <c r="HG10" i="33"/>
  <c r="HF5" i="33"/>
  <c r="HM12" i="33"/>
  <c r="HG5" i="33"/>
  <c r="HM7" i="33"/>
  <c r="HF7" i="33"/>
  <c r="HF12" i="33"/>
  <c r="HG7" i="33"/>
  <c r="HN12" i="33"/>
  <c r="HF10" i="33"/>
  <c r="HN10" i="33"/>
  <c r="HM16" i="33"/>
  <c r="HF16" i="33"/>
  <c r="HG16" i="33"/>
  <c r="HN16" i="33"/>
  <c r="HN3" i="33"/>
  <c r="HF3" i="33"/>
  <c r="HG3" i="33"/>
  <c r="HM3" i="33"/>
  <c r="HG4" i="33"/>
  <c r="HF4" i="33"/>
  <c r="HN4" i="33"/>
  <c r="HM4" i="33"/>
  <c r="HM14" i="33"/>
  <c r="HF14" i="33"/>
  <c r="HG14" i="33"/>
  <c r="HN14" i="33"/>
  <c r="HG6" i="33"/>
  <c r="HF6" i="33"/>
  <c r="HN6" i="33"/>
  <c r="HM6" i="33"/>
  <c r="HN9" i="33"/>
  <c r="HM9" i="33"/>
  <c r="HF9" i="33"/>
  <c r="HG9" i="33"/>
  <c r="HF4" i="21"/>
  <c r="HM3" i="10"/>
  <c r="HF6" i="10"/>
  <c r="HN6" i="10"/>
  <c r="HN5" i="10"/>
  <c r="HM6" i="10"/>
  <c r="HN4" i="13"/>
  <c r="HM5" i="12"/>
  <c r="HG2" i="31"/>
  <c r="HG5" i="12"/>
  <c r="HM2" i="31"/>
  <c r="HG6" i="12"/>
  <c r="HF2" i="31"/>
  <c r="HF2" i="30"/>
  <c r="HG2" i="30"/>
  <c r="HM2" i="30"/>
  <c r="HF3" i="30"/>
  <c r="HN3" i="30"/>
  <c r="HG3" i="30"/>
  <c r="HM3" i="29"/>
  <c r="HF3" i="29"/>
  <c r="HN3" i="29"/>
  <c r="HG3" i="29"/>
  <c r="HN2" i="29"/>
  <c r="HM2" i="29"/>
  <c r="HG2" i="29"/>
  <c r="HN3" i="28"/>
  <c r="HG3" i="28"/>
  <c r="HM3" i="28"/>
  <c r="HF2" i="28"/>
  <c r="HG2" i="28"/>
  <c r="HN2" i="28"/>
  <c r="HG2" i="27"/>
  <c r="HN2" i="27"/>
  <c r="HM2" i="27"/>
  <c r="HM3" i="27"/>
  <c r="HG3" i="27"/>
  <c r="HN3" i="27"/>
  <c r="HF3" i="27"/>
  <c r="HF3" i="26"/>
  <c r="HM2" i="26"/>
  <c r="HN2" i="26"/>
  <c r="HG2" i="26"/>
  <c r="HF2" i="26"/>
  <c r="HM3" i="26"/>
  <c r="HG3" i="26"/>
  <c r="HF3" i="25"/>
  <c r="HG3" i="25"/>
  <c r="HM3" i="25"/>
  <c r="HN2" i="25"/>
  <c r="HF2" i="25"/>
  <c r="HM2" i="25"/>
  <c r="HG2" i="25"/>
  <c r="HM3" i="24"/>
  <c r="HN3" i="24"/>
  <c r="HG3" i="24"/>
  <c r="HG2" i="24"/>
  <c r="HN2" i="24"/>
  <c r="HF2" i="24"/>
  <c r="HM2" i="24"/>
  <c r="HF3" i="23"/>
  <c r="HN3" i="23"/>
  <c r="HM3" i="23"/>
  <c r="HN2" i="23"/>
  <c r="HG2" i="23"/>
  <c r="HM2" i="23"/>
  <c r="HF2" i="23"/>
  <c r="HN3" i="22"/>
  <c r="HF3" i="22"/>
  <c r="HM3" i="22"/>
  <c r="HM2" i="22"/>
  <c r="HF2" i="22"/>
  <c r="HN2" i="22"/>
  <c r="HN4" i="21"/>
  <c r="HM2" i="21"/>
  <c r="HN2" i="21"/>
  <c r="HG2" i="21"/>
  <c r="HF2" i="21"/>
  <c r="HM4" i="21"/>
  <c r="HF3" i="21"/>
  <c r="HG3" i="21"/>
  <c r="HM3" i="21"/>
  <c r="HN3" i="21"/>
  <c r="HM2" i="20"/>
  <c r="HG2" i="20"/>
  <c r="HN2" i="20"/>
  <c r="HF4" i="20"/>
  <c r="HG4" i="20"/>
  <c r="HN4" i="20"/>
  <c r="HG3" i="20"/>
  <c r="HF3" i="20"/>
  <c r="HM3" i="20"/>
  <c r="HN3" i="20"/>
  <c r="HG2" i="13"/>
  <c r="HM2" i="19"/>
  <c r="HN2" i="19"/>
  <c r="HF2" i="19"/>
  <c r="HN3" i="19"/>
  <c r="HG3" i="19"/>
  <c r="HF3" i="19"/>
  <c r="HM3" i="19"/>
  <c r="HF3" i="18"/>
  <c r="HG3" i="18"/>
  <c r="HG2" i="18"/>
  <c r="HN2" i="18"/>
  <c r="HM2" i="18"/>
  <c r="HF2" i="18"/>
  <c r="HN3" i="17"/>
  <c r="HM3" i="17"/>
  <c r="HG3" i="17"/>
  <c r="HN4" i="17"/>
  <c r="HF4" i="17"/>
  <c r="HG4" i="17"/>
  <c r="HM4" i="17"/>
  <c r="HN2" i="17"/>
  <c r="HF2" i="17"/>
  <c r="HM2" i="17"/>
  <c r="HG2" i="17"/>
  <c r="HF2" i="16"/>
  <c r="HN2" i="16"/>
  <c r="HG2" i="16"/>
  <c r="HF4" i="16"/>
  <c r="HG4" i="16"/>
  <c r="HM4" i="16"/>
  <c r="HF5" i="16"/>
  <c r="HG5" i="16"/>
  <c r="HN5" i="16"/>
  <c r="HF3" i="16"/>
  <c r="HG3" i="16"/>
  <c r="HN3" i="16"/>
  <c r="HM3" i="16"/>
  <c r="HG2" i="15"/>
  <c r="HM2" i="15"/>
  <c r="HF2" i="15"/>
  <c r="HG3" i="15"/>
  <c r="HN3" i="15"/>
  <c r="HM3" i="15"/>
  <c r="HF5" i="15"/>
  <c r="HM5" i="15"/>
  <c r="HN5" i="15"/>
  <c r="HG4" i="15"/>
  <c r="HM4" i="15"/>
  <c r="HN4" i="15"/>
  <c r="HN6" i="14"/>
  <c r="HF6" i="14"/>
  <c r="HM2" i="14"/>
  <c r="HG2" i="14"/>
  <c r="HG3" i="14"/>
  <c r="HM3" i="14"/>
  <c r="HF3" i="14"/>
  <c r="HF2" i="14"/>
  <c r="HG5" i="14"/>
  <c r="HM5" i="14"/>
  <c r="HF5" i="14"/>
  <c r="HN5" i="14"/>
  <c r="HF4" i="14"/>
  <c r="HN4" i="14"/>
  <c r="HM4" i="14"/>
  <c r="HG4" i="14"/>
  <c r="HM2" i="13"/>
  <c r="HG4" i="13"/>
  <c r="HN5" i="13"/>
  <c r="HM5" i="13"/>
  <c r="HG5" i="13"/>
  <c r="HF5" i="13"/>
  <c r="HM3" i="13"/>
  <c r="HN3" i="13"/>
  <c r="HG3" i="13"/>
  <c r="HF3" i="13"/>
  <c r="HN5" i="12"/>
  <c r="HF7" i="12"/>
  <c r="HM6" i="12"/>
  <c r="HF6" i="12"/>
  <c r="HG7" i="12"/>
  <c r="HM7" i="12"/>
  <c r="HF4" i="12"/>
  <c r="HM4" i="12"/>
  <c r="HG4" i="12"/>
  <c r="HN4" i="12"/>
  <c r="HM2" i="12"/>
  <c r="HG2" i="12"/>
  <c r="HF2" i="12"/>
  <c r="HN2" i="12"/>
  <c r="HF3" i="12"/>
  <c r="HG3" i="12"/>
  <c r="HM3" i="12"/>
  <c r="HN3" i="12"/>
  <c r="HF5" i="11"/>
  <c r="HN3" i="11"/>
  <c r="HF3" i="11"/>
  <c r="HG3" i="11"/>
  <c r="HN7" i="11"/>
  <c r="HG5" i="11"/>
  <c r="HF7" i="11"/>
  <c r="HG7" i="11"/>
  <c r="HM5" i="11"/>
  <c r="HM2" i="11"/>
  <c r="HF2" i="11"/>
  <c r="HM4" i="11"/>
  <c r="HN4" i="11"/>
  <c r="HG2" i="11"/>
  <c r="HG6" i="11"/>
  <c r="HF4" i="11"/>
  <c r="HN6" i="11"/>
  <c r="HM6" i="11"/>
  <c r="HN8" i="10"/>
  <c r="HM8" i="10"/>
  <c r="HG7" i="10"/>
  <c r="HM7" i="10"/>
  <c r="HN7" i="10"/>
  <c r="HF4" i="10"/>
  <c r="HN3" i="10"/>
  <c r="HM4" i="10"/>
  <c r="HF3" i="10"/>
  <c r="HN4" i="10"/>
  <c r="HF5" i="10"/>
  <c r="HG8" i="10"/>
  <c r="HF11" i="10"/>
  <c r="HN11" i="10"/>
  <c r="HG11" i="10"/>
  <c r="HM11" i="10"/>
  <c r="HF2" i="10"/>
  <c r="HG2" i="10"/>
  <c r="HM2" i="10"/>
  <c r="HF9" i="10"/>
  <c r="HN9" i="10"/>
  <c r="HN10" i="10"/>
  <c r="HF10" i="10"/>
  <c r="HG10" i="10"/>
  <c r="HM10" i="10"/>
  <c r="HM9" i="10"/>
  <c r="HM6" i="9"/>
  <c r="HG6" i="9"/>
  <c r="HN9" i="9"/>
  <c r="HN7" i="9"/>
  <c r="HF3" i="9"/>
  <c r="HG3" i="9"/>
  <c r="HM3" i="9"/>
  <c r="HN3" i="9"/>
  <c r="HN6" i="9"/>
  <c r="HN2" i="9"/>
  <c r="HM7" i="9"/>
  <c r="HF10" i="9"/>
  <c r="HF8" i="9"/>
  <c r="HN10" i="9"/>
  <c r="HG9" i="9"/>
  <c r="HM10" i="9"/>
  <c r="HG8" i="9"/>
  <c r="HM9" i="9"/>
  <c r="HG4" i="9"/>
  <c r="HM4" i="9"/>
  <c r="HM2" i="9"/>
  <c r="HF4" i="9"/>
  <c r="HG2" i="9"/>
  <c r="HF7" i="9"/>
  <c r="HG5" i="9"/>
  <c r="HN5" i="9"/>
  <c r="HM8" i="9"/>
  <c r="HF5" i="9"/>
  <c r="HG3" i="8"/>
  <c r="HM5" i="8"/>
  <c r="HG5" i="8"/>
  <c r="HN5" i="8"/>
  <c r="HM3" i="8"/>
  <c r="HN3" i="8"/>
  <c r="HM4" i="8"/>
  <c r="HF2" i="8"/>
  <c r="HM2" i="8"/>
  <c r="HN2" i="8"/>
  <c r="HG4" i="8"/>
  <c r="HF4" i="8"/>
  <c r="AW17" i="5" l="1"/>
  <c r="AW11" i="5"/>
  <c r="AW16" i="5"/>
  <c r="AW15" i="5"/>
  <c r="AW22" i="5"/>
  <c r="AW21" i="5"/>
  <c r="AW20" i="5"/>
  <c r="AW14" i="5"/>
  <c r="AW12" i="5"/>
  <c r="AW18" i="5"/>
  <c r="AW19" i="5"/>
  <c r="AW13" i="5"/>
  <c r="AW10" i="5"/>
  <c r="AW9" i="5"/>
  <c r="AW8" i="5"/>
  <c r="AW7" i="5"/>
  <c r="AW6" i="5"/>
  <c r="AW5" i="5"/>
  <c r="AW4" i="5"/>
  <c r="AW3" i="5"/>
  <c r="AW2" i="5"/>
  <c r="GI65" i="5" l="1"/>
  <c r="GH65" i="5"/>
  <c r="GG65" i="5"/>
  <c r="GE65" i="5"/>
  <c r="GI64" i="5"/>
  <c r="GH64" i="5"/>
  <c r="GG64" i="5"/>
  <c r="GE64" i="5"/>
  <c r="GI63" i="5"/>
  <c r="GH63" i="5"/>
  <c r="GG63" i="5"/>
  <c r="GE63" i="5"/>
  <c r="GI62" i="5"/>
  <c r="GH62" i="5"/>
  <c r="GG62" i="5"/>
  <c r="GE62" i="5"/>
  <c r="GI61" i="5"/>
  <c r="GH61" i="5"/>
  <c r="GG61" i="5"/>
  <c r="GE61" i="5"/>
  <c r="GI60" i="5"/>
  <c r="GH60" i="5"/>
  <c r="GG60" i="5"/>
  <c r="GE60" i="5"/>
  <c r="GI59" i="5"/>
  <c r="GH59" i="5"/>
  <c r="GG59" i="5"/>
  <c r="GE59" i="5"/>
  <c r="GI58" i="5"/>
  <c r="GH58" i="5"/>
  <c r="GG58" i="5"/>
  <c r="GE58" i="5"/>
  <c r="GI57" i="5"/>
  <c r="GH57" i="5"/>
  <c r="GG57" i="5"/>
  <c r="GE57" i="5"/>
  <c r="GI56" i="5"/>
  <c r="GH56" i="5"/>
  <c r="GG56" i="5"/>
  <c r="GE56" i="5"/>
  <c r="GI55" i="5"/>
  <c r="GH55" i="5"/>
  <c r="GG55" i="5"/>
  <c r="GE55" i="5"/>
  <c r="GI54" i="5"/>
  <c r="GH54" i="5"/>
  <c r="GG54" i="5"/>
  <c r="GE54" i="5"/>
  <c r="GI53" i="5"/>
  <c r="GH53" i="5"/>
  <c r="GG53" i="5"/>
  <c r="GE53" i="5"/>
  <c r="GI52" i="5"/>
  <c r="GH52" i="5"/>
  <c r="GG52" i="5"/>
  <c r="GE52" i="5"/>
  <c r="GI51" i="5"/>
  <c r="GH51" i="5"/>
  <c r="GG51" i="5"/>
  <c r="GE51" i="5"/>
  <c r="GI50" i="5"/>
  <c r="GH50" i="5"/>
  <c r="GG50" i="5"/>
  <c r="GE50" i="5"/>
  <c r="GI49" i="5"/>
  <c r="GH49" i="5"/>
  <c r="GG49" i="5"/>
  <c r="GE49" i="5"/>
  <c r="GI48" i="5"/>
  <c r="GH48" i="5"/>
  <c r="GG48" i="5"/>
  <c r="GE48" i="5"/>
  <c r="GI47" i="5"/>
  <c r="GH47" i="5"/>
  <c r="GG47" i="5"/>
  <c r="GE47" i="5"/>
  <c r="GI46" i="5"/>
  <c r="GH46" i="5"/>
  <c r="GG46" i="5"/>
  <c r="GE46" i="5"/>
  <c r="GI45" i="5"/>
  <c r="GH45" i="5"/>
  <c r="GG45" i="5"/>
  <c r="GE45" i="5"/>
  <c r="GI44" i="5"/>
  <c r="GH44" i="5"/>
  <c r="GG44" i="5"/>
  <c r="GE44" i="5"/>
  <c r="GI43" i="5"/>
  <c r="GH43" i="5"/>
  <c r="GG43" i="5"/>
  <c r="GE43" i="5"/>
  <c r="GI42" i="5"/>
  <c r="GH42" i="5"/>
  <c r="GG42" i="5"/>
  <c r="GE42" i="5"/>
  <c r="GI41" i="5"/>
  <c r="GH41" i="5"/>
  <c r="GG41" i="5"/>
  <c r="GE41" i="5"/>
  <c r="GI40" i="5"/>
  <c r="GH40" i="5"/>
  <c r="GG40" i="5"/>
  <c r="GE40" i="5"/>
  <c r="GI39" i="5"/>
  <c r="GH39" i="5"/>
  <c r="GG39" i="5"/>
  <c r="GE39" i="5"/>
  <c r="GI38" i="5"/>
  <c r="GH38" i="5"/>
  <c r="GG38" i="5"/>
  <c r="GE38" i="5"/>
  <c r="GI37" i="5"/>
  <c r="GH37" i="5"/>
  <c r="GG37" i="5"/>
  <c r="GE37" i="5"/>
  <c r="GI36" i="5"/>
  <c r="GH36" i="5"/>
  <c r="GG36" i="5"/>
  <c r="GE36" i="5"/>
  <c r="GI35" i="5"/>
  <c r="GH35" i="5"/>
  <c r="GG35" i="5"/>
  <c r="GE35" i="5"/>
  <c r="GI34" i="5"/>
  <c r="GH34" i="5"/>
  <c r="GG34" i="5"/>
  <c r="GE34" i="5"/>
  <c r="GI33" i="5"/>
  <c r="GH33" i="5"/>
  <c r="GG33" i="5"/>
  <c r="GE33" i="5"/>
  <c r="GI32" i="5"/>
  <c r="GH32" i="5"/>
  <c r="GG32" i="5"/>
  <c r="GE32" i="5"/>
  <c r="GI31" i="5"/>
  <c r="GH31" i="5"/>
  <c r="GG31" i="5"/>
  <c r="GE31" i="5"/>
  <c r="GI30" i="5"/>
  <c r="GH30" i="5"/>
  <c r="GG30" i="5"/>
  <c r="GE30" i="5"/>
  <c r="GI29" i="5"/>
  <c r="GH29" i="5"/>
  <c r="GG29" i="5"/>
  <c r="GE29" i="5"/>
  <c r="GI28" i="5"/>
  <c r="GH28" i="5"/>
  <c r="GG28" i="5"/>
  <c r="GE28" i="5"/>
  <c r="GI27" i="5"/>
  <c r="GH27" i="5"/>
  <c r="GG27" i="5"/>
  <c r="GE27" i="5"/>
  <c r="GI26" i="5"/>
  <c r="GH26" i="5"/>
  <c r="GG26" i="5"/>
  <c r="GE26" i="5"/>
  <c r="GI25" i="5"/>
  <c r="GH25" i="5"/>
  <c r="GG25" i="5"/>
  <c r="GE25" i="5"/>
  <c r="GI24" i="5"/>
  <c r="GH24" i="5"/>
  <c r="GG24" i="5"/>
  <c r="GE24" i="5"/>
  <c r="GI23" i="5"/>
  <c r="GH23" i="5"/>
  <c r="GG23" i="5"/>
  <c r="GE23" i="5"/>
  <c r="HX16" i="5" a="1"/>
  <c r="HX16" i="5" s="1"/>
  <c r="IW16" i="5" s="1"/>
  <c r="HW16" i="5" a="1"/>
  <c r="HW16" i="5" s="1"/>
  <c r="IV16" i="5" s="1"/>
  <c r="HV16" i="5" a="1"/>
  <c r="HV16" i="5" s="1"/>
  <c r="IU16" i="5" s="1"/>
  <c r="HU16" i="5" a="1"/>
  <c r="HU16" i="5" s="1"/>
  <c r="IT16" i="5" s="1"/>
  <c r="HT16" i="5" a="1"/>
  <c r="HT16" i="5" s="1"/>
  <c r="IS16" i="5" s="1"/>
  <c r="HS16" i="5" a="1"/>
  <c r="HS16" i="5" s="1"/>
  <c r="IR16" i="5" s="1"/>
  <c r="HR16" i="5" a="1"/>
  <c r="HR16" i="5" s="1"/>
  <c r="IQ16" i="5" s="1"/>
  <c r="HQ16" i="5" a="1"/>
  <c r="HQ16" i="5" s="1"/>
  <c r="IP16" i="5" s="1"/>
  <c r="HP16" i="5" a="1"/>
  <c r="HP16" i="5" s="1"/>
  <c r="IO16" i="5" s="1"/>
  <c r="HL16" i="5"/>
  <c r="HJ16" i="5"/>
  <c r="HH16" i="5"/>
  <c r="HI16" i="5" s="1"/>
  <c r="HB16" i="5"/>
  <c r="HA16" i="5"/>
  <c r="GZ16" i="5"/>
  <c r="GY16" i="5"/>
  <c r="GX16" i="5"/>
  <c r="GW16" i="5"/>
  <c r="GV16" i="5"/>
  <c r="GU16" i="5"/>
  <c r="GT16" i="5"/>
  <c r="GP16" i="5"/>
  <c r="GI16" i="5"/>
  <c r="GH16" i="5"/>
  <c r="GG16" i="5"/>
  <c r="GF16" i="5"/>
  <c r="GE16" i="5"/>
  <c r="GB16" i="5"/>
  <c r="GA16" i="5"/>
  <c r="FZ16" i="5"/>
  <c r="FY16" i="5"/>
  <c r="FW16" i="5"/>
  <c r="FV16" i="5"/>
  <c r="FU16" i="5"/>
  <c r="FT16" i="5"/>
  <c r="FS16" i="5"/>
  <c r="FR16" i="5"/>
  <c r="FQ16" i="5"/>
  <c r="FJ16" i="5"/>
  <c r="FI16" i="5"/>
  <c r="FH16" i="5"/>
  <c r="FG16" i="5"/>
  <c r="FF16" i="5"/>
  <c r="FP16" i="5" s="1"/>
  <c r="FE16" i="5"/>
  <c r="FD16" i="5"/>
  <c r="FB16" i="5"/>
  <c r="FA16" i="5"/>
  <c r="EZ16" i="5"/>
  <c r="EY16" i="5"/>
  <c r="EX16" i="5"/>
  <c r="EW16" i="5"/>
  <c r="EV16" i="5"/>
  <c r="EU16" i="5"/>
  <c r="ET16" i="5"/>
  <c r="ES16" i="5"/>
  <c r="ER16" i="5"/>
  <c r="EQ16" i="5"/>
  <c r="EP16" i="5"/>
  <c r="EO16" i="5"/>
  <c r="EN16" i="5"/>
  <c r="EM16" i="5"/>
  <c r="EL16" i="5"/>
  <c r="EK16" i="5"/>
  <c r="EJ16" i="5"/>
  <c r="EI16" i="5"/>
  <c r="EH16" i="5"/>
  <c r="EG16" i="5"/>
  <c r="EF16" i="5"/>
  <c r="EE16" i="5"/>
  <c r="ED16" i="5"/>
  <c r="EC16" i="5"/>
  <c r="EB16" i="5"/>
  <c r="EA16" i="5"/>
  <c r="DU16" i="5"/>
  <c r="DT16" i="5"/>
  <c r="DS16" i="5"/>
  <c r="DR16" i="5"/>
  <c r="DQ16" i="5"/>
  <c r="DP16" i="5"/>
  <c r="DO16" i="5"/>
  <c r="DN16" i="5"/>
  <c r="DK16" i="5"/>
  <c r="DJ16" i="5"/>
  <c r="DI16" i="5"/>
  <c r="DH16" i="5"/>
  <c r="DG16" i="5"/>
  <c r="DF16" i="5"/>
  <c r="DE16" i="5"/>
  <c r="DD16" i="5"/>
  <c r="DB16" i="5"/>
  <c r="DA16" i="5"/>
  <c r="CV16" i="5"/>
  <c r="CU16" i="5"/>
  <c r="CT16" i="5"/>
  <c r="CS16" i="5"/>
  <c r="GN16" i="5" s="1"/>
  <c r="CR16" i="5"/>
  <c r="GM16" i="5" s="1"/>
  <c r="CQ16" i="5"/>
  <c r="GL16" i="5" s="1"/>
  <c r="CP16" i="5"/>
  <c r="GJ16" i="5" s="1"/>
  <c r="GK16" i="5" s="1"/>
  <c r="CO16" i="5"/>
  <c r="DZ16" i="5" s="1"/>
  <c r="CN16" i="5"/>
  <c r="DY16" i="5" s="1"/>
  <c r="CM16" i="5"/>
  <c r="DX16" i="5" s="1"/>
  <c r="CL16" i="5"/>
  <c r="DW16" i="5" s="1"/>
  <c r="CG16" i="5" a="1"/>
  <c r="CG16" i="5" s="1"/>
  <c r="CH16" i="5" s="1"/>
  <c r="CW16" i="5" s="1"/>
  <c r="AV16" i="5"/>
  <c r="G16" i="5"/>
  <c r="IL17" i="5"/>
  <c r="HX17" i="5" a="1"/>
  <c r="HX17" i="5" s="1"/>
  <c r="IW17" i="5" s="1"/>
  <c r="HW17" i="5" a="1"/>
  <c r="HW17" i="5" s="1"/>
  <c r="IV17" i="5" s="1"/>
  <c r="HV17" i="5" a="1"/>
  <c r="HV17" i="5" s="1"/>
  <c r="IU17" i="5" s="1"/>
  <c r="HU17" i="5" a="1"/>
  <c r="HU17" i="5" s="1"/>
  <c r="IT17" i="5" s="1"/>
  <c r="HT17" i="5" a="1"/>
  <c r="HT17" i="5" s="1"/>
  <c r="IS17" i="5" s="1"/>
  <c r="HS17" i="5" a="1"/>
  <c r="HS17" i="5" s="1"/>
  <c r="IR17" i="5" s="1"/>
  <c r="HR17" i="5" a="1"/>
  <c r="HR17" i="5" s="1"/>
  <c r="IQ17" i="5" s="1"/>
  <c r="HQ17" i="5" a="1"/>
  <c r="HQ17" i="5" s="1"/>
  <c r="IP17" i="5" s="1"/>
  <c r="HP17" i="5" a="1"/>
  <c r="HP17" i="5" s="1"/>
  <c r="IO17" i="5" s="1"/>
  <c r="HL17" i="5"/>
  <c r="HJ17" i="5"/>
  <c r="HH17" i="5"/>
  <c r="HI17" i="5" s="1"/>
  <c r="HB17" i="5"/>
  <c r="HA17" i="5"/>
  <c r="GZ17" i="5"/>
  <c r="GY17" i="5"/>
  <c r="GX17" i="5"/>
  <c r="GW17" i="5"/>
  <c r="GV17" i="5"/>
  <c r="GU17" i="5"/>
  <c r="GT17" i="5"/>
  <c r="GP17" i="5"/>
  <c r="GI17" i="5"/>
  <c r="GH17" i="5"/>
  <c r="GG17" i="5"/>
  <c r="GF17" i="5"/>
  <c r="GE17" i="5"/>
  <c r="GD17" i="5"/>
  <c r="GC17" i="5"/>
  <c r="GB17" i="5"/>
  <c r="GA17" i="5"/>
  <c r="FZ17" i="5"/>
  <c r="FY17" i="5"/>
  <c r="FX17" i="5"/>
  <c r="FW17" i="5"/>
  <c r="FV17" i="5"/>
  <c r="FU17" i="5"/>
  <c r="FT17" i="5"/>
  <c r="FS17" i="5"/>
  <c r="FR17" i="5"/>
  <c r="FQ17" i="5"/>
  <c r="FJ17" i="5"/>
  <c r="FI17" i="5"/>
  <c r="FH17" i="5"/>
  <c r="FG17" i="5"/>
  <c r="FF17" i="5"/>
  <c r="FE17" i="5"/>
  <c r="FD17" i="5"/>
  <c r="FC17" i="5"/>
  <c r="FB17" i="5"/>
  <c r="FA17" i="5"/>
  <c r="EZ17" i="5"/>
  <c r="EY17" i="5"/>
  <c r="EX17" i="5"/>
  <c r="EW17" i="5"/>
  <c r="EV17" i="5"/>
  <c r="EU17" i="5"/>
  <c r="ET17" i="5"/>
  <c r="ES17" i="5"/>
  <c r="ER17" i="5"/>
  <c r="EQ17" i="5"/>
  <c r="EP17" i="5"/>
  <c r="EO17" i="5"/>
  <c r="EN17" i="5"/>
  <c r="EM17" i="5"/>
  <c r="EL17" i="5"/>
  <c r="EK17" i="5"/>
  <c r="EJ17" i="5"/>
  <c r="EI17" i="5"/>
  <c r="EH17" i="5"/>
  <c r="EG17" i="5"/>
  <c r="EF17" i="5"/>
  <c r="EE17" i="5"/>
  <c r="ED17" i="5"/>
  <c r="EC17" i="5"/>
  <c r="EB17" i="5"/>
  <c r="EA17" i="5"/>
  <c r="DV17" i="5"/>
  <c r="DU17" i="5"/>
  <c r="DT17" i="5"/>
  <c r="DS17" i="5"/>
  <c r="DR17" i="5"/>
  <c r="DQ17" i="5"/>
  <c r="DP17" i="5"/>
  <c r="DO17" i="5"/>
  <c r="DN17" i="5"/>
  <c r="DK17" i="5"/>
  <c r="DJ17" i="5"/>
  <c r="DI17" i="5"/>
  <c r="DH17" i="5"/>
  <c r="DG17" i="5"/>
  <c r="DF17" i="5"/>
  <c r="DE17" i="5"/>
  <c r="DD17" i="5"/>
  <c r="DC17" i="5"/>
  <c r="DB17" i="5"/>
  <c r="DA17" i="5"/>
  <c r="CV17" i="5"/>
  <c r="CU17" i="5"/>
  <c r="CT17" i="5"/>
  <c r="CS17" i="5"/>
  <c r="GN17" i="5" s="1"/>
  <c r="CR17" i="5"/>
  <c r="GM17" i="5" s="1"/>
  <c r="CQ17" i="5"/>
  <c r="GL17" i="5" s="1"/>
  <c r="CP17" i="5"/>
  <c r="GJ17" i="5" s="1"/>
  <c r="GK17" i="5" s="1"/>
  <c r="CO17" i="5"/>
  <c r="DZ17" i="5" s="1"/>
  <c r="CN17" i="5"/>
  <c r="DY17" i="5" s="1"/>
  <c r="CM17" i="5"/>
  <c r="DX17" i="5" s="1"/>
  <c r="CL17" i="5"/>
  <c r="DW17" i="5" s="1"/>
  <c r="CG17" i="5" a="1"/>
  <c r="CG17" i="5" s="1"/>
  <c r="IM17" i="5" s="1"/>
  <c r="AV17" i="5"/>
  <c r="G17" i="5"/>
  <c r="IL13" i="5"/>
  <c r="HX13" i="5" a="1"/>
  <c r="HX13" i="5" s="1"/>
  <c r="IW13" i="5" s="1"/>
  <c r="HW13" i="5" a="1"/>
  <c r="HW13" i="5" s="1"/>
  <c r="IV13" i="5" s="1"/>
  <c r="HV13" i="5" a="1"/>
  <c r="HV13" i="5" s="1"/>
  <c r="IU13" i="5" s="1"/>
  <c r="HU13" i="5" a="1"/>
  <c r="HU13" i="5" s="1"/>
  <c r="IT13" i="5" s="1"/>
  <c r="HT13" i="5" a="1"/>
  <c r="HT13" i="5" s="1"/>
  <c r="IS13" i="5" s="1"/>
  <c r="HS13" i="5" a="1"/>
  <c r="HS13" i="5" s="1"/>
  <c r="IR13" i="5" s="1"/>
  <c r="HR13" i="5" a="1"/>
  <c r="HR13" i="5" s="1"/>
  <c r="IQ13" i="5" s="1"/>
  <c r="HQ13" i="5" a="1"/>
  <c r="HQ13" i="5" s="1"/>
  <c r="IP13" i="5" s="1"/>
  <c r="HP13" i="5" a="1"/>
  <c r="HP13" i="5" s="1"/>
  <c r="IO13" i="5" s="1"/>
  <c r="HL13" i="5"/>
  <c r="HJ13" i="5"/>
  <c r="HH13" i="5"/>
  <c r="HI13" i="5" s="1"/>
  <c r="HB13" i="5"/>
  <c r="HA13" i="5"/>
  <c r="GZ13" i="5"/>
  <c r="GY13" i="5"/>
  <c r="GX13" i="5"/>
  <c r="GW13" i="5"/>
  <c r="GV13" i="5"/>
  <c r="GU13" i="5"/>
  <c r="GT13" i="5"/>
  <c r="GP13" i="5"/>
  <c r="GI13" i="5"/>
  <c r="GH13" i="5"/>
  <c r="GG13" i="5"/>
  <c r="GF13" i="5"/>
  <c r="GE13" i="5"/>
  <c r="GD13" i="5"/>
  <c r="GC13" i="5"/>
  <c r="GB13" i="5"/>
  <c r="GA13" i="5"/>
  <c r="FZ13" i="5"/>
  <c r="FY13" i="5"/>
  <c r="FX13" i="5"/>
  <c r="FW13" i="5"/>
  <c r="FV13" i="5"/>
  <c r="FU13" i="5"/>
  <c r="FT13" i="5"/>
  <c r="FS13" i="5"/>
  <c r="FR13" i="5"/>
  <c r="FQ13" i="5"/>
  <c r="FJ13" i="5"/>
  <c r="FI13" i="5"/>
  <c r="FH13" i="5"/>
  <c r="FG13" i="5"/>
  <c r="FF13" i="5"/>
  <c r="FP13" i="5" s="1"/>
  <c r="FE13" i="5"/>
  <c r="FN13" i="5" s="1"/>
  <c r="FD13" i="5"/>
  <c r="FC13" i="5"/>
  <c r="FB13" i="5"/>
  <c r="FA13" i="5"/>
  <c r="EZ13" i="5"/>
  <c r="EY13" i="5"/>
  <c r="EX13" i="5"/>
  <c r="EW13" i="5"/>
  <c r="EV13" i="5"/>
  <c r="EU13" i="5"/>
  <c r="ET13" i="5"/>
  <c r="ES13" i="5"/>
  <c r="ER13" i="5"/>
  <c r="EQ13" i="5"/>
  <c r="EP13" i="5"/>
  <c r="EO13" i="5"/>
  <c r="EN13" i="5"/>
  <c r="EM13" i="5"/>
  <c r="EL13" i="5"/>
  <c r="EK13" i="5"/>
  <c r="EJ13" i="5"/>
  <c r="EI13" i="5"/>
  <c r="EH13" i="5"/>
  <c r="EG13" i="5"/>
  <c r="EF13" i="5"/>
  <c r="EE13" i="5"/>
  <c r="ED13" i="5"/>
  <c r="EC13" i="5"/>
  <c r="EB13" i="5"/>
  <c r="EA13" i="5"/>
  <c r="DV13" i="5"/>
  <c r="DU13" i="5"/>
  <c r="DT13" i="5"/>
  <c r="DS13" i="5"/>
  <c r="DR13" i="5"/>
  <c r="DQ13" i="5"/>
  <c r="DP13" i="5"/>
  <c r="DO13" i="5"/>
  <c r="DN13" i="5"/>
  <c r="DK13" i="5"/>
  <c r="DJ13" i="5"/>
  <c r="DI13" i="5"/>
  <c r="DH13" i="5"/>
  <c r="DG13" i="5"/>
  <c r="DF13" i="5"/>
  <c r="DE13" i="5"/>
  <c r="DD13" i="5"/>
  <c r="DC13" i="5"/>
  <c r="DB13" i="5"/>
  <c r="DA13" i="5"/>
  <c r="CV13" i="5"/>
  <c r="CU13" i="5"/>
  <c r="CT13" i="5"/>
  <c r="CS13" i="5"/>
  <c r="GN13" i="5" s="1"/>
  <c r="CR13" i="5"/>
  <c r="GM13" i="5" s="1"/>
  <c r="CQ13" i="5"/>
  <c r="GL13" i="5" s="1"/>
  <c r="CP13" i="5"/>
  <c r="GJ13" i="5" s="1"/>
  <c r="GK13" i="5" s="1"/>
  <c r="CO13" i="5"/>
  <c r="DZ13" i="5" s="1"/>
  <c r="CN13" i="5"/>
  <c r="DY13" i="5" s="1"/>
  <c r="CM13" i="5"/>
  <c r="DX13" i="5" s="1"/>
  <c r="CL13" i="5"/>
  <c r="DW13" i="5" s="1"/>
  <c r="CG13" i="5" a="1"/>
  <c r="CG13" i="5" s="1"/>
  <c r="IM13" i="5" s="1"/>
  <c r="AV13" i="5"/>
  <c r="G13" i="5"/>
  <c r="IL15" i="5"/>
  <c r="HX15" i="5" a="1"/>
  <c r="HX15" i="5" s="1"/>
  <c r="IW15" i="5" s="1"/>
  <c r="HW15" i="5" a="1"/>
  <c r="HW15" i="5" s="1"/>
  <c r="IV15" i="5" s="1"/>
  <c r="HV15" i="5" a="1"/>
  <c r="HV15" i="5" s="1"/>
  <c r="IU15" i="5" s="1"/>
  <c r="HU15" i="5" a="1"/>
  <c r="HU15" i="5" s="1"/>
  <c r="IT15" i="5" s="1"/>
  <c r="HT15" i="5" a="1"/>
  <c r="HT15" i="5" s="1"/>
  <c r="IS15" i="5" s="1"/>
  <c r="HS15" i="5" a="1"/>
  <c r="HS15" i="5" s="1"/>
  <c r="IR15" i="5" s="1"/>
  <c r="HR15" i="5" a="1"/>
  <c r="HR15" i="5" s="1"/>
  <c r="HQ15" i="5" a="1"/>
  <c r="HQ15" i="5" s="1"/>
  <c r="IP15" i="5" s="1"/>
  <c r="HP15" i="5" a="1"/>
  <c r="HP15" i="5" s="1"/>
  <c r="IO15" i="5" s="1"/>
  <c r="HL15" i="5"/>
  <c r="HJ15" i="5"/>
  <c r="HH15" i="5"/>
  <c r="HI15" i="5" s="1"/>
  <c r="HB15" i="5"/>
  <c r="HA15" i="5"/>
  <c r="GZ15" i="5"/>
  <c r="GY15" i="5"/>
  <c r="GX15" i="5"/>
  <c r="GW15" i="5"/>
  <c r="GV15" i="5"/>
  <c r="GU15" i="5"/>
  <c r="GT15" i="5"/>
  <c r="GP15" i="5"/>
  <c r="GI15" i="5"/>
  <c r="GH15" i="5"/>
  <c r="GG15" i="5"/>
  <c r="GF15" i="5"/>
  <c r="GE15" i="5"/>
  <c r="GD15" i="5"/>
  <c r="GC15" i="5"/>
  <c r="GB15" i="5"/>
  <c r="GA15" i="5"/>
  <c r="FZ15" i="5"/>
  <c r="FY15" i="5"/>
  <c r="FX15" i="5"/>
  <c r="FW15" i="5"/>
  <c r="FV15" i="5"/>
  <c r="FU15" i="5"/>
  <c r="FT15" i="5"/>
  <c r="FS15" i="5"/>
  <c r="FR15" i="5"/>
  <c r="FQ15" i="5"/>
  <c r="FJ15" i="5"/>
  <c r="FI15" i="5"/>
  <c r="FH15" i="5"/>
  <c r="FG15" i="5"/>
  <c r="FF15" i="5"/>
  <c r="FP15" i="5" s="1"/>
  <c r="FE15" i="5"/>
  <c r="FD15" i="5"/>
  <c r="FC15" i="5"/>
  <c r="FB15" i="5"/>
  <c r="FA15" i="5"/>
  <c r="EZ15" i="5"/>
  <c r="EY15" i="5"/>
  <c r="EX15" i="5"/>
  <c r="EW15" i="5"/>
  <c r="EV15" i="5"/>
  <c r="EU15" i="5"/>
  <c r="ET15" i="5"/>
  <c r="ES15" i="5"/>
  <c r="ER15" i="5"/>
  <c r="EQ15" i="5"/>
  <c r="EP15" i="5"/>
  <c r="EO15" i="5"/>
  <c r="EN15" i="5"/>
  <c r="EM15" i="5"/>
  <c r="EL15" i="5"/>
  <c r="EK15" i="5"/>
  <c r="EJ15" i="5"/>
  <c r="EI15" i="5"/>
  <c r="EH15" i="5"/>
  <c r="EG15" i="5"/>
  <c r="EF15" i="5"/>
  <c r="EE15" i="5"/>
  <c r="ED15" i="5"/>
  <c r="EC15" i="5"/>
  <c r="EB15" i="5"/>
  <c r="EA15" i="5"/>
  <c r="DV15" i="5"/>
  <c r="DU15" i="5"/>
  <c r="DT15" i="5"/>
  <c r="DS15" i="5"/>
  <c r="DR15" i="5"/>
  <c r="DQ15" i="5"/>
  <c r="DP15" i="5"/>
  <c r="DO15" i="5"/>
  <c r="DN15" i="5"/>
  <c r="DK15" i="5"/>
  <c r="DJ15" i="5"/>
  <c r="DI15" i="5"/>
  <c r="DH15" i="5"/>
  <c r="DG15" i="5"/>
  <c r="DF15" i="5"/>
  <c r="DE15" i="5"/>
  <c r="DD15" i="5"/>
  <c r="DC15" i="5"/>
  <c r="DB15" i="5"/>
  <c r="DA15" i="5"/>
  <c r="CV15" i="5"/>
  <c r="CU15" i="5"/>
  <c r="CT15" i="5"/>
  <c r="CS15" i="5"/>
  <c r="GN15" i="5" s="1"/>
  <c r="CR15" i="5"/>
  <c r="GM15" i="5" s="1"/>
  <c r="CQ15" i="5"/>
  <c r="GL15" i="5" s="1"/>
  <c r="CP15" i="5"/>
  <c r="GJ15" i="5" s="1"/>
  <c r="GK15" i="5" s="1"/>
  <c r="CO15" i="5"/>
  <c r="DZ15" i="5" s="1"/>
  <c r="CN15" i="5"/>
  <c r="DY15" i="5" s="1"/>
  <c r="CM15" i="5"/>
  <c r="DX15" i="5" s="1"/>
  <c r="CL15" i="5"/>
  <c r="DW15" i="5" s="1"/>
  <c r="CG15" i="5" a="1"/>
  <c r="CG15" i="5" s="1"/>
  <c r="DM15" i="5" s="1" a="1"/>
  <c r="DM15" i="5" s="1"/>
  <c r="AV15" i="5"/>
  <c r="G15" i="5"/>
  <c r="IL14" i="5"/>
  <c r="HX14" i="5" a="1"/>
  <c r="HX14" i="5" s="1"/>
  <c r="IW14" i="5" s="1"/>
  <c r="HW14" i="5" a="1"/>
  <c r="HW14" i="5" s="1"/>
  <c r="IV14" i="5" s="1"/>
  <c r="HV14" i="5" a="1"/>
  <c r="HV14" i="5" s="1"/>
  <c r="IU14" i="5" s="1"/>
  <c r="HU14" i="5" a="1"/>
  <c r="HU14" i="5" s="1"/>
  <c r="IT14" i="5" s="1"/>
  <c r="HT14" i="5" a="1"/>
  <c r="HT14" i="5" s="1"/>
  <c r="IS14" i="5" s="1"/>
  <c r="HS14" i="5" a="1"/>
  <c r="HS14" i="5" s="1"/>
  <c r="IR14" i="5" s="1"/>
  <c r="HR14" i="5" a="1"/>
  <c r="HR14" i="5" s="1"/>
  <c r="IQ14" i="5" s="1"/>
  <c r="HQ14" i="5" a="1"/>
  <c r="HQ14" i="5" s="1"/>
  <c r="IP14" i="5" s="1"/>
  <c r="HP14" i="5" a="1"/>
  <c r="HP14" i="5" s="1"/>
  <c r="HL14" i="5"/>
  <c r="HJ14" i="5"/>
  <c r="HH14" i="5"/>
  <c r="HI14" i="5" s="1"/>
  <c r="HB14" i="5"/>
  <c r="HA14" i="5"/>
  <c r="GZ14" i="5"/>
  <c r="GY14" i="5"/>
  <c r="GX14" i="5"/>
  <c r="GW14" i="5"/>
  <c r="GV14" i="5"/>
  <c r="GU14" i="5"/>
  <c r="GT14" i="5"/>
  <c r="GP14" i="5"/>
  <c r="GI14" i="5"/>
  <c r="GH14" i="5"/>
  <c r="GG14" i="5"/>
  <c r="GF14" i="5"/>
  <c r="GE14" i="5"/>
  <c r="GD14" i="5"/>
  <c r="GC14" i="5"/>
  <c r="GB14" i="5"/>
  <c r="GA14" i="5"/>
  <c r="FZ14" i="5"/>
  <c r="FY14" i="5"/>
  <c r="FX14" i="5"/>
  <c r="FW14" i="5"/>
  <c r="FV14" i="5"/>
  <c r="FU14" i="5"/>
  <c r="FT14" i="5"/>
  <c r="FS14" i="5"/>
  <c r="FR14" i="5"/>
  <c r="FQ14" i="5"/>
  <c r="FJ14" i="5"/>
  <c r="FI14" i="5"/>
  <c r="FH14" i="5"/>
  <c r="FG14" i="5"/>
  <c r="FF14" i="5"/>
  <c r="FP14" i="5" s="1"/>
  <c r="FE14" i="5"/>
  <c r="FD14" i="5"/>
  <c r="FC14" i="5"/>
  <c r="FB14" i="5"/>
  <c r="FA14" i="5"/>
  <c r="EZ14" i="5"/>
  <c r="EY14" i="5"/>
  <c r="EX14" i="5"/>
  <c r="EW14" i="5"/>
  <c r="EV14" i="5"/>
  <c r="EU14" i="5"/>
  <c r="ET14" i="5"/>
  <c r="ES14" i="5"/>
  <c r="ER14" i="5"/>
  <c r="EQ14" i="5"/>
  <c r="EP14" i="5"/>
  <c r="EO14" i="5"/>
  <c r="EN14" i="5"/>
  <c r="EM14" i="5"/>
  <c r="EL14" i="5"/>
  <c r="EK14" i="5"/>
  <c r="EJ14" i="5"/>
  <c r="EI14" i="5"/>
  <c r="EH14" i="5"/>
  <c r="EG14" i="5"/>
  <c r="EF14" i="5"/>
  <c r="EE14" i="5"/>
  <c r="ED14" i="5"/>
  <c r="EC14" i="5"/>
  <c r="EB14" i="5"/>
  <c r="EA14" i="5"/>
  <c r="DV14" i="5"/>
  <c r="DU14" i="5"/>
  <c r="DT14" i="5"/>
  <c r="DS14" i="5"/>
  <c r="DR14" i="5"/>
  <c r="DQ14" i="5"/>
  <c r="DP14" i="5"/>
  <c r="DO14" i="5"/>
  <c r="DN14" i="5"/>
  <c r="DK14" i="5"/>
  <c r="DJ14" i="5"/>
  <c r="DI14" i="5"/>
  <c r="DH14" i="5"/>
  <c r="DG14" i="5"/>
  <c r="DF14" i="5"/>
  <c r="DE14" i="5"/>
  <c r="DD14" i="5"/>
  <c r="DC14" i="5"/>
  <c r="DB14" i="5"/>
  <c r="DA14" i="5"/>
  <c r="CV14" i="5"/>
  <c r="CU14" i="5"/>
  <c r="CT14" i="5"/>
  <c r="CS14" i="5"/>
  <c r="GN14" i="5" s="1"/>
  <c r="CR14" i="5"/>
  <c r="GM14" i="5" s="1"/>
  <c r="CQ14" i="5"/>
  <c r="GL14" i="5" s="1"/>
  <c r="CP14" i="5"/>
  <c r="GJ14" i="5" s="1"/>
  <c r="GK14" i="5" s="1"/>
  <c r="CO14" i="5"/>
  <c r="DZ14" i="5" s="1"/>
  <c r="CN14" i="5"/>
  <c r="DY14" i="5" s="1"/>
  <c r="CM14" i="5"/>
  <c r="DX14" i="5" s="1"/>
  <c r="CL14" i="5"/>
  <c r="DW14" i="5" s="1"/>
  <c r="CG14" i="5" a="1"/>
  <c r="CG14" i="5" s="1"/>
  <c r="IM14" i="5" s="1"/>
  <c r="AV14" i="5"/>
  <c r="G14" i="5"/>
  <c r="IL11" i="5"/>
  <c r="HX11" i="5" a="1"/>
  <c r="HX11" i="5" s="1"/>
  <c r="IW11" i="5" s="1"/>
  <c r="HW11" i="5" a="1"/>
  <c r="HW11" i="5" s="1"/>
  <c r="IV11" i="5" s="1"/>
  <c r="HV11" i="5" a="1"/>
  <c r="HV11" i="5" s="1"/>
  <c r="IU11" i="5" s="1"/>
  <c r="HU11" i="5" a="1"/>
  <c r="HU11" i="5" s="1"/>
  <c r="IT11" i="5" s="1"/>
  <c r="HT11" i="5" a="1"/>
  <c r="HT11" i="5" s="1"/>
  <c r="IS11" i="5" s="1"/>
  <c r="HS11" i="5" a="1"/>
  <c r="HS11" i="5" s="1"/>
  <c r="IR11" i="5" s="1"/>
  <c r="HR11" i="5" a="1"/>
  <c r="HR11" i="5" s="1"/>
  <c r="IQ11" i="5" s="1"/>
  <c r="HQ11" i="5" a="1"/>
  <c r="HQ11" i="5" s="1"/>
  <c r="IP11" i="5" s="1"/>
  <c r="HP11" i="5" a="1"/>
  <c r="HP11" i="5" s="1"/>
  <c r="IO11" i="5" s="1"/>
  <c r="HL11" i="5"/>
  <c r="HJ11" i="5"/>
  <c r="HH11" i="5"/>
  <c r="HI11" i="5" s="1"/>
  <c r="HB11" i="5"/>
  <c r="HA11" i="5"/>
  <c r="GZ11" i="5"/>
  <c r="GY11" i="5"/>
  <c r="GX11" i="5"/>
  <c r="GW11" i="5"/>
  <c r="GV11" i="5"/>
  <c r="GU11" i="5"/>
  <c r="GT11" i="5"/>
  <c r="GP11" i="5"/>
  <c r="GI11" i="5"/>
  <c r="GH11" i="5"/>
  <c r="GG11" i="5"/>
  <c r="GF11" i="5"/>
  <c r="GE11" i="5"/>
  <c r="GD11" i="5"/>
  <c r="GC11" i="5"/>
  <c r="GB11" i="5"/>
  <c r="GA11" i="5"/>
  <c r="FZ11" i="5"/>
  <c r="FY11" i="5"/>
  <c r="FX11" i="5"/>
  <c r="FW11" i="5"/>
  <c r="FV11" i="5"/>
  <c r="FU11" i="5"/>
  <c r="FT11" i="5"/>
  <c r="FS11" i="5"/>
  <c r="FR11" i="5"/>
  <c r="FQ11" i="5"/>
  <c r="FJ11" i="5"/>
  <c r="FI11" i="5"/>
  <c r="FH11" i="5"/>
  <c r="FG11" i="5"/>
  <c r="FF11" i="5"/>
  <c r="FE11" i="5"/>
  <c r="FD11" i="5"/>
  <c r="FC11" i="5"/>
  <c r="FB11" i="5"/>
  <c r="FA11" i="5"/>
  <c r="EZ11" i="5"/>
  <c r="EY11" i="5"/>
  <c r="EX11" i="5"/>
  <c r="EW11" i="5"/>
  <c r="EV11" i="5"/>
  <c r="EU11" i="5"/>
  <c r="ET11" i="5"/>
  <c r="ES11" i="5"/>
  <c r="ER11" i="5"/>
  <c r="EQ11" i="5"/>
  <c r="EP11" i="5"/>
  <c r="EO11" i="5"/>
  <c r="EN11" i="5"/>
  <c r="EM11" i="5"/>
  <c r="EL11" i="5"/>
  <c r="EK11" i="5"/>
  <c r="EJ11" i="5"/>
  <c r="EI11" i="5"/>
  <c r="EH11" i="5"/>
  <c r="EG11" i="5"/>
  <c r="EF11" i="5"/>
  <c r="EE11" i="5"/>
  <c r="ED11" i="5"/>
  <c r="EC11" i="5"/>
  <c r="EB11" i="5"/>
  <c r="EA11" i="5"/>
  <c r="DV11" i="5"/>
  <c r="DU11" i="5"/>
  <c r="DT11" i="5"/>
  <c r="DS11" i="5"/>
  <c r="DR11" i="5"/>
  <c r="DQ11" i="5"/>
  <c r="DP11" i="5"/>
  <c r="DO11" i="5"/>
  <c r="DN11" i="5"/>
  <c r="DK11" i="5"/>
  <c r="DJ11" i="5"/>
  <c r="DI11" i="5"/>
  <c r="DH11" i="5"/>
  <c r="DG11" i="5"/>
  <c r="DF11" i="5"/>
  <c r="DE11" i="5"/>
  <c r="DD11" i="5"/>
  <c r="DC11" i="5"/>
  <c r="DB11" i="5"/>
  <c r="DA11" i="5"/>
  <c r="CV11" i="5"/>
  <c r="CU11" i="5"/>
  <c r="CT11" i="5"/>
  <c r="CS11" i="5"/>
  <c r="GN11" i="5" s="1"/>
  <c r="CR11" i="5"/>
  <c r="GM11" i="5" s="1"/>
  <c r="CQ11" i="5"/>
  <c r="GL11" i="5" s="1"/>
  <c r="CP11" i="5"/>
  <c r="GJ11" i="5" s="1"/>
  <c r="GK11" i="5" s="1"/>
  <c r="CO11" i="5"/>
  <c r="DZ11" i="5" s="1"/>
  <c r="CN11" i="5"/>
  <c r="DY11" i="5" s="1"/>
  <c r="CM11" i="5"/>
  <c r="DX11" i="5" s="1"/>
  <c r="CL11" i="5"/>
  <c r="DW11" i="5" s="1"/>
  <c r="CG11" i="5" a="1"/>
  <c r="CG11" i="5" s="1"/>
  <c r="AV11" i="5"/>
  <c r="G11" i="5"/>
  <c r="IL22" i="5"/>
  <c r="HX22" i="5" a="1"/>
  <c r="HX22" i="5" s="1"/>
  <c r="IW22" i="5" s="1"/>
  <c r="HW22" i="5" a="1"/>
  <c r="HW22" i="5" s="1"/>
  <c r="IV22" i="5" s="1"/>
  <c r="HV22" i="5" a="1"/>
  <c r="HV22" i="5" s="1"/>
  <c r="IU22" i="5" s="1"/>
  <c r="HU22" i="5" a="1"/>
  <c r="HU22" i="5" s="1"/>
  <c r="IT22" i="5" s="1"/>
  <c r="HT22" i="5" a="1"/>
  <c r="HT22" i="5" s="1"/>
  <c r="IS22" i="5" s="1"/>
  <c r="HS22" i="5" a="1"/>
  <c r="HS22" i="5" s="1"/>
  <c r="IR22" i="5" s="1"/>
  <c r="HR22" i="5" a="1"/>
  <c r="HR22" i="5" s="1"/>
  <c r="IQ22" i="5" s="1"/>
  <c r="HQ22" i="5" a="1"/>
  <c r="HQ22" i="5" s="1"/>
  <c r="IP22" i="5" s="1"/>
  <c r="HP22" i="5" a="1"/>
  <c r="HP22" i="5" s="1"/>
  <c r="IO22" i="5" s="1"/>
  <c r="HL22" i="5"/>
  <c r="HJ22" i="5"/>
  <c r="HH22" i="5"/>
  <c r="HI22" i="5" s="1"/>
  <c r="HB22" i="5"/>
  <c r="HA22" i="5"/>
  <c r="GZ22" i="5"/>
  <c r="GY22" i="5"/>
  <c r="GX22" i="5"/>
  <c r="GW22" i="5"/>
  <c r="GV22" i="5"/>
  <c r="GU22" i="5"/>
  <c r="GT22" i="5"/>
  <c r="GP22" i="5"/>
  <c r="GI22" i="5"/>
  <c r="GH22" i="5"/>
  <c r="GG22" i="5"/>
  <c r="GF22" i="5"/>
  <c r="GE22" i="5"/>
  <c r="GD22" i="5"/>
  <c r="GC22" i="5"/>
  <c r="GB22" i="5"/>
  <c r="GA22" i="5"/>
  <c r="FZ22" i="5"/>
  <c r="FY22" i="5"/>
  <c r="FX22" i="5"/>
  <c r="FW22" i="5"/>
  <c r="FV22" i="5"/>
  <c r="FU22" i="5"/>
  <c r="FT22" i="5"/>
  <c r="FS22" i="5"/>
  <c r="FR22" i="5"/>
  <c r="FQ22" i="5"/>
  <c r="FJ22" i="5"/>
  <c r="FI22" i="5"/>
  <c r="FH22" i="5"/>
  <c r="FG22" i="5"/>
  <c r="FF22" i="5"/>
  <c r="FE22" i="5"/>
  <c r="FD22" i="5"/>
  <c r="FC22" i="5"/>
  <c r="FB22" i="5"/>
  <c r="FA22" i="5"/>
  <c r="EZ22" i="5"/>
  <c r="EY22" i="5"/>
  <c r="EX22" i="5"/>
  <c r="EW22" i="5"/>
  <c r="EV22" i="5"/>
  <c r="EU22" i="5"/>
  <c r="ET22" i="5"/>
  <c r="ES22" i="5"/>
  <c r="ER22" i="5"/>
  <c r="EQ22" i="5"/>
  <c r="EP22" i="5"/>
  <c r="EO22" i="5"/>
  <c r="EN22" i="5"/>
  <c r="EM22" i="5"/>
  <c r="EL22" i="5"/>
  <c r="EK22" i="5"/>
  <c r="EJ22" i="5"/>
  <c r="EI22" i="5"/>
  <c r="EH22" i="5"/>
  <c r="EG22" i="5"/>
  <c r="EF22" i="5"/>
  <c r="EE22" i="5"/>
  <c r="ED22" i="5"/>
  <c r="EC22" i="5"/>
  <c r="EB22" i="5"/>
  <c r="EA22" i="5"/>
  <c r="DV22" i="5"/>
  <c r="DU22" i="5"/>
  <c r="DT22" i="5"/>
  <c r="DS22" i="5"/>
  <c r="DR22" i="5"/>
  <c r="DQ22" i="5"/>
  <c r="DP22" i="5"/>
  <c r="DO22" i="5"/>
  <c r="DN22" i="5"/>
  <c r="DK22" i="5"/>
  <c r="DJ22" i="5"/>
  <c r="DI22" i="5"/>
  <c r="DH22" i="5"/>
  <c r="DG22" i="5"/>
  <c r="DF22" i="5"/>
  <c r="DE22" i="5"/>
  <c r="DD22" i="5"/>
  <c r="DC22" i="5"/>
  <c r="DB22" i="5"/>
  <c r="DA22" i="5"/>
  <c r="CV22" i="5"/>
  <c r="CU22" i="5"/>
  <c r="CT22" i="5"/>
  <c r="CS22" i="5"/>
  <c r="GN22" i="5" s="1"/>
  <c r="CR22" i="5"/>
  <c r="GM22" i="5" s="1"/>
  <c r="CQ22" i="5"/>
  <c r="GL22" i="5" s="1"/>
  <c r="CP22" i="5"/>
  <c r="GJ22" i="5" s="1"/>
  <c r="GK22" i="5" s="1"/>
  <c r="CO22" i="5"/>
  <c r="DZ22" i="5" s="1"/>
  <c r="CN22" i="5"/>
  <c r="DY22" i="5" s="1"/>
  <c r="CM22" i="5"/>
  <c r="DX22" i="5" s="1"/>
  <c r="CL22" i="5"/>
  <c r="DW22" i="5" s="1"/>
  <c r="CG22" i="5" a="1"/>
  <c r="CG22" i="5" s="1"/>
  <c r="CK22" i="5" s="1"/>
  <c r="CZ22" i="5" s="1"/>
  <c r="AV22" i="5"/>
  <c r="G22" i="5"/>
  <c r="IL21" i="5"/>
  <c r="HX21" i="5" a="1"/>
  <c r="HX21" i="5" s="1"/>
  <c r="IW21" i="5" s="1"/>
  <c r="HW21" i="5" a="1"/>
  <c r="HW21" i="5" s="1"/>
  <c r="IV21" i="5" s="1"/>
  <c r="HV21" i="5" a="1"/>
  <c r="HV21" i="5" s="1"/>
  <c r="IU21" i="5" s="1"/>
  <c r="HU21" i="5" a="1"/>
  <c r="HU21" i="5" s="1"/>
  <c r="IT21" i="5" s="1"/>
  <c r="HT21" i="5" a="1"/>
  <c r="HT21" i="5" s="1"/>
  <c r="IS21" i="5" s="1"/>
  <c r="HS21" i="5" a="1"/>
  <c r="HS21" i="5" s="1"/>
  <c r="IR21" i="5" s="1"/>
  <c r="HR21" i="5" a="1"/>
  <c r="HR21" i="5" s="1"/>
  <c r="IQ21" i="5" s="1"/>
  <c r="HQ21" i="5" a="1"/>
  <c r="HQ21" i="5" s="1"/>
  <c r="IP21" i="5" s="1"/>
  <c r="HP21" i="5" a="1"/>
  <c r="HP21" i="5" s="1"/>
  <c r="IO21" i="5" s="1"/>
  <c r="HL21" i="5"/>
  <c r="HJ21" i="5"/>
  <c r="HH21" i="5"/>
  <c r="HI21" i="5" s="1"/>
  <c r="HB21" i="5"/>
  <c r="HA21" i="5"/>
  <c r="GZ21" i="5"/>
  <c r="GY21" i="5"/>
  <c r="GX21" i="5"/>
  <c r="GW21" i="5"/>
  <c r="GV21" i="5"/>
  <c r="GU21" i="5"/>
  <c r="GT21" i="5"/>
  <c r="GP21" i="5"/>
  <c r="GI21" i="5"/>
  <c r="GH21" i="5"/>
  <c r="GG21" i="5"/>
  <c r="GF21" i="5"/>
  <c r="GE21" i="5"/>
  <c r="GD21" i="5"/>
  <c r="GC21" i="5"/>
  <c r="GB21" i="5"/>
  <c r="GA21" i="5"/>
  <c r="FZ21" i="5"/>
  <c r="FY21" i="5"/>
  <c r="FX21" i="5"/>
  <c r="FW21" i="5"/>
  <c r="FV21" i="5"/>
  <c r="FU21" i="5"/>
  <c r="FT21" i="5"/>
  <c r="FS21" i="5"/>
  <c r="FR21" i="5"/>
  <c r="FQ21" i="5"/>
  <c r="FJ21" i="5"/>
  <c r="FI21" i="5"/>
  <c r="FH21" i="5"/>
  <c r="FG21" i="5"/>
  <c r="FF21" i="5"/>
  <c r="FP21" i="5" s="1"/>
  <c r="FE21" i="5"/>
  <c r="FD21" i="5"/>
  <c r="FC21" i="5"/>
  <c r="FB21" i="5"/>
  <c r="FA21" i="5"/>
  <c r="EZ21" i="5"/>
  <c r="EY21" i="5"/>
  <c r="EX21" i="5"/>
  <c r="EW21" i="5"/>
  <c r="EV21" i="5"/>
  <c r="EU21" i="5"/>
  <c r="ET21" i="5"/>
  <c r="ES21" i="5"/>
  <c r="ER21" i="5"/>
  <c r="EQ21" i="5"/>
  <c r="EP21" i="5"/>
  <c r="EO21" i="5"/>
  <c r="EN21" i="5"/>
  <c r="EM21" i="5"/>
  <c r="EL21" i="5"/>
  <c r="EK21" i="5"/>
  <c r="EJ21" i="5"/>
  <c r="EI21" i="5"/>
  <c r="EH21" i="5"/>
  <c r="EG21" i="5"/>
  <c r="EF21" i="5"/>
  <c r="EE21" i="5"/>
  <c r="ED21" i="5"/>
  <c r="EC21" i="5"/>
  <c r="EB21" i="5"/>
  <c r="EA21" i="5"/>
  <c r="DV21" i="5"/>
  <c r="DU21" i="5"/>
  <c r="DT21" i="5"/>
  <c r="DS21" i="5"/>
  <c r="DR21" i="5"/>
  <c r="DQ21" i="5"/>
  <c r="DP21" i="5"/>
  <c r="DO21" i="5"/>
  <c r="DN21" i="5"/>
  <c r="DK21" i="5"/>
  <c r="DJ21" i="5"/>
  <c r="DI21" i="5"/>
  <c r="DH21" i="5"/>
  <c r="DG21" i="5"/>
  <c r="DF21" i="5"/>
  <c r="DE21" i="5"/>
  <c r="DD21" i="5"/>
  <c r="DC21" i="5"/>
  <c r="DB21" i="5"/>
  <c r="DA21" i="5"/>
  <c r="CV21" i="5"/>
  <c r="CU21" i="5"/>
  <c r="CT21" i="5"/>
  <c r="CS21" i="5"/>
  <c r="GN21" i="5" s="1"/>
  <c r="CR21" i="5"/>
  <c r="GM21" i="5" s="1"/>
  <c r="CQ21" i="5"/>
  <c r="GL21" i="5" s="1"/>
  <c r="CP21" i="5"/>
  <c r="GJ21" i="5" s="1"/>
  <c r="GK21" i="5" s="1"/>
  <c r="CO21" i="5"/>
  <c r="DZ21" i="5" s="1"/>
  <c r="CN21" i="5"/>
  <c r="DY21" i="5" s="1"/>
  <c r="CM21" i="5"/>
  <c r="DX21" i="5" s="1"/>
  <c r="CL21" i="5"/>
  <c r="DW21" i="5" s="1"/>
  <c r="CG21" i="5" a="1"/>
  <c r="CG21" i="5" s="1"/>
  <c r="CK21" i="5" s="1"/>
  <c r="CZ21" i="5" s="1"/>
  <c r="AV21" i="5"/>
  <c r="G21" i="5"/>
  <c r="IL20" i="5"/>
  <c r="HX20" i="5" a="1"/>
  <c r="HX20" i="5" s="1"/>
  <c r="IW20" i="5" s="1"/>
  <c r="HW20" i="5" a="1"/>
  <c r="HW20" i="5" s="1"/>
  <c r="IV20" i="5" s="1"/>
  <c r="HV20" i="5" a="1"/>
  <c r="HV20" i="5" s="1"/>
  <c r="IU20" i="5" s="1"/>
  <c r="HU20" i="5" a="1"/>
  <c r="HU20" i="5" s="1"/>
  <c r="IT20" i="5" s="1"/>
  <c r="HT20" i="5" a="1"/>
  <c r="HT20" i="5" s="1"/>
  <c r="IS20" i="5" s="1"/>
  <c r="HS20" i="5" a="1"/>
  <c r="HS20" i="5" s="1"/>
  <c r="IR20" i="5" s="1"/>
  <c r="HR20" i="5" a="1"/>
  <c r="HR20" i="5" s="1"/>
  <c r="IQ20" i="5" s="1"/>
  <c r="HQ20" i="5" a="1"/>
  <c r="HQ20" i="5" s="1"/>
  <c r="IP20" i="5" s="1"/>
  <c r="HP20" i="5" a="1"/>
  <c r="HP20" i="5" s="1"/>
  <c r="IO20" i="5" s="1"/>
  <c r="HL20" i="5"/>
  <c r="HJ20" i="5"/>
  <c r="HI20" i="5"/>
  <c r="HH20" i="5"/>
  <c r="HB20" i="5"/>
  <c r="HA20" i="5"/>
  <c r="GZ20" i="5"/>
  <c r="GY20" i="5"/>
  <c r="GX20" i="5"/>
  <c r="GW20" i="5"/>
  <c r="GV20" i="5"/>
  <c r="GU20" i="5"/>
  <c r="GT20" i="5"/>
  <c r="GP20" i="5"/>
  <c r="GI20" i="5"/>
  <c r="GH20" i="5"/>
  <c r="GG20" i="5"/>
  <c r="GF20" i="5"/>
  <c r="GE20" i="5"/>
  <c r="GD20" i="5"/>
  <c r="GC20" i="5"/>
  <c r="GB20" i="5"/>
  <c r="GA20" i="5"/>
  <c r="FZ20" i="5"/>
  <c r="FY20" i="5"/>
  <c r="FX20" i="5"/>
  <c r="FW20" i="5"/>
  <c r="FV20" i="5"/>
  <c r="FU20" i="5"/>
  <c r="FT20" i="5"/>
  <c r="FS20" i="5"/>
  <c r="FR20" i="5"/>
  <c r="FQ20" i="5"/>
  <c r="FJ20" i="5"/>
  <c r="FI20" i="5"/>
  <c r="FH20" i="5"/>
  <c r="FG20" i="5"/>
  <c r="FF20" i="5"/>
  <c r="FE20" i="5"/>
  <c r="FD20" i="5"/>
  <c r="FC20" i="5"/>
  <c r="FB20" i="5"/>
  <c r="FA20" i="5"/>
  <c r="EZ20" i="5"/>
  <c r="EY20" i="5"/>
  <c r="EX20" i="5"/>
  <c r="EW20" i="5"/>
  <c r="EV20" i="5"/>
  <c r="EU20" i="5"/>
  <c r="ET20" i="5"/>
  <c r="ES20" i="5"/>
  <c r="ER20" i="5"/>
  <c r="EQ20" i="5"/>
  <c r="EP20" i="5"/>
  <c r="EO20" i="5"/>
  <c r="EN20" i="5"/>
  <c r="EM20" i="5"/>
  <c r="EL20" i="5"/>
  <c r="EK20" i="5"/>
  <c r="EJ20" i="5"/>
  <c r="EI20" i="5"/>
  <c r="EH20" i="5"/>
  <c r="EG20" i="5"/>
  <c r="EF20" i="5"/>
  <c r="EE20" i="5"/>
  <c r="ED20" i="5"/>
  <c r="EC20" i="5"/>
  <c r="EB20" i="5"/>
  <c r="EA20" i="5"/>
  <c r="DV20" i="5"/>
  <c r="DU20" i="5"/>
  <c r="DT20" i="5"/>
  <c r="DS20" i="5"/>
  <c r="DR20" i="5"/>
  <c r="DQ20" i="5"/>
  <c r="DP20" i="5"/>
  <c r="DO20" i="5"/>
  <c r="DN20" i="5"/>
  <c r="DK20" i="5"/>
  <c r="DJ20" i="5"/>
  <c r="DI20" i="5"/>
  <c r="DH20" i="5"/>
  <c r="DG20" i="5"/>
  <c r="DF20" i="5"/>
  <c r="DE20" i="5"/>
  <c r="DD20" i="5"/>
  <c r="DC20" i="5"/>
  <c r="DB20" i="5"/>
  <c r="DA20" i="5"/>
  <c r="CV20" i="5"/>
  <c r="CU20" i="5"/>
  <c r="CT20" i="5"/>
  <c r="CS20" i="5"/>
  <c r="GN20" i="5" s="1"/>
  <c r="CR20" i="5"/>
  <c r="GM20" i="5" s="1"/>
  <c r="CQ20" i="5"/>
  <c r="GL20" i="5" s="1"/>
  <c r="CP20" i="5"/>
  <c r="GJ20" i="5" s="1"/>
  <c r="GK20" i="5" s="1"/>
  <c r="CO20" i="5"/>
  <c r="DZ20" i="5" s="1"/>
  <c r="CN20" i="5"/>
  <c r="DY20" i="5" s="1"/>
  <c r="CM20" i="5"/>
  <c r="DX20" i="5" s="1"/>
  <c r="CL20" i="5"/>
  <c r="DW20" i="5" s="1"/>
  <c r="CG20" i="5" a="1"/>
  <c r="CG20" i="5" s="1"/>
  <c r="AV20" i="5"/>
  <c r="G20" i="5"/>
  <c r="IL12" i="5"/>
  <c r="HX12" i="5" a="1"/>
  <c r="HX12" i="5" s="1"/>
  <c r="IW12" i="5" s="1"/>
  <c r="HW12" i="5" a="1"/>
  <c r="HW12" i="5" s="1"/>
  <c r="IV12" i="5" s="1"/>
  <c r="HV12" i="5" a="1"/>
  <c r="HV12" i="5" s="1"/>
  <c r="IU12" i="5" s="1"/>
  <c r="HU12" i="5" a="1"/>
  <c r="HU12" i="5" s="1"/>
  <c r="IT12" i="5" s="1"/>
  <c r="HT12" i="5" a="1"/>
  <c r="HT12" i="5" s="1"/>
  <c r="IS12" i="5" s="1"/>
  <c r="HS12" i="5" a="1"/>
  <c r="HS12" i="5" s="1"/>
  <c r="IR12" i="5" s="1"/>
  <c r="HR12" i="5" a="1"/>
  <c r="HR12" i="5" s="1"/>
  <c r="IQ12" i="5" s="1"/>
  <c r="HQ12" i="5" a="1"/>
  <c r="HQ12" i="5" s="1"/>
  <c r="IP12" i="5" s="1"/>
  <c r="HP12" i="5" a="1"/>
  <c r="HP12" i="5" s="1"/>
  <c r="IO12" i="5" s="1"/>
  <c r="HL12" i="5"/>
  <c r="HJ12" i="5"/>
  <c r="HH12" i="5"/>
  <c r="HI12" i="5" s="1"/>
  <c r="HB12" i="5"/>
  <c r="HA12" i="5"/>
  <c r="GZ12" i="5"/>
  <c r="GY12" i="5"/>
  <c r="GX12" i="5"/>
  <c r="GW12" i="5"/>
  <c r="GV12" i="5"/>
  <c r="GU12" i="5"/>
  <c r="GT12" i="5"/>
  <c r="GP12" i="5"/>
  <c r="GI12" i="5"/>
  <c r="GH12" i="5"/>
  <c r="GG12" i="5"/>
  <c r="GF12" i="5"/>
  <c r="GE12" i="5"/>
  <c r="GD12" i="5"/>
  <c r="GC12" i="5"/>
  <c r="GB12" i="5"/>
  <c r="GA12" i="5"/>
  <c r="FZ12" i="5"/>
  <c r="FY12" i="5"/>
  <c r="FX12" i="5"/>
  <c r="FW12" i="5"/>
  <c r="FV12" i="5"/>
  <c r="FU12" i="5"/>
  <c r="FT12" i="5"/>
  <c r="FS12" i="5"/>
  <c r="FR12" i="5"/>
  <c r="FQ12" i="5"/>
  <c r="FJ12" i="5"/>
  <c r="FI12" i="5"/>
  <c r="FH12" i="5"/>
  <c r="FG12" i="5"/>
  <c r="FF12" i="5"/>
  <c r="FE12" i="5"/>
  <c r="FD12" i="5"/>
  <c r="FC12" i="5"/>
  <c r="FB12" i="5"/>
  <c r="FA12" i="5"/>
  <c r="EZ12" i="5"/>
  <c r="EY12" i="5"/>
  <c r="EX12" i="5"/>
  <c r="EW12" i="5"/>
  <c r="EV12" i="5"/>
  <c r="EU12" i="5"/>
  <c r="ET12" i="5"/>
  <c r="ES12" i="5"/>
  <c r="ER12" i="5"/>
  <c r="EQ12" i="5"/>
  <c r="EP12" i="5"/>
  <c r="EO12" i="5"/>
  <c r="EN12" i="5"/>
  <c r="EM12" i="5"/>
  <c r="EL12" i="5"/>
  <c r="EK12" i="5"/>
  <c r="EJ12" i="5"/>
  <c r="EI12" i="5"/>
  <c r="EH12" i="5"/>
  <c r="EG12" i="5"/>
  <c r="EF12" i="5"/>
  <c r="EE12" i="5"/>
  <c r="ED12" i="5"/>
  <c r="EC12" i="5"/>
  <c r="EB12" i="5"/>
  <c r="EA12" i="5"/>
  <c r="DV12" i="5"/>
  <c r="DU12" i="5"/>
  <c r="DT12" i="5"/>
  <c r="DS12" i="5"/>
  <c r="DR12" i="5"/>
  <c r="DQ12" i="5"/>
  <c r="DP12" i="5"/>
  <c r="DO12" i="5"/>
  <c r="DN12" i="5"/>
  <c r="DK12" i="5"/>
  <c r="DJ12" i="5"/>
  <c r="DI12" i="5"/>
  <c r="DH12" i="5"/>
  <c r="DG12" i="5"/>
  <c r="DF12" i="5"/>
  <c r="DE12" i="5"/>
  <c r="DD12" i="5"/>
  <c r="DC12" i="5"/>
  <c r="DB12" i="5"/>
  <c r="DA12" i="5"/>
  <c r="CV12" i="5"/>
  <c r="CU12" i="5"/>
  <c r="CT12" i="5"/>
  <c r="CS12" i="5"/>
  <c r="GN12" i="5" s="1"/>
  <c r="CR12" i="5"/>
  <c r="GM12" i="5" s="1"/>
  <c r="CQ12" i="5"/>
  <c r="GL12" i="5" s="1"/>
  <c r="CP12" i="5"/>
  <c r="GJ12" i="5" s="1"/>
  <c r="GK12" i="5" s="1"/>
  <c r="CO12" i="5"/>
  <c r="DZ12" i="5" s="1"/>
  <c r="CN12" i="5"/>
  <c r="DY12" i="5" s="1"/>
  <c r="CM12" i="5"/>
  <c r="DX12" i="5" s="1"/>
  <c r="CL12" i="5"/>
  <c r="DW12" i="5" s="1"/>
  <c r="CG12" i="5" a="1"/>
  <c r="CG12" i="5" s="1"/>
  <c r="IN12" i="5" s="1"/>
  <c r="IX12" i="5" s="1"/>
  <c r="AV12" i="5"/>
  <c r="G12" i="5"/>
  <c r="IL18" i="5"/>
  <c r="HX18" i="5" a="1"/>
  <c r="HX18" i="5" s="1"/>
  <c r="IW18" i="5" s="1"/>
  <c r="HW18" i="5" a="1"/>
  <c r="HW18" i="5" s="1"/>
  <c r="IV18" i="5" s="1"/>
  <c r="HV18" i="5" a="1"/>
  <c r="HV18" i="5" s="1"/>
  <c r="IU18" i="5" s="1"/>
  <c r="HU18" i="5" a="1"/>
  <c r="HU18" i="5" s="1"/>
  <c r="IT18" i="5" s="1"/>
  <c r="HT18" i="5" a="1"/>
  <c r="HT18" i="5" s="1"/>
  <c r="IS18" i="5" s="1"/>
  <c r="HS18" i="5" a="1"/>
  <c r="HS18" i="5" s="1"/>
  <c r="IR18" i="5" s="1"/>
  <c r="HR18" i="5" a="1"/>
  <c r="HR18" i="5" s="1"/>
  <c r="IQ18" i="5" s="1"/>
  <c r="HQ18" i="5" a="1"/>
  <c r="HQ18" i="5" s="1"/>
  <c r="IP18" i="5" s="1"/>
  <c r="HP18" i="5" a="1"/>
  <c r="HP18" i="5" s="1"/>
  <c r="IO18" i="5" s="1"/>
  <c r="HL18" i="5"/>
  <c r="HJ18" i="5"/>
  <c r="HH18" i="5"/>
  <c r="HI18" i="5" s="1"/>
  <c r="HB18" i="5"/>
  <c r="HA18" i="5"/>
  <c r="GZ18" i="5"/>
  <c r="GY18" i="5"/>
  <c r="GX18" i="5"/>
  <c r="GW18" i="5"/>
  <c r="GV18" i="5"/>
  <c r="GU18" i="5"/>
  <c r="GT18" i="5"/>
  <c r="GP18" i="5"/>
  <c r="GI18" i="5"/>
  <c r="GH18" i="5"/>
  <c r="GG18" i="5"/>
  <c r="GF18" i="5"/>
  <c r="GE18" i="5"/>
  <c r="GD18" i="5"/>
  <c r="GC18" i="5"/>
  <c r="GB18" i="5"/>
  <c r="GA18" i="5"/>
  <c r="FZ18" i="5"/>
  <c r="FY18" i="5"/>
  <c r="FX18" i="5"/>
  <c r="FW18" i="5"/>
  <c r="FV18" i="5"/>
  <c r="FU18" i="5"/>
  <c r="FT18" i="5"/>
  <c r="FS18" i="5"/>
  <c r="FR18" i="5"/>
  <c r="FQ18" i="5"/>
  <c r="FJ18" i="5"/>
  <c r="FI18" i="5"/>
  <c r="FH18" i="5"/>
  <c r="FG18" i="5"/>
  <c r="FF18" i="5"/>
  <c r="FP18" i="5" s="1"/>
  <c r="FE18" i="5"/>
  <c r="FD18" i="5"/>
  <c r="FC18" i="5"/>
  <c r="FB18" i="5"/>
  <c r="FA18" i="5"/>
  <c r="EZ18" i="5"/>
  <c r="EY18" i="5"/>
  <c r="EX18" i="5"/>
  <c r="EW18" i="5"/>
  <c r="EV18" i="5"/>
  <c r="EU18" i="5"/>
  <c r="ET18" i="5"/>
  <c r="ES18" i="5"/>
  <c r="ER18" i="5"/>
  <c r="EQ18" i="5"/>
  <c r="EP18" i="5"/>
  <c r="EO18" i="5"/>
  <c r="EN18" i="5"/>
  <c r="EM18" i="5"/>
  <c r="EL18" i="5"/>
  <c r="EK18" i="5"/>
  <c r="EJ18" i="5"/>
  <c r="EI18" i="5"/>
  <c r="EH18" i="5"/>
  <c r="EG18" i="5"/>
  <c r="EF18" i="5"/>
  <c r="EE18" i="5"/>
  <c r="ED18" i="5"/>
  <c r="EC18" i="5"/>
  <c r="EB18" i="5"/>
  <c r="EA18" i="5"/>
  <c r="DV18" i="5"/>
  <c r="DU18" i="5"/>
  <c r="DT18" i="5"/>
  <c r="DS18" i="5"/>
  <c r="DR18" i="5"/>
  <c r="DQ18" i="5"/>
  <c r="DP18" i="5"/>
  <c r="DO18" i="5"/>
  <c r="DN18" i="5"/>
  <c r="DK18" i="5"/>
  <c r="DJ18" i="5"/>
  <c r="DI18" i="5"/>
  <c r="DH18" i="5"/>
  <c r="DG18" i="5"/>
  <c r="DF18" i="5"/>
  <c r="DE18" i="5"/>
  <c r="DD18" i="5"/>
  <c r="DC18" i="5"/>
  <c r="DB18" i="5"/>
  <c r="DA18" i="5"/>
  <c r="CV18" i="5"/>
  <c r="CU18" i="5"/>
  <c r="CT18" i="5"/>
  <c r="CS18" i="5"/>
  <c r="GN18" i="5" s="1"/>
  <c r="CR18" i="5"/>
  <c r="GM18" i="5" s="1"/>
  <c r="CQ18" i="5"/>
  <c r="GL18" i="5" s="1"/>
  <c r="CP18" i="5"/>
  <c r="GJ18" i="5" s="1"/>
  <c r="GK18" i="5" s="1"/>
  <c r="CO18" i="5"/>
  <c r="DZ18" i="5" s="1"/>
  <c r="CN18" i="5"/>
  <c r="DY18" i="5" s="1"/>
  <c r="CM18" i="5"/>
  <c r="DX18" i="5" s="1"/>
  <c r="CL18" i="5"/>
  <c r="DW18" i="5" s="1"/>
  <c r="CG18" i="5" a="1"/>
  <c r="CG18" i="5" s="1"/>
  <c r="AV18" i="5"/>
  <c r="G18" i="5"/>
  <c r="IL19" i="5"/>
  <c r="HX19" i="5" a="1"/>
  <c r="HX19" i="5" s="1"/>
  <c r="IW19" i="5" s="1"/>
  <c r="HW19" i="5" a="1"/>
  <c r="HW19" i="5" s="1"/>
  <c r="IV19" i="5" s="1"/>
  <c r="HV19" i="5" a="1"/>
  <c r="HV19" i="5" s="1"/>
  <c r="IU19" i="5" s="1"/>
  <c r="HU19" i="5" a="1"/>
  <c r="HU19" i="5" s="1"/>
  <c r="IT19" i="5" s="1"/>
  <c r="HT19" i="5" a="1"/>
  <c r="HT19" i="5" s="1"/>
  <c r="IS19" i="5" s="1"/>
  <c r="HS19" i="5" a="1"/>
  <c r="HS19" i="5" s="1"/>
  <c r="IR19" i="5" s="1"/>
  <c r="HR19" i="5" a="1"/>
  <c r="HR19" i="5" s="1"/>
  <c r="IQ19" i="5" s="1"/>
  <c r="HQ19" i="5" a="1"/>
  <c r="HQ19" i="5" s="1"/>
  <c r="IP19" i="5" s="1"/>
  <c r="HP19" i="5" a="1"/>
  <c r="HP19" i="5" s="1"/>
  <c r="IO19" i="5" s="1"/>
  <c r="HL19" i="5"/>
  <c r="HJ19" i="5"/>
  <c r="HH19" i="5"/>
  <c r="HI19" i="5" s="1"/>
  <c r="HB19" i="5"/>
  <c r="HA19" i="5"/>
  <c r="GZ19" i="5"/>
  <c r="GY19" i="5"/>
  <c r="GX19" i="5"/>
  <c r="GW19" i="5"/>
  <c r="GV19" i="5"/>
  <c r="GU19" i="5"/>
  <c r="GT19" i="5"/>
  <c r="GP19" i="5"/>
  <c r="GI19" i="5"/>
  <c r="GH19" i="5"/>
  <c r="GG19" i="5"/>
  <c r="GF19" i="5"/>
  <c r="GE19" i="5"/>
  <c r="GD19" i="5"/>
  <c r="GC19" i="5"/>
  <c r="GB19" i="5"/>
  <c r="GA19" i="5"/>
  <c r="FZ19" i="5"/>
  <c r="FY19" i="5"/>
  <c r="FX19" i="5"/>
  <c r="FW19" i="5"/>
  <c r="FV19" i="5"/>
  <c r="FU19" i="5"/>
  <c r="FT19" i="5"/>
  <c r="FS19" i="5"/>
  <c r="FR19" i="5"/>
  <c r="FQ19" i="5"/>
  <c r="FJ19" i="5"/>
  <c r="FI19" i="5"/>
  <c r="FH19" i="5"/>
  <c r="FG19" i="5"/>
  <c r="FF19" i="5"/>
  <c r="FE19" i="5"/>
  <c r="FD19" i="5"/>
  <c r="FC19" i="5"/>
  <c r="FB19" i="5"/>
  <c r="FA19" i="5"/>
  <c r="EZ19" i="5"/>
  <c r="EY19" i="5"/>
  <c r="EX19" i="5"/>
  <c r="EW19" i="5"/>
  <c r="EV19" i="5"/>
  <c r="EU19" i="5"/>
  <c r="ET19" i="5"/>
  <c r="ES19" i="5"/>
  <c r="ER19" i="5"/>
  <c r="EQ19" i="5"/>
  <c r="EP19" i="5"/>
  <c r="EO19" i="5"/>
  <c r="EN19" i="5"/>
  <c r="EM19" i="5"/>
  <c r="EL19" i="5"/>
  <c r="EK19" i="5"/>
  <c r="EJ19" i="5"/>
  <c r="EI19" i="5"/>
  <c r="EH19" i="5"/>
  <c r="EG19" i="5"/>
  <c r="EF19" i="5"/>
  <c r="EE19" i="5"/>
  <c r="ED19" i="5"/>
  <c r="EC19" i="5"/>
  <c r="EB19" i="5"/>
  <c r="EA19" i="5"/>
  <c r="DV19" i="5"/>
  <c r="DU19" i="5"/>
  <c r="DT19" i="5"/>
  <c r="DS19" i="5"/>
  <c r="DR19" i="5"/>
  <c r="DQ19" i="5"/>
  <c r="DP19" i="5"/>
  <c r="DO19" i="5"/>
  <c r="DN19" i="5"/>
  <c r="DK19" i="5"/>
  <c r="DJ19" i="5"/>
  <c r="DI19" i="5"/>
  <c r="DH19" i="5"/>
  <c r="DG19" i="5"/>
  <c r="DF19" i="5"/>
  <c r="DE19" i="5"/>
  <c r="DD19" i="5"/>
  <c r="DC19" i="5"/>
  <c r="DB19" i="5"/>
  <c r="DA19" i="5"/>
  <c r="CV19" i="5"/>
  <c r="CU19" i="5"/>
  <c r="CT19" i="5"/>
  <c r="CS19" i="5"/>
  <c r="GN19" i="5" s="1"/>
  <c r="CR19" i="5"/>
  <c r="GM19" i="5" s="1"/>
  <c r="CQ19" i="5"/>
  <c r="GL19" i="5" s="1"/>
  <c r="CP19" i="5"/>
  <c r="GJ19" i="5" s="1"/>
  <c r="GK19" i="5" s="1"/>
  <c r="CO19" i="5"/>
  <c r="DZ19" i="5" s="1"/>
  <c r="CN19" i="5"/>
  <c r="DY19" i="5" s="1"/>
  <c r="CM19" i="5"/>
  <c r="DX19" i="5" s="1"/>
  <c r="CL19" i="5"/>
  <c r="DW19" i="5" s="1"/>
  <c r="CG19" i="5" a="1"/>
  <c r="CG19" i="5" s="1"/>
  <c r="AV19" i="5"/>
  <c r="G19" i="5"/>
  <c r="IL8" i="5"/>
  <c r="HX8" i="5" a="1"/>
  <c r="HX8" i="5" s="1"/>
  <c r="IW8" i="5" s="1"/>
  <c r="HW8" i="5" a="1"/>
  <c r="HW8" i="5" s="1"/>
  <c r="IV8" i="5" s="1"/>
  <c r="HV8" i="5" a="1"/>
  <c r="HV8" i="5" s="1"/>
  <c r="IU8" i="5" s="1"/>
  <c r="HU8" i="5" a="1"/>
  <c r="HU8" i="5" s="1"/>
  <c r="IT8" i="5" s="1"/>
  <c r="HT8" i="5" a="1"/>
  <c r="HT8" i="5" s="1"/>
  <c r="IS8" i="5" s="1"/>
  <c r="HS8" i="5" a="1"/>
  <c r="HS8" i="5" s="1"/>
  <c r="IR8" i="5" s="1"/>
  <c r="HR8" i="5" a="1"/>
  <c r="HR8" i="5" s="1"/>
  <c r="IQ8" i="5" s="1"/>
  <c r="HQ8" i="5" a="1"/>
  <c r="HQ8" i="5" s="1"/>
  <c r="IP8" i="5" s="1"/>
  <c r="HP8" i="5" a="1"/>
  <c r="HP8" i="5" s="1"/>
  <c r="IO8" i="5" s="1"/>
  <c r="HL8" i="5"/>
  <c r="HJ8" i="5"/>
  <c r="HH8" i="5"/>
  <c r="HI8" i="5" s="1"/>
  <c r="HB8" i="5"/>
  <c r="HA8" i="5"/>
  <c r="GZ8" i="5"/>
  <c r="GY8" i="5"/>
  <c r="GX8" i="5"/>
  <c r="GW8" i="5"/>
  <c r="GV8" i="5"/>
  <c r="GU8" i="5"/>
  <c r="GT8" i="5"/>
  <c r="GP8" i="5"/>
  <c r="GI8" i="5"/>
  <c r="GH8" i="5"/>
  <c r="GG8" i="5"/>
  <c r="GF8" i="5"/>
  <c r="GE8" i="5"/>
  <c r="GD8" i="5"/>
  <c r="GC8" i="5"/>
  <c r="GB8" i="5"/>
  <c r="GA8" i="5"/>
  <c r="FZ8" i="5"/>
  <c r="FY8" i="5"/>
  <c r="FX8" i="5"/>
  <c r="FW8" i="5"/>
  <c r="FV8" i="5"/>
  <c r="FU8" i="5"/>
  <c r="FT8" i="5"/>
  <c r="FS8" i="5"/>
  <c r="FR8" i="5"/>
  <c r="FQ8" i="5"/>
  <c r="FJ8" i="5"/>
  <c r="FI8" i="5"/>
  <c r="FH8" i="5"/>
  <c r="FG8" i="5"/>
  <c r="FF8" i="5"/>
  <c r="FP8" i="5" s="1"/>
  <c r="FE8" i="5"/>
  <c r="FD8" i="5"/>
  <c r="FC8" i="5"/>
  <c r="FB8" i="5"/>
  <c r="FA8" i="5"/>
  <c r="EZ8" i="5"/>
  <c r="EY8" i="5"/>
  <c r="EX8" i="5"/>
  <c r="EW8" i="5"/>
  <c r="EV8" i="5"/>
  <c r="EU8" i="5"/>
  <c r="ET8" i="5"/>
  <c r="ES8" i="5"/>
  <c r="ER8" i="5"/>
  <c r="EQ8" i="5"/>
  <c r="EP8" i="5"/>
  <c r="EO8" i="5"/>
  <c r="EN8" i="5"/>
  <c r="EM8" i="5"/>
  <c r="EL8" i="5"/>
  <c r="EK8" i="5"/>
  <c r="EJ8" i="5"/>
  <c r="EI8" i="5"/>
  <c r="EH8" i="5"/>
  <c r="EG8" i="5"/>
  <c r="EF8" i="5"/>
  <c r="EE8" i="5"/>
  <c r="ED8" i="5"/>
  <c r="EC8" i="5"/>
  <c r="EB8" i="5"/>
  <c r="EA8" i="5"/>
  <c r="DV8" i="5"/>
  <c r="DU8" i="5"/>
  <c r="DT8" i="5"/>
  <c r="DS8" i="5"/>
  <c r="DR8" i="5"/>
  <c r="DQ8" i="5"/>
  <c r="DP8" i="5"/>
  <c r="DO8" i="5"/>
  <c r="DN8" i="5"/>
  <c r="DK8" i="5"/>
  <c r="DJ8" i="5"/>
  <c r="DI8" i="5"/>
  <c r="DH8" i="5"/>
  <c r="DG8" i="5"/>
  <c r="DF8" i="5"/>
  <c r="DE8" i="5"/>
  <c r="DD8" i="5"/>
  <c r="DC8" i="5"/>
  <c r="DB8" i="5"/>
  <c r="DA8" i="5"/>
  <c r="CV8" i="5"/>
  <c r="CU8" i="5"/>
  <c r="CT8" i="5"/>
  <c r="CS8" i="5"/>
  <c r="GN8" i="5" s="1"/>
  <c r="CR8" i="5"/>
  <c r="GM8" i="5" s="1"/>
  <c r="CQ8" i="5"/>
  <c r="GL8" i="5" s="1"/>
  <c r="CP8" i="5"/>
  <c r="GJ8" i="5" s="1"/>
  <c r="GK8" i="5" s="1"/>
  <c r="CO8" i="5"/>
  <c r="DZ8" i="5" s="1"/>
  <c r="CN8" i="5"/>
  <c r="DY8" i="5" s="1"/>
  <c r="CM8" i="5"/>
  <c r="DX8" i="5" s="1"/>
  <c r="CL8" i="5"/>
  <c r="DW8" i="5" s="1"/>
  <c r="CG8" i="5" a="1"/>
  <c r="CG8" i="5" s="1"/>
  <c r="DM8" i="5" s="1" a="1"/>
  <c r="DM8" i="5" s="1"/>
  <c r="AV8" i="5"/>
  <c r="G8" i="5"/>
  <c r="IL7" i="5"/>
  <c r="HX7" i="5" a="1"/>
  <c r="HX7" i="5" s="1"/>
  <c r="IW7" i="5" s="1"/>
  <c r="HW7" i="5" a="1"/>
  <c r="HW7" i="5" s="1"/>
  <c r="IV7" i="5" s="1"/>
  <c r="HV7" i="5" a="1"/>
  <c r="HV7" i="5" s="1"/>
  <c r="IU7" i="5" s="1"/>
  <c r="HU7" i="5" a="1"/>
  <c r="HU7" i="5" s="1"/>
  <c r="IT7" i="5" s="1"/>
  <c r="HT7" i="5" a="1"/>
  <c r="HT7" i="5" s="1"/>
  <c r="IS7" i="5" s="1"/>
  <c r="HS7" i="5" a="1"/>
  <c r="HS7" i="5" s="1"/>
  <c r="IR7" i="5" s="1"/>
  <c r="HR7" i="5" a="1"/>
  <c r="HR7" i="5" s="1"/>
  <c r="IQ7" i="5" s="1"/>
  <c r="HQ7" i="5" a="1"/>
  <c r="HQ7" i="5" s="1"/>
  <c r="IP7" i="5" s="1"/>
  <c r="HP7" i="5" a="1"/>
  <c r="HP7" i="5" s="1"/>
  <c r="IO7" i="5" s="1"/>
  <c r="HL7" i="5"/>
  <c r="HJ7" i="5"/>
  <c r="HH7" i="5"/>
  <c r="HI7" i="5" s="1"/>
  <c r="HB7" i="5"/>
  <c r="HA7" i="5"/>
  <c r="GZ7" i="5"/>
  <c r="GY7" i="5"/>
  <c r="GX7" i="5"/>
  <c r="GW7" i="5"/>
  <c r="GV7" i="5"/>
  <c r="GU7" i="5"/>
  <c r="GT7" i="5"/>
  <c r="GP7" i="5"/>
  <c r="GI7" i="5"/>
  <c r="GH7" i="5"/>
  <c r="GG7" i="5"/>
  <c r="GF7" i="5"/>
  <c r="GE7" i="5"/>
  <c r="GD7" i="5"/>
  <c r="GC7" i="5"/>
  <c r="GB7" i="5"/>
  <c r="GA7" i="5"/>
  <c r="FZ7" i="5"/>
  <c r="FY7" i="5"/>
  <c r="FX7" i="5"/>
  <c r="FW7" i="5"/>
  <c r="FV7" i="5"/>
  <c r="FU7" i="5"/>
  <c r="FT7" i="5"/>
  <c r="FS7" i="5"/>
  <c r="FR7" i="5"/>
  <c r="FQ7" i="5"/>
  <c r="FJ7" i="5"/>
  <c r="FI7" i="5"/>
  <c r="FH7" i="5"/>
  <c r="FG7" i="5"/>
  <c r="FF7" i="5"/>
  <c r="FP7" i="5" s="1"/>
  <c r="FE7" i="5"/>
  <c r="FD7" i="5"/>
  <c r="FC7" i="5"/>
  <c r="FB7" i="5"/>
  <c r="FA7" i="5"/>
  <c r="EZ7" i="5"/>
  <c r="EY7" i="5"/>
  <c r="EX7" i="5"/>
  <c r="EW7" i="5"/>
  <c r="EV7" i="5"/>
  <c r="EU7" i="5"/>
  <c r="ET7" i="5"/>
  <c r="ES7" i="5"/>
  <c r="ER7" i="5"/>
  <c r="EQ7" i="5"/>
  <c r="EP7" i="5"/>
  <c r="EO7" i="5"/>
  <c r="EN7" i="5"/>
  <c r="EM7" i="5"/>
  <c r="EL7" i="5"/>
  <c r="EK7" i="5"/>
  <c r="EJ7" i="5"/>
  <c r="EI7" i="5"/>
  <c r="EH7" i="5"/>
  <c r="EG7" i="5"/>
  <c r="EF7" i="5"/>
  <c r="EE7" i="5"/>
  <c r="ED7" i="5"/>
  <c r="EC7" i="5"/>
  <c r="EB7" i="5"/>
  <c r="EA7" i="5"/>
  <c r="DV7" i="5"/>
  <c r="DU7" i="5"/>
  <c r="DT7" i="5"/>
  <c r="DS7" i="5"/>
  <c r="DR7" i="5"/>
  <c r="DQ7" i="5"/>
  <c r="DP7" i="5"/>
  <c r="DO7" i="5"/>
  <c r="DN7" i="5"/>
  <c r="DK7" i="5"/>
  <c r="DJ7" i="5"/>
  <c r="DI7" i="5"/>
  <c r="DH7" i="5"/>
  <c r="DG7" i="5"/>
  <c r="DF7" i="5"/>
  <c r="DE7" i="5"/>
  <c r="DD7" i="5"/>
  <c r="DC7" i="5"/>
  <c r="DB7" i="5"/>
  <c r="DA7" i="5"/>
  <c r="CV7" i="5"/>
  <c r="CU7" i="5"/>
  <c r="CT7" i="5"/>
  <c r="CS7" i="5"/>
  <c r="GN7" i="5" s="1"/>
  <c r="CR7" i="5"/>
  <c r="GM7" i="5" s="1"/>
  <c r="CQ7" i="5"/>
  <c r="GL7" i="5" s="1"/>
  <c r="CP7" i="5"/>
  <c r="GJ7" i="5" s="1"/>
  <c r="GK7" i="5" s="1"/>
  <c r="CO7" i="5"/>
  <c r="DZ7" i="5" s="1"/>
  <c r="CN7" i="5"/>
  <c r="DY7" i="5" s="1"/>
  <c r="CM7" i="5"/>
  <c r="DX7" i="5" s="1"/>
  <c r="CL7" i="5"/>
  <c r="DW7" i="5" s="1"/>
  <c r="CG7" i="5" a="1"/>
  <c r="CG7" i="5" s="1"/>
  <c r="AV7" i="5"/>
  <c r="G7" i="5"/>
  <c r="IL6" i="5"/>
  <c r="HX6" i="5" a="1"/>
  <c r="HX6" i="5" s="1"/>
  <c r="IW6" i="5" s="1"/>
  <c r="HW6" i="5" a="1"/>
  <c r="HW6" i="5" s="1"/>
  <c r="IV6" i="5" s="1"/>
  <c r="HV6" i="5" a="1"/>
  <c r="HV6" i="5" s="1"/>
  <c r="IU6" i="5" s="1"/>
  <c r="HU6" i="5" a="1"/>
  <c r="HU6" i="5" s="1"/>
  <c r="IT6" i="5" s="1"/>
  <c r="HT6" i="5" a="1"/>
  <c r="HT6" i="5" s="1"/>
  <c r="IS6" i="5" s="1"/>
  <c r="HS6" i="5" a="1"/>
  <c r="HS6" i="5" s="1"/>
  <c r="IR6" i="5" s="1"/>
  <c r="HR6" i="5" a="1"/>
  <c r="HR6" i="5" s="1"/>
  <c r="IQ6" i="5" s="1"/>
  <c r="HQ6" i="5" a="1"/>
  <c r="HQ6" i="5" s="1"/>
  <c r="IP6" i="5" s="1"/>
  <c r="HP6" i="5" a="1"/>
  <c r="HP6" i="5" s="1"/>
  <c r="IO6" i="5" s="1"/>
  <c r="HL6" i="5"/>
  <c r="HJ6" i="5"/>
  <c r="HH6" i="5"/>
  <c r="HI6" i="5" s="1"/>
  <c r="HB6" i="5"/>
  <c r="HA6" i="5"/>
  <c r="GZ6" i="5"/>
  <c r="GY6" i="5"/>
  <c r="GX6" i="5"/>
  <c r="GW6" i="5"/>
  <c r="GV6" i="5"/>
  <c r="GU6" i="5"/>
  <c r="GT6" i="5"/>
  <c r="GP6" i="5"/>
  <c r="GI6" i="5"/>
  <c r="GH6" i="5"/>
  <c r="GG6" i="5"/>
  <c r="GF6" i="5"/>
  <c r="GE6" i="5"/>
  <c r="GD6" i="5"/>
  <c r="GC6" i="5"/>
  <c r="GB6" i="5"/>
  <c r="GA6" i="5"/>
  <c r="FZ6" i="5"/>
  <c r="FY6" i="5"/>
  <c r="FX6" i="5"/>
  <c r="FW6" i="5"/>
  <c r="FV6" i="5"/>
  <c r="FU6" i="5"/>
  <c r="FT6" i="5"/>
  <c r="FS6" i="5"/>
  <c r="FR6" i="5"/>
  <c r="FQ6" i="5"/>
  <c r="FJ6" i="5"/>
  <c r="FI6" i="5"/>
  <c r="FH6" i="5"/>
  <c r="FG6" i="5"/>
  <c r="FF6" i="5"/>
  <c r="FP6" i="5" s="1"/>
  <c r="FE6" i="5"/>
  <c r="FD6" i="5"/>
  <c r="FC6" i="5"/>
  <c r="FB6" i="5"/>
  <c r="FA6" i="5"/>
  <c r="EZ6" i="5"/>
  <c r="EY6" i="5"/>
  <c r="EX6" i="5"/>
  <c r="EW6" i="5"/>
  <c r="EV6" i="5"/>
  <c r="EU6" i="5"/>
  <c r="ET6" i="5"/>
  <c r="ES6" i="5"/>
  <c r="ER6" i="5"/>
  <c r="EQ6" i="5"/>
  <c r="EP6" i="5"/>
  <c r="EO6" i="5"/>
  <c r="EN6" i="5"/>
  <c r="EM6" i="5"/>
  <c r="EL6" i="5"/>
  <c r="EK6" i="5"/>
  <c r="EJ6" i="5"/>
  <c r="EI6" i="5"/>
  <c r="EH6" i="5"/>
  <c r="EG6" i="5"/>
  <c r="EF6" i="5"/>
  <c r="EE6" i="5"/>
  <c r="ED6" i="5"/>
  <c r="EC6" i="5"/>
  <c r="EB6" i="5"/>
  <c r="EA6" i="5"/>
  <c r="DV6" i="5"/>
  <c r="DU6" i="5"/>
  <c r="DT6" i="5"/>
  <c r="DS6" i="5"/>
  <c r="DR6" i="5"/>
  <c r="DQ6" i="5"/>
  <c r="DP6" i="5"/>
  <c r="DO6" i="5"/>
  <c r="DN6" i="5"/>
  <c r="DK6" i="5"/>
  <c r="DJ6" i="5"/>
  <c r="DI6" i="5"/>
  <c r="DH6" i="5"/>
  <c r="DG6" i="5"/>
  <c r="DF6" i="5"/>
  <c r="DE6" i="5"/>
  <c r="DD6" i="5"/>
  <c r="DC6" i="5"/>
  <c r="DB6" i="5"/>
  <c r="DA6" i="5"/>
  <c r="CV6" i="5"/>
  <c r="CU6" i="5"/>
  <c r="CT6" i="5"/>
  <c r="CS6" i="5"/>
  <c r="GN6" i="5" s="1"/>
  <c r="CR6" i="5"/>
  <c r="GM6" i="5" s="1"/>
  <c r="CQ6" i="5"/>
  <c r="GL6" i="5" s="1"/>
  <c r="CP6" i="5"/>
  <c r="GJ6" i="5" s="1"/>
  <c r="GK6" i="5" s="1"/>
  <c r="CO6" i="5"/>
  <c r="DZ6" i="5" s="1"/>
  <c r="CN6" i="5"/>
  <c r="DY6" i="5" s="1"/>
  <c r="CM6" i="5"/>
  <c r="DX6" i="5" s="1"/>
  <c r="CL6" i="5"/>
  <c r="DW6" i="5" s="1"/>
  <c r="CG6" i="5" a="1"/>
  <c r="CG6" i="5" s="1"/>
  <c r="AV6" i="5"/>
  <c r="G6" i="5"/>
  <c r="IL5" i="5"/>
  <c r="HX5" i="5" a="1"/>
  <c r="HX5" i="5" s="1"/>
  <c r="IW5" i="5" s="1"/>
  <c r="HW5" i="5" a="1"/>
  <c r="HW5" i="5" s="1"/>
  <c r="IV5" i="5" s="1"/>
  <c r="HV5" i="5" a="1"/>
  <c r="HV5" i="5" s="1"/>
  <c r="IU5" i="5" s="1"/>
  <c r="HU5" i="5" a="1"/>
  <c r="HU5" i="5" s="1"/>
  <c r="IT5" i="5" s="1"/>
  <c r="HT5" i="5" a="1"/>
  <c r="HT5" i="5" s="1"/>
  <c r="IS5" i="5" s="1"/>
  <c r="HS5" i="5" a="1"/>
  <c r="HS5" i="5" s="1"/>
  <c r="IR5" i="5" s="1"/>
  <c r="HR5" i="5" a="1"/>
  <c r="HR5" i="5" s="1"/>
  <c r="IQ5" i="5" s="1"/>
  <c r="HQ5" i="5" a="1"/>
  <c r="HQ5" i="5" s="1"/>
  <c r="IP5" i="5" s="1"/>
  <c r="HP5" i="5" a="1"/>
  <c r="HP5" i="5" s="1"/>
  <c r="IO5" i="5" s="1"/>
  <c r="HL5" i="5"/>
  <c r="HJ5" i="5"/>
  <c r="HH5" i="5"/>
  <c r="HI5" i="5" s="1"/>
  <c r="HB5" i="5"/>
  <c r="HA5" i="5"/>
  <c r="GZ5" i="5"/>
  <c r="GY5" i="5"/>
  <c r="GX5" i="5"/>
  <c r="GW5" i="5"/>
  <c r="GV5" i="5"/>
  <c r="GU5" i="5"/>
  <c r="GT5" i="5"/>
  <c r="GP5" i="5"/>
  <c r="GI5" i="5"/>
  <c r="GH5" i="5"/>
  <c r="GG5" i="5"/>
  <c r="GF5" i="5"/>
  <c r="GE5" i="5"/>
  <c r="GD5" i="5"/>
  <c r="GC5" i="5"/>
  <c r="GB5" i="5"/>
  <c r="GA5" i="5"/>
  <c r="FZ5" i="5"/>
  <c r="FY5" i="5"/>
  <c r="FX5" i="5"/>
  <c r="FW5" i="5"/>
  <c r="FV5" i="5"/>
  <c r="FU5" i="5"/>
  <c r="FT5" i="5"/>
  <c r="FS5" i="5"/>
  <c r="FR5" i="5"/>
  <c r="FQ5" i="5"/>
  <c r="FJ5" i="5"/>
  <c r="FI5" i="5"/>
  <c r="FH5" i="5"/>
  <c r="FG5" i="5"/>
  <c r="FF5" i="5"/>
  <c r="FP5" i="5" s="1"/>
  <c r="FE5" i="5"/>
  <c r="FD5" i="5"/>
  <c r="FC5" i="5"/>
  <c r="FB5" i="5"/>
  <c r="FA5" i="5"/>
  <c r="EZ5" i="5"/>
  <c r="EY5" i="5"/>
  <c r="EX5" i="5"/>
  <c r="EW5" i="5"/>
  <c r="EV5" i="5"/>
  <c r="EU5" i="5"/>
  <c r="ET5" i="5"/>
  <c r="ES5" i="5"/>
  <c r="ER5" i="5"/>
  <c r="EQ5" i="5"/>
  <c r="EP5" i="5"/>
  <c r="EO5" i="5"/>
  <c r="EN5" i="5"/>
  <c r="EM5" i="5"/>
  <c r="EL5" i="5"/>
  <c r="EK5" i="5"/>
  <c r="EJ5" i="5"/>
  <c r="EI5" i="5"/>
  <c r="EH5" i="5"/>
  <c r="EG5" i="5"/>
  <c r="EF5" i="5"/>
  <c r="EE5" i="5"/>
  <c r="ED5" i="5"/>
  <c r="EC5" i="5"/>
  <c r="EB5" i="5"/>
  <c r="EA5" i="5"/>
  <c r="DV5" i="5"/>
  <c r="DU5" i="5"/>
  <c r="DT5" i="5"/>
  <c r="DS5" i="5"/>
  <c r="DR5" i="5"/>
  <c r="DQ5" i="5"/>
  <c r="DP5" i="5"/>
  <c r="DO5" i="5"/>
  <c r="DN5" i="5"/>
  <c r="DK5" i="5"/>
  <c r="DJ5" i="5"/>
  <c r="DI5" i="5"/>
  <c r="DH5" i="5"/>
  <c r="DG5" i="5"/>
  <c r="DF5" i="5"/>
  <c r="DE5" i="5"/>
  <c r="DD5" i="5"/>
  <c r="DC5" i="5"/>
  <c r="DB5" i="5"/>
  <c r="DA5" i="5"/>
  <c r="CV5" i="5"/>
  <c r="CU5" i="5"/>
  <c r="CT5" i="5"/>
  <c r="CS5" i="5"/>
  <c r="GN5" i="5" s="1"/>
  <c r="CR5" i="5"/>
  <c r="GM5" i="5" s="1"/>
  <c r="CQ5" i="5"/>
  <c r="GL5" i="5" s="1"/>
  <c r="CP5" i="5"/>
  <c r="GJ5" i="5" s="1"/>
  <c r="GK5" i="5" s="1"/>
  <c r="CO5" i="5"/>
  <c r="DZ5" i="5" s="1"/>
  <c r="CN5" i="5"/>
  <c r="DY5" i="5" s="1"/>
  <c r="CM5" i="5"/>
  <c r="DX5" i="5" s="1"/>
  <c r="CL5" i="5"/>
  <c r="DW5" i="5" s="1"/>
  <c r="CG5" i="5" a="1"/>
  <c r="CG5" i="5" s="1"/>
  <c r="IN5" i="5" s="1"/>
  <c r="IX5" i="5" s="1"/>
  <c r="AV5" i="5"/>
  <c r="G5" i="5"/>
  <c r="IL4" i="5"/>
  <c r="HX4" i="5" a="1"/>
  <c r="HX4" i="5" s="1"/>
  <c r="IW4" i="5" s="1"/>
  <c r="HW4" i="5" a="1"/>
  <c r="HW4" i="5" s="1"/>
  <c r="IV4" i="5" s="1"/>
  <c r="HV4" i="5" a="1"/>
  <c r="HV4" i="5" s="1"/>
  <c r="IU4" i="5" s="1"/>
  <c r="HU4" i="5" a="1"/>
  <c r="HU4" i="5" s="1"/>
  <c r="IT4" i="5" s="1"/>
  <c r="HT4" i="5" a="1"/>
  <c r="HT4" i="5" s="1"/>
  <c r="IS4" i="5" s="1"/>
  <c r="HS4" i="5" a="1"/>
  <c r="HS4" i="5" s="1"/>
  <c r="IR4" i="5" s="1"/>
  <c r="HR4" i="5" a="1"/>
  <c r="HR4" i="5" s="1"/>
  <c r="IQ4" i="5" s="1"/>
  <c r="HQ4" i="5" a="1"/>
  <c r="HQ4" i="5" s="1"/>
  <c r="IP4" i="5" s="1"/>
  <c r="HP4" i="5" a="1"/>
  <c r="HP4" i="5" s="1"/>
  <c r="IO4" i="5" s="1"/>
  <c r="HL4" i="5"/>
  <c r="HJ4" i="5"/>
  <c r="HH4" i="5"/>
  <c r="HI4" i="5" s="1"/>
  <c r="HB4" i="5"/>
  <c r="HA4" i="5"/>
  <c r="GZ4" i="5"/>
  <c r="GY4" i="5"/>
  <c r="GX4" i="5"/>
  <c r="GW4" i="5"/>
  <c r="GV4" i="5"/>
  <c r="GU4" i="5"/>
  <c r="GT4" i="5"/>
  <c r="GP4" i="5"/>
  <c r="GI4" i="5"/>
  <c r="GH4" i="5"/>
  <c r="GG4" i="5"/>
  <c r="GF4" i="5"/>
  <c r="GE4" i="5"/>
  <c r="GD4" i="5"/>
  <c r="GC4" i="5"/>
  <c r="GB4" i="5"/>
  <c r="GA4" i="5"/>
  <c r="FZ4" i="5"/>
  <c r="FY4" i="5"/>
  <c r="FX4" i="5"/>
  <c r="FW4" i="5"/>
  <c r="FV4" i="5"/>
  <c r="FU4" i="5"/>
  <c r="FT4" i="5"/>
  <c r="FS4" i="5"/>
  <c r="FR4" i="5"/>
  <c r="FQ4" i="5"/>
  <c r="FJ4" i="5"/>
  <c r="FI4" i="5"/>
  <c r="FH4" i="5"/>
  <c r="FG4" i="5"/>
  <c r="FF4" i="5"/>
  <c r="FP4" i="5" s="1"/>
  <c r="FE4" i="5"/>
  <c r="FD4" i="5"/>
  <c r="FC4" i="5"/>
  <c r="FB4" i="5"/>
  <c r="FA4" i="5"/>
  <c r="EZ4" i="5"/>
  <c r="EY4" i="5"/>
  <c r="EX4" i="5"/>
  <c r="EW4" i="5"/>
  <c r="EV4" i="5"/>
  <c r="EU4" i="5"/>
  <c r="ET4" i="5"/>
  <c r="ES4" i="5"/>
  <c r="ER4" i="5"/>
  <c r="EQ4" i="5"/>
  <c r="EP4" i="5"/>
  <c r="EO4" i="5"/>
  <c r="EN4" i="5"/>
  <c r="EM4" i="5"/>
  <c r="EL4" i="5"/>
  <c r="EK4" i="5"/>
  <c r="EJ4" i="5"/>
  <c r="EI4" i="5"/>
  <c r="EH4" i="5"/>
  <c r="EG4" i="5"/>
  <c r="EF4" i="5"/>
  <c r="EE4" i="5"/>
  <c r="ED4" i="5"/>
  <c r="EC4" i="5"/>
  <c r="EB4" i="5"/>
  <c r="EA4" i="5"/>
  <c r="DV4" i="5"/>
  <c r="DU4" i="5"/>
  <c r="DT4" i="5"/>
  <c r="DS4" i="5"/>
  <c r="DR4" i="5"/>
  <c r="DQ4" i="5"/>
  <c r="DP4" i="5"/>
  <c r="DO4" i="5"/>
  <c r="DN4" i="5"/>
  <c r="DK4" i="5"/>
  <c r="DJ4" i="5"/>
  <c r="DI4" i="5"/>
  <c r="DH4" i="5"/>
  <c r="DG4" i="5"/>
  <c r="DF4" i="5"/>
  <c r="DE4" i="5"/>
  <c r="DD4" i="5"/>
  <c r="DC4" i="5"/>
  <c r="DB4" i="5"/>
  <c r="DA4" i="5"/>
  <c r="CV4" i="5"/>
  <c r="CU4" i="5"/>
  <c r="CT4" i="5"/>
  <c r="CS4" i="5"/>
  <c r="GN4" i="5" s="1"/>
  <c r="CR4" i="5"/>
  <c r="GM4" i="5" s="1"/>
  <c r="CQ4" i="5"/>
  <c r="GL4" i="5" s="1"/>
  <c r="CP4" i="5"/>
  <c r="GJ4" i="5" s="1"/>
  <c r="GK4" i="5" s="1"/>
  <c r="CO4" i="5"/>
  <c r="DZ4" i="5" s="1"/>
  <c r="CN4" i="5"/>
  <c r="DY4" i="5" s="1"/>
  <c r="CM4" i="5"/>
  <c r="DX4" i="5" s="1"/>
  <c r="CL4" i="5"/>
  <c r="DW4" i="5" s="1"/>
  <c r="CG4" i="5" a="1"/>
  <c r="CG4" i="5" s="1"/>
  <c r="AV4" i="5"/>
  <c r="G4" i="5"/>
  <c r="IL3" i="5"/>
  <c r="HX3" i="5" a="1"/>
  <c r="HX3" i="5" s="1"/>
  <c r="IW3" i="5" s="1"/>
  <c r="HW3" i="5" a="1"/>
  <c r="HW3" i="5" s="1"/>
  <c r="IV3" i="5" s="1"/>
  <c r="HV3" i="5" a="1"/>
  <c r="HV3" i="5" s="1"/>
  <c r="IU3" i="5" s="1"/>
  <c r="HU3" i="5" a="1"/>
  <c r="HU3" i="5" s="1"/>
  <c r="IT3" i="5" s="1"/>
  <c r="HT3" i="5" a="1"/>
  <c r="HT3" i="5" s="1"/>
  <c r="IS3" i="5" s="1"/>
  <c r="HS3" i="5" a="1"/>
  <c r="HS3" i="5" s="1"/>
  <c r="IR3" i="5" s="1"/>
  <c r="HR3" i="5" a="1"/>
  <c r="HR3" i="5" s="1"/>
  <c r="IQ3" i="5" s="1"/>
  <c r="HQ3" i="5" a="1"/>
  <c r="HQ3" i="5" s="1"/>
  <c r="IP3" i="5" s="1"/>
  <c r="HP3" i="5" a="1"/>
  <c r="HP3" i="5" s="1"/>
  <c r="IO3" i="5" s="1"/>
  <c r="HL3" i="5"/>
  <c r="HJ3" i="5"/>
  <c r="HH3" i="5"/>
  <c r="HI3" i="5" s="1"/>
  <c r="HB3" i="5"/>
  <c r="HA3" i="5"/>
  <c r="GZ3" i="5"/>
  <c r="GY3" i="5"/>
  <c r="GX3" i="5"/>
  <c r="GW3" i="5"/>
  <c r="GV3" i="5"/>
  <c r="GU3" i="5"/>
  <c r="GT3" i="5"/>
  <c r="GP3" i="5"/>
  <c r="GI3" i="5"/>
  <c r="GH3" i="5"/>
  <c r="GG3" i="5"/>
  <c r="GF3" i="5"/>
  <c r="GE3" i="5"/>
  <c r="GD3" i="5"/>
  <c r="GC3" i="5"/>
  <c r="GB3" i="5"/>
  <c r="GA3" i="5"/>
  <c r="FZ3" i="5"/>
  <c r="FY3" i="5"/>
  <c r="FX3" i="5"/>
  <c r="FW3" i="5"/>
  <c r="FV3" i="5"/>
  <c r="FU3" i="5"/>
  <c r="FT3" i="5"/>
  <c r="FS3" i="5"/>
  <c r="FR3" i="5"/>
  <c r="FQ3" i="5"/>
  <c r="FJ3" i="5"/>
  <c r="FI3" i="5"/>
  <c r="FH3" i="5"/>
  <c r="FG3" i="5"/>
  <c r="FF3" i="5"/>
  <c r="FE3" i="5"/>
  <c r="FD3" i="5"/>
  <c r="FC3" i="5"/>
  <c r="FB3" i="5"/>
  <c r="FA3" i="5"/>
  <c r="EZ3" i="5"/>
  <c r="EY3" i="5"/>
  <c r="EX3" i="5"/>
  <c r="EW3" i="5"/>
  <c r="EV3" i="5"/>
  <c r="EU3" i="5"/>
  <c r="ET3" i="5"/>
  <c r="ES3" i="5"/>
  <c r="ER3" i="5"/>
  <c r="EQ3" i="5"/>
  <c r="EP3" i="5"/>
  <c r="EO3" i="5"/>
  <c r="EN3" i="5"/>
  <c r="EM3" i="5"/>
  <c r="EL3" i="5"/>
  <c r="EK3" i="5"/>
  <c r="EJ3" i="5"/>
  <c r="EI3" i="5"/>
  <c r="EH3" i="5"/>
  <c r="EG3" i="5"/>
  <c r="EF3" i="5"/>
  <c r="EE3" i="5"/>
  <c r="ED3" i="5"/>
  <c r="EC3" i="5"/>
  <c r="EB3" i="5"/>
  <c r="EA3" i="5"/>
  <c r="DV3" i="5"/>
  <c r="DU3" i="5"/>
  <c r="DT3" i="5"/>
  <c r="DS3" i="5"/>
  <c r="DR3" i="5"/>
  <c r="DQ3" i="5"/>
  <c r="DP3" i="5"/>
  <c r="DO3" i="5"/>
  <c r="DN3" i="5"/>
  <c r="DK3" i="5"/>
  <c r="DJ3" i="5"/>
  <c r="DI3" i="5"/>
  <c r="DH3" i="5"/>
  <c r="DG3" i="5"/>
  <c r="DF3" i="5"/>
  <c r="DE3" i="5"/>
  <c r="DD3" i="5"/>
  <c r="DC3" i="5"/>
  <c r="DB3" i="5"/>
  <c r="DA3" i="5"/>
  <c r="CV3" i="5"/>
  <c r="CU3" i="5"/>
  <c r="CT3" i="5"/>
  <c r="CS3" i="5"/>
  <c r="GN3" i="5" s="1"/>
  <c r="CR3" i="5"/>
  <c r="GM3" i="5" s="1"/>
  <c r="CQ3" i="5"/>
  <c r="GL3" i="5" s="1"/>
  <c r="CP3" i="5"/>
  <c r="GJ3" i="5" s="1"/>
  <c r="GK3" i="5" s="1"/>
  <c r="CO3" i="5"/>
  <c r="DZ3" i="5" s="1"/>
  <c r="CN3" i="5"/>
  <c r="DY3" i="5" s="1"/>
  <c r="CM3" i="5"/>
  <c r="DX3" i="5" s="1"/>
  <c r="CL3" i="5"/>
  <c r="DW3" i="5" s="1"/>
  <c r="CG3" i="5" a="1"/>
  <c r="CG3" i="5" s="1"/>
  <c r="IM3" i="5" s="1"/>
  <c r="AV3" i="5"/>
  <c r="G3" i="5"/>
  <c r="IL10" i="5"/>
  <c r="HX10" i="5" a="1"/>
  <c r="HX10" i="5" s="1"/>
  <c r="IW10" i="5" s="1"/>
  <c r="HW10" i="5" a="1"/>
  <c r="HW10" i="5" s="1"/>
  <c r="IV10" i="5" s="1"/>
  <c r="HV10" i="5" a="1"/>
  <c r="HV10" i="5" s="1"/>
  <c r="IU10" i="5" s="1"/>
  <c r="HU10" i="5" a="1"/>
  <c r="HU10" i="5" s="1"/>
  <c r="IT10" i="5" s="1"/>
  <c r="HT10" i="5" a="1"/>
  <c r="HT10" i="5" s="1"/>
  <c r="IS10" i="5" s="1"/>
  <c r="HS10" i="5" a="1"/>
  <c r="HS10" i="5" s="1"/>
  <c r="IR10" i="5" s="1"/>
  <c r="HR10" i="5" a="1"/>
  <c r="HR10" i="5" s="1"/>
  <c r="IQ10" i="5" s="1"/>
  <c r="HQ10" i="5" a="1"/>
  <c r="HQ10" i="5" s="1"/>
  <c r="IP10" i="5" s="1"/>
  <c r="HP10" i="5" a="1"/>
  <c r="HP10" i="5" s="1"/>
  <c r="IO10" i="5" s="1"/>
  <c r="HL10" i="5"/>
  <c r="HJ10" i="5"/>
  <c r="HH10" i="5"/>
  <c r="HI10" i="5" s="1"/>
  <c r="HB10" i="5"/>
  <c r="HA10" i="5"/>
  <c r="GZ10" i="5"/>
  <c r="GY10" i="5"/>
  <c r="GX10" i="5"/>
  <c r="GW10" i="5"/>
  <c r="GV10" i="5"/>
  <c r="GU10" i="5"/>
  <c r="GT10" i="5"/>
  <c r="GP10" i="5"/>
  <c r="GI10" i="5"/>
  <c r="GH10" i="5"/>
  <c r="GG10" i="5"/>
  <c r="GF10" i="5"/>
  <c r="GE10" i="5"/>
  <c r="GD10" i="5"/>
  <c r="GC10" i="5"/>
  <c r="GB10" i="5"/>
  <c r="GA10" i="5"/>
  <c r="FZ10" i="5"/>
  <c r="FY10" i="5"/>
  <c r="FX10" i="5"/>
  <c r="FW10" i="5"/>
  <c r="FV10" i="5"/>
  <c r="FU10" i="5"/>
  <c r="FT10" i="5"/>
  <c r="FS10" i="5"/>
  <c r="FR10" i="5"/>
  <c r="FQ10" i="5"/>
  <c r="FJ10" i="5"/>
  <c r="FI10" i="5"/>
  <c r="FH10" i="5"/>
  <c r="FG10" i="5"/>
  <c r="FF10" i="5"/>
  <c r="FP10" i="5" s="1"/>
  <c r="FE10" i="5"/>
  <c r="FD10" i="5"/>
  <c r="FC10" i="5"/>
  <c r="FB10" i="5"/>
  <c r="FA10" i="5"/>
  <c r="EZ10" i="5"/>
  <c r="EY10" i="5"/>
  <c r="EX10" i="5"/>
  <c r="EW10" i="5"/>
  <c r="EV10" i="5"/>
  <c r="EU10" i="5"/>
  <c r="ET10" i="5"/>
  <c r="ES10" i="5"/>
  <c r="ER10" i="5"/>
  <c r="EQ10" i="5"/>
  <c r="EP10" i="5"/>
  <c r="EO10" i="5"/>
  <c r="EN10" i="5"/>
  <c r="EM10" i="5"/>
  <c r="EL10" i="5"/>
  <c r="EK10" i="5"/>
  <c r="EJ10" i="5"/>
  <c r="EI10" i="5"/>
  <c r="EH10" i="5"/>
  <c r="EG10" i="5"/>
  <c r="EF10" i="5"/>
  <c r="EE10" i="5"/>
  <c r="ED10" i="5"/>
  <c r="EC10" i="5"/>
  <c r="EB10" i="5"/>
  <c r="EA10" i="5"/>
  <c r="DV10" i="5"/>
  <c r="DU10" i="5"/>
  <c r="DT10" i="5"/>
  <c r="DS10" i="5"/>
  <c r="DR10" i="5"/>
  <c r="DQ10" i="5"/>
  <c r="DP10" i="5"/>
  <c r="DO10" i="5"/>
  <c r="DN10" i="5"/>
  <c r="DK10" i="5"/>
  <c r="DJ10" i="5"/>
  <c r="DI10" i="5"/>
  <c r="DH10" i="5"/>
  <c r="DG10" i="5"/>
  <c r="DF10" i="5"/>
  <c r="DE10" i="5"/>
  <c r="DD10" i="5"/>
  <c r="DC10" i="5"/>
  <c r="DB10" i="5"/>
  <c r="DA10" i="5"/>
  <c r="CV10" i="5"/>
  <c r="CU10" i="5"/>
  <c r="CT10" i="5"/>
  <c r="CS10" i="5"/>
  <c r="GN10" i="5" s="1"/>
  <c r="CR10" i="5"/>
  <c r="GM10" i="5" s="1"/>
  <c r="CQ10" i="5"/>
  <c r="GL10" i="5" s="1"/>
  <c r="CP10" i="5"/>
  <c r="GJ10" i="5" s="1"/>
  <c r="GK10" i="5" s="1"/>
  <c r="CO10" i="5"/>
  <c r="DZ10" i="5" s="1"/>
  <c r="CN10" i="5"/>
  <c r="DY10" i="5" s="1"/>
  <c r="CM10" i="5"/>
  <c r="DX10" i="5" s="1"/>
  <c r="CL10" i="5"/>
  <c r="DW10" i="5" s="1"/>
  <c r="CG10" i="5" a="1"/>
  <c r="CG10" i="5" s="1"/>
  <c r="AV10" i="5"/>
  <c r="G10" i="5"/>
  <c r="IL9" i="5"/>
  <c r="HX9" i="5" a="1"/>
  <c r="HX9" i="5" s="1"/>
  <c r="IW9" i="5" s="1"/>
  <c r="HW9" i="5" a="1"/>
  <c r="HW9" i="5" s="1"/>
  <c r="IV9" i="5" s="1"/>
  <c r="HV9" i="5" a="1"/>
  <c r="HV9" i="5" s="1"/>
  <c r="IU9" i="5" s="1"/>
  <c r="HU9" i="5" a="1"/>
  <c r="HU9" i="5" s="1"/>
  <c r="IT9" i="5" s="1"/>
  <c r="HT9" i="5" a="1"/>
  <c r="HT9" i="5" s="1"/>
  <c r="IS9" i="5" s="1"/>
  <c r="HS9" i="5" a="1"/>
  <c r="HS9" i="5" s="1"/>
  <c r="IR9" i="5" s="1"/>
  <c r="HR9" i="5" a="1"/>
  <c r="HR9" i="5" s="1"/>
  <c r="IQ9" i="5" s="1"/>
  <c r="HQ9" i="5" a="1"/>
  <c r="HQ9" i="5" s="1"/>
  <c r="IP9" i="5" s="1"/>
  <c r="HP9" i="5" a="1"/>
  <c r="HP9" i="5" s="1"/>
  <c r="IO9" i="5" s="1"/>
  <c r="HL9" i="5"/>
  <c r="HJ9" i="5"/>
  <c r="HH9" i="5"/>
  <c r="HI9" i="5" s="1"/>
  <c r="HB9" i="5"/>
  <c r="HA9" i="5"/>
  <c r="GZ9" i="5"/>
  <c r="GY9" i="5"/>
  <c r="GX9" i="5"/>
  <c r="GW9" i="5"/>
  <c r="GV9" i="5"/>
  <c r="GU9" i="5"/>
  <c r="GT9" i="5"/>
  <c r="GP9" i="5"/>
  <c r="GI9" i="5"/>
  <c r="GH9" i="5"/>
  <c r="GG9" i="5"/>
  <c r="GF9" i="5"/>
  <c r="GE9" i="5"/>
  <c r="GD9" i="5"/>
  <c r="GC9" i="5"/>
  <c r="GB9" i="5"/>
  <c r="GA9" i="5"/>
  <c r="FZ9" i="5"/>
  <c r="FY9" i="5"/>
  <c r="FX9" i="5"/>
  <c r="FW9" i="5"/>
  <c r="FV9" i="5"/>
  <c r="FU9" i="5"/>
  <c r="FT9" i="5"/>
  <c r="FS9" i="5"/>
  <c r="FR9" i="5"/>
  <c r="FQ9" i="5"/>
  <c r="FJ9" i="5"/>
  <c r="FI9" i="5"/>
  <c r="FH9" i="5"/>
  <c r="FG9" i="5"/>
  <c r="FF9" i="5"/>
  <c r="FE9" i="5"/>
  <c r="FD9" i="5"/>
  <c r="FC9" i="5"/>
  <c r="FB9" i="5"/>
  <c r="FA9" i="5"/>
  <c r="EZ9" i="5"/>
  <c r="EY9" i="5"/>
  <c r="EX9" i="5"/>
  <c r="EW9" i="5"/>
  <c r="EV9" i="5"/>
  <c r="EU9" i="5"/>
  <c r="ET9" i="5"/>
  <c r="ES9" i="5"/>
  <c r="ER9" i="5"/>
  <c r="EQ9" i="5"/>
  <c r="EP9" i="5"/>
  <c r="EO9" i="5"/>
  <c r="EN9" i="5"/>
  <c r="EM9" i="5"/>
  <c r="EL9" i="5"/>
  <c r="EK9" i="5"/>
  <c r="EJ9" i="5"/>
  <c r="EI9" i="5"/>
  <c r="EH9" i="5"/>
  <c r="EG9" i="5"/>
  <c r="EF9" i="5"/>
  <c r="EE9" i="5"/>
  <c r="ED9" i="5"/>
  <c r="EC9" i="5"/>
  <c r="EB9" i="5"/>
  <c r="EA9" i="5"/>
  <c r="DV9" i="5"/>
  <c r="DU9" i="5"/>
  <c r="DT9" i="5"/>
  <c r="DS9" i="5"/>
  <c r="DR9" i="5"/>
  <c r="DQ9" i="5"/>
  <c r="DP9" i="5"/>
  <c r="DO9" i="5"/>
  <c r="DN9" i="5"/>
  <c r="DK9" i="5"/>
  <c r="DJ9" i="5"/>
  <c r="DI9" i="5"/>
  <c r="DH9" i="5"/>
  <c r="DG9" i="5"/>
  <c r="DF9" i="5"/>
  <c r="DE9" i="5"/>
  <c r="DD9" i="5"/>
  <c r="DC9" i="5"/>
  <c r="DB9" i="5"/>
  <c r="DA9" i="5"/>
  <c r="CV9" i="5"/>
  <c r="CU9" i="5"/>
  <c r="CT9" i="5"/>
  <c r="CS9" i="5"/>
  <c r="GN9" i="5" s="1"/>
  <c r="CR9" i="5"/>
  <c r="GM9" i="5" s="1"/>
  <c r="CQ9" i="5"/>
  <c r="GL9" i="5" s="1"/>
  <c r="CP9" i="5"/>
  <c r="GJ9" i="5" s="1"/>
  <c r="GK9" i="5" s="1"/>
  <c r="CO9" i="5"/>
  <c r="DZ9" i="5" s="1"/>
  <c r="CN9" i="5"/>
  <c r="DY9" i="5" s="1"/>
  <c r="CM9" i="5"/>
  <c r="DX9" i="5" s="1"/>
  <c r="CL9" i="5"/>
  <c r="DW9" i="5" s="1"/>
  <c r="CG9" i="5" a="1"/>
  <c r="CG9" i="5" s="1"/>
  <c r="AV9" i="5"/>
  <c r="G9" i="5"/>
  <c r="IL2" i="5"/>
  <c r="HX2" i="5" a="1"/>
  <c r="HX2" i="5" s="1"/>
  <c r="IW2" i="5" s="1"/>
  <c r="HW2" i="5" a="1"/>
  <c r="HW2" i="5" s="1"/>
  <c r="IV2" i="5" s="1"/>
  <c r="HV2" i="5" a="1"/>
  <c r="HV2" i="5" s="1"/>
  <c r="IU2" i="5" s="1"/>
  <c r="HU2" i="5" a="1"/>
  <c r="HU2" i="5" s="1"/>
  <c r="IT2" i="5" s="1"/>
  <c r="HT2" i="5" a="1"/>
  <c r="HT2" i="5" s="1"/>
  <c r="IS2" i="5" s="1"/>
  <c r="HS2" i="5" a="1"/>
  <c r="HS2" i="5" s="1"/>
  <c r="IR2" i="5" s="1"/>
  <c r="HR2" i="5" a="1"/>
  <c r="HR2" i="5" s="1"/>
  <c r="IQ2" i="5" s="1"/>
  <c r="HQ2" i="5" a="1"/>
  <c r="HQ2" i="5" s="1"/>
  <c r="IP2" i="5" s="1"/>
  <c r="HP2" i="5" a="1"/>
  <c r="HP2" i="5" s="1"/>
  <c r="IO2" i="5" s="1"/>
  <c r="HL2" i="5"/>
  <c r="HJ2" i="5"/>
  <c r="HH2" i="5"/>
  <c r="HI2" i="5" s="1"/>
  <c r="HB2" i="5"/>
  <c r="HA2" i="5"/>
  <c r="GZ2" i="5"/>
  <c r="GY2" i="5"/>
  <c r="GX2" i="5"/>
  <c r="GW2" i="5"/>
  <c r="GV2" i="5"/>
  <c r="GU2" i="5"/>
  <c r="GT2" i="5"/>
  <c r="GP2" i="5"/>
  <c r="GI2" i="5"/>
  <c r="GH2" i="5"/>
  <c r="GG2" i="5"/>
  <c r="GF2" i="5"/>
  <c r="GE2" i="5"/>
  <c r="GD2" i="5"/>
  <c r="GC2" i="5"/>
  <c r="GB2" i="5"/>
  <c r="GA2" i="5"/>
  <c r="FZ2" i="5"/>
  <c r="FY2" i="5"/>
  <c r="FX2" i="5"/>
  <c r="FW2" i="5"/>
  <c r="FV2" i="5"/>
  <c r="FU2" i="5"/>
  <c r="FT2" i="5"/>
  <c r="FS2" i="5"/>
  <c r="FR2" i="5"/>
  <c r="FQ2" i="5"/>
  <c r="FJ2" i="5"/>
  <c r="FI2" i="5"/>
  <c r="FH2" i="5"/>
  <c r="FG2" i="5"/>
  <c r="FF2" i="5"/>
  <c r="FE2" i="5"/>
  <c r="FD2" i="5"/>
  <c r="FC2" i="5"/>
  <c r="FB2" i="5"/>
  <c r="FA2" i="5"/>
  <c r="EZ2" i="5"/>
  <c r="EY2" i="5"/>
  <c r="EX2" i="5"/>
  <c r="EW2" i="5"/>
  <c r="EV2" i="5"/>
  <c r="EU2" i="5"/>
  <c r="ET2" i="5"/>
  <c r="ES2" i="5"/>
  <c r="ER2" i="5"/>
  <c r="EQ2" i="5"/>
  <c r="EP2" i="5"/>
  <c r="EO2" i="5"/>
  <c r="EN2" i="5"/>
  <c r="EM2" i="5"/>
  <c r="EL2" i="5"/>
  <c r="EK2" i="5"/>
  <c r="EJ2" i="5"/>
  <c r="EI2" i="5"/>
  <c r="EH2" i="5"/>
  <c r="EG2" i="5"/>
  <c r="EF2" i="5"/>
  <c r="EE2" i="5"/>
  <c r="ED2" i="5"/>
  <c r="EC2" i="5"/>
  <c r="EB2" i="5"/>
  <c r="EA2" i="5"/>
  <c r="DV2" i="5"/>
  <c r="DU2" i="5"/>
  <c r="DT2" i="5"/>
  <c r="DS2" i="5"/>
  <c r="DR2" i="5"/>
  <c r="DQ2" i="5"/>
  <c r="DP2" i="5"/>
  <c r="DO2" i="5"/>
  <c r="DN2" i="5"/>
  <c r="DK2" i="5"/>
  <c r="DJ2" i="5"/>
  <c r="DI2" i="5"/>
  <c r="DH2" i="5"/>
  <c r="DG2" i="5"/>
  <c r="DF2" i="5"/>
  <c r="DE2" i="5"/>
  <c r="DD2" i="5"/>
  <c r="DC2" i="5"/>
  <c r="DB2" i="5"/>
  <c r="DA2" i="5"/>
  <c r="CV2" i="5"/>
  <c r="CU2" i="5"/>
  <c r="CT2" i="5"/>
  <c r="CS2" i="5"/>
  <c r="GN2" i="5" s="1"/>
  <c r="CR2" i="5"/>
  <c r="GM2" i="5" s="1"/>
  <c r="CQ2" i="5"/>
  <c r="GL2" i="5" s="1"/>
  <c r="CP2" i="5"/>
  <c r="GJ2" i="5" s="1"/>
  <c r="GK2" i="5" s="1"/>
  <c r="CO2" i="5"/>
  <c r="DZ2" i="5" s="1"/>
  <c r="CN2" i="5"/>
  <c r="DY2" i="5" s="1"/>
  <c r="CM2" i="5"/>
  <c r="DX2" i="5" s="1"/>
  <c r="CL2" i="5"/>
  <c r="DW2" i="5" s="1"/>
  <c r="CG2" i="5" a="1"/>
  <c r="CG2" i="5" s="1"/>
  <c r="AV2" i="5"/>
  <c r="AX2" i="5" s="1"/>
  <c r="G2" i="5"/>
  <c r="FM17" i="5" l="1"/>
  <c r="FK16" i="5"/>
  <c r="IN16" i="5"/>
  <c r="IX16" i="5" s="1"/>
  <c r="FM10" i="5"/>
  <c r="FN6" i="5"/>
  <c r="FL18" i="5"/>
  <c r="DL5" i="5"/>
  <c r="FK8" i="5"/>
  <c r="FK14" i="5"/>
  <c r="FL8" i="5"/>
  <c r="FM8" i="5"/>
  <c r="FK18" i="5"/>
  <c r="FO12" i="5"/>
  <c r="FO19" i="5"/>
  <c r="FK21" i="5"/>
  <c r="FN10" i="5"/>
  <c r="FM7" i="5"/>
  <c r="FL21" i="5"/>
  <c r="FO8" i="5"/>
  <c r="FL13" i="5"/>
  <c r="FL10" i="5"/>
  <c r="CI17" i="5"/>
  <c r="CX17" i="5" s="1"/>
  <c r="FM12" i="5"/>
  <c r="CK17" i="5"/>
  <c r="CZ17" i="5" s="1"/>
  <c r="FN3" i="5"/>
  <c r="FM6" i="5"/>
  <c r="FM21" i="5"/>
  <c r="FO20" i="5"/>
  <c r="CK7" i="5"/>
  <c r="CZ7" i="5" s="1"/>
  <c r="IM7" i="5"/>
  <c r="DM7" i="5" a="1"/>
  <c r="DM7" i="5" s="1"/>
  <c r="DL7" i="5"/>
  <c r="CJ7" i="5"/>
  <c r="CY7" i="5" s="1"/>
  <c r="CI7" i="5"/>
  <c r="CX7" i="5" s="1"/>
  <c r="IN14" i="5"/>
  <c r="IX14" i="5" s="1"/>
  <c r="CH14" i="5"/>
  <c r="CW14" i="5" s="1"/>
  <c r="FK7" i="5"/>
  <c r="FO2" i="5"/>
  <c r="FN12" i="5"/>
  <c r="FK20" i="5"/>
  <c r="CI14" i="5"/>
  <c r="CX14" i="5" s="1"/>
  <c r="FM13" i="5"/>
  <c r="DL21" i="5"/>
  <c r="FL20" i="5"/>
  <c r="CK14" i="5"/>
  <c r="CZ14" i="5" s="1"/>
  <c r="DM14" i="5" a="1"/>
  <c r="DM14" i="5" s="1"/>
  <c r="DM21" i="5" a="1"/>
  <c r="DM21" i="5" s="1"/>
  <c r="CI21" i="5"/>
  <c r="CX21" i="5" s="1"/>
  <c r="FL7" i="5"/>
  <c r="FP3" i="5"/>
  <c r="FK3" i="5"/>
  <c r="HC3" i="5"/>
  <c r="FK4" i="5"/>
  <c r="FL12" i="5"/>
  <c r="FN14" i="5"/>
  <c r="FM16" i="5"/>
  <c r="FM20" i="5"/>
  <c r="HC19" i="5"/>
  <c r="FM18" i="5"/>
  <c r="FO11" i="5"/>
  <c r="FK13" i="5"/>
  <c r="FO3" i="5"/>
  <c r="FK17" i="5"/>
  <c r="FM3" i="5"/>
  <c r="CI12" i="5"/>
  <c r="CX12" i="5" s="1"/>
  <c r="FL3" i="5"/>
  <c r="FK6" i="5"/>
  <c r="HC6" i="5"/>
  <c r="FO5" i="5"/>
  <c r="FL6" i="5"/>
  <c r="FO14" i="5"/>
  <c r="CJ20" i="5"/>
  <c r="CY20" i="5" s="1"/>
  <c r="DL20" i="5"/>
  <c r="CI20" i="5"/>
  <c r="CX20" i="5" s="1"/>
  <c r="IN3" i="5"/>
  <c r="IX3" i="5" s="1"/>
  <c r="DM12" i="5" a="1"/>
  <c r="DM12" i="5" s="1"/>
  <c r="HC14" i="5"/>
  <c r="FL15" i="5"/>
  <c r="HC13" i="5"/>
  <c r="IM16" i="5"/>
  <c r="CI16" i="5"/>
  <c r="CX16" i="5" s="1"/>
  <c r="FK15" i="5"/>
  <c r="FO10" i="5"/>
  <c r="FL4" i="5"/>
  <c r="FK5" i="5"/>
  <c r="IM12" i="5"/>
  <c r="FM4" i="5"/>
  <c r="FL5" i="5"/>
  <c r="HC11" i="5"/>
  <c r="IM15" i="5"/>
  <c r="CJ16" i="5"/>
  <c r="CY16" i="5" s="1"/>
  <c r="DL16" i="5"/>
  <c r="FN2" i="5"/>
  <c r="FN8" i="5"/>
  <c r="DM5" i="5" a="1"/>
  <c r="DM5" i="5" s="1"/>
  <c r="FM5" i="5"/>
  <c r="IN17" i="5"/>
  <c r="IX17" i="5" s="1"/>
  <c r="CK16" i="5"/>
  <c r="CZ16" i="5" s="1"/>
  <c r="DM16" i="5" a="1"/>
  <c r="DM16" i="5" s="1"/>
  <c r="HC8" i="5"/>
  <c r="HC17" i="5"/>
  <c r="FO9" i="5"/>
  <c r="FK10" i="5"/>
  <c r="FN21" i="5"/>
  <c r="IN15" i="5"/>
  <c r="IX15" i="5" s="1"/>
  <c r="CK15" i="5"/>
  <c r="CZ15" i="5" s="1"/>
  <c r="HC2" i="5"/>
  <c r="FL14" i="5"/>
  <c r="FM14" i="5"/>
  <c r="FO13" i="5"/>
  <c r="FL16" i="5"/>
  <c r="DL3" i="5"/>
  <c r="CJ3" i="5"/>
  <c r="CY3" i="5" s="1"/>
  <c r="CH3" i="5"/>
  <c r="CW3" i="5" s="1"/>
  <c r="DM3" i="5" a="1"/>
  <c r="DM3" i="5" s="1"/>
  <c r="CK3" i="5"/>
  <c r="CZ3" i="5" s="1"/>
  <c r="CI3" i="5"/>
  <c r="CX3" i="5" s="1"/>
  <c r="CJ6" i="5"/>
  <c r="CY6" i="5" s="1"/>
  <c r="DL6" i="5"/>
  <c r="IN6" i="5"/>
  <c r="IX6" i="5" s="1"/>
  <c r="IM6" i="5"/>
  <c r="CK6" i="5"/>
  <c r="CZ6" i="5" s="1"/>
  <c r="CH6" i="5"/>
  <c r="CW6" i="5" s="1"/>
  <c r="CI6" i="5"/>
  <c r="CX6" i="5" s="1"/>
  <c r="DM6" i="5" a="1"/>
  <c r="DM6" i="5" s="1"/>
  <c r="CK9" i="5"/>
  <c r="CZ9" i="5" s="1"/>
  <c r="CJ9" i="5"/>
  <c r="CY9" i="5" s="1"/>
  <c r="CH9" i="5"/>
  <c r="CW9" i="5" s="1"/>
  <c r="IM9" i="5"/>
  <c r="IN9" i="5"/>
  <c r="IX9" i="5" s="1"/>
  <c r="DM9" i="5" a="1"/>
  <c r="DM9" i="5" s="1"/>
  <c r="DL9" i="5"/>
  <c r="CI9" i="5"/>
  <c r="CX9" i="5" s="1"/>
  <c r="CK10" i="5"/>
  <c r="CZ10" i="5" s="1"/>
  <c r="CI10" i="5"/>
  <c r="CX10" i="5" s="1"/>
  <c r="IM10" i="5"/>
  <c r="CH10" i="5"/>
  <c r="CW10" i="5" s="1"/>
  <c r="DM10" i="5" a="1"/>
  <c r="DM10" i="5" s="1"/>
  <c r="IN10" i="5"/>
  <c r="IX10" i="5" s="1"/>
  <c r="DL10" i="5"/>
  <c r="CJ10" i="5"/>
  <c r="CY10" i="5" s="1"/>
  <c r="DL2" i="5"/>
  <c r="IM2" i="5"/>
  <c r="CJ2" i="5"/>
  <c r="CY2" i="5" s="1"/>
  <c r="CK2" i="5"/>
  <c r="CZ2" i="5" s="1"/>
  <c r="CH2" i="5"/>
  <c r="CW2" i="5" s="1"/>
  <c r="IN2" i="5"/>
  <c r="IX2" i="5" s="1"/>
  <c r="DM2" i="5" a="1"/>
  <c r="DM2" i="5" s="1"/>
  <c r="CI2" i="5"/>
  <c r="CX2" i="5" s="1"/>
  <c r="FP9" i="5"/>
  <c r="FN9" i="5"/>
  <c r="FL9" i="5"/>
  <c r="DM4" i="5" a="1"/>
  <c r="DM4" i="5" s="1"/>
  <c r="DL4" i="5"/>
  <c r="IN4" i="5"/>
  <c r="IX4" i="5" s="1"/>
  <c r="CK4" i="5"/>
  <c r="CZ4" i="5" s="1"/>
  <c r="FL2" i="5"/>
  <c r="FM9" i="5"/>
  <c r="CH4" i="5"/>
  <c r="CW4" i="5" s="1"/>
  <c r="IM4" i="5"/>
  <c r="FO4" i="5"/>
  <c r="FN4" i="5"/>
  <c r="FK2" i="5"/>
  <c r="IQ15" i="5"/>
  <c r="DL15" i="5"/>
  <c r="FM2" i="5"/>
  <c r="FK9" i="5"/>
  <c r="CI4" i="5"/>
  <c r="CX4" i="5" s="1"/>
  <c r="FM11" i="5"/>
  <c r="FP11" i="5"/>
  <c r="FN11" i="5"/>
  <c r="CJ4" i="5"/>
  <c r="CY4" i="5" s="1"/>
  <c r="FL11" i="5"/>
  <c r="FP2" i="5"/>
  <c r="HC4" i="5"/>
  <c r="FN19" i="5"/>
  <c r="FM19" i="5"/>
  <c r="FL19" i="5"/>
  <c r="FK19" i="5"/>
  <c r="FO15" i="5"/>
  <c r="FN15" i="5"/>
  <c r="HC10" i="5"/>
  <c r="IO14" i="5"/>
  <c r="DL14" i="5"/>
  <c r="CI13" i="5"/>
  <c r="CX13" i="5" s="1"/>
  <c r="DM13" i="5" a="1"/>
  <c r="DM13" i="5" s="1"/>
  <c r="IN13" i="5"/>
  <c r="IX13" i="5" s="1"/>
  <c r="DL13" i="5"/>
  <c r="HC9" i="5"/>
  <c r="CH8" i="5"/>
  <c r="CW8" i="5" s="1"/>
  <c r="FP19" i="5"/>
  <c r="CJ18" i="5"/>
  <c r="CY18" i="5" s="1"/>
  <c r="IN18" i="5"/>
  <c r="IX18" i="5" s="1"/>
  <c r="CH18" i="5"/>
  <c r="CW18" i="5" s="1"/>
  <c r="IM18" i="5"/>
  <c r="DM18" i="5" a="1"/>
  <c r="DM18" i="5" s="1"/>
  <c r="DL18" i="5"/>
  <c r="CK18" i="5"/>
  <c r="CZ18" i="5" s="1"/>
  <c r="CI18" i="5"/>
  <c r="CX18" i="5" s="1"/>
  <c r="IM11" i="5"/>
  <c r="DM11" i="5" a="1"/>
  <c r="DM11" i="5" s="1"/>
  <c r="DL11" i="5"/>
  <c r="IN11" i="5"/>
  <c r="IX11" i="5" s="1"/>
  <c r="CJ11" i="5"/>
  <c r="CY11" i="5" s="1"/>
  <c r="CK11" i="5"/>
  <c r="CZ11" i="5" s="1"/>
  <c r="CI11" i="5"/>
  <c r="CX11" i="5" s="1"/>
  <c r="CH11" i="5"/>
  <c r="CW11" i="5" s="1"/>
  <c r="CH13" i="5"/>
  <c r="CW13" i="5" s="1"/>
  <c r="CK5" i="5"/>
  <c r="CZ5" i="5" s="1"/>
  <c r="CI5" i="5"/>
  <c r="CX5" i="5" s="1"/>
  <c r="CJ5" i="5"/>
  <c r="CY5" i="5" s="1"/>
  <c r="CH5" i="5"/>
  <c r="CW5" i="5" s="1"/>
  <c r="IM5" i="5"/>
  <c r="CI19" i="5"/>
  <c r="CX19" i="5" s="1"/>
  <c r="DM19" i="5" a="1"/>
  <c r="DM19" i="5" s="1"/>
  <c r="CK19" i="5"/>
  <c r="CZ19" i="5" s="1"/>
  <c r="CJ19" i="5"/>
  <c r="CY19" i="5" s="1"/>
  <c r="CH19" i="5"/>
  <c r="CW19" i="5" s="1"/>
  <c r="IN19" i="5"/>
  <c r="IX19" i="5" s="1"/>
  <c r="IM19" i="5"/>
  <c r="DL19" i="5"/>
  <c r="FO22" i="5"/>
  <c r="FN22" i="5"/>
  <c r="CJ13" i="5"/>
  <c r="CY13" i="5" s="1"/>
  <c r="DL8" i="5"/>
  <c r="IN8" i="5"/>
  <c r="IX8" i="5" s="1"/>
  <c r="CK8" i="5"/>
  <c r="CZ8" i="5" s="1"/>
  <c r="IM8" i="5"/>
  <c r="CJ8" i="5"/>
  <c r="CY8" i="5" s="1"/>
  <c r="CI8" i="5"/>
  <c r="CX8" i="5" s="1"/>
  <c r="HC18" i="5"/>
  <c r="FO7" i="5"/>
  <c r="FN7" i="5"/>
  <c r="FP22" i="5"/>
  <c r="FM22" i="5"/>
  <c r="CK13" i="5"/>
  <c r="CZ13" i="5" s="1"/>
  <c r="IN7" i="5"/>
  <c r="IX7" i="5" s="1"/>
  <c r="HC12" i="5"/>
  <c r="FO18" i="5"/>
  <c r="FN18" i="5"/>
  <c r="HC20" i="5"/>
  <c r="DL22" i="5"/>
  <c r="IN22" i="5"/>
  <c r="IX22" i="5" s="1"/>
  <c r="DM22" i="5" a="1"/>
  <c r="DM22" i="5" s="1"/>
  <c r="IM22" i="5"/>
  <c r="FK22" i="5"/>
  <c r="FM15" i="5"/>
  <c r="HC15" i="5"/>
  <c r="FP17" i="5"/>
  <c r="FN17" i="5"/>
  <c r="HC5" i="5"/>
  <c r="FO6" i="5"/>
  <c r="FP12" i="5"/>
  <c r="FK12" i="5"/>
  <c r="IM20" i="5"/>
  <c r="DM20" i="5" a="1"/>
  <c r="DM20" i="5" s="1"/>
  <c r="CK20" i="5"/>
  <c r="CZ20" i="5" s="1"/>
  <c r="CH20" i="5"/>
  <c r="CW20" i="5" s="1"/>
  <c r="IN20" i="5"/>
  <c r="IX20" i="5" s="1"/>
  <c r="FP20" i="5"/>
  <c r="FN20" i="5"/>
  <c r="CH22" i="5"/>
  <c r="CW22" i="5" s="1"/>
  <c r="FL22" i="5"/>
  <c r="HC16" i="5"/>
  <c r="CI22" i="5"/>
  <c r="CX22" i="5" s="1"/>
  <c r="HC22" i="5"/>
  <c r="CJ17" i="5"/>
  <c r="CY17" i="5" s="1"/>
  <c r="DM17" i="5" a="1"/>
  <c r="DM17" i="5" s="1"/>
  <c r="DL17" i="5"/>
  <c r="FN5" i="5"/>
  <c r="CH7" i="5"/>
  <c r="CW7" i="5" s="1"/>
  <c r="HC7" i="5"/>
  <c r="CJ22" i="5"/>
  <c r="CY22" i="5" s="1"/>
  <c r="CH17" i="5"/>
  <c r="CW17" i="5" s="1"/>
  <c r="DL12" i="5"/>
  <c r="CK12" i="5"/>
  <c r="CZ12" i="5" s="1"/>
  <c r="CJ12" i="5"/>
  <c r="CY12" i="5" s="1"/>
  <c r="IN21" i="5"/>
  <c r="IX21" i="5" s="1"/>
  <c r="IM21" i="5"/>
  <c r="CH12" i="5"/>
  <c r="CW12" i="5" s="1"/>
  <c r="CH21" i="5"/>
  <c r="CW21" i="5" s="1"/>
  <c r="HC21" i="5"/>
  <c r="FO21" i="5"/>
  <c r="CH15" i="5"/>
  <c r="CW15" i="5" s="1"/>
  <c r="CI15" i="5"/>
  <c r="CX15" i="5" s="1"/>
  <c r="CJ21" i="5"/>
  <c r="CY21" i="5" s="1"/>
  <c r="CJ15" i="5"/>
  <c r="CY15" i="5" s="1"/>
  <c r="FO17" i="5"/>
  <c r="FK11" i="5"/>
  <c r="CJ14" i="5"/>
  <c r="CY14" i="5" s="1"/>
  <c r="FL17" i="5"/>
  <c r="FN16" i="5"/>
  <c r="FO16" i="5"/>
  <c r="GS16" i="5" l="1"/>
  <c r="HN16" i="5" s="1"/>
  <c r="GS14" i="5"/>
  <c r="HG14" i="5" s="1"/>
  <c r="GS12" i="5"/>
  <c r="HN12" i="5" s="1"/>
  <c r="GS5" i="5"/>
  <c r="HN5" i="5" s="1"/>
  <c r="GS10" i="5"/>
  <c r="HG10" i="5" s="1"/>
  <c r="GS15" i="5"/>
  <c r="HM15" i="5" s="1"/>
  <c r="HF12" i="5"/>
  <c r="GS11" i="5"/>
  <c r="GS20" i="5"/>
  <c r="HG20" i="5" s="1"/>
  <c r="GS4" i="5"/>
  <c r="HG4" i="5" s="1"/>
  <c r="GS7" i="5"/>
  <c r="HG7" i="5" s="1"/>
  <c r="GS18" i="5"/>
  <c r="HM18" i="5" s="1"/>
  <c r="GS6" i="5"/>
  <c r="GS8" i="5"/>
  <c r="GS9" i="5"/>
  <c r="GS17" i="5"/>
  <c r="GS13" i="5"/>
  <c r="GS22" i="5"/>
  <c r="HN22" i="5" s="1"/>
  <c r="GS19" i="5"/>
  <c r="GS3" i="5"/>
  <c r="GS21" i="5"/>
  <c r="HG21" i="5" s="1"/>
  <c r="GS2" i="5"/>
  <c r="HM14" i="5" l="1"/>
  <c r="HN14" i="5"/>
  <c r="HM12" i="5"/>
  <c r="HG5" i="5"/>
  <c r="HF14" i="5"/>
  <c r="HG12" i="5"/>
  <c r="HG16" i="5"/>
  <c r="HM16" i="5"/>
  <c r="HF16" i="5"/>
  <c r="HG18" i="5"/>
  <c r="HM22" i="5"/>
  <c r="HM20" i="5"/>
  <c r="HN10" i="5"/>
  <c r="HN4" i="5"/>
  <c r="HF21" i="5"/>
  <c r="HM10" i="5"/>
  <c r="HF18" i="5"/>
  <c r="HF10" i="5"/>
  <c r="HG15" i="5"/>
  <c r="HM5" i="5"/>
  <c r="HF5" i="5"/>
  <c r="HM13" i="5"/>
  <c r="HN13" i="5"/>
  <c r="HG13" i="5"/>
  <c r="HF13" i="5"/>
  <c r="HF22" i="5"/>
  <c r="HM4" i="5"/>
  <c r="HN20" i="5"/>
  <c r="HF4" i="5"/>
  <c r="HN2" i="5"/>
  <c r="HM2" i="5"/>
  <c r="HF2" i="5"/>
  <c r="HG2" i="5"/>
  <c r="HN18" i="5"/>
  <c r="HF7" i="5"/>
  <c r="HM17" i="5"/>
  <c r="HF17" i="5"/>
  <c r="HN17" i="5"/>
  <c r="HG17" i="5"/>
  <c r="HF15" i="5"/>
  <c r="HN15" i="5"/>
  <c r="HN19" i="5"/>
  <c r="HM19" i="5"/>
  <c r="HG19" i="5"/>
  <c r="HF19" i="5"/>
  <c r="HF11" i="5"/>
  <c r="HM11" i="5"/>
  <c r="HN11" i="5"/>
  <c r="HG11" i="5"/>
  <c r="HG3" i="5"/>
  <c r="HF3" i="5"/>
  <c r="HN3" i="5"/>
  <c r="HM3" i="5"/>
  <c r="HG22" i="5"/>
  <c r="HM7" i="5"/>
  <c r="HN9" i="5"/>
  <c r="HG9" i="5"/>
  <c r="HM9" i="5"/>
  <c r="HF9" i="5"/>
  <c r="HN7" i="5"/>
  <c r="HF20" i="5"/>
  <c r="HN21" i="5"/>
  <c r="HM21" i="5"/>
  <c r="HM6" i="5"/>
  <c r="HG6" i="5"/>
  <c r="HN6" i="5"/>
  <c r="HF6" i="5"/>
  <c r="HG8" i="5"/>
  <c r="HM8" i="5"/>
  <c r="HN8" i="5"/>
  <c r="HF8" i="5"/>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18">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futureMetadata>
  <cellMetadata count="1">
    <bk>
      <rc t="1" v="0"/>
    </bk>
  </cellMetadata>
  <valueMetadata count="118">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valueMetadata>
</metadata>
</file>

<file path=xl/sharedStrings.xml><?xml version="1.0" encoding="utf-8"?>
<sst xmlns="http://schemas.openxmlformats.org/spreadsheetml/2006/main" count="11802" uniqueCount="1169">
  <si>
    <t>Country</t>
  </si>
  <si>
    <t>IMG</t>
  </si>
  <si>
    <t>LEVEL</t>
  </si>
  <si>
    <t xml:space="preserve"> </t>
  </si>
  <si>
    <t>Subtype</t>
  </si>
  <si>
    <t>Puzzle</t>
  </si>
  <si>
    <t>Population 2023</t>
  </si>
  <si>
    <t>Tourists 2023</t>
  </si>
  <si>
    <t>Regional</t>
  </si>
  <si>
    <t>Avg</t>
  </si>
  <si>
    <t>Flag Date</t>
  </si>
  <si>
    <t>Description</t>
  </si>
  <si>
    <t>Word count</t>
  </si>
  <si>
    <t>Bands</t>
  </si>
  <si>
    <t>Diagon</t>
  </si>
  <si>
    <t>Crosse</t>
  </si>
  <si>
    <t>Horizo</t>
  </si>
  <si>
    <t>Vertic</t>
  </si>
  <si>
    <t>Circle</t>
  </si>
  <si>
    <t>Animal</t>
  </si>
  <si>
    <t>Bird</t>
  </si>
  <si>
    <t>Plants</t>
  </si>
  <si>
    <t>Texted</t>
  </si>
  <si>
    <t>Weapon</t>
  </si>
  <si>
    <t>HasSun</t>
  </si>
  <si>
    <t>IsMoon</t>
  </si>
  <si>
    <t>Trside</t>
  </si>
  <si>
    <t>Unequa</t>
  </si>
  <si>
    <t>Center</t>
  </si>
  <si>
    <t>Canton</t>
  </si>
  <si>
    <t>Nordic</t>
  </si>
  <si>
    <t>OnlyBa</t>
  </si>
  <si>
    <t>Wavess</t>
  </si>
  <si>
    <t>Geogrh</t>
  </si>
  <si>
    <t>Humans</t>
  </si>
  <si>
    <t>Builds</t>
  </si>
  <si>
    <t>Ships!</t>
  </si>
  <si>
    <t>Crowns</t>
  </si>
  <si>
    <t>Rotate</t>
  </si>
  <si>
    <t>Waters</t>
  </si>
  <si>
    <t>Stars</t>
  </si>
  <si>
    <t>Region1</t>
  </si>
  <si>
    <t>Region2</t>
  </si>
  <si>
    <t>Region3</t>
  </si>
  <si>
    <t>Island</t>
  </si>
  <si>
    <t>StarCL</t>
  </si>
  <si>
    <t>Myr</t>
  </si>
  <si>
    <t>BANDA</t>
  </si>
  <si>
    <t>BANDM</t>
  </si>
  <si>
    <t>BANDF</t>
  </si>
  <si>
    <t>OTHER0</t>
  </si>
  <si>
    <t>OTHER1</t>
  </si>
  <si>
    <t>Colors</t>
  </si>
  <si>
    <t>UNION</t>
  </si>
  <si>
    <t>ntWHYE</t>
  </si>
  <si>
    <t>ntREWH</t>
  </si>
  <si>
    <t>diagoband</t>
  </si>
  <si>
    <t>Landlocked</t>
  </si>
  <si>
    <t>EU</t>
  </si>
  <si>
    <t>Arabic Official</t>
  </si>
  <si>
    <t>Post Soviet</t>
  </si>
  <si>
    <t>Southern Cross</t>
  </si>
  <si>
    <t>Maps</t>
  </si>
  <si>
    <t>Monarchy</t>
  </si>
  <si>
    <t>2Color</t>
  </si>
  <si>
    <t>3Color</t>
  </si>
  <si>
    <t>4Color</t>
  </si>
  <si>
    <t>5+Colo</t>
  </si>
  <si>
    <t>NoBand</t>
  </si>
  <si>
    <t>2Bands</t>
  </si>
  <si>
    <t>3Bands</t>
  </si>
  <si>
    <t>4+Band</t>
  </si>
  <si>
    <t>NoStar</t>
  </si>
  <si>
    <t>1Stars</t>
  </si>
  <si>
    <t>2Stars</t>
  </si>
  <si>
    <t>3+Star</t>
  </si>
  <si>
    <t>Name</t>
  </si>
  <si>
    <t>Flag</t>
  </si>
  <si>
    <t>2 Colors</t>
  </si>
  <si>
    <t>3 Colors</t>
  </si>
  <si>
    <t>5+ Colors</t>
  </si>
  <si>
    <t>words2</t>
  </si>
  <si>
    <t>words3</t>
  </si>
  <si>
    <t>exact2</t>
  </si>
  <si>
    <t>letter</t>
  </si>
  <si>
    <t>starts</t>
  </si>
  <si>
    <t>contains tan</t>
  </si>
  <si>
    <t>contains q</t>
  </si>
  <si>
    <t>contains V</t>
  </si>
  <si>
    <t>contains W</t>
  </si>
  <si>
    <t>contains Y</t>
  </si>
  <si>
    <t>contains Z</t>
  </si>
  <si>
    <t>color2only</t>
  </si>
  <si>
    <t>color3only</t>
  </si>
  <si>
    <t>year18</t>
  </si>
  <si>
    <t>year19</t>
  </si>
  <si>
    <t>year00</t>
  </si>
  <si>
    <t>post soviet</t>
  </si>
  <si>
    <t>only vertical</t>
  </si>
  <si>
    <t>only horizontal</t>
  </si>
  <si>
    <t>only diagonal</t>
  </si>
  <si>
    <t>Lcross</t>
  </si>
  <si>
    <t>No Bands</t>
  </si>
  <si>
    <t>2 Bands</t>
  </si>
  <si>
    <t>3 Bands</t>
  </si>
  <si>
    <t>4+ Bands</t>
  </si>
  <si>
    <t>Diagonal</t>
  </si>
  <si>
    <t>Cross</t>
  </si>
  <si>
    <t>Horizontal</t>
  </si>
  <si>
    <t>Vertical</t>
  </si>
  <si>
    <t>Text</t>
  </si>
  <si>
    <t>Has Sun</t>
  </si>
  <si>
    <t>Moon</t>
  </si>
  <si>
    <t>Nordics</t>
  </si>
  <si>
    <t>Mounts</t>
  </si>
  <si>
    <t>Ships</t>
  </si>
  <si>
    <t>Star01</t>
  </si>
  <si>
    <t>Star02</t>
  </si>
  <si>
    <t>Star03</t>
  </si>
  <si>
    <t>NO_BLU</t>
  </si>
  <si>
    <t>NO_WHI</t>
  </si>
  <si>
    <t>NO_RED</t>
  </si>
  <si>
    <t>NO_GRE</t>
  </si>
  <si>
    <t>NO_YEL</t>
  </si>
  <si>
    <t>NO_BLA</t>
  </si>
  <si>
    <t>WHGRNO</t>
  </si>
  <si>
    <t>WHYENO</t>
  </si>
  <si>
    <t>BAWHNO</t>
  </si>
  <si>
    <t>BLWHINO</t>
  </si>
  <si>
    <t>BLRENO</t>
  </si>
  <si>
    <t>WHRENO</t>
  </si>
  <si>
    <t>Band01</t>
  </si>
  <si>
    <t>Band02</t>
  </si>
  <si>
    <t>Band03</t>
  </si>
  <si>
    <t>myr</t>
  </si>
  <si>
    <t>Landlock</t>
  </si>
  <si>
    <t>NOT EU</t>
  </si>
  <si>
    <t>Arabic</t>
  </si>
  <si>
    <t>English</t>
  </si>
  <si>
    <t>French</t>
  </si>
  <si>
    <t>Spanish</t>
  </si>
  <si>
    <t>Portuguese</t>
  </si>
  <si>
    <t>German</t>
  </si>
  <si>
    <t>Dutch</t>
  </si>
  <si>
    <t>Histor</t>
  </si>
  <si>
    <t>Canton Jack</t>
  </si>
  <si>
    <t>No Star</t>
  </si>
  <si>
    <t>HasSta</t>
  </si>
  <si>
    <t>1 Star</t>
  </si>
  <si>
    <t>2 Stars</t>
  </si>
  <si>
    <t>3+Stars</t>
  </si>
  <si>
    <t>Type</t>
  </si>
  <si>
    <t>Day</t>
  </si>
  <si>
    <t>BLA</t>
  </si>
  <si>
    <t>BLU</t>
  </si>
  <si>
    <t>GRE</t>
  </si>
  <si>
    <t>RED</t>
  </si>
  <si>
    <t>YEL</t>
  </si>
  <si>
    <t>ORA</t>
  </si>
  <si>
    <t>BRO</t>
  </si>
  <si>
    <t>PUR</t>
  </si>
  <si>
    <t>WHI</t>
  </si>
  <si>
    <t>Large Cross</t>
  </si>
  <si>
    <t>Small Cross</t>
  </si>
  <si>
    <t>ID</t>
  </si>
  <si>
    <t>.</t>
  </si>
  <si>
    <t>n</t>
  </si>
  <si>
    <t>y</t>
  </si>
  <si>
    <t>nc</t>
  </si>
  <si>
    <t>EQ</t>
  </si>
  <si>
    <t>nn</t>
  </si>
  <si>
    <t>American Samoa</t>
  </si>
  <si>
    <t>https://upload.wikimedia.org/wikipedia/commons/thumb/8/87/Flag_of_American_Samoa.svg/1200px-Flag_of_American_Samoa.svg.png</t>
  </si>
  <si>
    <t>https://upload.wikimedia.org/wikipedia/commons/thumb/8/87/Flag_of_American_Samoa.svg/2560px-Flag_of_American_Samoa.svg.png</t>
  </si>
  <si>
    <t>https://en.wikipedia.org/wiki/Flag_of_American_Samoa</t>
  </si>
  <si>
    <t xml:space="preserve">1960 </t>
  </si>
  <si>
    <t>The colors used epitomize the traditional colors of the United States and Samoa. The bald eagle and the blue, white and red colors symbolize the country's ties to the United States. The eagle holds a staff and a war club, two traditional symbols of the Samoan chiefs.</t>
  </si>
  <si>
    <t>Oceania</t>
  </si>
  <si>
    <t>Samoan, English</t>
  </si>
  <si>
    <t xml:space="preserve">1975 </t>
  </si>
  <si>
    <t>Australia</t>
  </si>
  <si>
    <t>https://i.ibb.co/cJ1kzCd/Australia-Flag.png</t>
  </si>
  <si>
    <t>https://upload.wikimedia.org/wikipedia/en/thumb/b/b9/Flag_of_Australia.svg/2560px-Flag_of_Australia.svg.png</t>
  </si>
  <si>
    <t>https://en.wikipedia.org/wiki/Flag_of_Australia</t>
  </si>
  <si>
    <t xml:space="preserve">1903, 1908. 1970 </t>
  </si>
  <si>
    <t>The Commonwealth Star is the emblem of Australian Federation. Six points represent the states and the seventh all the federal territories which together constitute the nation, the Commonwealth of Australia. The constellation of the Southern Cross indicates our geographical location in the southern hemisphere. This constellation of  stars relate to the various indigenous legends and reminds of the rich Aboriginal and Torres Strait heritage.</t>
  </si>
  <si>
    <t>yy</t>
  </si>
  <si>
    <t xml:space="preserve">1981 </t>
  </si>
  <si>
    <t xml:space="preserve">1984 </t>
  </si>
  <si>
    <t>Christmas Island</t>
  </si>
  <si>
    <t>https://upload.wikimedia.org/wikipedia/commons/thumb/6/67/Flag_of_Christmas_Island.svg/383px-Flag_of_Christmas_Island.svg.png</t>
  </si>
  <si>
    <t>https://upload.wikimedia.org/wikipedia/commons/thumb/6/67/Flag_of_Christmas_Island.svg/2560px-Flag_of_Christmas_Island.svg.png</t>
  </si>
  <si>
    <t>https://en.wikipedia.org/wiki/Flag_of_Christmas_Island</t>
  </si>
  <si>
    <t xml:space="preserve">1986, 2002 </t>
  </si>
  <si>
    <t>The flag of Christmas Island consists of a green and blue background, split from the top left corner to the bottom right. These colours are intended to represent the land and sea respectively. The Southern Cross constellation appears in the bottom left of the flag similar to the flag of Australia. In the top right, the golden bosun bird (Phaethon lepturus fulvus, one of six subspecies of the white-tailed tropicbird) appears. It is considered to be a symbol of the Island. The last motif appears in the centre of the flag on a golden disc is the map of the island in green. The disc itself was originally only included to offset the green colour of the map, but has become linked to the mining industry.</t>
  </si>
  <si>
    <t>Oceania, rgn_Asia</t>
  </si>
  <si>
    <t>English, Chinese, Malay</t>
  </si>
  <si>
    <t>Cocos Islands</t>
  </si>
  <si>
    <t>https://upload.wikimedia.org/wikipedia/commons/thumb/7/74/Flag_of_the_Cocos_%28Keeling%29_Islands.svg/1920px-Flag_of_the_Cocos_%28Keeling%29_Islands.svg.png</t>
  </si>
  <si>
    <t>https://upload.wikimedia.org/wikipedia/commons/thumb/7/74/Flag_of_the_Cocos_%28Keeling%29_Islands.svg/2560px-Flag_of_the_Cocos_%28Keeling%29_Islands.svg.png</t>
  </si>
  <si>
    <t>https://en.wikipedia.org/wiki/Flag_of_the_Cocos_(Keeling)_Islands</t>
  </si>
  <si>
    <t xml:space="preserve">2004 </t>
  </si>
  <si>
    <t>The palm tree represents the islands' tropical flora; the colours are Australia's national colours; the crescent represents Islam, the religion of the Cocos Malays who make up a majority of the islands' population; and the Southern Cross is a symbol of Australia and the Southern Hemisphere.</t>
  </si>
  <si>
    <t>English, Malay</t>
  </si>
  <si>
    <t>Cook Islands</t>
  </si>
  <si>
    <t>https://i.ibb.co/d23ftXX/Cook-Islands-Flag.png</t>
  </si>
  <si>
    <t>https://upload.wikimedia.org/wikipedia/commons/thumb/3/35/Flag_of_the_Cook_Islands.svg/2560px-Flag_of_the_Cook_Islands.svg.png</t>
  </si>
  <si>
    <t>https://en.wikipedia.org/wiki/Flag_of_Cook_Islands</t>
  </si>
  <si>
    <t xml:space="preserve">1979 </t>
  </si>
  <si>
    <t>The Union Flag is symbolic of the nation's historic ties to the United Kingdom and to the Commonwealth of Nations. The stars stand for the fifteen islands that make up the Cook Islands. The blue represents the ocean and the peaceful nature of the inhabitants.</t>
  </si>
  <si>
    <t>English, Maori</t>
  </si>
  <si>
    <t xml:space="preserve">1902 </t>
  </si>
  <si>
    <t xml:space="preserve">1977 </t>
  </si>
  <si>
    <t>GRA</t>
  </si>
  <si>
    <t xml:space="preserve">1995 </t>
  </si>
  <si>
    <t>Fiji</t>
  </si>
  <si>
    <t>https://i.ibb.co/WK7Cyyh/Fiji-Flag.png</t>
  </si>
  <si>
    <t>https://upload.wikimedia.org/wikipedia/commons/thumb/b/ba/Flag_of_Fiji.svg/2560px-Flag_of_Fiji.svg.png</t>
  </si>
  <si>
    <t>https://en.wikipedia.org/wiki/Flag_of_Fiji</t>
  </si>
  <si>
    <t xml:space="preserve">1970 </t>
  </si>
  <si>
    <t>The flag's bright blue background symbolises the Pacific Ocean, which plays an important part in the lives of the islanders, both in terms of the fishing industry, and the huge tourist trade. The Union Jack reflects the country's links with the United Kingdom. The shield is derived from the country's coat of arms, which was granted by royal warrant in 1908. It is a white shield with a red cross and a red chief (upper third of a shield). The images depicted on the shield represent agricultural activities on the islands, and the historical associations with the United Kingdom. At the top of the shield, a British lion holds a cocoa pod between its paws. The first quarter is sugar cane, the second quarter is a coconut palm, the third quarter is a dove of peace, and the fourth quarter is a bunch of bananas.</t>
  </si>
  <si>
    <t>English, Fijian, Hindi</t>
  </si>
  <si>
    <t xml:space="preserve">2010 </t>
  </si>
  <si>
    <t>French Polynesia</t>
  </si>
  <si>
    <t>https://i.ibb.co/jZ2wfRj/Tahiti-Flag.png</t>
  </si>
  <si>
    <t>https://upload.wikimedia.org/wikipedia/commons/thumb/d/db/Flag_of_French_Polynesia.svg/2560px-Flag_of_French_Polynesia.svg.png</t>
  </si>
  <si>
    <t>https://en.wikipedia.org/wiki/Flag_of_French_Polynesia</t>
  </si>
  <si>
    <t>Its main feature is a piragua, which is a status symbol as well as an indispensable boat used for fishing and trasportation. The figures in the piragua stand for the five parts of French Polynesia: the Windward Islands, the Leeward Islands, the Tuamotu Archipelago, the Austral Islands and the Marquesas Islands. The rays symbolize the sun and light, and the blue and white waves represent the riches of the Pacific on which the people have always relied for their livelihood.</t>
  </si>
  <si>
    <t xml:space="preserve">1978 </t>
  </si>
  <si>
    <t xml:space="preserve">1985 </t>
  </si>
  <si>
    <t>???</t>
  </si>
  <si>
    <t/>
  </si>
  <si>
    <t>Guam</t>
  </si>
  <si>
    <t>https://upload.wikimedia.org/wikipedia/commons/thumb/0/07/Flag_of_Guam.svg/2560px-Flag_of_Guam.svg.png</t>
  </si>
  <si>
    <t>https://en.wikipedia.org/wiki/Flag_of_Guam</t>
  </si>
  <si>
    <t xml:space="preserve">1948 </t>
  </si>
  <si>
    <t>The red border – a later addition – represents the blood spilled during World War II and earlier Spanish sovereignty. In the center of the flag is the Seal of Guam; almond in shape, it depicts a proa sailing in Hagåtña Bay near Hagåtña, and GUAM in red letters. The shape of the emblem recalls the slingshot stones used by ancient Chamorro people. The landform in the background depicts the Two Lovers Point cliff on the northern edge of Tumon.</t>
  </si>
  <si>
    <t>Oceania, rgn_North America</t>
  </si>
  <si>
    <t>English, Chamorro</t>
  </si>
  <si>
    <t>Kiribati</t>
  </si>
  <si>
    <t>https://i.ibb.co/zJCR6VG/Kiribati-Flag.png</t>
  </si>
  <si>
    <t>https://upload.wikimedia.org/wikipedia/commons/thumb/d/d3/Flag_of_Kiribati.svg/2560px-Flag_of_Kiribati.svg.png</t>
  </si>
  <si>
    <t>https://en.wikipedia.org/wiki/Flag_of_Kiribati</t>
  </si>
  <si>
    <t>The bird is a frigate bird which represents power, freedom and Kiribati cultural dance patterns. The rising sun is the tropical sun as Kiribati lies astride the Equator.The sea is the Pacific Ocean which surrounds Kiribati.</t>
  </si>
  <si>
    <t>English, Gilbertese</t>
  </si>
  <si>
    <t>Marshall Islands</t>
  </si>
  <si>
    <t>https://i.ibb.co/98FvLgw/Marshall-Islands-Flag.png</t>
  </si>
  <si>
    <t>https://upload.wikimedia.org/wikipedia/commons/thumb/2/2e/Flag_of_the_Marshall_Islands.svg/2560px-Flag_of_the_Marshall_Islands.svg.png</t>
  </si>
  <si>
    <t>https://en.wikipedia.org/wiki/Flag_of_the_Marshall_Islands</t>
  </si>
  <si>
    <t>In common with other island nations in the region, this flag features the symbolic representation of the islands' place within the ocean. The rising diagonal band represents the equator, the star above representing this Northern Hemisphere archipelago. The white and orange portions of the band represent, respectively, the Ratak Chain (sunrise) and the Ralik Chain (sunset), as well as symbolizing peace and courage. The star's 24 points represent the number of electoral districts, while the four elongated points represent the principal cultural centers of Majuro, Jaluit, Wotje and Ebeye. The flag is also the national flag with the most points on a star, at 24.</t>
  </si>
  <si>
    <t>English, Marshallese</t>
  </si>
  <si>
    <t xml:space="preserve">1968 </t>
  </si>
  <si>
    <t>Micronesia</t>
  </si>
  <si>
    <t>https://i.ibb.co/j4nBMmd/Micronesia-Flag.png</t>
  </si>
  <si>
    <t>https://upload.wikimedia.org/wikipedia/commons/thumb/e/e4/Flag_of_the_Federated_States_of_Micronesia.svg/2560px-Flag_of_the_Federated_States_of_Micronesia.svg.png</t>
  </si>
  <si>
    <t>https://en.wikipedia.org/wiki/Flag_of_the_Federated_States_of_Micronesia</t>
  </si>
  <si>
    <t>The blue field represents the Pacific Ocean. In an echo of U.S. heraldic practice, the stars represent the four federated states: Chuuk, Pohnpei, Kosrae and Yap, arranged like the points of the compass.</t>
  </si>
  <si>
    <t>Nauru</t>
  </si>
  <si>
    <t>https://i.ibb.co/Sm3L855/Nauru-Flag.png</t>
  </si>
  <si>
    <t>https://upload.wikimedia.org/wikipedia/commons/thumb/3/30/Flag_of_Nauru.svg/2560px-Flag_of_Nauru.svg.png</t>
  </si>
  <si>
    <t>https://en.wikipedia.org/wiki/Flag_of_Nauru</t>
  </si>
  <si>
    <t>The narrow gold stripe with a width of 1⁄12 of the length of the flag represents the Equator. The stripe along with the star signifies the location of the island in the Pacific Ocean one degree south of the Equator. The separation of the blue flag cloth into two equal parts recalls the saga, that the first inhabitants were to have been brought to Earth from two boulders.\n\nNauru itself is symbolised by a white 12-pointed star. The twelve points on the star represent the island's twelve original tribes</t>
  </si>
  <si>
    <t>English, Nauruan</t>
  </si>
  <si>
    <t>New Caledonia</t>
  </si>
  <si>
    <t>https://i.ibb.co/8BYXc8r/New-Caledonia-Flag.png</t>
  </si>
  <si>
    <t>https://upload.wikimedia.org/wikipedia/commons/thumb/6/66/Flag_of_FLNKS.svg/2560px-Flag_of_FLNKS.svg.png</t>
  </si>
  <si>
    <t>https://en.wikipedia.org/wiki/Flags_of_New_Caledonia</t>
  </si>
  <si>
    <t>In July 2010, the Congress of New Caledonia voted in favour of a wish to fly the Kanak flag of the independence movement FLNKS alongside the French Tricolour. \n\nThe blue symbolizes both the sky and more importantly the ocean surrounding New Caledonia. The red symbolizes the blood shed by the Kanaks in their struggle for independence, socialism, and unity. The green symbolizes the land itself and by extension the ancestors buried within it. The yellow disc is a representation of the sun and the symbol upon it consists of a flèche faitière, a kind of arrow that adorns the roofs of Kanak houses thrust through tutut shells.</t>
  </si>
  <si>
    <t>New Zealand</t>
  </si>
  <si>
    <t>https://i.ibb.co/Y8G5GLw/New-Zealand-Flag.png</t>
  </si>
  <si>
    <t>https://upload.wikimedia.org/wikipedia/commons/thumb/3/3e/Flag_of_New_Zealand.svg/2560px-Flag_of_New_Zealand.svg.png</t>
  </si>
  <si>
    <t>https://en.wikipedia.org/wiki/Flag_of_New_Zealand</t>
  </si>
  <si>
    <t>The blue of the background is reminiscent of the blue sea and sky surrounding , and the stars of the Southern Cross signify the place in the South Pacific Ocean.</t>
  </si>
  <si>
    <t>Niue</t>
  </si>
  <si>
    <t>https://upload.wikimedia.org/wikipedia/commons/thumb/0/01/Flag_of_Niue.svg/300px-Flag_of_Niue.svg.png</t>
  </si>
  <si>
    <t>https://upload.wikimedia.org/wikipedia/commons/thumb/0/01/Flag_of_Niue.svg/2560px-Flag_of_Niue.svg.png</t>
  </si>
  <si>
    <t>https://en.wikipedia.org/wiki/Flag_of_Niue</t>
  </si>
  <si>
    <t>The yellow field symbolises the bright sunshine of Niue and the warm feelings of the Niuean people towards New Zealand and her people. The association with New Zealand, which took over responsibility and administration of Niue in 1901, is also represented by the four small stars that depict the Southern Cross. Finally, the blue disc containing a larger star represents the deep blue sea surrounding the self-governing island of Niue.</t>
  </si>
  <si>
    <t>English, Niuean</t>
  </si>
  <si>
    <t>Norfolk Island</t>
  </si>
  <si>
    <t>https://upload.wikimedia.org/wikipedia/commons/thumb/4/48/Flag_of_Norfolk_Island.svg/383px-Flag_of_Norfolk_Island.svg.png</t>
  </si>
  <si>
    <t>https://upload.wikimedia.org/wikipedia/commons/thumb/4/48/Flag_of_Norfolk_Island.svg/2560px-Flag_of_Norfolk_Island.svg.png</t>
  </si>
  <si>
    <t>https://en.wikipedia.org/wiki/Flag_of_Norfolk_Island</t>
  </si>
  <si>
    <t>The green symbolises Norfolk Island's plentiful vegetation and fertile land. The Norfolk Island pine is native to the islands, and is the official tree of the territory.</t>
  </si>
  <si>
    <t>English, Norfuk</t>
  </si>
  <si>
    <t>Northern Mariana Islands</t>
  </si>
  <si>
    <t>https://upload.wikimedia.org/wikipedia/commons/thumb/e/e0/Flag_of_the_Northern_Mariana_Islands.svg/1200px-Flag_of_the_Northern_Mariana_Islands.svg.png</t>
  </si>
  <si>
    <t>https://upload.wikimedia.org/wikipedia/commons/thumb/e/e0/Flag_of_the_Northern_Mariana_Islands.svg/2560px-Flag_of_the_Northern_Mariana_Islands.svg.png</t>
  </si>
  <si>
    <t>https://en.wikipedia.org/wiki/Flag_of_the_Northern_Mariana_Islands</t>
  </si>
  <si>
    <t>The flag consists of three symbols: a white star representing the United States, a gray latte stone representing the Chamorro people, and a multi-colored mwarmwar (floral wreath) representing the Carolinians. The mwarmwar is made from the green ylang-ylang (langilang; Cananga odorata), the white plumeria (flores mayo or seyúr; Plumeria alba), the red peacock flower (angagha; Caesalpinia pulcherrima), and the pink Pacific basil (teibwo; Ocimum tenuiflorum). Its dark blue background represents the Pacific Ocean and the Mariana Trench.</t>
  </si>
  <si>
    <t>English, Chamorro, Carolinian</t>
  </si>
  <si>
    <t>Palau</t>
  </si>
  <si>
    <t>https://i.ibb.co/v1H7J0V/Palau-Flag.png</t>
  </si>
  <si>
    <t>https://upload.wikimedia.org/wikipedia/commons/thumb/4/48/Flag_of_Palau.svg/2560px-Flag_of_Palau.svg.png</t>
  </si>
  <si>
    <t>https://en.wikipedia.org/wiki/Flag_of_Palau</t>
  </si>
  <si>
    <t>The light blue of the field symbolizes the Pacific Ocean, and also represents the transition from foreign domination to self-government. The golden disk, which sits slightly off-center toward the hoist, represents the full moon. The Palauans consider the full moon to be the optimum time for human activity.</t>
  </si>
  <si>
    <t>English, Palauan</t>
  </si>
  <si>
    <t>Papua New Guinea</t>
  </si>
  <si>
    <t>https://i.ibb.co/dGNHyxn/Papua-Flag.png</t>
  </si>
  <si>
    <t>https://upload.wikimedia.org/wikipedia/commons/thumb/e/e3/Flag_of_Papua_New_Guinea.svg/2560px-Flag_of_Papua_New_Guinea.svg.png</t>
  </si>
  <si>
    <t>https://en.wikipedia.org/wiki/Flag_of_Papua_New_Guinea</t>
  </si>
  <si>
    <t xml:space="preserve">1971 </t>
  </si>
  <si>
    <t>Red and black have long been traditional colours of many Papua New Guinean tribes. Black-white-red was the colour of the German Empire flag, which had colonised New Guinea prior to 1918. The bird-of-paradise is also found on the national coat-of-arms. The Southern Cross shows that it is a country in the Southern Hemisphere and can be seen in Papua New Guinea</t>
  </si>
  <si>
    <t>English, Hiri Motu</t>
  </si>
  <si>
    <t>Pitcairn Islands</t>
  </si>
  <si>
    <t>https://upload.wikimedia.org/wikipedia/commons/thumb/8/88/Flag_of_the_Pitcairn_Islands.svg/383px-Flag_of_the_Pitcairn_Islands.svg.png</t>
  </si>
  <si>
    <t>https://upload.wikimedia.org/wikipedia/commons/thumb/8/88/Flag_of_the_Pitcairn_Islands.svg/2560px-Flag_of_the_Pitcairn_Islands.svg.png</t>
  </si>
  <si>
    <t>https://en.wikipedia.org/wiki/Flag_and_coat_of_arms_of_the_Pitcairn_Islands</t>
  </si>
  <si>
    <t>The coat of arms features several symbols relevant to the ancestral history and culture of the Pitcairn Islanders, most of whom are descended from the sailors who mutinied on HMS Bounty in 1789: the blue, yellow and green of the shield symbolise the island of Pitcairn rising from the Pacific Ocean, while the anchor and Bible are symbols of the Bounty. Additionally, the Bible symbolises Christianity, which the mutineers brought to the island. The shield is surrounded by a green and gold wreath, and crested by a helmet bearing a wheelbarrow and a slip of miro, a local tree, which represent the role agriculture played in helping the mutineers survive on the island. The slip of miro also represents the wood used by Pitcairn Islanders for crafting souvenirs.</t>
  </si>
  <si>
    <t>Pitkern, English</t>
  </si>
  <si>
    <t>Samoa</t>
  </si>
  <si>
    <t>https://i.ibb.co/tQfV41n/Samoa-Flag.png</t>
  </si>
  <si>
    <t>https://upload.wikimedia.org/wikipedia/commons/thumb/3/31/Flag_of_Samoa.svg/2560px-Flag_of_Samoa.svg.png</t>
  </si>
  <si>
    <t>https://en.wikipedia.org/wiki/Flag_of_Samoa</t>
  </si>
  <si>
    <t xml:space="preserve">1949, 1962 </t>
  </si>
  <si>
    <t>The Samoan flag features a red background with a blue rectangle in the upper left corner. Inside the blue rectangle are five white stars that represent the Southern Cross constellation. The red background represents courage, while the blue rectangle and stars symbolize freedom and Samoa's position in the Southern Hemisphere.</t>
  </si>
  <si>
    <t>English, Samoan</t>
  </si>
  <si>
    <t>Solomon Islands</t>
  </si>
  <si>
    <t>https://i.ibb.co/C7T6z7q/Solomon-Islands-Flag.png</t>
  </si>
  <si>
    <t>https://upload.wikimedia.org/wikipedia/commons/thumb/7/74/Flag_of_the_Solomon_Islands.svg/2560px-Flag_of_the_Solomon_Islands.svg.png</t>
  </si>
  <si>
    <t>https://en.wikipedia.org/wiki/Flag_of_Solomon_Islands</t>
  </si>
  <si>
    <t>The blue evokes the water, as well as its significance to the country in the form of rivers, rain, and the Pacific Ocean. The green alludes to the land, along with the trees and crops that grow on it. The yellow epitomizes the sun and its rays separating the land and the ocean.\n\nThe five stars are arranged in three offset rows at the canton, in the shape of the letter X. At first, these were meant to symbolize the provinces that the country was subdivided into at the time of independence (Central, Western, Eastern, Malaita and Honiara Capital). Even though new provinces have since been created, the number of stars has remained unchanged.</t>
  </si>
  <si>
    <t>English, Pidgin</t>
  </si>
  <si>
    <t>Tonga</t>
  </si>
  <si>
    <t>https://i.ibb.co/QMQsXwX/Tonga-Flag.png</t>
  </si>
  <si>
    <t>https://upload.wikimedia.org/wikipedia/commons/thumb/9/9a/Flag_of_Tonga.svg/2560px-Flag_of_Tonga.svg.png</t>
  </si>
  <si>
    <t>https://en.wikipedia.org/wiki/Flag_of_Tonga</t>
  </si>
  <si>
    <t xml:space="preserve">1875 </t>
  </si>
  <si>
    <t>The red couped cross alludes to Christianity, the religion practised by approximately 97% of the country's population. The white epitomizes purity, while the red evokes the sacrifice of the Blood of Christ, which was shed during the Crucifixion.</t>
  </si>
  <si>
    <t>English, Tongan</t>
  </si>
  <si>
    <t>Tuvalu</t>
  </si>
  <si>
    <t>https://i.ibb.co/RQ3gYR5/Tuvalu-Flag.png</t>
  </si>
  <si>
    <t>https://upload.wikimedia.org/wikipedia/commons/thumb/3/38/Flag_of_Tuvalu.svg/2560px-Flag_of_Tuvalu.svg.png</t>
  </si>
  <si>
    <t>https://en.wikipedia.org/wiki/Flag_of_Tuvalu</t>
  </si>
  <si>
    <t xml:space="preserve">1978, 1997 </t>
  </si>
  <si>
    <t>The stars represent the nine islands which comprise Tuvalu; the arrangement is geographically correct, with the east towards the top (i.e. north to the left).</t>
  </si>
  <si>
    <t>Tuvaluan, Englsih</t>
  </si>
  <si>
    <t>Vanuatu</t>
  </si>
  <si>
    <t>https://i.ibb.co/J5QQTYW/Vanuatu-Flag.png</t>
  </si>
  <si>
    <t>https://upload.wikimedia.org/wikipedia/commons/thumb/b/bc/Flag_of_Vanuatu.svg/2560px-Flag_of_Vanuatu.svg.png</t>
  </si>
  <si>
    <t>https://en.wikipedia.org/wiki/Flag_of_Vanuatu</t>
  </si>
  <si>
    <t xml:space="preserve">1980 </t>
  </si>
  <si>
    <t>The green represents the richness of the islands, the red symbolises blood which unites humanity as humans, and the black the ni-Vanuatu people. The Prime Minister of Vanuatu, Father Walter Lini, requested the inclusion of yellow and black fimbriations to make the black stand out. The yellow Y-shape (pall) represents the shape of Vanuatu islands on the map and the light of the gospel going through the pattern of the islands in the Pacific Ocean (approximately 83% of the people of Vanuatu profess Christianity).\n\nThe emblem in the black is a boar's tusk—the symbol of customs and tradition but also prosperity. It is worn as a pendant on the islands—along with two leaves of the local namele tree. These leaves are supposed to be a token of peace, and their 39 leaflets represent the original 39 members of the Parliament of Vanuatu.</t>
  </si>
  <si>
    <t>English, French, Bislama</t>
  </si>
  <si>
    <t>Wallis and Futuna</t>
  </si>
  <si>
    <t>https://upload.wikimedia.org/wikipedia/commons/thumb/d/d2/Flag_of_Wallis_and_Futuna.svg/300px-Flag_of_Wallis_and_Futuna.svg.png</t>
  </si>
  <si>
    <t>https://upload.wikimedia.org/wikipedia/commons/thumb/d/d2/Flag_of_Wallis_and_Futuna.svg/2560px-Flag_of_Wallis_and_Futuna.svg.png</t>
  </si>
  <si>
    <t>https://en.wikipedia.org/wiki/Flag_of_Wallis_and_Futuna</t>
  </si>
  <si>
    <t>This flag features a red field with four white isosceles triangles in the middle. The color red symbolizes courage; while the white color represents purity of ideals. The four triangles represents the three native kings of the islands and the French administrator.</t>
  </si>
  <si>
    <t>Historical</t>
  </si>
  <si>
    <t>People</t>
  </si>
  <si>
    <t>1969</t>
  </si>
  <si>
    <t>1980</t>
  </si>
  <si>
    <t>Social</t>
  </si>
  <si>
    <t>Unofficial</t>
  </si>
  <si>
    <t>Province</t>
  </si>
  <si>
    <t xml:space="preserve">??? </t>
  </si>
  <si>
    <t>[ASM] Manu'a Islands</t>
  </si>
  <si>
    <t>https://www.crwflags.com/fotw/flags/as-manut.html</t>
  </si>
  <si>
    <t>The flag of Manu'atele, Manu'a Islands in American Samoa is green with three horizontal yellow bands, tapering off toward the hoist, with yellow ring around a red disk bearing a white chicken; in the upper fly, three four-pointed stars.</t>
  </si>
  <si>
    <t>City</t>
  </si>
  <si>
    <t>[AUS] Australian Capital Territory</t>
  </si>
  <si>
    <t>https://upload.wikimedia.org/wikipedia/commons/thumb/8/8c/Flag_of_the_Australian_Capital_Territory.svg/320px-Flag_of_the_Australian_Capital_Territory.svg.png</t>
  </si>
  <si>
    <t>https://upload.wikimedia.org/wikipedia/commons/thumb/8/8c/Flag_of_the_Australian_Capital_Territory.svg/2560px-Flag_of_the_Australian_Capital_Territory.svg.png</t>
  </si>
  <si>
    <t>https://en.wikipedia.org/wiki/Flag_of_the_Australian_Capital_Territory</t>
  </si>
  <si>
    <t>The flag uses the Canberra city colours of blue and gold (which also happen to be the heraldic colours of Australia). The Southern Cross appears as five white stars on a blue panel at the hoist, whilst in the centre of the goldfield in the fly is the modified Coat of arms of the city of Canberra. The flag was designed by Ivo Ostyn.</t>
  </si>
  <si>
    <t>Internal Territory</t>
  </si>
  <si>
    <t>[AUS] Northern Territory</t>
  </si>
  <si>
    <t>https://upload.wikimedia.org/wikipedia/commons/thumb/b/b7/Flag_of_the_Northern_Territory.svg/640px-Flag_of_the_Northern_Territory.svg.png</t>
  </si>
  <si>
    <t>https://upload.wikimedia.org/wikipedia/commons/thumb/b/b7/Flag_of_the_Northern_Territory.svg/2560px-Flag_of_the_Northern_Territory.svg.png</t>
  </si>
  <si>
    <t>https://en.wikipedia.org/wiki/Flag_of_the_Northern_Territory</t>
  </si>
  <si>
    <t>The flag's colours consist of the official Territorian colours of black, white and ochre (making it the only flag among Australia's states and territories not to feature the colour blue). The Southern Cross appears as five white stars on a black panel at the hoist. In the fly of the flag is a stylised Sturt's Desert Rose, the territory's floral emblem since 1961, with seven white petals and a black seven-pointed core. The seven white petals represent the six Australian States and the Northern Territory.</t>
  </si>
  <si>
    <t>[AUS] New South Wales</t>
  </si>
  <si>
    <t>https://upload.wikimedia.org/wikipedia/commons/thumb/0/00/Flag_of_New_South_Wales.svg/320px-Flag_of_New_South_Wales.svg.png</t>
  </si>
  <si>
    <t>https://upload.wikimedia.org/wikipedia/commons/thumb/0/00/Flag_of_New_South_Wales.svg/2560px-Flag_of_New_South_Wales.svg.png</t>
  </si>
  <si>
    <t>https://en.wikipedia.org/wiki/Flag_of_New_South_Wales</t>
  </si>
  <si>
    <t>As a variant of the Blue Ensign, the Union Jack is displayed in the canton. The St George's Cross, the Southern Cross and the 'Lion in the South' are displayed in the Badge of New South Wales on the flag. The St George's Cross is used on the ensign of the British Royal Navy, with a golden, 8-pointed star placed on each arm of the cross. This symbolises the maritime origins of New South Wales, with seafarers relying upon the Southern Cross to navigate the seas, and the role of the navy in protecting the State.\n\nThe 'Lion in the South' is taken from the three golden lions on a red field on the arms of England, and symbolises both the sovereignty of New South Wales and the offspring of an old country. It represent the origins of the founders of the Colony of New South Wales as well as the independence of their succeeding generations.</t>
  </si>
  <si>
    <t>State</t>
  </si>
  <si>
    <t>[AUS] Queensland</t>
  </si>
  <si>
    <t>https://upload.wikimedia.org/wikipedia/commons/thumb/0/04/Flag_of_Queensland.svg/640px-Flag_of_Queensland.svg.png</t>
  </si>
  <si>
    <t>https://upload.wikimedia.org/wikipedia/commons/thumb/0/04/Flag_of_Queensland.svg/2560px-Flag_of_Queensland.svg.png</t>
  </si>
  <si>
    <t>https://en.wikipedia.org/wiki/Flag_of_Queensland</t>
  </si>
  <si>
    <t xml:space="preserve">The flag contains the Union Jack and the blue background like Australia. The badge contains a Maltese Cross with a Saint Edward's Crown in the center of the cross. </t>
  </si>
  <si>
    <t>[AUS] South Australia</t>
  </si>
  <si>
    <t>https://upload.wikimedia.org/wikipedia/commons/thumb/f/fd/Flag_of_South_Australia.svg/640px-Flag_of_South_Australia.svg.png</t>
  </si>
  <si>
    <t>https://upload.wikimedia.org/wikipedia/commons/thumb/f/fd/Flag_of_South_Australia.svg/2560px-Flag_of_South_Australia.svg.png</t>
  </si>
  <si>
    <t>https://en.wikipedia.org/wiki/Flag_of_South_Australia</t>
  </si>
  <si>
    <t xml:space="preserve">The flag contains the British Blue Ensign and the state badge. The badge contains a piping shrike. </t>
  </si>
  <si>
    <t>[AUS] Tasmania</t>
  </si>
  <si>
    <t>https://upload.wikimedia.org/wikipedia/commons/thumb/4/46/Flag_of_Tasmania.svg/640px-Flag_of_Tasmania.svg.png</t>
  </si>
  <si>
    <t>https://upload.wikimedia.org/wikipedia/commons/thumb/4/46/Flag_of_Tasmania.svg/2560px-Flag_of_Tasmania.svg.png</t>
  </si>
  <si>
    <t>https://en.wikipedia.org/wiki/Flag_of_Tasmania</t>
  </si>
  <si>
    <t>The flag has the Union Jack and the blue background like Australia. The badge contains a red lion. The red lion is assumed to be a reference to Great Britian</t>
  </si>
  <si>
    <t>[AUS] Victoria</t>
  </si>
  <si>
    <t>https://upload.wikimedia.org/wikipedia/commons/thumb/0/08/Flag_of_Victoria_%28Australia%29.svg/640px-Flag_of_Victoria_%28Australia%29.svg.png</t>
  </si>
  <si>
    <t>https://upload.wikimedia.org/wikipedia/commons/thumb/0/08/Flag_of_Victoria_%28Australia%29.svg/2560px-Flag_of_Victoria_%28Australia%29.svg.png</t>
  </si>
  <si>
    <t>https://en.wikipedia.org/wiki/Flag_of_Victoria_(state)</t>
  </si>
  <si>
    <t>The flag contains the Union Jack and the blue background like Australia's flag. The flag contains a Southern cross and a St Edward's Crown. It is the only Australia state flag that doesn't have the badge on a disk.</t>
  </si>
  <si>
    <t>[AUS] Western Australia</t>
  </si>
  <si>
    <t>https://upload.wikimedia.org/wikipedia/commons/thumb/a/a5/Flag_of_Western_Australia.svg/640px-Flag_of_Western_Australia.svg.png</t>
  </si>
  <si>
    <t>https://upload.wikimedia.org/wikipedia/commons/thumb/a/a5/Flag_of_Western_Australia.svg/2560px-Flag_of_Western_Australia.svg.png</t>
  </si>
  <si>
    <t>https://en.wikipedia.org/wiki/Flag_of_Western_Australia</t>
  </si>
  <si>
    <t>The flag has the Union jack and the blue background like the Australian flag. The swan is the native animal of Western Australia.</t>
  </si>
  <si>
    <t xml:space="preserve">2015 </t>
  </si>
  <si>
    <t>Region</t>
  </si>
  <si>
    <t>Not available</t>
  </si>
  <si>
    <t>Autonomous Region</t>
  </si>
  <si>
    <t xml:space="preserve">2003 </t>
  </si>
  <si>
    <t>2009</t>
  </si>
  <si>
    <t>Historical, Country</t>
  </si>
  <si>
    <t>Not Available</t>
  </si>
  <si>
    <t>1953</t>
  </si>
  <si>
    <t>[MHL] Bikini Atoll</t>
  </si>
  <si>
    <t>https://upload.wikimedia.org/wikipedia/commons/thumb/8/89/Flag_of_Bikini_Atoll.svg/640px-Flag_of_Bikini_Atoll.svg.png</t>
  </si>
  <si>
    <t>https://upload.wikimedia.org/wikipedia/commons/thumb/8/89/Flag_of_Bikini_Atoll.svg/2560px-Flag_of_Bikini_Atoll.svg.png</t>
  </si>
  <si>
    <t>https://en.wikipedia.org/wiki/Flag_of_Bikini_Atoll</t>
  </si>
  <si>
    <t>The similarity to the American flag design and the striking isolation of the 3-star group and the 2-star group represent the position of the islanders that the Government of the United States still has obligations to their people, including reparations for the nuclear testing and resettlement of the Bikinians who were exiled. The words on the flag say 'Everything is in the hands of God' in English.</t>
  </si>
  <si>
    <t>Atoll</t>
  </si>
  <si>
    <t>[MIC] Trust Territory of the Pacific Islands (1947-1994)</t>
  </si>
  <si>
    <t>https://upload.wikimedia.org/wikipedia/commons/thumb/4/41/Flag_of_the_Trust_Territory_of_the_Pacific_Islands.svg/640px-Flag_of_the_Trust_Territory_of_the_Pacific_Islands.svg.png</t>
  </si>
  <si>
    <t>https://en.wikipedia.org/wiki/Flag_of_the_Trust_Territory_of_the_Pacific_Islands</t>
  </si>
  <si>
    <t>A circle of six white stars on a blue background. The six stars represented the six districts: the Marianas, the Marshall Islands, Yap, Chuuk, Pohnpei, and Palau.</t>
  </si>
  <si>
    <t>[MIC] Chuuk</t>
  </si>
  <si>
    <t>https://upload.wikimedia.org/wikipedia/commons/thumb/5/55/Flag_of_Chuuk.svg/640px-Flag_of_Chuuk.svg.png</t>
  </si>
  <si>
    <t>https://upload.wikimedia.org/wikipedia/commons/thumb/5/55/Flag_of_Chuuk.svg/2560px-Flag_of_Chuuk.svg.png</t>
  </si>
  <si>
    <t>https://en.wikipedia.org/wiki/List_of_Micronesian_flags</t>
  </si>
  <si>
    <t>Palm tree on a blue banner surrounded by a ring of stars</t>
  </si>
  <si>
    <t>[MIC] Kosrae</t>
  </si>
  <si>
    <t>https://upload.wikimedia.org/wikipedia/commons/thumb/2/23/Flag_of_Kosrae.svg/640px-Flag_of_Kosrae.svg.png</t>
  </si>
  <si>
    <t>https://upload.wikimedia.org/wikipedia/commons/thumb/2/23/Flag_of_Kosrae.svg/2560px-Flag_of_Kosrae.svg.png</t>
  </si>
  <si>
    <t>Four white stars, the fafa stone (a ceremonial stone) and an olive branch wreath on a blue background.</t>
  </si>
  <si>
    <t>[MIC] Pohnpei</t>
  </si>
  <si>
    <t>https://upload.wikimedia.org/wikipedia/commons/thumb/c/ce/Flag_of_Pohnpei.svg/640px-Flag_of_Pohnpei.svg.png</t>
  </si>
  <si>
    <t>https://upload.wikimedia.org/wikipedia/commons/thumb/c/ce/Flag_of_Pohnpei.svg/2560px-Flag_of_Pohnpei.svg.png</t>
  </si>
  <si>
    <t>A blue flag with a ring of 11 stars, a wreath of coconut leaves, and a cup made from a coconut shell.</t>
  </si>
  <si>
    <t>[MIC] Yap</t>
  </si>
  <si>
    <t>https://upload.wikimedia.org/wikipedia/commons/thumb/2/2c/Flag_of_Yap.svg/640px-Flag_of_Yap.svg.png</t>
  </si>
  <si>
    <t>https://upload.wikimedia.org/wikipedia/commons/thumb/2/2c/Flag_of_Yap.svg/2560px-Flag_of_Yap.svg.png</t>
  </si>
  <si>
    <t xml:space="preserve">Blue flag with a centered polynesian boat. In the very center is a white star. </t>
  </si>
  <si>
    <t>[NZE] Tokelau</t>
  </si>
  <si>
    <t>https://upload.wikimedia.org/wikipedia/commons/thumb/8/8e/Flag_of_Tokelau.svg/383px-Flag_of_Tokelau.svg.png</t>
  </si>
  <si>
    <t>https://upload.wikimedia.org/wikipedia/commons/thumb/8/8e/Flag_of_Tokelau.svg/2560px-Flag_of_Tokelau.svg.png</t>
  </si>
  <si>
    <t>https://en.wikipedia.org/wiki/Flag_of_Tokelau</t>
  </si>
  <si>
    <t>A yellow Tokelauan canoe sailing towards the Southern Cross represented by four white stars on a blue field</t>
  </si>
  <si>
    <t>[NZE] National Maori Flag</t>
  </si>
  <si>
    <t>https://upload.wikimedia.org/wikipedia/commons/thumb/3/30/Tino_Rangatiratanga_Maori_sovereignty_movement_flag.svg/640px-Tino_Rangatiratanga_Maori_sovereignty_movement_flag.svg.png</t>
  </si>
  <si>
    <t>https://upload.wikimedia.org/wikipedia/commons/thumb/3/30/Tino_Rangatiratanga_Maori_sovereignty_movement_flag.svg/2560px-Tino_Rangatiratanga_Maori_sovereignty_movement_flag.svg.png</t>
  </si>
  <si>
    <t>https://en.wikipedia.org/wiki/National_Māori_flag</t>
  </si>
  <si>
    <t>The national Māori flag uses the national colours of New Zealand: black, red ochre, and white or silver. Each of the colours references a realm in the creation story of Māori mythology: black is Te Korekore (potential being), red is Te Whai Ao (coming into being), and white is Te Ao Mārama (the realm of being and light). The design features a koru (Māori for fern frond), a common design in Māori tattoo and sculpture. It symbolises renewal and hope for the future.</t>
  </si>
  <si>
    <t>[NZE] Stewart Island</t>
  </si>
  <si>
    <t>https://www.crwflags.com/fotw/images/n/nz-sti.gif</t>
  </si>
  <si>
    <t>https://www.crwflags.com/fotw/flags/nz-sti.html</t>
  </si>
  <si>
    <t>The flag is described as being blue, green, red and yellow. It is not very clear in the photo, but would seem to be a semicircular 'rising sun' in the top 2 quarters, red and yellow, over a green island in a blue sea in the lower 2 quarters. The shape of the island and sea is not clear.</t>
  </si>
  <si>
    <t>[NZE] Chatham Islands</t>
  </si>
  <si>
    <t>https://upload.wikimedia.org/wikipedia/commons/thumb/2/2e/Flag_of_Chatham_Islands.svg/640px-Flag_of_Chatham_Islands.svg.png</t>
  </si>
  <si>
    <t>https://upload.wikimedia.org/wikipedia/commons/thumb/2/2e/Flag_of_Chatham_Islands.svg/2560px-Flag_of_Chatham_Islands.svg.png</t>
  </si>
  <si>
    <t>https://en.wikipedia.org/wiki/Flag_of_the_Chatham_Islands</t>
  </si>
  <si>
    <t>Unofficial. A light blue field showing Chatham Island (main island) in green, party silhouetted against a yellow sun, half risen. On the green island is Te Whanga Lagoon in white, which occupies about 20 percent of the island.</t>
  </si>
  <si>
    <t>[NZE] Laser Kiwi</t>
  </si>
  <si>
    <t>https://upload.wikimedia.org/wikipedia/en/thumb/f/f5/Fire_the_Lazer.svg/640px-Fire_the_Lazer.svg.png</t>
  </si>
  <si>
    <t>https://upload.wikimedia.org/wikipedia/en/thumb/f/f5/Fire_the_Lazer.svg/2560px-Fire_the_Lazer.svg.png</t>
  </si>
  <si>
    <t>https://en.wikipedia.org/wiki/Laser_Kiwi_flag</t>
  </si>
  <si>
    <t>The Laser Kiwi flag, originally titled Fire the Lazar, was designed in 2015 by Lucy Gray as a proposed flag of New Zealand for the 2015–2016 New Zealand flag referendums. It has since become a social media phenomenon that has created ongoing interest in the design.</t>
  </si>
  <si>
    <t>[PAU] Aimelik</t>
  </si>
  <si>
    <t>https://upload.wikimedia.org/wikipedia/commons/thumb/3/31/Flag_of_Aimeliik.svg/1024px-Flag_of_Aimeliik.svg.png</t>
  </si>
  <si>
    <t>https://upload.wikimedia.org/wikipedia/commons/thumb/3/31/Flag_of_Aimeliik.svg/2560px-Flag_of_Aimeliik.svg.png</t>
  </si>
  <si>
    <t>https://en.wikipedia.org/wiki/Flags_of_the_states_of_Palau#</t>
  </si>
  <si>
    <t>The five stars represent the five hamlets of Aimeliik. The green stripe represents Aimeliik's rainforest, the black stripe represents the fact that it was not conquered and the blue represents Aimeliik's large fishing area.</t>
  </si>
  <si>
    <t>[PAU] Airai</t>
  </si>
  <si>
    <t>https://upload.wikimedia.org/wikipedia/commons/thumb/d/d8/Flag_of_Airai_State.png/640px-Flag_of_Airai_State.png</t>
  </si>
  <si>
    <t>https://upload.wikimedia.org/wikipedia/commons/d/d8/Flag_of_Airai_State.png</t>
  </si>
  <si>
    <t>The blue background represents the ocean and the white circle represents peace. The six stars stand for the six hamlets of Airai and the six fish for the six chiefs. In the centre is a ti plant</t>
  </si>
  <si>
    <t>[PAU] Angaur</t>
  </si>
  <si>
    <t>https://upload.wikimedia.org/wikipedia/commons/thumb/8/86/Flag_of_Angaur_State.svg/2560px-Flag_of_Angaur_State.svg.png</t>
  </si>
  <si>
    <t>The four stripes stand for the four hamlets of Angaur. In the center is a kelau flower.</t>
  </si>
  <si>
    <t>[PAU] Hatohobei</t>
  </si>
  <si>
    <t>https://upload.wikimedia.org/wikipedia/commons/thumb/e/e9/Flag_of_Hatohobei.svg/640px-Flag_of_Hatohobei.svg.png</t>
  </si>
  <si>
    <t>https://upload.wikimedia.org/wikipedia/commons/thumb/e/e9/Flag_of_Hatohobei.svg/2560px-Flag_of_Hatohobei.svg.png</t>
  </si>
  <si>
    <t>The stars represent the three islands that make up the state. The clam shell represents Romohparuh, the first person on Hatohobei, who claimed ownership of the island by burying a clam shell.</t>
  </si>
  <si>
    <t>[PAU] Kayangel</t>
  </si>
  <si>
    <t>https://upload.wikimedia.org/wikipedia/commons/thumb/3/35/Flag_of_Kayangel.svg/2560px-Flag_of_Kayangel.svg.png</t>
  </si>
  <si>
    <t>The flag is blue with a yellow triangle. It features an oar and two hibiscus vines</t>
  </si>
  <si>
    <t>[PAU] Koror</t>
  </si>
  <si>
    <t>https://upload.wikimedia.org/wikipedia/commons/thumb/1/1b/Flag_of_Koror_State.png/640px-Flag_of_Koror_State.png</t>
  </si>
  <si>
    <t>https://upload.wikimedia.org/wikipedia/commons/1/1b/Flag_of_Koror_State.png</t>
  </si>
  <si>
    <t>The blue background represents the ocean and the golden moon represents the new government. The six stars represent the six hamlets of Koror State with the larger star in the middle representing the union of the NgaraMeketii and RubekulKeldeu. The traditional bai house is on a foundation of ten stones symbolic of the ten traditional chiefs.</t>
  </si>
  <si>
    <t>[PAU] Melekeok</t>
  </si>
  <si>
    <t>https://upload.wikimedia.org/wikipedia/commons/thumb/9/93/Flag_of_Melekeok.svg/640px-Flag_of_Melekeok.svg.png</t>
  </si>
  <si>
    <t>https://upload.wikimedia.org/wikipedia/commons/thumb/9/93/Flag_of_Melekeok.svg/2560px-Flag_of_Melekeok.svg.png</t>
  </si>
  <si>
    <t>The sun and its six (6) rays stands for the unity of the six (6) hamlets that now are united. The hamlets are Ngeburch,Ngeruliang, Ngermelech, Ukaeb, Ngerang, and Ngerubesang.The rays represents the hamlets and the sun indicates that Melekeok is facing the east where the sun rises and also indicates that Melekeok was the head of Eastern Confederacy of Palau.</t>
  </si>
  <si>
    <t>[PLY] Austral Islands</t>
  </si>
  <si>
    <t>https://upload.wikimedia.org/wikipedia/commons/thumb/2/2e/Flag_of_the_Austral_Islands.svg/1280px-Flag_of_the_Austral_Islands.svg.png</t>
  </si>
  <si>
    <t>https://upload.wikimedia.org/wikipedia/commons/thumb/2/2e/Flag_of_the_Austral_Islands.svg/2560px-Flag_of_the_Austral_Islands.svg.png</t>
  </si>
  <si>
    <t>https://en.wikipedia.org/wiki/Flag_of_the_Austral_Islands</t>
  </si>
  <si>
    <t>1985</t>
  </si>
  <si>
    <t>In the white central stripe is a blue emblem surrounded by five stars representing the five high islands that constitute the Austral Islands: Rūrutu, Tubua'i, Rimatara, Ra'ivāvae and Rapa. The central emblem represents a penu, a traditional carved rock or coral tool common across the archipelago which is used to crush food, similar to a pestle. The red stripes symbolize French Polynesia, of which the archipelago is a part of, and blue symbolizes the sea.</t>
  </si>
  <si>
    <t>Archipelago</t>
  </si>
  <si>
    <t>[PLY] Gambier Islands</t>
  </si>
  <si>
    <t>https://upload.wikimedia.org/wikipedia/commons/thumb/f/f7/Flag_of_the_Gambier_Islands.svg/1024px-Flag_of_the_Gambier_Islands.svg.png</t>
  </si>
  <si>
    <t>https://upload.wikimedia.org/wikipedia/commons/thumb/f/f7/Flag_of_the_Gambier_Islands.svg/2560px-Flag_of_the_Gambier_Islands.svg.png</t>
  </si>
  <si>
    <t>https://en.wikipedia.org/wiki/Flag_of_the_Gambier_Islands</t>
  </si>
  <si>
    <t>1837</t>
  </si>
  <si>
    <t>Each of the stars represent one of the major islands in the group, with the blue stars representing Mangareva, Taravai, Aukena, and Akamaru, and the white star representing the islet Temoe, which is geographically distant from the others. The blue represents the sea while the white represents purity, and evangelism. The blue and white may also relate to the distinctive color of the local churches.</t>
  </si>
  <si>
    <t>[PLY] Leeward Islands</t>
  </si>
  <si>
    <t>https://upload.wikimedia.org/wikipedia/commons/thumb/e/e0/Flag_of_the_Leeward_Islands.svg/1024px-Flag_of_the_Leeward_Islands.svg.png</t>
  </si>
  <si>
    <t>https://upload.wikimedia.org/wikipedia/commons/thumb/e/e0/Flag_of_the_Leeward_Islands.svg/2560px-Flag_of_the_Leeward_Islands.svg.png</t>
  </si>
  <si>
    <t>https://www.fotw.info/flags/pf-li.html</t>
  </si>
  <si>
    <t>[PLY] Marquesas Islands</t>
  </si>
  <si>
    <t>https://upload.wikimedia.org/wikipedia/commons/thumb/3/3f/Flag_of_Marquesas_Islands.svg/1024px-Flag_of_Marquesas_Islands.svg.png</t>
  </si>
  <si>
    <t>https://upload.wikimedia.org/wikipedia/commons/thumb/3/3f/Flag_of_Marquesas_Islands.svg/2560px-Flag_of_Marquesas_Islands.svg.png</t>
  </si>
  <si>
    <t>https://en.wikipedia.org/wiki/Flag_of_the_Marquesas_Islands</t>
  </si>
  <si>
    <t>1998, 2017</t>
  </si>
  <si>
    <t>The flag is divided into two horizontal stripes with yellow on top and red on the bottom, with a white equilateral triangle emerging from the hoist. The yellow represents youth and joy, while the red and white are tapu, or sacred, to the chiefs and priests respectively.\n\nIn the white triangle, a black design of Matatiki (the gaze of Tiki) represents the first man in Polynesian mythology, and the inventor of sculpture and tattooing. The tattoo design on Tiki's cheeks are tapu symbols.</t>
  </si>
  <si>
    <t>[PLY] Tuamotu Archipelago</t>
  </si>
  <si>
    <t>https://upload.wikimedia.org/wikipedia/commons/thumb/d/dc/Flag_of_Tuamotu_Archipelago.svg/640px-Flag_of_Tuamotu_Archipelago.svg.png</t>
  </si>
  <si>
    <t>https://upload.wikimedia.org/wikipedia/commons/thumb/d/dc/Flag_of_Tuamotu_Archipelago.svg/2560px-Flag_of_Tuamotu_Archipelago.svg.png</t>
  </si>
  <si>
    <t>https://vexillology.fandom.com/wiki/Tuamotu_Archipelago</t>
  </si>
  <si>
    <t>The sixteen stars represent the sixteen municipalities forming the archipelago and not its number of islands and atolls. The red and white stripes recall the flag of French Polynesia, whereas the blue stripe recalls the French flag and represents also the sky and the sea.</t>
  </si>
  <si>
    <t>[SOL] Temotu Province</t>
  </si>
  <si>
    <t>https://upload.wikimedia.org/wikipedia/commons/thumb/b/b3/Temotu_province_flag.svg/640px-Temotu_province_flag.svg.png</t>
  </si>
  <si>
    <t>https://upload.wikimedia.org/wikipedia/commons/thumb/b/b3/Temotu_province_flag.svg/2560px-Temotu_province_flag.svg.png</t>
  </si>
  <si>
    <t>The flag is red with the Solomon Islands flag in canton and the two white five-pointed stars (one above the other) in the fly</t>
  </si>
  <si>
    <t>Micronation</t>
  </si>
  <si>
    <t>[TUV] Funafuti</t>
  </si>
  <si>
    <t>https://upload.wikimedia.org/wikipedia/commons/thumb/5/5c/Flag_of_Funafuti.svg/648px-Flag_of_Funafuti.svg.png</t>
  </si>
  <si>
    <t>https://en.wikipedia.org/wiki/Funafuti</t>
  </si>
  <si>
    <t>Funafuti is the capital of the island nation of Tuvalu. More people live in Funafuti than the rest of Tuvalu combined, with it containing approximately 60% of the nation's population.</t>
  </si>
  <si>
    <t>[AUS] Adelaide</t>
  </si>
  <si>
    <t>https://upload.wikimedia.org/wikipedia/commons/thumb/6/69/Flag_of_Adelaide.svg/640px-Flag_of_Adelaide.svg.png</t>
  </si>
  <si>
    <t>https://upload.wikimedia.org/wikipedia/commons/thumb/6/69/Flag_of_Adelaide.svg/2560px-Flag_of_Adelaide.svg.png</t>
  </si>
  <si>
    <t>https://en.m.wikipedia.org/wiki/Flag_of_Adelaide</t>
  </si>
  <si>
    <t>Navy blue background divided into four quarters by a Saint George's Cross outlined in gold overlain with the Arms of the City of Adelaide. The flag is bordered on three sides by diagonal blue and gold stripes.</t>
  </si>
  <si>
    <t>[AUS] Brisbane</t>
  </si>
  <si>
    <t>https://upload.wikimedia.org/wikipedia/commons/thumb/d/df/Flag_of_Brisbane.svg/640px-Flag_of_Brisbane.svg.png</t>
  </si>
  <si>
    <t>https://upload.wikimedia.org/wikipedia/commons/thumb/d/df/Flag_of_Brisbane.svg/2560px-Flag_of_Brisbane.svg.png</t>
  </si>
  <si>
    <t>https://en.m.wikipedia.org/wiki/Flag_of_Brisbane</t>
  </si>
  <si>
    <t>1996</t>
  </si>
  <si>
    <t>The two primary colours used are blue and gold, with blue representing the sea and the Brisbane River which flows through the city, and gold representing the sun and the city's warm climate.</t>
  </si>
  <si>
    <t>[AUS] Darwin</t>
  </si>
  <si>
    <t>https://upload.wikimedia.org/wikipedia/commons/thumb/d/df/Flag_of_Darwin.svg/640px-Flag_of_Darwin.svg.png</t>
  </si>
  <si>
    <t>https://upload.wikimedia.org/wikipedia/commons/thumb/d/df/Flag_of_Darwin.svg/2560px-Flag_of_Darwin.svg.png</t>
  </si>
  <si>
    <t>https://en.wikipedia.org/wiki/Darwin,_Northern_Territory</t>
  </si>
  <si>
    <t>Green, yellow, red tricolour with coat of arms. According to council policy, Darwin maintains both the coat of arms flag and a logo flag.</t>
  </si>
  <si>
    <t>[AUS] Hobart</t>
  </si>
  <si>
    <t>https://upload.wikimedia.org/wikipedia/commons/thumb/5/54/City_of_Hobart_Flag.svg/640px-City_of_Hobart_Flag.svg.png</t>
  </si>
  <si>
    <t>https://upload.wikimedia.org/wikipedia/commons/thumb/5/54/City_of_Hobart_Flag.svg/2560px-City_of_Hobart_Flag.svg.png</t>
  </si>
  <si>
    <t>https://en.m.wikipedia.org/wiki/List_of_Australian_flags</t>
  </si>
  <si>
    <t>The flag of Hobart City Council, of Tasmania, Australia. Designed in 1951 by Hobart architect and alderman, I.G. Anderson and first flown in 1953.\n\nThe star is derived from the arms of Lord Hobart, 4th Earl of Buckinghamshire (1760-1816), Secretary of State for War and the Colonies at the time of colonial settlement (1804), and after whom Hobart is named. The colour used on the arms Lord Hobart was, in fact, sable (black), rather than blue.\n\nThe red lion is from the Tasmanian flag - and its location at the top of the shield signifies Hobart's position as the Capital City.</t>
  </si>
  <si>
    <t>[AUS] Melbourne</t>
  </si>
  <si>
    <t>https://upload.wikimedia.org/wikipedia/commons/thumb/6/6f/Flag_of_Melbourne.svg/640px-Flag_of_Melbourne.svg.png</t>
  </si>
  <si>
    <t>https://upload.wikimedia.org/wikipedia/commons/thumb/6/6f/Flag_of_Melbourne.svg/2560px-Flag_of_Melbourne.svg.png</t>
  </si>
  <si>
    <t>https://en.m.wikipedia.org/wiki/Flag_of_Melbourne</t>
  </si>
  <si>
    <t>White background divided into four quadrants by the red cross of Saint George, patron saint of England. On both sides of each arm of the cross are narrow red bars known as a cotise. In the centre there is the Royal Crown, signifying the monarchy. Each of the four quadrants divided by the cross feature a design representing an important sector of Melbourne's economy in the mid 19th century.</t>
  </si>
  <si>
    <t>[AUS] Perth</t>
  </si>
  <si>
    <t>https://upload.wikimedia.org/wikipedia/commons/thumb/4/43/Flag_of_Perth.svg/640px-Flag_of_Perth.svg.png</t>
  </si>
  <si>
    <t>https://en.wikipedia.org/wiki/City_of_Perth</t>
  </si>
  <si>
    <t>The Saint George's Cross overlaid with the coat of arms of Perth in the centre.</t>
  </si>
  <si>
    <t>[AUS] Sydney</t>
  </si>
  <si>
    <t>https://upload.wikimedia.org/wikipedia/commons/thumb/8/84/City_of_Sydney_Flag.svg/640px-City_of_Sydney_Flag.svg.png</t>
  </si>
  <si>
    <t>https://upload.wikimedia.org/wikipedia/commons/thumb/8/84/City_of_Sydney_Flag.svg/2560px-City_of_Sydney_Flag.svg.png</t>
  </si>
  <si>
    <t>https://en.wikipedia.org/wiki/Flag_of_the_City_of_Sydney</t>
  </si>
  <si>
    <t>Horizontal triband of three colours, featuring the coat of arms of Thomas Townshend, Viscount Sydney, James Cook, and Thomas Hughes</t>
  </si>
  <si>
    <t>[AUS] Eureka Flag</t>
  </si>
  <si>
    <t>https://upload.wikimedia.org/wikipedia/commons/thumb/8/84/Eureka_Flag.svg/640px-Eureka_Flag.svg.png</t>
  </si>
  <si>
    <t>https://upload.wikimedia.org/wikipedia/commons/thumb/8/84/Eureka_Flag.svg/2560px-Eureka_Flag.svg.png</t>
  </si>
  <si>
    <t>https://en.wikipedia.org/wiki/Eureka_Flag</t>
  </si>
  <si>
    <t>1854</t>
  </si>
  <si>
    <t>The battle flag of the Eureka Stockade featured the five stars of the constellation Crux Australis in white on a white cross and blue field</t>
  </si>
  <si>
    <t>[AUS] Snake Hill</t>
  </si>
  <si>
    <t>https://upload.wikimedia.org/wikipedia/commons/thumb/f/f0/Flag_of_the_Principality_of_Snake_Hill.svg/640px-Flag_of_the_Principality_of_Snake_Hill.svg.png</t>
  </si>
  <si>
    <t>https://upload.wikimedia.org/wikipedia/commons/thumb/f/f0/Flag_of_the_Principality_of_Snake_Hill.svg/2560px-Flag_of_the_Principality_of_Snake_Hill.svg.png</t>
  </si>
  <si>
    <t>https://en.wikipedia.org/wiki/Principality_of_Snake_Hill</t>
  </si>
  <si>
    <t>A family of Australian residents could no longer afford to pay taxes, and after litigation over a mortgage and being inspired by the Principality of Hutt River, they did legal research and came to the conclusion that forming a country would be completely legal under Australian law, and they thus declared independence on 2 September 2003.</t>
  </si>
  <si>
    <t>https://upload.wikimedia.org/wikipedia/commons/thumb/3/3f/Australian_Aboriginal_Flag.svg/640px-Australian_Aboriginal_Flag.svg.png</t>
  </si>
  <si>
    <t>https://upload.wikimedia.org/wikipedia/commons/thumb/3/3f/Australian_Aboriginal_Flag.svg/2560px-Australian_Aboriginal_Flag.svg.png</t>
  </si>
  <si>
    <t>https://en.wikipedia.org/wiki/Australian_Aboriginal_flag</t>
  </si>
  <si>
    <t xml:space="preserve">The black represented black consciousness, black awareness, black power and being proud of blackness. The other colours of yellow (sun) and red (earth) were sourced from the predominant colours used to decorate pukamani poles. </t>
  </si>
  <si>
    <t>[AUS] Torres Strait Islander</t>
  </si>
  <si>
    <t>https://upload.wikimedia.org/wikipedia/en/thumb/1/1d/Flag_of_the_Torres_Strait_Islanders.svg/640px-Flag_of_the_Torres_Strait_Islanders.svg.png</t>
  </si>
  <si>
    <t>https://upload.wikimedia.org/wikipedia/en/thumb/1/1d/Flag_of_the_Torres_Strait_Islanders.svg/2560px-Flag_of_the_Torres_Strait_Islanders.svg.png</t>
  </si>
  <si>
    <t>https://en.wikipedia.org/wiki/Torres_Strait_Islander_flag</t>
  </si>
  <si>
    <t>The green panels at the top and the bottom of the flag symbolise the land, while the blue panel in the centre represents the waters of the Torres Strait. The thin black stripes between the green and blue panels signify the Torres Strait Islanders themselves. The white five-pointed star at the centre of the flag represents the five major island groups—the Western, Eastern, Central, Port Kennedy and (N.P.A.) Mainland—and the white dhari (also spelt dari, a ceremonial dancer's headdress), around it also symbolises the Torres Strait Islands people. White symbolises peace, while the star is a symbol for navigation.</t>
  </si>
  <si>
    <t>[CKI] Cook Islands Federation</t>
  </si>
  <si>
    <t>https://upload.wikimedia.org/wikipedia/commons/thumb/2/26/Flag_of_the_Cook_Islands_Federation.svg/640px-Flag_of_the_Cook_Islands_Federation.svg.png</t>
  </si>
  <si>
    <t>https://upload.wikimedia.org/wikipedia/commons/thumb/2/26/Flag_of_the_Cook_Islands_Federation.svg/1280px-Flag_of_the_Cook_Islands_Federation.svg.png</t>
  </si>
  <si>
    <t>https://en.m.wikipedia.org/wiki/Cook_Islands_Federation</t>
  </si>
  <si>
    <t xml:space="preserve">A horizontal triband of red, white, and red with the British Union Jack in the canton of the flag. The Union Jack has a palm tree superimposed on it. </t>
  </si>
  <si>
    <t>Historical, Colony</t>
  </si>
  <si>
    <t>[CKI] Kingdom of Rarotonga (1858-1888)</t>
  </si>
  <si>
    <t>https://upload.wikimedia.org/wikipedia/commons/thumb/c/c3/Flag_of_Rarotonga_1858-1888.svg/640px-Flag_of_Rarotonga_1858-1888.svg.png</t>
  </si>
  <si>
    <t>https://upload.wikimedia.org/wikipedia/commons/thumb/c/c3/Flag_of_Rarotonga_1858-1888.svg/1280px-Flag_of_Rarotonga_1858-1888.svg.png</t>
  </si>
  <si>
    <t>https://en.m.wikipedia.org/wiki/Kingdom_of_Rarotonga</t>
  </si>
  <si>
    <t>A horizontal triband of red, white, and red with three blue stars on the white band.</t>
  </si>
  <si>
    <t>[CKI] Kingdom of Rarotonga (1888-1893)</t>
  </si>
  <si>
    <t>https://upload.wikimedia.org/wikipedia/commons/thumb/b/b7/Flag_of_Rarotonga_1888-1893.svg/640px-Flag_of_Rarotonga_1888-1893.svg.png</t>
  </si>
  <si>
    <t>https://upload.wikimedia.org/wikipedia/commons/thumb/b/b7/Flag_of_Rarotonga_1888-1893.svg/1280px-Flag_of_Rarotonga_1888-1893.svg.png</t>
  </si>
  <si>
    <t>A horizontal triband of red, white, and red with three blue stars off set on the right side of the white band. There's a British Union Jack in the canton of the flag.</t>
  </si>
  <si>
    <t>Historical, Protectorate</t>
  </si>
  <si>
    <t>[MHL] Ailuk Atoll</t>
  </si>
  <si>
    <t>https://upload.wikimedia.org/wikipedia/commons/thumb/b/bc/Flag_of_Ailuk_Atoll%2C_Marshall_Islands.svg/1280px-Flag_of_Ailuk_Atoll%2C_Marshall_Islands.svg.png</t>
  </si>
  <si>
    <t>https://en.m.wikipedia.org/wiki/Ailuk_Atoll</t>
  </si>
  <si>
    <t>Four horizontal bands light blue, orange, green, and dark blue each with a white star.</t>
  </si>
  <si>
    <t>[MHL] Ebon Atoll</t>
  </si>
  <si>
    <t>https://upload.wikimedia.org/wikipedia/commons/thumb/f/f0/Flag_of_the_Ebon_Atoll_%28Unofficial%29.svg/640px-Flag_of_the_Ebon_Atoll_%28Unofficial%29.svg.png</t>
  </si>
  <si>
    <t>https://upload.wikimedia.org/wikipedia/commons/thumb/f/f0/Flag_of_the_Ebon_Atoll_%28Unofficial%29.svg/1280px-Flag_of_the_Ebon_Atoll_%28Unofficial%29.svg.png</t>
  </si>
  <si>
    <t>https://en.m.wikipedia.org/wiki/Flag_of_the_Marshall_Islands</t>
  </si>
  <si>
    <t>A red field with two horizontal white bands under seven white stars.</t>
  </si>
  <si>
    <t>[MHL] Namdrik Atoll</t>
  </si>
  <si>
    <t>https://upload.wikimedia.org/wikipedia/commons/thumb/0/03/Flag_of_Namdrik_Atoll.svg/640px-Flag_of_Namdrik_Atoll.svg.png</t>
  </si>
  <si>
    <t>https://upload.wikimedia.org/wikipedia/commons/thumb/0/03/Flag_of_Namdrik_Atoll.svg/1280px-Flag_of_Namdrik_Atoll.svg.png</t>
  </si>
  <si>
    <t>https://en.m.wikipedia.org/wiki/Namdrik_Atoll</t>
  </si>
  <si>
    <t>The vertical three stripes of orange , white and orange and charged with green and red emblem in the center.</t>
  </si>
  <si>
    <t>[MHL] Ujae Atoll</t>
  </si>
  <si>
    <t>https://upload.wikimedia.org/wikipedia/commons/thumb/8/83/Ujae_Atoll_Flag.svg/640px-Ujae_Atoll_Flag.svg.png</t>
  </si>
  <si>
    <t>https://upload.wikimedia.org/wikipedia/commons/thumb/8/83/Ujae_Atoll_Flag.svg/1280px-Ujae_Atoll_Flag.svg.png</t>
  </si>
  <si>
    <t>https://en.m.wikipedia.org/wiki/Ujae_Atoll</t>
  </si>
  <si>
    <t>The dark red flag with white two birds hoist and black war dance stick with white feather.\n\nThe red stands for Ujae sunset , white for peace, customs and culture, black for sorry past time, war dance stick for fight for peace and two birds for old states.</t>
  </si>
  <si>
    <t>[MHL] Wotho Atoll</t>
  </si>
  <si>
    <t>https://upload.wikimedia.org/wikipedia/commons/thumb/9/91/Flag_of_Wotho_Atoll%2C_Marshall_Islands.svg/640px-Flag_of_Wotho_Atoll%2C_Marshall_Islands.svg.png</t>
  </si>
  <si>
    <t>https://upload.wikimedia.org/wikipedia/commons/thumb/9/91/Flag_of_Wotho_Atoll%2C_Marshall_Islands.svg/1280px-Flag_of_Wotho_Atoll%2C_Marshall_Islands.svg.png</t>
  </si>
  <si>
    <t>A yellow field with a black canton containing a yellow crescent moon and a yellow star.</t>
  </si>
  <si>
    <t>[NZE] United Tribes of New Zealand (Black)</t>
  </si>
  <si>
    <t>https://upload.wikimedia.org/wikipedia/commons/thumb/8/82/UnitedTribesUnofficial.svg/640px-UnitedTribesUnofficial.svg.png</t>
  </si>
  <si>
    <t>https://upload.wikimedia.org/wikipedia/commons/thumb/8/82/UnitedTribesUnofficial.svg/2560px-UnitedTribesUnofficial.svg.png</t>
  </si>
  <si>
    <t>https://en.wikipedia.org/wiki/Flag_of_the_United_Tribes_of_New_Zealand</t>
  </si>
  <si>
    <t>A variant United Tribes flag design consisting of a St. George's cross with the canton consisting of a blue field, another St. George's cross with black fimbriation, and a white, eight-pointed star in each of the quarters. The St. George's cross may represent the designer's affiliation with the Church of England, while the stars represent either the Southern Cross or the stars of England. The variant design continues to be used by Māori groups to this day</t>
  </si>
  <si>
    <t>[PAU] Ngaraard</t>
  </si>
  <si>
    <t>https://upload.wikimedia.org/wikipedia/commons/thumb/4/45/Flag_of_Ngaraard_State.svg/640px-Flag_of_Ngaraard_State.svg.png</t>
  </si>
  <si>
    <t>https://upload.wikimedia.org/wikipedia/commons/thumb/4/45/Flag_of_Ngaraard_State.svg/2560px-Flag_of_Ngaraard_State.svg.png</t>
  </si>
  <si>
    <t>https://en.wikipedia.org/wiki/Flags_of_the_states_of_Palau</t>
  </si>
  <si>
    <t>The flag consists of a light blue background with a diagonal red line and a yellow star in the middle. The star stands for the unity of Ngaraard State, and the five fingers of the star stand for the five counties or hamlets of Ngaraard</t>
  </si>
  <si>
    <t>[PAU] Ngarchelong</t>
  </si>
  <si>
    <t>https://upload.wikimedia.org/wikipedia/commons/thumb/9/9d/Flag_of_Ngarchelong.svg/640px-Flag_of_Ngarchelong.svg.png</t>
  </si>
  <si>
    <t>https://upload.wikimedia.org/wikipedia/commons/thumb/9/9d/Flag_of_Ngarchelong.svg/1280px-Flag_of_Ngarchelong.svg.png</t>
  </si>
  <si>
    <t>The Flag of Ngarchelong is the seven-striped flag blue and white with a red circle in the center that is 8 stars that symbolizes the today eight municipalities in the state. Blue: represents the love for mankind, peace and prosperity. White: stands for trust peace. Red: stands for perseverance without limitation.</t>
  </si>
  <si>
    <t>[PNG] Central Province</t>
  </si>
  <si>
    <t>https://upload.wikimedia.org/wikipedia/commons/8/84/Flag_of_Central_Province%2C_Papua_New_Guinea.svg</t>
  </si>
  <si>
    <t>https://en.wikipedia.org/wiki/Central_Province_(Papua_New_Guinea)</t>
  </si>
  <si>
    <t>[PNG] Chimbu</t>
  </si>
  <si>
    <t>https://upload.wikimedia.org/wikipedia/commons/e/ea/Flag_of_Chimbu.svg</t>
  </si>
  <si>
    <t>https://en.wikipedia.org/wiki/Chimbu_Province</t>
  </si>
  <si>
    <t>[AUS] South Sea Islanders</t>
  </si>
  <si>
    <t>https://upload.wikimedia.org/wikipedia/commons/thumb/2/2a/Australian_South_Sea_Islanders_flag.svg/640px-Australian_South_Sea_Islanders_flag.svg.png</t>
  </si>
  <si>
    <t>https://upload.wikimedia.org/wikipedia/commons/thumb/2/2a/Australian_South_Sea_Islanders_flag.svg/1280px-Australian_South_Sea_Islanders_flag.svg.png</t>
  </si>
  <si>
    <t>https://en.m.wikipedia.org/wiki/South_Sea_Islanders</t>
  </si>
  <si>
    <t>The black column next to the flag pole - is for the people standing strong in community and surviving despite the hardships and injustices of the past.\n\nThe horizontal black band stands for our continuing in the future.\n\nBright blue recalls our origins from the South Pacific, the sea and the sky.\n\nBrilliant green is for the land and especially islander peoples' contribution to agriculture (including sugar cane) and to the development of our home, Australia. It also stands for our hope for the future and for our children.\n\nDeep gold stands for the sunshine and the sand of our original island homes and that of our homeland now, Australia.\n\nThe Southern Cross reminds us of our home in the South Pacific, and as it is the badge that Australians associate with, it emphasises that we are also Australians.</t>
  </si>
  <si>
    <t>N/A</t>
  </si>
  <si>
    <t>www</t>
  </si>
  <si>
    <t>[CCK] Shire of Cocos Islands</t>
  </si>
  <si>
    <t>https://upload.wikimedia.org/wikipedia/en/3/3e/Cocos_shire_logo.png</t>
  </si>
  <si>
    <t>https://en.wikipedia.org/wiki/Shire_of_Cocos_(Keeling)_Islands</t>
  </si>
  <si>
    <t>The Shire of Cocos (Keeling) Islands is a local government area which manages local affairs on the Australian external territory of Cocos (Keeling) Islands</t>
  </si>
  <si>
    <t>Government</t>
  </si>
  <si>
    <t>[CXR] Shire of Christmas Island</t>
  </si>
  <si>
    <t>https://upload.wikimedia.org/wikipedia/en/a/a9/CXshirecouncillogo.png</t>
  </si>
  <si>
    <t>https://en.wikipedia.org/wiki/Shire_of_Christmas_Island</t>
  </si>
  <si>
    <t>The Shire of Christmas Island is a local government area encompassing the Australian external territory of Christmas Island. </t>
  </si>
  <si>
    <t>[FJI] Confederacy of Independent Kingdoms of Fiji (1865)</t>
  </si>
  <si>
    <t>https://upload.wikimedia.org/wikipedia/commons/thumb/c/cb/Flag_of_the_Confederacy_of_Independent_Kingdoms_of_Fiji.svg/640px-Flag_of_the_Confederacy_of_Independent_Kingdoms_of_Fiji.svg.png</t>
  </si>
  <si>
    <t>https://upload.wikimedia.org/wikipedia/commons/thumb/c/cb/Flag_of_the_Confederacy_of_Independent_Kingdoms_of_Fiji.svg/1280px-Flag_of_the_Confederacy_of_Independent_Kingdoms_of_Fiji.svg.png</t>
  </si>
  <si>
    <t>https://en.m.wikipedia.org/wiki/Flag_of_Fiji</t>
  </si>
  <si>
    <t>A white eight-pointed star on a dark blue field.</t>
  </si>
  <si>
    <t>[FJI] Confederation of Lau (1869)</t>
  </si>
  <si>
    <t>https://upload.wikimedia.org/wikipedia/commons/thumb/e/ed/Flag_of_the_Kingdom_of_Lau_1869-1871.svg/640px-Flag_of_the_Kingdom_of_Lau_1869-1871.svg.png</t>
  </si>
  <si>
    <t>https://upload.wikimedia.org/wikipedia/commons/thumb/e/ed/Flag_of_the_Kingdom_of_Lau_1869-1871.svg/1280px-Flag_of_the_Kingdom_of_Lau_1869-1871.svg.png</t>
  </si>
  <si>
    <t>A horizontal bicolour of white and red with a red cross in the canton.</t>
  </si>
  <si>
    <t>[FJI] Kingdom of Bau (1867)</t>
  </si>
  <si>
    <t>https://upload.wikimedia.org/wikipedia/commons/thumb/f/fa/Flag_of_the_Kingdom_of_Bau.svg/640px-Flag_of_the_Kingdom_of_Bau.svg.png</t>
  </si>
  <si>
    <t>https://upload.wikimedia.org/wikipedia/commons/thumb/f/fa/Flag_of_the_Kingdom_of_Bau.svg/1280px-Flag_of_the_Kingdom_of_Bau.svg.png</t>
  </si>
  <si>
    <t>A horizontal tricolour of white, blue and red, with a golden sunburst in the centre and a crown in the canton.</t>
  </si>
  <si>
    <t>[FJI] Kingdom of Fiji (1871)</t>
  </si>
  <si>
    <t>https://upload.wikimedia.org/wikipedia/commons/thumb/5/5a/Flag_of_the_Kingdom_of_Fiji_%281871-1874%29.svg/640px-Flag_of_the_Kingdom_of_Fiji_%281871-1874%29.svg.png</t>
  </si>
  <si>
    <t>https://upload.wikimedia.org/wikipedia/commons/thumb/5/5a/Flag_of_the_Kingdom_of_Fiji_%281871-1874%29.svg/1280px-Flag_of_the_Kingdom_of_Fiji_%281871-1874%29.svg.png</t>
  </si>
  <si>
    <t>https://en.m.wikipedia.org/wiki/Kingdom_of_Fiji</t>
  </si>
  <si>
    <t>A blue and white vertical bicolor with a shield in the center containing a dove holding a branch inside as well as a crown above the shield.</t>
  </si>
  <si>
    <t>[GUM] Hagatna</t>
  </si>
  <si>
    <t>https://upload.wikimedia.org/wikipedia/commons/thumb/4/4c/Flag_of_Hag%C3%A5t%C3%B1a%2C_Guam.svg/640px-Flag_of_Hag%C3%A5t%C3%B1a%2C_Guam.svg.png</t>
  </si>
  <si>
    <t>https://upload.wikimedia.org/wikipedia/commons/thumb/4/4c/Flag_of_Hag%C3%A5t%C3%B1a%2C_Guam.svg/1280px-Flag_of_Hag%C3%A5t%C3%B1a%2C_Guam.svg.png</t>
  </si>
  <si>
    <t>https://en.m.wikipedia.org/wiki/Hag%C3%A5t%C3%B1a,_Guam</t>
  </si>
  <si>
    <t>A white field with a brown vertical band on the left side and the seal of the city over the right side of the field.</t>
  </si>
  <si>
    <t>[KIR] Kingdom of Abemama (1889-1892)</t>
  </si>
  <si>
    <t>https://upload.wikimedia.org/wikipedia/commons/thumb/a/a4/Kingdom_of_Abemama_Flag.svg/640px-Kingdom_of_Abemama_Flag.svg.png</t>
  </si>
  <si>
    <t>https://upload.wikimedia.org/wikipedia/commons/thumb/a/a4/Kingdom_of_Abemama_Flag.svg/1280px-Kingdom_of_Abemama_Flag.svg.png</t>
  </si>
  <si>
    <t>https://en.m.wikipedia.org/wiki/Flag_of_Kiribati</t>
  </si>
  <si>
    <t>A horizontal tricolor of red,yellow, and green with a black silhouette of a shark on the central band.</t>
  </si>
  <si>
    <t>[MHL] Majuro</t>
  </si>
  <si>
    <t>https://upload.wikimedia.org/wikipedia/commons/thumb/0/07/Majuro_Atoll_Flag.svg/640px-Majuro_Atoll_Flag.svg.png</t>
  </si>
  <si>
    <t>https://upload.wikimedia.org/wikipedia/commons/thumb/0/07/Majuro_Atoll_Flag.svg/1280px-Majuro_Atoll_Flag.svg.png</t>
  </si>
  <si>
    <t>https://en.m.wikipedia.org/wiki/Majuro</t>
  </si>
  <si>
    <t>A yellow triangle on the left side containing a white bird surrounded by eleven white stars. The right side of the flag is made of four horizontal bands of blue, orange, white, and blue.</t>
  </si>
  <si>
    <t>[MHL] Kwajalein Atoll (Pre 2022)</t>
  </si>
  <si>
    <t>https://upload.wikimedia.org/wikipedia/commons/thumb/a/a4/Kwajalein_Atoll_Flag.svg/640px-Kwajalein_Atoll_Flag.svg.png</t>
  </si>
  <si>
    <t>https://upload.wikimedia.org/wikipedia/commons/thumb/a/a4/Kwajalein_Atoll_Flag.svg/1280px-Kwajalein_Atoll_Flag.svg.png</t>
  </si>
  <si>
    <t>https://en.m.wikipedia.org/wiki/Kwajalein_Atoll</t>
  </si>
  <si>
    <t>A green field with a white flower in the top left corner. Three diagonal bands of blue, white, and orange cross the flag.</t>
  </si>
  <si>
    <t>[MNP] Northern Mariana Islands (1976-1981)</t>
  </si>
  <si>
    <t>https://upload.wikimedia.org/wikipedia/commons/thumb/5/55/Flag_of_the_Northern_Mariana_Islands_%281972%29.svg/640px-Flag_of_the_Northern_Mariana_Islands_%281972%29.svg.png</t>
  </si>
  <si>
    <t>https://upload.wikimedia.org/wikipedia/commons/thumb/5/55/Flag_of_the_Northern_Mariana_Islands_%281972%29.svg/1280px-Flag_of_the_Northern_Mariana_Islands_%281972%29.svg.png</t>
  </si>
  <si>
    <t>https://en.m.wikipedia.org/wiki/Flag_of_the_Northern_Mariana_Islands</t>
  </si>
  <si>
    <t>A latte stone with a white star superimposed over it, on a blue field.</t>
  </si>
  <si>
    <t>[MNP] Northern Mariana Islands (1976-1989)</t>
  </si>
  <si>
    <t>https://upload.wikimedia.org/wikipedia/commons/thumb/0/04/Flag_of_the_Northern_Mariana_Islands_%281976%E2%80%931989%29.svg/640px-Flag_of_the_Northern_Mariana_Islands_%281976%E2%80%931989%29.svg.png</t>
  </si>
  <si>
    <t>https://upload.wikimedia.org/wikipedia/commons/thumb/0/04/Flag_of_the_Northern_Mariana_Islands_%281976%E2%80%931989%29.svg/1280px-Flag_of_the_Northern_Mariana_Islands_%281976%E2%80%931989%29.svg.png</t>
  </si>
  <si>
    <t>A circle of flowers and plants with a grey latte stone and a white star on a blue field.</t>
  </si>
  <si>
    <t>[NCL] Loyalty Islands Province</t>
  </si>
  <si>
    <t>https://upload.wikimedia.org/wikipedia/commons/thumb/8/87/Iles-Loyaut%C3%A9_drapeau.svg/640px-Iles-Loyaut%C3%A9_drapeau.svg.png</t>
  </si>
  <si>
    <t>https://upload.wikimedia.org/wikipedia/commons/thumb/8/87/Iles-Loyaut%C3%A9_drapeau.svg/1280px-Iles-Loyaut%C3%A9_drapeau.svg.png</t>
  </si>
  <si>
    <t>https://en.m.wikipedia.org/wiki/Flags_of_New_Caledonia</t>
  </si>
  <si>
    <t>A yellow disc on a white field defaced with a black flèche faîtière.</t>
  </si>
  <si>
    <t>[NCL] North Province</t>
  </si>
  <si>
    <t>https://upload.wikimedia.org/wikipedia/commons/thumb/4/42/Drapeau_Province_Nord_Nouvelle_Cal%C3%A9donie.svg/640px-Drapeau_Province_Nord_Nouvelle_Cal%C3%A9donie.svg.png</t>
  </si>
  <si>
    <t>https://upload.wikimedia.org/wikipedia/commons/thumb/4/42/Drapeau_Province_Nord_Nouvelle_Cal%C3%A9donie.svg/1280px-Drapeau_Province_Nord_Nouvelle_Cal%C3%A9donie.svg.png</t>
  </si>
  <si>
    <t>https://en.m.wikipedia.org/wiki/North_Province,_New_Caledonia</t>
  </si>
  <si>
    <t>A map of the region on a white field defaced with a black flèche faîtière</t>
  </si>
  <si>
    <t>[NCL] South Province</t>
  </si>
  <si>
    <t>https://upload.wikimedia.org/wikipedia/commons/thumb/9/94/Bandera_Province_Sud.svg/640px-Bandera_Province_Sud.svg.png</t>
  </si>
  <si>
    <t>https://upload.wikimedia.org/wikipedia/commons/thumb/9/94/Bandera_Province_Sud.svg/1280px-Bandera_Province_Sud.svg.png</t>
  </si>
  <si>
    <t>https://en.m.wikipedia.org/wiki/South_Province,_New_Caledonia</t>
  </si>
  <si>
    <t>A white field with the province's logo, made of a blue sail with a white-blue-white-red face, placed over two blue waves</t>
  </si>
  <si>
    <t>[NIU] Hakupu</t>
  </si>
  <si>
    <t>https://upload.wikimedia.org/wikipedia/commons/thumb/4/42/Flag_of_Hakupu%2C_Niue.svg/640px-Flag_of_Hakupu%2C_Niue.svg.png</t>
  </si>
  <si>
    <t>https://upload.wikimedia.org/wikipedia/commons/thumb/4/42/Flag_of_Hakupu%2C_Niue.svg/2560px-Flag_of_Hakupu%2C_Niue.svg.png</t>
  </si>
  <si>
    <t>https://www.fotw.info/flags/nu-hak.html</t>
  </si>
  <si>
    <t>The flag design consist of a black stripe running through a circle with 3 black stars inside of it. The Circle symbolizes the unity of the Hakupu village people and also coincides with the tradition village song “KA HOKO MAI A KOE KI FUAI” in which the verse sounds …kua fakaveliveli, tuga ni e mahina… The 3 stars represents the people of Hakupu by the Past, Present and the Future. The 3 stars also corresponds to the 3 main entrances to the village namely: Malakava, Manunu and Mati. The white stripes in which the black stripe runs through signifies how the village is bounded spiritually in their everyday lives and everything they stand for.</t>
  </si>
  <si>
    <t>Village</t>
  </si>
  <si>
    <t>[NIU] Mutalau</t>
  </si>
  <si>
    <t>https://www.fotw.info/images/n/nu_mutalau.jpg</t>
  </si>
  <si>
    <t>https://www.crwflags.com/fotw/flags/nu.html</t>
  </si>
  <si>
    <t>Mutalau is one of the fourteen villages of Niue./n/nThe name 'Mutalau Ululauta Matahefonua' is adopted by the Mutalau people in Auckland, New Zealand as the name for their trust called the Mutalau Ululauta Matahefonua Trust (MUMT)/n/nThe central big star represents Niue as stand alone nation in the wide Pacific ocean. The five stars represent the Southern Cross on the Niue flag which signifies its link to the Commonwealth. The torch and dove go hand in hand and both represent Mutalau as being the first village of Niue to receive the gospel. Navy blue is the official Mutalau colour.</t>
  </si>
  <si>
    <t>[NRU] Nauru Pacific Line</t>
  </si>
  <si>
    <t>https://upload.wikimedia.org/wikipedia/commons/thumb/6/62/Flag_of_the_Nauru_Pacific_Line.svg/640px-Flag_of_the_Nauru_Pacific_Line.svg.png</t>
  </si>
  <si>
    <t>https://upload.wikimedia.org/wikipedia/commons/thumb/6/62/Flag_of_the_Nauru_Pacific_Line.svg/2560px-Flag_of_the_Nauru_Pacific_Line.svg.png</t>
  </si>
  <si>
    <t>https://en.wikipedia.org/wiki/Nauru_Pacific_Line</t>
  </si>
  <si>
    <t>The Nauru Pacific Line (NPL) is the national shipping line of the Republic of Nauru</t>
  </si>
  <si>
    <t>Maritime</t>
  </si>
  <si>
    <t>[NZE] Auckland</t>
  </si>
  <si>
    <t>https://upload.wikimedia.org/wikipedia/commons/thumb/1/1a/Flag_of_Auckland.svg/640px-Flag_of_Auckland.svg.png</t>
  </si>
  <si>
    <t>https://upload.wikimedia.org/wikipedia/commons/thumb/1/1a/Flag_of_Auckland.svg/2560px-Flag_of_Auckland.svg.png</t>
  </si>
  <si>
    <t>https://en.wikipedia.org/wiki/Flag_of_Auckland_City</t>
  </si>
  <si>
    <t>It has a cornucopia in the top left canton representative Auckland's wealth, a pick and shovel in the top right canton to represent the areas mining past and a horizontal stripe underneath with a sailing ship. It has been around since the early 1950s, but was only officially adopted in 1980.</t>
  </si>
  <si>
    <t>[NZE] Christchurch</t>
  </si>
  <si>
    <t>https://upload.wikimedia.org/wikipedia/commons/thumb/6/62/Christchurch_heraldic_flag.svg/640px-Christchurch_heraldic_flag.svg.png</t>
  </si>
  <si>
    <t>https://upload.wikimedia.org/wikipedia/commons/thumb/6/62/Christchurch_heraldic_flag.svg/2560px-Christchurch_heraldic_flag.svg.png</t>
  </si>
  <si>
    <t>https://en.wikipedia.org/wiki/Christchurch</t>
  </si>
  <si>
    <t xml:space="preserve">A banner of arms of Christchurch's coat of arms. Chevron Gules a Mitre between a Fleece and a Garbe of the first in base two Bars wavy Azure on a Chief of the last four Lymphads sails furled, also of the first And for the Crest on a Wreath Or and Azure a Kiwi proper </t>
  </si>
  <si>
    <t>[NZE] Napier</t>
  </si>
  <si>
    <t>https://upload.wikimedia.org/wikipedia/commons/thumb/f/f8/Flag_of_Napier_City.svg/640px-Flag_of_Napier_City.svg.png</t>
  </si>
  <si>
    <t>https://upload.wikimedia.org/wikipedia/commons/thumb/f/f8/Flag_of_Napier_City.svg/2560px-Flag_of_Napier_City.svg.png</t>
  </si>
  <si>
    <t>https://en.wikipedia.org/wiki/Napier,_New_Zealand</t>
  </si>
  <si>
    <t xml:space="preserve">A banner of arms of Napier's coat of arms. Three red roses from the coat of arms of Lord Napier and Ettrick (a direct descendant of Sir Charles Napier after whom Napier was named). Blue wave bands symbolise status as a coastal city and the Golden Fleece is the heraldic symbol of the wool industry, which Napier was one of the largest wool centres in New Zealand. </t>
  </si>
  <si>
    <t>[NZE] Nelson</t>
  </si>
  <si>
    <t>https://upload.wikimedia.org/wikipedia/commons/thumb/0/09/Nelson_flag.svg/640px-Nelson_flag.svg.png</t>
  </si>
  <si>
    <t>https://upload.wikimedia.org/wikipedia/commons/thumb/0/09/Nelson_flag.svg/2560px-Nelson_flag.svg.png</t>
  </si>
  <si>
    <t>https://en.wikipedia.org/wiki/Flag_of_the_City_of_Nelson</t>
  </si>
  <si>
    <t xml:space="preserve">The flag is based on the City of Nelson's coat of arms. The top third of the flag is blue, a colour strongly associated with Nelson including use by many sports teams. The bottom two thirds consist of alternating blue and white horizontal wavy stripes, which represent Nelson's relationship to the sea. Emblazoned upon the striped section is a black cross flory, taken from the arms of Lord Nelson. Above the cross, upon the blue section is a mitre with fringed lappets flowing from either side, for Nelson has been the seat of the bishop of Nelson since 1858. </t>
  </si>
  <si>
    <t>[NZE] Wellington</t>
  </si>
  <si>
    <t>https://upload.wikimedia.org/wikipedia/commons/thumb/0/0d/Flag_of_Wellington_City%2C_New_Zealand.svg/640px-Flag_of_Wellington_City%2C_New_Zealand.svg.png</t>
  </si>
  <si>
    <t>https://upload.wikimedia.org/wikipedia/commons/thumb/0/0d/Flag_of_Wellington_City%2C_New_Zealand.svg/2560px-Flag_of_Wellington_City%2C_New_Zealand.svg.png</t>
  </si>
  <si>
    <t>https://en.wikipedia.org/wiki/Flag_of_Wellington</t>
  </si>
  <si>
    <t>Black symmetric cross on a yellow background with a central circular design of a ship with a dolphin on its sail. The ship is flying three St George's Crosses, representative of the city's English origins</t>
  </si>
  <si>
    <t>https://upload.wikimedia.org/wikipedia/commons/thumb/5/5d/Flag_of_the_United_Tribes_of_New_Zealand.svg/640px-Flag_of_the_United_Tribes_of_New_Zealand.svg.png</t>
  </si>
  <si>
    <t>https://upload.wikimedia.org/wikipedia/commons/thumb/5/5d/Flag_of_the_United_Tribes_of_New_Zealand.svg/2560px-Flag_of_the_United_Tribes_of_New_Zealand.svg.png</t>
  </si>
  <si>
    <t>A St. George's cross with the canton consisting of a blue field, another St. George's cross with white fimbriation, and a white, eight-pointed star in each of the quarters. The St. George's cross may represent the designer's affiliation with the Church of England, while the stars are speculated to either represent the Southern Cross or the stars of England.</t>
  </si>
  <si>
    <t>[NZE] Otago</t>
  </si>
  <si>
    <t>https://upload.wikimedia.org/wikipedia/commons/thumb/4/4c/Flag_of_Otago.svg/640px-Flag_of_Otago.svg.png</t>
  </si>
  <si>
    <t>https://upload.wikimedia.org/wikipedia/commons/thumb/4/4c/Flag_of_Otago.svg/2560px-Flag_of_Otago.svg.png</t>
  </si>
  <si>
    <t>https://en.wikipedia.org/wiki/Otago</t>
  </si>
  <si>
    <t>Blue and gold, horizontally divided by a zigzag line, with counterchanged eight-pointed stars. Used by the Otago Regional Council, and widely by the general public in the Otago region. The colours are widely used in the region. The gold representing the region's hills and gold-mining origins, while the blue represents the sky and the region's historical ties to Scotland.</t>
  </si>
  <si>
    <t>[NZE] Tūhoe</t>
  </si>
  <si>
    <t>https://www.fotw.info/images/n/nz_tmmt2.gif</t>
  </si>
  <si>
    <t>https://en.wikipedia.org/wiki/Ng%C4%81i_T%C5%ABhoe</t>
  </si>
  <si>
    <t>Flag of the sovereignty movement of Tūhoe, a Māori iwi in the northeast of New Zealand's North Island. Black, white, and red are traditional Māori colours, with the green representing Te Urewera, the mountainous and heavily forested area which forms the core of Tūhoe's territory. The words 'Te Mana Motukahe o Tuhoe' (the sovereignty of Tūhoe) are written across the bottom of the flag.</t>
  </si>
  <si>
    <t>[PCN] Ducie Island</t>
  </si>
  <si>
    <t>https://i.ibb.co/MSJbjXV/Ducie-Island.png</t>
  </si>
  <si>
    <t>https://vexillology.fandom.com/wiki/Flags_of_Islands_of_the_Pitcairn_Islands</t>
  </si>
  <si>
    <t>[PNG] Bougainville</t>
  </si>
  <si>
    <t>https://upload.wikimedia.org/wikipedia/commons/thumb/e/e4/Flag_of_Bougainville.svg/640px-Flag_of_Bougainville.svg.png</t>
  </si>
  <si>
    <t>https://upload.wikimedia.org/wikipedia/commons/thumb/e/e4/Flag_of_Bougainville.svg/1280px-Flag_of_Bougainville.svg.png</t>
  </si>
  <si>
    <t>https://en.wikipedia.org/wiki/Flag_of_Bougainville</t>
  </si>
  <si>
    <t>According to the Bougainville Flag, Emblem and Anthem (Protection) Act 2018, the flag consists of 'a depiction of an upe superimposed over concentric discs of black and white on a cobalt blue field'. The upe is a traditional headdress worn by Bougainvillean men as a symbol of adulthood. The black disc 'represents the distinctive skin colour of the Bougainvillean people', while the white disc represents the kapkap, a traditional symbol of authority made from mother of pearl. The 24 green equilateral triangles within the kapkap symbolise 'the importance of land to the Bougainvillean people', the blue field represents the ocean. The official flag aspect ratio is 2:3.</t>
  </si>
  <si>
    <t>[SMO] Western Samoa Trust Territory</t>
  </si>
  <si>
    <t>https://upload.wikimedia.org/wikipedia/commons/thumb/6/67/Flag_of_the_Samoa_Trust_Territory.svg/640px-Flag_of_the_Samoa_Trust_Territory.svg.png</t>
  </si>
  <si>
    <t>https://upload.wikimedia.org/wikipedia/commons/thumb/6/67/Flag_of_the_Samoa_Trust_Territory.svg/2560px-Flag_of_the_Samoa_Trust_Territory.svg.png</t>
  </si>
  <si>
    <t>https://en.wikipedia.org/wiki/Territory_of_Western_Samoa</t>
  </si>
  <si>
    <t>1920</t>
  </si>
  <si>
    <t>A Defaced Blue Ensign with The Badge of Samoa. 1920-1948</t>
  </si>
  <si>
    <t>[TON] Tonga (Naval Ensign)</t>
  </si>
  <si>
    <t>https://upload.wikimedia.org/wikipedia/commons/thumb/8/8d/Naval_Ensign_of_Tonga.svg/2560px-Naval_Ensign_of_Tonga.svg.png</t>
  </si>
  <si>
    <t>https://www.crwflags.com/fotw/flags/to%5E.html</t>
  </si>
  <si>
    <t>The design seems to be inspired by the Tongan national flag, the British White Ensign, the German Imperial War Flag and the Scandinavian cross flags, all put together in one. The flag has a red Scandinavian cross bordered in white and red. In the white canton is a red Greek cross (as in the Tongan national flag). The flag was designed by Prince Tupouto'a, Minister of Foreign Affairs and Defence when the flag was adopted 13 September 1985</t>
  </si>
  <si>
    <t>Naval Ensign</t>
  </si>
  <si>
    <t>[TUV] Tuvalu (1996-1997)</t>
  </si>
  <si>
    <t>https://upload.wikimedia.org/wikipedia/commons/thumb/d/d3/Flag_of_Tuvalu_%281996%E2%80%931997%29.svg/640px-Flag_of_Tuvalu_%281996%E2%80%931997%29.svg.png</t>
  </si>
  <si>
    <t>https://upload.wikimedia.org/wikipedia/commons/thumb/d/d3/Flag_of_Tuvalu_%281996%E2%80%931997%29.svg/1280px-Flag_of_Tuvalu_%281996%E2%80%931997%29.svg.png</t>
  </si>
  <si>
    <t>https://en.m.wikipedia.org/wiki/Flag_of_Tuvalu</t>
  </si>
  <si>
    <t>A five banded horizontal flag of red, white, blue, white, and red with the blue band having a white triangle from the left side of the flag containing the coat of arms.</t>
  </si>
  <si>
    <t>[VUT] Torba Province</t>
  </si>
  <si>
    <t>https://www.crwflags.com/fotw/images/v/vu-tor_p.gif</t>
  </si>
  <si>
    <t>https://en.wikipedia.org/wiki/Torba_Province#/media/File:Flag_of_Torba_Province.png</t>
  </si>
  <si>
    <t>https://en.wikipedia.org/wiki/Torba_Province</t>
  </si>
  <si>
    <t>The Torba Province (former District of Ambryn, District of Malakula and District of Paama) flag is diagonally arranged, blue in the upper hoist, stripes of red-yellow-black-white-green, and yellow in the lower fly. Overall, centred, but displaced to the lower part of the flag, is a series of local emblems: two ferns and crossed spears on the perimeter, a chain of white stone beads, a white boars tusk, and a black crayfish.\n\nSource: Michel Lupant; Gaceta de Banderas no. 110\nJens Pattke, 28 June 2006\n\nThe flag can be seen on the following Facebook pages:\n\nhttp://www.facebook.com/photo.php?fbid=10100827282351540&amp;set=pb.20919298.-2207520000.1350214968&amp;type=1&amp;permPage=1\nhttp://www.facebook.com/photo.php?fbid=10100827282246750&amp;set=pb.20919298.-2207520000.1350214968&amp;type=1&amp;permPage=1\nhttp://www.facebook.com/photo.php?fbid=10100827280210830&amp;set=pb.20919298.-2207520000.1350214968&amp;type=1&amp;permPage=1\nhttp://www.facebook.com/photo.php?fbid=10100827280480290&amp;set=pb.20919298.-2207520000.1350214968&amp;type=1&amp;permPage=1\n\nParaskevas Renesis, 14 October 2012\n\n[Torba Province (Vanuatu)] image located by Jens Pattke, 1 May 2016\n\nAn example of the flag of the Torba Province at http://bloximages.chicago2.vip.townnews.com (source: http://dailypost.vu/news/myth-about-torba/article_e8726512-1cfc-52a1-be3c-a23001bddede.html) shows the flag with the emblem in the lower yellow triangular field instead of centred.\nJens Pattke, 1 May 2016</t>
  </si>
  <si>
    <t>[WLF] Alo</t>
  </si>
  <si>
    <t>https://upload.wikimedia.org/wikipedia/commons/thumb/f/fa/Flag_of_Alo.svg/640px-Flag_of_Alo.svg.png</t>
  </si>
  <si>
    <t>https://upload.wikimedia.org/wikipedia/commons/thumb/f/fa/Flag_of_Alo.svg/2560px-Flag_of_Alo.svg.png</t>
  </si>
  <si>
    <t>https://www.fotw.info/flags/wf-a.html</t>
  </si>
  <si>
    <t>The Royal standard of Alo represents a palm, upon which are crossed a club and an axe, the weapons who killed Father Chanel.</t>
  </si>
  <si>
    <t>Chiefdom</t>
  </si>
  <si>
    <t>[WLF] Sigave</t>
  </si>
  <si>
    <t>https://upload.wikimedia.org/wikipedia/commons/thumb/8/89/Flag_of_Sigave.svg/640px-Flag_of_Sigave.svg.png</t>
  </si>
  <si>
    <t>https://upload.wikimedia.org/wikipedia/commons/thumb/8/89/Flag_of_Sigave.svg/2560px-Flag_of_Sigave.svg.png</t>
  </si>
  <si>
    <t>https://www.fotw.info/flags/wf-s.html</t>
  </si>
  <si>
    <t>The Royal standard of Sigave represents a palm flanked by two spears. The palm is the symbol of a small braided basket, which contained the remains of teeth and jaws of the founding ancestor of a lineage</t>
  </si>
  <si>
    <t>[WLF] Uvea</t>
  </si>
  <si>
    <t>https://upload.wikimedia.org/wikipedia/commons/thumb/b/b8/Flag_of_Uvea.svg/640px-Flag_of_Uvea.svg.png</t>
  </si>
  <si>
    <t>https://upload.wikimedia.org/wikipedia/commons/thumb/b/b8/Flag_of_Uvea.svg/2560px-Flag_of_Uvea.svg.png</t>
  </si>
  <si>
    <t>https://www.fotw.info/flags/wf-w.html</t>
  </si>
  <si>
    <t>The flag of Uvéa was red with a white cross (similar to the cross of Malta, several shapes of it are known), basically the current unofficial flag of the territory. When the French protectorate was established, the tricolour was added to the canton.</t>
  </si>
  <si>
    <t>[AUS] Aboriginal People</t>
  </si>
  <si>
    <t>2b</t>
  </si>
  <si>
    <t>[AUS] Other</t>
  </si>
  <si>
    <t>(name in Māori if different)</t>
  </si>
  <si>
    <t>Regional council</t>
  </si>
  <si>
    <t>Seats</t>
  </si>
  <si>
    <t>Council seat</t>
  </si>
  <si>
    <t>Land area[21]</t>
  </si>
  <si>
    <t>Population[22]</t>
  </si>
  <si>
    <t>Density</t>
  </si>
  <si>
    <t>ISO 3166-2 Code</t>
  </si>
  <si>
    <t>km2</t>
  </si>
  <si>
    <t>sq mi</t>
  </si>
  <si>
    <t>per km2</t>
  </si>
  <si>
    <t>per sq mi</t>
  </si>
  <si>
    <t>Northland</t>
  </si>
  <si>
    <t>Te Tai Tokerau</t>
  </si>
  <si>
    <t>Northland Regional Council</t>
  </si>
  <si>
    <t>Whangārei</t>
  </si>
  <si>
    <t>North</t>
  </si>
  <si>
    <t>NZ-NTL</t>
  </si>
  <si>
    <t>Auckland[a]</t>
  </si>
  <si>
    <t>Tāmaki-makau-rau</t>
  </si>
  <si>
    <t>Auckland Council</t>
  </si>
  <si>
    <t>Auckland</t>
  </si>
  <si>
    <t>NZ-AUK</t>
  </si>
  <si>
    <t>Waikato</t>
  </si>
  <si>
    <t>Waikato Regional Council</t>
  </si>
  <si>
    <t>Hamilton</t>
  </si>
  <si>
    <t>NZ-WKO</t>
  </si>
  <si>
    <t>Bay of Plenty</t>
  </si>
  <si>
    <t>Te Moana-a-Toi</t>
  </si>
  <si>
    <t>Bay of Plenty Regional Council</t>
  </si>
  <si>
    <t>Whakatāne</t>
  </si>
  <si>
    <t>NZ-BOP</t>
  </si>
  <si>
    <t>Gisborne[a][b]</t>
  </si>
  <si>
    <t>Te Tairāwhiti</t>
  </si>
  <si>
    <t>Gisborne District Council</t>
  </si>
  <si>
    <t>Gisborne</t>
  </si>
  <si>
    <t>NZ-GIS</t>
  </si>
  <si>
    <t>Hawke's Bay</t>
  </si>
  <si>
    <t>Te Matau-a-Māui</t>
  </si>
  <si>
    <t>Hawke's Bay Regional Council</t>
  </si>
  <si>
    <t>Napier</t>
  </si>
  <si>
    <t>NZ-HKB</t>
  </si>
  <si>
    <t>Taranaki</t>
  </si>
  <si>
    <t>Taranaki Regional Council</t>
  </si>
  <si>
    <t>Stratford</t>
  </si>
  <si>
    <t>NZ-TKI</t>
  </si>
  <si>
    <t>Manawatū-Whanganui</t>
  </si>
  <si>
    <t>Horizons Regional Council</t>
  </si>
  <si>
    <t>Palmerston North</t>
  </si>
  <si>
    <t>NZ-MWT</t>
  </si>
  <si>
    <t>Wellington</t>
  </si>
  <si>
    <t>Te Whanga-nui-a-Tara</t>
  </si>
  <si>
    <t>Greater Wellington Regional Council</t>
  </si>
  <si>
    <t>NZ-WGN</t>
  </si>
  <si>
    <t>Tasman[a]</t>
  </si>
  <si>
    <t>Te Tai-o-Aorere</t>
  </si>
  <si>
    <t>Tasman District Council</t>
  </si>
  <si>
    <t>Richmond</t>
  </si>
  <si>
    <t>South</t>
  </si>
  <si>
    <t>NZ-TAS</t>
  </si>
  <si>
    <t>Nelson[a]</t>
  </si>
  <si>
    <t>Whakatū</t>
  </si>
  <si>
    <t>Nelson City Council</t>
  </si>
  <si>
    <t>Nelson</t>
  </si>
  <si>
    <t>NZ-NSN</t>
  </si>
  <si>
    <t>Marlborough[a]</t>
  </si>
  <si>
    <t>Te Tauihu-o-te-waka</t>
  </si>
  <si>
    <t>Marlborough District Council</t>
  </si>
  <si>
    <t>Blenheim</t>
  </si>
  <si>
    <t>NZ-MBH</t>
  </si>
  <si>
    <t>West Coast</t>
  </si>
  <si>
    <t>Te Tai Poutini</t>
  </si>
  <si>
    <t>West Coast Regional Council</t>
  </si>
  <si>
    <t>Greymouth</t>
  </si>
  <si>
    <t>NZ-WTC</t>
  </si>
  <si>
    <t>Canterbury</t>
  </si>
  <si>
    <t>Waitaha</t>
  </si>
  <si>
    <t>Environment Canterbury</t>
  </si>
  <si>
    <t>Christchurch</t>
  </si>
  <si>
    <t>NZ-CAN</t>
  </si>
  <si>
    <t>Otago</t>
  </si>
  <si>
    <t>Ōtākou</t>
  </si>
  <si>
    <t>Otago Regional Council</t>
  </si>
  <si>
    <t>Dunedin</t>
  </si>
  <si>
    <t>NZ-OTA</t>
  </si>
  <si>
    <t>Southland</t>
  </si>
  <si>
    <t>Murihiku</t>
  </si>
  <si>
    <t>Southland Regional Council</t>
  </si>
  <si>
    <t>Invercargill</t>
  </si>
  <si>
    <t>NZ-STL</t>
  </si>
  <si>
    <t>Atoll, Capital</t>
  </si>
  <si>
    <t>Atoll, Historical</t>
  </si>
  <si>
    <t>[MHL] Kwajalein Atoll</t>
  </si>
  <si>
    <t>[MIC] Other</t>
  </si>
  <si>
    <t>[FJI] Other</t>
  </si>
  <si>
    <t>#</t>
  </si>
  <si>
    <t>(map)</t>
  </si>
  <si>
    <t>Capital</t>
  </si>
  <si>
    <t>Governor</t>
  </si>
  <si>
    <t>(as of 2022)</t>
  </si>
  <si>
    <t>Area</t>
  </si>
  <si>
    <t>(km2)</t>
  </si>
  <si>
    <t>Population</t>
  </si>
  <si>
    <t>(2011 census)</t>
  </si>
  <si>
    <t>(pop/km2)</t>
  </si>
  <si>
    <t>Southern</t>
  </si>
  <si>
    <t> Central</t>
  </si>
  <si>
    <t>Port Moresby</t>
  </si>
  <si>
    <t>Rufina Peter</t>
  </si>
  <si>
    <t>Highlands</t>
  </si>
  <si>
    <t> Chimbu (Simbu)</t>
  </si>
  <si>
    <t>Kundiawa</t>
  </si>
  <si>
    <t>Noah Kool</t>
  </si>
  <si>
    <t> Eastern Highlands</t>
  </si>
  <si>
    <t>Goroka</t>
  </si>
  <si>
    <t>Simon Sia</t>
  </si>
  <si>
    <t>Islands</t>
  </si>
  <si>
    <t> East New Britain</t>
  </si>
  <si>
    <t>Kokopo</t>
  </si>
  <si>
    <t>Michael Marum</t>
  </si>
  <si>
    <t>Momase</t>
  </si>
  <si>
    <t> East Sepik</t>
  </si>
  <si>
    <t>Wewak</t>
  </si>
  <si>
    <t>Allan Bird</t>
  </si>
  <si>
    <t> Enga</t>
  </si>
  <si>
    <t>Wabag</t>
  </si>
  <si>
    <t>Peter Ipatas</t>
  </si>
  <si>
    <t> Gulf</t>
  </si>
  <si>
    <t>Kerema</t>
  </si>
  <si>
    <t>Chris Haiveta</t>
  </si>
  <si>
    <t> Madang</t>
  </si>
  <si>
    <t>Madang</t>
  </si>
  <si>
    <t>Ramsey Pariwa</t>
  </si>
  <si>
    <t> Manus</t>
  </si>
  <si>
    <t>Lorengau</t>
  </si>
  <si>
    <t>Charlie Benjamin</t>
  </si>
  <si>
    <t> Milne Bay</t>
  </si>
  <si>
    <t>Alotau</t>
  </si>
  <si>
    <t>Gordon Wesley</t>
  </si>
  <si>
    <t> Morobe</t>
  </si>
  <si>
    <t>Lae</t>
  </si>
  <si>
    <t>Luther Wenge</t>
  </si>
  <si>
    <t> New Ireland</t>
  </si>
  <si>
    <t>Kavieng</t>
  </si>
  <si>
    <t>Julius Chan</t>
  </si>
  <si>
    <t> Oro (Northern)</t>
  </si>
  <si>
    <t>Popondetta</t>
  </si>
  <si>
    <t>Gary Juffa</t>
  </si>
  <si>
    <t> Bougainville</t>
  </si>
  <si>
    <t>Buka</t>
  </si>
  <si>
    <t>Ishmael Toroama (President 2020)</t>
  </si>
  <si>
    <t>Joe Lera</t>
  </si>
  <si>
    <t> Southern Highlands</t>
  </si>
  <si>
    <t>Mendi</t>
  </si>
  <si>
    <t>William Powi</t>
  </si>
  <si>
    <t> Western (Fly)</t>
  </si>
  <si>
    <t>Daru</t>
  </si>
  <si>
    <t>Taboi Awe Yoto</t>
  </si>
  <si>
    <t> Western Highlands</t>
  </si>
  <si>
    <t>Mount Hagen</t>
  </si>
  <si>
    <t>Wai Rapa</t>
  </si>
  <si>
    <t> West New Britain</t>
  </si>
  <si>
    <t>Kimbe</t>
  </si>
  <si>
    <t>Sasindran Muthuvel</t>
  </si>
  <si>
    <t> Sandaun (West Sepik)</t>
  </si>
  <si>
    <t>Vanimo</t>
  </si>
  <si>
    <t>Tony Wouwou</t>
  </si>
  <si>
    <t> National Capital District</t>
  </si>
  <si>
    <t>Powes Parkop</t>
  </si>
  <si>
    <t> Hela</t>
  </si>
  <si>
    <t>Tari</t>
  </si>
  <si>
    <t>Philip Undialu</t>
  </si>
  <si>
    <t> Jiwaka</t>
  </si>
  <si>
    <t>Kurumul</t>
  </si>
  <si>
    <t>Simon Kaiwi</t>
  </si>
  <si>
    <t>https://vexillology.fandom.com/wiki/Proposed_Flags_of_provinces_of_Fiji</t>
  </si>
  <si>
    <t>Order</t>
  </si>
  <si>
    <t>Population (2017)</t>
  </si>
  <si>
    <t>Office bearer</t>
  </si>
  <si>
    <t>Ba</t>
  </si>
  <si>
    <t>Viliame Seuseu</t>
  </si>
  <si>
    <t>Bua</t>
  </si>
  <si>
    <t>Ratu Filimoni Ralogaivau</t>
  </si>
  <si>
    <t>Cakaudrove</t>
  </si>
  <si>
    <t>Sitiveni Rabuka</t>
  </si>
  <si>
    <t>Kadavu</t>
  </si>
  <si>
    <t>Ratu Josateki Nawalowalo</t>
  </si>
  <si>
    <t>Lau</t>
  </si>
  <si>
    <t>Ratu Josefa Basulu</t>
  </si>
  <si>
    <t>Lomaiviti</t>
  </si>
  <si>
    <t>Ratu Jo Lewanavanua</t>
  </si>
  <si>
    <t>Macuata</t>
  </si>
  <si>
    <t>Ratu Wiliame Katonivere</t>
  </si>
  <si>
    <t>Nadroga-Navosa</t>
  </si>
  <si>
    <t>Ratu Sakiusa Makutu</t>
  </si>
  <si>
    <t>Naitasiri</t>
  </si>
  <si>
    <t>Ratu Solomoni Boserau</t>
  </si>
  <si>
    <t>Namosi</t>
  </si>
  <si>
    <t>Ratu Kiniviliame Taukeinikoro</t>
  </si>
  <si>
    <t>Ra</t>
  </si>
  <si>
    <t>Sakiusa Karavaki</t>
  </si>
  <si>
    <t>Rewa</t>
  </si>
  <si>
    <t>Pita Tagi Cakiverata</t>
  </si>
  <si>
    <t>Serua</t>
  </si>
  <si>
    <t>Atunaisa Lacabuka</t>
  </si>
  <si>
    <t>Tailevu</t>
  </si>
  <si>
    <t>Josefa</t>
  </si>
  <si>
    <t>https://vexillology.fandom.com/wiki/Flags_of_islands_of_the_Cook_Islands</t>
  </si>
  <si>
    <t>Amuri, Cook Islands</t>
  </si>
  <si>
    <t>Arutanga</t>
  </si>
  <si>
    <t>Avarua (national capital, with international airport: Rarotonga International Airport)</t>
  </si>
  <si>
    <t>Avatiu</t>
  </si>
  <si>
    <t>Omoka</t>
  </si>
  <si>
    <t>Oneroa, Cook Islands</t>
  </si>
  <si>
    <t>https://en.wikipedia.org/wiki/List_of_villages_and_neighbourhoods_in_the_Cook_Islands</t>
  </si>
  <si>
    <t>[MNP] Other</t>
  </si>
  <si>
    <t>https://upload.wikimedia.org/wikipedia/commons/0/04/Manu%27a-flag.gif</t>
  </si>
  <si>
    <t>Premier</t>
  </si>
  <si>
    <t>census</t>
  </si>
  <si>
    <t>estimate</t>
  </si>
  <si>
    <t> Central Province</t>
  </si>
  <si>
    <t>Tulagi</t>
  </si>
  <si>
    <t>Stanely Manetiva</t>
  </si>
  <si>
    <t> Choiseul Province</t>
  </si>
  <si>
    <t>Taro Island</t>
  </si>
  <si>
    <t>Harrison Benjamin</t>
  </si>
  <si>
    <t> Guadalcanal Province[1]</t>
  </si>
  <si>
    <t>Honiara</t>
  </si>
  <si>
    <t>Francis Sade</t>
  </si>
  <si>
    <t> Isabel Province</t>
  </si>
  <si>
    <t>Buala</t>
  </si>
  <si>
    <t>Rhoda Sikilabu</t>
  </si>
  <si>
    <t> Makira-Ulawa Province</t>
  </si>
  <si>
    <t>Kirakira</t>
  </si>
  <si>
    <t>Julian Maka'a</t>
  </si>
  <si>
    <t> Malaita Province</t>
  </si>
  <si>
    <t>Auki</t>
  </si>
  <si>
    <t>Daniel Suidani</t>
  </si>
  <si>
    <t> Rennell and Bellona Province</t>
  </si>
  <si>
    <t>Tigoa</t>
  </si>
  <si>
    <t>Japhet Tuhanuku</t>
  </si>
  <si>
    <t> Temotu Province</t>
  </si>
  <si>
    <t>Lata</t>
  </si>
  <si>
    <t>Clay Forau Soalaoi</t>
  </si>
  <si>
    <t> Western Province</t>
  </si>
  <si>
    <t>Gizo</t>
  </si>
  <si>
    <t>Christian Mesepitu</t>
  </si>
  <si>
    <t>–</t>
  </si>
  <si>
    <t> Capital Territory</t>
  </si>
  <si>
    <t>Eddie Siapu (mayor)</t>
  </si>
  <si>
    <t>https://en.wikipedia.org/wiki/Provinces_of_Solomon_Islands</t>
  </si>
  <si>
    <t>[TUV] Other</t>
  </si>
  <si>
    <t>No.</t>
  </si>
  <si>
    <t>District</t>
  </si>
  <si>
    <t>Former</t>
  </si>
  <si>
    <t>name</t>
  </si>
  <si>
    <t>(ha)</t>
  </si>
  <si>
    <t>No. of</t>
  </si>
  <si>
    <t>villages</t>
  </si>
  <si>
    <t>(persons/ha)</t>
  </si>
  <si>
    <t>Aiwo</t>
  </si>
  <si>
    <t>Aiue</t>
  </si>
  <si>
    <t>Anabar</t>
  </si>
  <si>
    <t>Anebwor</t>
  </si>
  <si>
    <t>Anetan</t>
  </si>
  <si>
    <t>Añetañ</t>
  </si>
  <si>
    <t>Anibare</t>
  </si>
  <si>
    <t>Anybody</t>
  </si>
  <si>
    <t>Baitsi</t>
  </si>
  <si>
    <t>Beidi, Baiti</t>
  </si>
  <si>
    <t>Boe</t>
  </si>
  <si>
    <t>Boi</t>
  </si>
  <si>
    <t>Buada</t>
  </si>
  <si>
    <t>Arenibok</t>
  </si>
  <si>
    <t>Denigomodu</t>
  </si>
  <si>
    <t>Denikomotu</t>
  </si>
  <si>
    <t>Ewa</t>
  </si>
  <si>
    <t>Eoa</t>
  </si>
  <si>
    <t>Ijuw</t>
  </si>
  <si>
    <t>Ijub</t>
  </si>
  <si>
    <t>Meneng</t>
  </si>
  <si>
    <t>Meneñ</t>
  </si>
  <si>
    <t>Nibok</t>
  </si>
  <si>
    <t>Ennibeck</t>
  </si>
  <si>
    <t>Uaboe</t>
  </si>
  <si>
    <t>Ueboi</t>
  </si>
  <si>
    <t>Yaren</t>
  </si>
  <si>
    <t>Moqua</t>
  </si>
  <si>
    <t>https://vexillology.fandom.com/wiki/Proposed_flags_of_districts_of_Nauru</t>
  </si>
  <si>
    <t>[NRU] Other</t>
  </si>
  <si>
    <t>Village, Capital</t>
  </si>
  <si>
    <t>main islands</t>
  </si>
  <si>
    <t>Land Area</t>
  </si>
  <si>
    <t>(km²)</t>
  </si>
  <si>
    <t>Census 1999</t>
  </si>
  <si>
    <t>Malampa</t>
  </si>
  <si>
    <t>Lakatoro</t>
  </si>
  <si>
    <t>Ambrym, Malakula, Paama</t>
  </si>
  <si>
    <t>Penama</t>
  </si>
  <si>
    <t>Longana</t>
  </si>
  <si>
    <t>Pentecost Island, Ambae, Maéwo</t>
  </si>
  <si>
    <t>Sanma</t>
  </si>
  <si>
    <t>Luganville</t>
  </si>
  <si>
    <t>Santo, Malo</t>
  </si>
  <si>
    <t>Shefa</t>
  </si>
  <si>
    <t>Port Vila</t>
  </si>
  <si>
    <t>Efate, Shepherd Islands</t>
  </si>
  <si>
    <t>Tafea</t>
  </si>
  <si>
    <t>Isangel</t>
  </si>
  <si>
    <t>Tanna, Aniwa, Futuna, Erromango, Anatom</t>
  </si>
  <si>
    <t>Torba</t>
  </si>
  <si>
    <t>Sola</t>
  </si>
  <si>
    <t>Banks and Torres Islands</t>
  </si>
  <si>
    <t>[KIR] Other</t>
  </si>
  <si>
    <t>[SMO] Other</t>
  </si>
  <si>
    <t>[TON] Other</t>
  </si>
  <si>
    <t>[NZE] Other</t>
  </si>
  <si>
    <t>[NZE] United Tribes of New Zealand (White)</t>
  </si>
  <si>
    <t>[NZE] Canterbury</t>
  </si>
  <si>
    <t>[NZE] Hawke's Bay</t>
  </si>
  <si>
    <t>Territory</t>
  </si>
  <si>
    <t>Region, City</t>
  </si>
  <si>
    <t>````</t>
  </si>
  <si>
    <t>[ASM]</t>
  </si>
  <si>
    <t>[AUS]</t>
  </si>
  <si>
    <t>[CCK]</t>
  </si>
  <si>
    <t>[CKI]</t>
  </si>
  <si>
    <t>[CXR]</t>
  </si>
  <si>
    <t>[FJI]</t>
  </si>
  <si>
    <t>[GUM]</t>
  </si>
  <si>
    <t>[KIR]</t>
  </si>
  <si>
    <t>[MIC]</t>
  </si>
  <si>
    <t>[MHL]</t>
  </si>
  <si>
    <t>[NZE]</t>
  </si>
  <si>
    <t>[PAU]</t>
  </si>
  <si>
    <t>[PCN]</t>
  </si>
  <si>
    <t>[PLY]</t>
  </si>
  <si>
    <t>[PNG]</t>
  </si>
  <si>
    <t>[SOL]</t>
  </si>
  <si>
    <t>[SMO]</t>
  </si>
  <si>
    <t>[TON]</t>
  </si>
  <si>
    <t>[TUV]</t>
  </si>
  <si>
    <t>[WLF]</t>
  </si>
  <si>
    <t>[VUT]</t>
  </si>
  <si>
    <t>[NRU]</t>
  </si>
  <si>
    <t>[NIU]</t>
  </si>
  <si>
    <t>[NFK]</t>
  </si>
  <si>
    <t>[NCL]</t>
  </si>
  <si>
    <t>[MNP]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</si>
</sst>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 #,##0.00_-;\-* #,##0.00_-;_-* &quot;-&quot;??_-;_-@_-"/>
  </numFmts>
  <fonts count="19" x14ac:knownFonts="1">
    <font>
      <sz val="11"/>
      <color theme="1"/>
      <name val="Aptos Narrow"/>
      <family val="2"/>
      <scheme val="minor"/>
    </font>
    <font>
      <sz val="11"/>
      <color theme="1"/>
      <name val="Aptos Narrow"/>
      <family val="2"/>
      <scheme val="minor"/>
    </font>
    <font>
      <u/>
      <sz val="11"/>
      <color theme="10"/>
      <name val="Aptos Narrow"/>
      <family val="2"/>
      <scheme val="minor"/>
    </font>
    <font>
      <b/>
      <sz val="10"/>
      <color rgb="FF990000"/>
      <name val="Aptos Narrow"/>
      <family val="2"/>
      <scheme val="minor"/>
    </font>
    <font>
      <sz val="10"/>
      <color theme="1"/>
      <name val="Aptos Narrow"/>
      <family val="2"/>
      <scheme val="minor"/>
    </font>
    <font>
      <b/>
      <sz val="10"/>
      <color theme="1" tint="0.34998626667073579"/>
      <name val="Aptos Narrow"/>
      <family val="2"/>
      <scheme val="minor"/>
    </font>
    <font>
      <sz val="10"/>
      <color theme="0"/>
      <name val="Aptos Narrow"/>
      <family val="2"/>
      <scheme val="minor"/>
    </font>
    <font>
      <b/>
      <sz val="10"/>
      <color theme="0"/>
      <name val="Aptos Narrow"/>
      <family val="2"/>
      <scheme val="minor"/>
    </font>
    <font>
      <sz val="10"/>
      <name val="Aptos Narrow"/>
      <family val="2"/>
      <scheme val="minor"/>
    </font>
    <font>
      <b/>
      <sz val="10"/>
      <color theme="1"/>
      <name val="Aptos Narrow"/>
      <family val="2"/>
      <scheme val="minor"/>
    </font>
    <font>
      <sz val="11"/>
      <name val="Aptos Narrow"/>
      <family val="2"/>
      <scheme val="minor"/>
    </font>
    <font>
      <u/>
      <sz val="10"/>
      <color theme="10"/>
      <name val="Noto Sans"/>
      <family val="2"/>
    </font>
    <font>
      <u/>
      <sz val="10"/>
      <color theme="10"/>
      <name val="Aptos Narrow"/>
      <family val="2"/>
      <scheme val="minor"/>
    </font>
    <font>
      <sz val="10"/>
      <color theme="1" tint="0.34998626667073579"/>
      <name val="Aptos Narrow"/>
      <family val="2"/>
      <scheme val="minor"/>
    </font>
    <font>
      <b/>
      <sz val="11"/>
      <color theme="0" tint="-0.499984740745262"/>
      <name val="Aptos Narrow"/>
      <family val="2"/>
      <scheme val="minor"/>
    </font>
    <font>
      <sz val="11"/>
      <color theme="0"/>
      <name val="Aptos Narrow"/>
      <family val="2"/>
      <scheme val="minor"/>
    </font>
    <font>
      <b/>
      <sz val="10"/>
      <name val="Aptos Narrow"/>
      <family val="2"/>
      <scheme val="minor"/>
    </font>
    <font>
      <b/>
      <sz val="11"/>
      <name val="Aptos Narrow"/>
      <family val="2"/>
      <scheme val="minor"/>
    </font>
    <font>
      <sz val="11"/>
      <color rgb="FF000000"/>
      <name val="Aptos Narrow"/>
      <family val="2"/>
    </font>
  </fonts>
  <fills count="31">
    <fill>
      <patternFill patternType="none"/>
    </fill>
    <fill>
      <patternFill patternType="gray125"/>
    </fill>
    <fill>
      <patternFill patternType="solid">
        <fgColor rgb="FFFFCCCC"/>
        <bgColor indexed="64"/>
      </patternFill>
    </fill>
    <fill>
      <patternFill patternType="solid">
        <fgColor theme="0" tint="-4.9989318521683403E-2"/>
        <bgColor indexed="64"/>
      </patternFill>
    </fill>
    <fill>
      <patternFill patternType="solid">
        <fgColor rgb="FF879D03"/>
        <bgColor indexed="64"/>
      </patternFill>
    </fill>
    <fill>
      <patternFill patternType="solid">
        <fgColor theme="6" tint="-0.249977111117893"/>
        <bgColor indexed="64"/>
      </patternFill>
    </fill>
    <fill>
      <patternFill patternType="solid">
        <fgColor theme="0" tint="-0.34998626667073579"/>
        <bgColor indexed="64"/>
      </patternFill>
    </fill>
    <fill>
      <patternFill patternType="solid">
        <fgColor theme="7" tint="-0.249977111117893"/>
        <bgColor indexed="64"/>
      </patternFill>
    </fill>
    <fill>
      <patternFill patternType="solid">
        <fgColor theme="4" tint="0.39997558519241921"/>
        <bgColor indexed="64"/>
      </patternFill>
    </fill>
    <fill>
      <patternFill patternType="solid">
        <fgColor rgb="FF002060"/>
        <bgColor indexed="64"/>
      </patternFill>
    </fill>
    <fill>
      <patternFill patternType="solid">
        <fgColor theme="5" tint="0.39997558519241921"/>
        <bgColor indexed="64"/>
      </patternFill>
    </fill>
    <fill>
      <patternFill patternType="solid">
        <fgColor rgb="FFC00000"/>
        <bgColor indexed="64"/>
      </patternFill>
    </fill>
    <fill>
      <patternFill patternType="solid">
        <fgColor theme="9" tint="0.39997558519241921"/>
        <bgColor indexed="64"/>
      </patternFill>
    </fill>
    <fill>
      <patternFill patternType="solid">
        <fgColor theme="7" tint="0.79998168889431442"/>
        <bgColor indexed="64"/>
      </patternFill>
    </fill>
    <fill>
      <patternFill patternType="solid">
        <fgColor theme="3"/>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3" tint="0.89999084444715716"/>
        <bgColor indexed="64"/>
      </patternFill>
    </fill>
    <fill>
      <patternFill patternType="solid">
        <fgColor theme="8" tint="0.79998168889431442"/>
        <bgColor indexed="64"/>
      </patternFill>
    </fill>
    <fill>
      <patternFill patternType="solid">
        <fgColor rgb="FFF1F4E0"/>
        <bgColor indexed="64"/>
      </patternFill>
    </fill>
    <fill>
      <patternFill patternType="solid">
        <fgColor rgb="FFD8ECD8"/>
        <bgColor indexed="64"/>
      </patternFill>
    </fill>
    <fill>
      <patternFill patternType="solid">
        <fgColor theme="0"/>
        <bgColor indexed="64"/>
      </patternFill>
    </fill>
    <fill>
      <patternFill patternType="solid">
        <fgColor theme="1"/>
        <bgColor indexed="64"/>
      </patternFill>
    </fill>
    <fill>
      <patternFill patternType="solid">
        <fgColor rgb="FFFFFFCC"/>
        <bgColor indexed="64"/>
      </patternFill>
    </fill>
    <fill>
      <patternFill patternType="solid">
        <fgColor theme="3" tint="0.749992370372631"/>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rgb="FFCFD3E3"/>
        <bgColor indexed="64"/>
      </patternFill>
    </fill>
    <fill>
      <patternFill patternType="solid">
        <fgColor theme="9" tint="-0.249977111117893"/>
        <bgColor indexed="64"/>
      </patternFill>
    </fill>
  </fills>
  <borders count="21">
    <border>
      <left/>
      <right/>
      <top/>
      <bottom/>
      <diagonal/>
    </border>
    <border>
      <left/>
      <right style="medium">
        <color rgb="FF747678"/>
      </right>
      <top style="medium">
        <color rgb="FF747678"/>
      </top>
      <bottom style="medium">
        <color rgb="FF747678"/>
      </bottom>
      <diagonal/>
    </border>
    <border>
      <left/>
      <right style="medium">
        <color indexed="64"/>
      </right>
      <top/>
      <bottom/>
      <diagonal/>
    </border>
    <border>
      <left style="thin">
        <color indexed="64"/>
      </left>
      <right style="medium">
        <color indexed="64"/>
      </right>
      <top style="medium">
        <color indexed="64"/>
      </top>
      <bottom style="thick">
        <color indexed="64"/>
      </bottom>
      <diagonal/>
    </border>
    <border>
      <left style="thin">
        <color indexed="64"/>
      </left>
      <right style="thin">
        <color indexed="64"/>
      </right>
      <top style="medium">
        <color indexed="64"/>
      </top>
      <bottom style="thick">
        <color indexed="64"/>
      </bottom>
      <diagonal/>
    </border>
    <border>
      <left style="thin">
        <color indexed="64"/>
      </left>
      <right/>
      <top style="medium">
        <color indexed="64"/>
      </top>
      <bottom style="thick">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medium">
        <color rgb="FF747678"/>
      </right>
      <top/>
      <bottom style="medium">
        <color rgb="FFDDDDDD"/>
      </bottom>
      <diagonal/>
    </border>
    <border>
      <left style="thin">
        <color indexed="64"/>
      </left>
      <right/>
      <top style="thin">
        <color indexed="64"/>
      </top>
      <bottom style="thin">
        <color indexed="64"/>
      </bottom>
      <diagonal/>
    </border>
    <border>
      <left style="thin">
        <color indexed="64"/>
      </left>
      <right style="medium">
        <color auto="1"/>
      </right>
      <top style="thin">
        <color indexed="64"/>
      </top>
      <bottom style="thin">
        <color indexed="64"/>
      </bottom>
      <diagonal/>
    </border>
    <border>
      <left style="thin">
        <color indexed="64"/>
      </left>
      <right style="medium">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bottom style="medium">
        <color auto="1"/>
      </bottom>
      <diagonal/>
    </border>
  </borders>
  <cellStyleXfs count="5">
    <xf numFmtId="0" fontId="0" fillId="0" borderId="0"/>
    <xf numFmtId="164" fontId="1" fillId="0" borderId="0" applyFont="0" applyFill="0" applyBorder="0" applyAlignment="0" applyProtection="0"/>
    <xf numFmtId="9" fontId="1" fillId="0" borderId="0" applyFont="0" applyFill="0" applyBorder="0" applyAlignment="0" applyProtection="0"/>
    <xf numFmtId="0" fontId="2" fillId="0" borderId="0" applyNumberFormat="0" applyFill="0" applyBorder="0" applyAlignment="0" applyProtection="0"/>
    <xf numFmtId="0" fontId="11" fillId="0" borderId="0" applyNumberFormat="0" applyFill="0" applyBorder="0" applyAlignment="0" applyProtection="0"/>
  </cellStyleXfs>
  <cellXfs count="100">
    <xf numFmtId="0" fontId="0" fillId="0" borderId="0" xfId="0"/>
    <xf numFmtId="0" fontId="3" fillId="0" borderId="1" xfId="0" applyFont="1" applyBorder="1" applyAlignment="1">
      <alignment horizontal="center" vertical="center"/>
    </xf>
    <xf numFmtId="0" fontId="4" fillId="0" borderId="0" xfId="0" applyFont="1" applyAlignment="1">
      <alignment horizontal="center"/>
    </xf>
    <xf numFmtId="0" fontId="4" fillId="0" borderId="0" xfId="0" applyFont="1" applyAlignment="1">
      <alignment horizontal="left"/>
    </xf>
    <xf numFmtId="0" fontId="4" fillId="2" borderId="0" xfId="0" applyFont="1" applyFill="1" applyAlignment="1">
      <alignment horizontal="left" vertical="center"/>
    </xf>
    <xf numFmtId="0" fontId="4" fillId="0" borderId="0" xfId="0" applyFont="1"/>
    <xf numFmtId="0" fontId="5" fillId="3" borderId="0" xfId="0" applyFont="1" applyFill="1"/>
    <xf numFmtId="3" fontId="6" fillId="4" borderId="0" xfId="1" applyNumberFormat="1" applyFont="1" applyFill="1" applyBorder="1" applyAlignment="1">
      <alignment horizontal="left"/>
    </xf>
    <xf numFmtId="3" fontId="6" fillId="5" borderId="0" xfId="1" applyNumberFormat="1" applyFont="1" applyFill="1" applyBorder="1" applyAlignment="1">
      <alignment horizontal="left"/>
    </xf>
    <xf numFmtId="3" fontId="6" fillId="6" borderId="0" xfId="1" applyNumberFormat="1" applyFont="1" applyFill="1" applyBorder="1" applyAlignment="1">
      <alignment horizontal="left"/>
    </xf>
    <xf numFmtId="49" fontId="7" fillId="7" borderId="0" xfId="1" applyNumberFormat="1" applyFont="1" applyFill="1" applyBorder="1" applyAlignment="1">
      <alignment horizontal="left"/>
    </xf>
    <xf numFmtId="3" fontId="8" fillId="8" borderId="0" xfId="1" applyNumberFormat="1" applyFont="1" applyFill="1" applyBorder="1" applyAlignment="1">
      <alignment horizontal="left"/>
    </xf>
    <xf numFmtId="0" fontId="9" fillId="0" borderId="2" xfId="0" applyFont="1" applyBorder="1" applyAlignment="1">
      <alignment horizontal="center"/>
    </xf>
    <xf numFmtId="0" fontId="7" fillId="9" borderId="3" xfId="0" applyFont="1" applyFill="1" applyBorder="1" applyAlignment="1">
      <alignment horizontal="center"/>
    </xf>
    <xf numFmtId="0" fontId="9" fillId="0" borderId="4" xfId="0" applyFont="1" applyBorder="1"/>
    <xf numFmtId="0" fontId="4" fillId="0" borderId="4" xfId="0" applyFont="1" applyBorder="1"/>
    <xf numFmtId="0" fontId="9" fillId="0" borderId="5" xfId="0" applyFont="1" applyBorder="1"/>
    <xf numFmtId="0" fontId="9" fillId="0" borderId="3" xfId="0" applyFont="1" applyBorder="1" applyAlignment="1">
      <alignment horizontal="center"/>
    </xf>
    <xf numFmtId="0" fontId="9" fillId="10" borderId="3" xfId="0" applyFont="1" applyFill="1" applyBorder="1"/>
    <xf numFmtId="0" fontId="9" fillId="10" borderId="6" xfId="0" applyFont="1" applyFill="1" applyBorder="1"/>
    <xf numFmtId="0" fontId="9" fillId="11" borderId="3" xfId="0" applyFont="1" applyFill="1" applyBorder="1"/>
    <xf numFmtId="0" fontId="9" fillId="0" borderId="6" xfId="0" applyFont="1" applyBorder="1"/>
    <xf numFmtId="0" fontId="9" fillId="12" borderId="6" xfId="0" applyFont="1" applyFill="1" applyBorder="1"/>
    <xf numFmtId="0" fontId="9" fillId="12" borderId="0" xfId="0" applyFont="1" applyFill="1"/>
    <xf numFmtId="0" fontId="7" fillId="9" borderId="5" xfId="0" applyFont="1" applyFill="1" applyBorder="1" applyAlignment="1">
      <alignment horizontal="center"/>
    </xf>
    <xf numFmtId="0" fontId="9" fillId="0" borderId="2" xfId="0" applyFont="1" applyBorder="1"/>
    <xf numFmtId="0" fontId="9" fillId="0" borderId="3" xfId="0" applyFont="1" applyBorder="1"/>
    <xf numFmtId="0" fontId="9" fillId="13" borderId="7" xfId="0" applyFont="1" applyFill="1" applyBorder="1"/>
    <xf numFmtId="0" fontId="9" fillId="13" borderId="6" xfId="0" applyFont="1" applyFill="1" applyBorder="1"/>
    <xf numFmtId="0" fontId="9" fillId="13" borderId="0" xfId="0" applyFont="1" applyFill="1"/>
    <xf numFmtId="16" fontId="6" fillId="14" borderId="0" xfId="1" applyNumberFormat="1" applyFont="1" applyFill="1" applyBorder="1" applyAlignment="1">
      <alignment horizontal="center"/>
    </xf>
    <xf numFmtId="0" fontId="9" fillId="0" borderId="8" xfId="0" applyFont="1" applyBorder="1"/>
    <xf numFmtId="0" fontId="9" fillId="0" borderId="0" xfId="0" applyFont="1"/>
    <xf numFmtId="9" fontId="0" fillId="15" borderId="9" xfId="2" applyFont="1" applyFill="1" applyBorder="1" applyAlignment="1">
      <alignment horizontal="center" vertical="center"/>
    </xf>
    <xf numFmtId="9" fontId="0" fillId="16" borderId="9" xfId="2" applyFont="1" applyFill="1" applyBorder="1" applyAlignment="1">
      <alignment horizontal="center" vertical="center"/>
    </xf>
    <xf numFmtId="0" fontId="9" fillId="0" borderId="10" xfId="0" applyFont="1" applyBorder="1"/>
    <xf numFmtId="9" fontId="10" fillId="15" borderId="9" xfId="2" applyFont="1" applyFill="1" applyBorder="1" applyAlignment="1">
      <alignment horizontal="center" vertical="center"/>
    </xf>
    <xf numFmtId="9" fontId="10" fillId="16" borderId="9" xfId="2" applyFont="1" applyFill="1" applyBorder="1" applyAlignment="1">
      <alignment horizontal="center" vertical="center"/>
    </xf>
    <xf numFmtId="0" fontId="12" fillId="0" borderId="11" xfId="4" applyFont="1" applyFill="1" applyBorder="1" applyAlignment="1">
      <alignment horizontal="left" vertical="center"/>
    </xf>
    <xf numFmtId="0" fontId="4" fillId="0" borderId="0" xfId="0" applyFont="1" applyAlignment="1">
      <alignment horizontal="center" vertical="center"/>
    </xf>
    <xf numFmtId="0" fontId="12" fillId="18" borderId="9" xfId="3" applyFont="1" applyFill="1" applyBorder="1" applyAlignment="1">
      <alignment horizontal="left" vertical="center"/>
    </xf>
    <xf numFmtId="0" fontId="4" fillId="2" borderId="9" xfId="0" applyFont="1" applyFill="1" applyBorder="1" applyAlignment="1">
      <alignment horizontal="left" vertical="center"/>
    </xf>
    <xf numFmtId="1" fontId="4" fillId="0" borderId="0" xfId="0" applyNumberFormat="1" applyFont="1" applyAlignment="1">
      <alignment horizontal="center" vertical="center"/>
    </xf>
    <xf numFmtId="0" fontId="13" fillId="3" borderId="9" xfId="0" applyFont="1" applyFill="1" applyBorder="1" applyAlignment="1">
      <alignment vertical="center"/>
    </xf>
    <xf numFmtId="0" fontId="4" fillId="0" borderId="0" xfId="0" applyFont="1" applyAlignment="1">
      <alignment vertical="center"/>
    </xf>
    <xf numFmtId="3" fontId="4" fillId="19" borderId="9" xfId="1" applyNumberFormat="1" applyFont="1" applyFill="1" applyBorder="1" applyAlignment="1">
      <alignment horizontal="left" vertical="center"/>
    </xf>
    <xf numFmtId="3" fontId="4" fillId="20" borderId="12" xfId="1" applyNumberFormat="1" applyFont="1" applyFill="1" applyBorder="1" applyAlignment="1">
      <alignment horizontal="left" vertical="center"/>
    </xf>
    <xf numFmtId="3" fontId="4" fillId="16" borderId="12" xfId="1" applyNumberFormat="1" applyFont="1" applyFill="1" applyBorder="1" applyAlignment="1">
      <alignment horizontal="left" vertical="center"/>
    </xf>
    <xf numFmtId="3" fontId="4" fillId="21" borderId="12" xfId="1" applyNumberFormat="1" applyFont="1" applyFill="1" applyBorder="1" applyAlignment="1">
      <alignment horizontal="left" vertical="center"/>
    </xf>
    <xf numFmtId="0" fontId="4" fillId="0" borderId="13" xfId="0" applyFont="1" applyBorder="1" applyAlignment="1">
      <alignment horizontal="center" vertical="center"/>
    </xf>
    <xf numFmtId="0" fontId="4" fillId="21" borderId="14" xfId="0" applyFont="1" applyFill="1" applyBorder="1" applyAlignment="1">
      <alignment horizontal="center" vertical="center"/>
    </xf>
    <xf numFmtId="0" fontId="4" fillId="0" borderId="15" xfId="0" applyFont="1" applyBorder="1" applyAlignment="1">
      <alignment vertical="center"/>
    </xf>
    <xf numFmtId="0" fontId="4" fillId="0" borderId="16" xfId="0" applyFont="1" applyBorder="1" applyAlignment="1">
      <alignment vertical="center"/>
    </xf>
    <xf numFmtId="0" fontId="4" fillId="0" borderId="17" xfId="0" applyFont="1" applyBorder="1" applyAlignment="1">
      <alignment vertical="center"/>
    </xf>
    <xf numFmtId="0" fontId="4" fillId="18" borderId="14" xfId="0" applyFont="1" applyFill="1" applyBorder="1" applyAlignment="1">
      <alignment horizontal="center" vertical="center"/>
    </xf>
    <xf numFmtId="0" fontId="4" fillId="0" borderId="18" xfId="0" applyFont="1" applyBorder="1" applyAlignment="1">
      <alignment vertical="center"/>
    </xf>
    <xf numFmtId="0" fontId="4" fillId="3" borderId="9" xfId="0" applyFont="1" applyFill="1" applyBorder="1" applyAlignment="1">
      <alignment vertical="center"/>
    </xf>
    <xf numFmtId="0" fontId="4" fillId="22" borderId="9" xfId="0" applyFont="1" applyFill="1" applyBorder="1" applyAlignment="1">
      <alignment vertical="center"/>
    </xf>
    <xf numFmtId="0" fontId="4" fillId="15" borderId="9" xfId="0" applyFont="1" applyFill="1" applyBorder="1" applyAlignment="1">
      <alignment vertical="center"/>
    </xf>
    <xf numFmtId="0" fontId="4" fillId="0" borderId="9" xfId="0" applyFont="1" applyBorder="1" applyAlignment="1">
      <alignment vertical="center"/>
    </xf>
    <xf numFmtId="0" fontId="4" fillId="13" borderId="9" xfId="0" applyFont="1" applyFill="1" applyBorder="1" applyAlignment="1">
      <alignment vertical="center"/>
    </xf>
    <xf numFmtId="0" fontId="4" fillId="23" borderId="9" xfId="0" applyFont="1" applyFill="1" applyBorder="1" applyAlignment="1">
      <alignment vertical="center"/>
    </xf>
    <xf numFmtId="0" fontId="4" fillId="24" borderId="12" xfId="0" applyFont="1" applyFill="1" applyBorder="1" applyAlignment="1">
      <alignment vertical="center"/>
    </xf>
    <xf numFmtId="0" fontId="4" fillId="0" borderId="13" xfId="0" applyFont="1" applyBorder="1" applyAlignment="1">
      <alignment vertical="center"/>
    </xf>
    <xf numFmtId="16" fontId="4" fillId="3" borderId="9" xfId="1" applyNumberFormat="1" applyFont="1" applyFill="1" applyBorder="1" applyAlignment="1">
      <alignment horizontal="center" vertical="center"/>
    </xf>
    <xf numFmtId="0" fontId="4" fillId="25" borderId="9" xfId="0" applyFont="1" applyFill="1" applyBorder="1" applyAlignment="1">
      <alignment vertical="center"/>
    </xf>
    <xf numFmtId="0" fontId="4" fillId="26" borderId="9" xfId="0" applyFont="1" applyFill="1" applyBorder="1" applyAlignment="1">
      <alignment vertical="center"/>
    </xf>
    <xf numFmtId="0" fontId="4" fillId="27" borderId="9" xfId="0" applyFont="1" applyFill="1" applyBorder="1" applyAlignment="1">
      <alignment vertical="center" wrapText="1"/>
    </xf>
    <xf numFmtId="9" fontId="14" fillId="0" borderId="9" xfId="2" applyFont="1" applyBorder="1" applyAlignment="1">
      <alignment horizontal="center" vertical="center"/>
    </xf>
    <xf numFmtId="0" fontId="2" fillId="0" borderId="0" xfId="3" applyAlignment="1">
      <alignment vertical="center"/>
    </xf>
    <xf numFmtId="0" fontId="12" fillId="17" borderId="9" xfId="3" applyFont="1" applyFill="1" applyBorder="1" applyAlignment="1">
      <alignment horizontal="left" vertical="center"/>
    </xf>
    <xf numFmtId="14" fontId="4" fillId="0" borderId="18" xfId="0" applyNumberFormat="1" applyFont="1" applyBorder="1" applyAlignment="1">
      <alignment vertical="center"/>
    </xf>
    <xf numFmtId="14" fontId="4" fillId="0" borderId="0" xfId="0" applyNumberFormat="1" applyFont="1" applyAlignment="1">
      <alignment vertical="center"/>
    </xf>
    <xf numFmtId="0" fontId="4" fillId="0" borderId="12" xfId="0" applyFont="1" applyBorder="1" applyAlignment="1">
      <alignment horizontal="center" vertical="center"/>
    </xf>
    <xf numFmtId="49" fontId="9" fillId="17" borderId="12" xfId="1" applyNumberFormat="1" applyFont="1" applyFill="1" applyBorder="1" applyAlignment="1">
      <alignment horizontal="left" vertical="center"/>
    </xf>
    <xf numFmtId="0" fontId="4" fillId="15" borderId="0" xfId="0" applyFont="1" applyFill="1" applyAlignment="1">
      <alignment horizontal="center" vertical="center"/>
    </xf>
    <xf numFmtId="9" fontId="17" fillId="0" borderId="0" xfId="2" applyFont="1" applyFill="1" applyBorder="1" applyAlignment="1">
      <alignment horizontal="center"/>
    </xf>
    <xf numFmtId="0" fontId="12" fillId="28" borderId="11" xfId="4" applyFont="1" applyFill="1" applyBorder="1" applyAlignment="1">
      <alignment horizontal="left" vertical="center"/>
    </xf>
    <xf numFmtId="0" fontId="12" fillId="0" borderId="19" xfId="4" applyFont="1" applyFill="1" applyBorder="1" applyAlignment="1">
      <alignment horizontal="left" vertical="center"/>
    </xf>
    <xf numFmtId="0" fontId="3" fillId="0" borderId="0" xfId="0" applyFont="1" applyAlignment="1">
      <alignment horizontal="center" vertical="center"/>
    </xf>
    <xf numFmtId="0" fontId="12" fillId="17" borderId="11" xfId="4" applyFont="1" applyFill="1" applyBorder="1" applyAlignment="1">
      <alignment horizontal="left" vertical="center"/>
    </xf>
    <xf numFmtId="0" fontId="12" fillId="18" borderId="11" xfId="4" applyFont="1" applyFill="1" applyBorder="1" applyAlignment="1">
      <alignment horizontal="left" vertical="center"/>
    </xf>
    <xf numFmtId="0" fontId="8" fillId="0" borderId="0" xfId="0" applyFont="1"/>
    <xf numFmtId="0" fontId="8" fillId="0" borderId="0" xfId="0" applyFont="1" applyAlignment="1">
      <alignment horizontal="center"/>
    </xf>
    <xf numFmtId="0" fontId="8" fillId="0" borderId="0" xfId="0" applyFont="1" applyAlignment="1">
      <alignment horizontal="left"/>
    </xf>
    <xf numFmtId="49" fontId="16" fillId="0" borderId="0" xfId="0" applyNumberFormat="1" applyFont="1" applyAlignment="1">
      <alignment horizontal="left"/>
    </xf>
    <xf numFmtId="16" fontId="8" fillId="0" borderId="0" xfId="0" applyNumberFormat="1" applyFont="1" applyAlignment="1">
      <alignment horizontal="center"/>
    </xf>
    <xf numFmtId="0" fontId="12" fillId="29" borderId="11" xfId="4" applyFont="1" applyFill="1" applyBorder="1" applyAlignment="1">
      <alignment horizontal="left" vertical="center"/>
    </xf>
    <xf numFmtId="3" fontId="0" fillId="0" borderId="0" xfId="0" applyNumberFormat="1"/>
    <xf numFmtId="0" fontId="0" fillId="0" borderId="20" xfId="0" applyBorder="1"/>
    <xf numFmtId="0" fontId="2" fillId="0" borderId="0" xfId="3"/>
    <xf numFmtId="0" fontId="2" fillId="0" borderId="20" xfId="3" applyBorder="1"/>
    <xf numFmtId="4" fontId="0" fillId="0" borderId="0" xfId="0" applyNumberFormat="1"/>
    <xf numFmtId="0" fontId="4" fillId="0" borderId="19" xfId="0" applyFont="1" applyBorder="1" applyAlignment="1">
      <alignment horizontal="center" vertical="center"/>
    </xf>
    <xf numFmtId="0" fontId="15" fillId="11" borderId="0" xfId="0" applyFont="1" applyFill="1" applyAlignment="1">
      <alignment horizontal="center"/>
    </xf>
    <xf numFmtId="0" fontId="15" fillId="9" borderId="0" xfId="0" applyFont="1" applyFill="1" applyAlignment="1">
      <alignment horizontal="center"/>
    </xf>
    <xf numFmtId="0" fontId="15" fillId="22" borderId="0" xfId="0" applyFont="1" applyFill="1" applyAlignment="1">
      <alignment horizontal="center"/>
    </xf>
    <xf numFmtId="0" fontId="15" fillId="8" borderId="0" xfId="0" applyFont="1" applyFill="1" applyAlignment="1">
      <alignment horizontal="center"/>
    </xf>
    <xf numFmtId="0" fontId="15" fillId="30" borderId="0" xfId="0" applyFont="1" applyFill="1" applyAlignment="1">
      <alignment horizontal="center"/>
    </xf>
    <xf numFmtId="0" fontId="0" fillId="0" borderId="19" xfId="0" applyFill="1" applyBorder="1"/>
  </cellXfs>
  <cellStyles count="5">
    <cellStyle name="Comma" xfId="1" builtinId="3"/>
    <cellStyle name="Hyperlink" xfId="3" builtinId="8"/>
    <cellStyle name="Hyperlink 2" xfId="4" xr:uid="{85FF2C07-A066-4F63-9934-50E1A236BD2A}"/>
    <cellStyle name="Normal" xfId="0" builtinId="0"/>
    <cellStyle name="Percent" xfId="2" builtinId="5"/>
  </cellStyles>
  <dxfs count="1910">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rgb="FF002060"/>
      </font>
      <fill>
        <patternFill>
          <bgColor theme="8" tint="0.59996337778862885"/>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rgb="FF002060"/>
      </font>
      <fill>
        <patternFill>
          <bgColor theme="8" tint="0.59996337778862885"/>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rgb="FF002060"/>
      </font>
      <fill>
        <patternFill>
          <bgColor theme="8" tint="0.59996337778862885"/>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rgb="FF002060"/>
      </font>
      <fill>
        <patternFill>
          <bgColor theme="8" tint="0.59996337778862885"/>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rgb="FF002060"/>
      </font>
      <fill>
        <patternFill>
          <bgColor theme="8" tint="0.59996337778862885"/>
        </patternFill>
      </fill>
    </dxf>
  </dxfs>
  <tableStyles count="0" defaultTableStyle="TableStyleMedium2" defaultPivotStyle="PivotStyleLight16"/>
  <colors>
    <mruColors>
      <color rgb="FFCFD3E3"/>
      <color rgb="FFD3E4F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microsoft.com/office/2017/06/relationships/rdRichValueStructure" Target="richData/rdrichvaluestructur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17/06/relationships/rdRichValue" Target="richData/rdrichvalue.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22/10/relationships/richValueRel" Target="richData/richValueRel.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 Id="rId35" Type="http://schemas.microsoft.com/office/2017/06/relationships/rdRichValueTypes" Target="richData/rdRichValueTypes.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drawings/_rels/drawing20.xml.rels><?xml version="1.0" encoding="UTF-8" standalone="yes"?>
<Relationships xmlns="http://schemas.openxmlformats.org/package/2006/relationships"><Relationship Id="rId3" Type="http://schemas.openxmlformats.org/officeDocument/2006/relationships/image" Target="../media/image121.png"/><Relationship Id="rId2" Type="http://schemas.openxmlformats.org/officeDocument/2006/relationships/image" Target="../media/image120.svg"/><Relationship Id="rId1" Type="http://schemas.openxmlformats.org/officeDocument/2006/relationships/image" Target="../media/image119.png"/><Relationship Id="rId4" Type="http://schemas.openxmlformats.org/officeDocument/2006/relationships/image" Target="../media/image122.sv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0</xdr:row>
          <xdr:rowOff>7620</xdr:rowOff>
        </xdr:from>
        <xdr:to>
          <xdr:col>2</xdr:col>
          <xdr:colOff>0</xdr:colOff>
          <xdr:row>0</xdr:row>
          <xdr:rowOff>487680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100-00000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xdr:colOff>
          <xdr:row>0</xdr:row>
          <xdr:rowOff>45720</xdr:rowOff>
        </xdr:from>
        <xdr:to>
          <xdr:col>7</xdr:col>
          <xdr:colOff>685800</xdr:colOff>
          <xdr:row>0</xdr:row>
          <xdr:rowOff>403860</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100-000002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137160</xdr:colOff>
          <xdr:row>0</xdr:row>
          <xdr:rowOff>114300</xdr:rowOff>
        </xdr:from>
        <xdr:to>
          <xdr:col>0</xdr:col>
          <xdr:colOff>762000</xdr:colOff>
          <xdr:row>0</xdr:row>
          <xdr:rowOff>419100</xdr:rowOff>
        </xdr:to>
        <xdr:sp macro="" textlink="">
          <xdr:nvSpPr>
            <xdr:cNvPr id="18435" name="Button 3" hidden="1">
              <a:extLst>
                <a:ext uri="{63B3BB69-23CF-44E3-9099-C40C66FF867C}">
                  <a14:compatExt spid="_x0000_s18435"/>
                </a:ext>
                <a:ext uri="{FF2B5EF4-FFF2-40B4-BE49-F238E27FC236}">
                  <a16:creationId xmlns:a16="http://schemas.microsoft.com/office/drawing/2014/main" id="{00000000-0008-0000-0100-000003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0</xdr:row>
          <xdr:rowOff>7620</xdr:rowOff>
        </xdr:from>
        <xdr:to>
          <xdr:col>2</xdr:col>
          <xdr:colOff>0</xdr:colOff>
          <xdr:row>0</xdr:row>
          <xdr:rowOff>487680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xdr:colOff>
          <xdr:row>0</xdr:row>
          <xdr:rowOff>45720</xdr:rowOff>
        </xdr:from>
        <xdr:to>
          <xdr:col>7</xdr:col>
          <xdr:colOff>685800</xdr:colOff>
          <xdr:row>0</xdr:row>
          <xdr:rowOff>403860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200-000002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137160</xdr:colOff>
          <xdr:row>0</xdr:row>
          <xdr:rowOff>114300</xdr:rowOff>
        </xdr:from>
        <xdr:to>
          <xdr:col>0</xdr:col>
          <xdr:colOff>762000</xdr:colOff>
          <xdr:row>0</xdr:row>
          <xdr:rowOff>419100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200-000003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0</xdr:row>
          <xdr:rowOff>7620</xdr:rowOff>
        </xdr:from>
        <xdr:to>
          <xdr:col>2</xdr:col>
          <xdr:colOff>0</xdr:colOff>
          <xdr:row>0</xdr:row>
          <xdr:rowOff>487680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300-000001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xdr:colOff>
          <xdr:row>0</xdr:row>
          <xdr:rowOff>45720</xdr:rowOff>
        </xdr:from>
        <xdr:to>
          <xdr:col>7</xdr:col>
          <xdr:colOff>685800</xdr:colOff>
          <xdr:row>0</xdr:row>
          <xdr:rowOff>403860</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0300-000002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137160</xdr:colOff>
          <xdr:row>0</xdr:row>
          <xdr:rowOff>114300</xdr:rowOff>
        </xdr:from>
        <xdr:to>
          <xdr:col>0</xdr:col>
          <xdr:colOff>762000</xdr:colOff>
          <xdr:row>0</xdr:row>
          <xdr:rowOff>419100</xdr:rowOff>
        </xdr:to>
        <xdr:sp macro="" textlink="">
          <xdr:nvSpPr>
            <xdr:cNvPr id="26627" name="Button 3" hidden="1">
              <a:extLst>
                <a:ext uri="{63B3BB69-23CF-44E3-9099-C40C66FF867C}">
                  <a14:compatExt spid="_x0000_s26627"/>
                </a:ext>
                <a:ext uri="{FF2B5EF4-FFF2-40B4-BE49-F238E27FC236}">
                  <a16:creationId xmlns:a16="http://schemas.microsoft.com/office/drawing/2014/main" id="{00000000-0008-0000-0300-000003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0</xdr:row>
          <xdr:rowOff>7620</xdr:rowOff>
        </xdr:from>
        <xdr:to>
          <xdr:col>2</xdr:col>
          <xdr:colOff>0</xdr:colOff>
          <xdr:row>0</xdr:row>
          <xdr:rowOff>487680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4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xdr:colOff>
          <xdr:row>0</xdr:row>
          <xdr:rowOff>45720</xdr:rowOff>
        </xdr:from>
        <xdr:to>
          <xdr:col>7</xdr:col>
          <xdr:colOff>685800</xdr:colOff>
          <xdr:row>0</xdr:row>
          <xdr:rowOff>403860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400-000002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137160</xdr:colOff>
          <xdr:row>0</xdr:row>
          <xdr:rowOff>114300</xdr:rowOff>
        </xdr:from>
        <xdr:to>
          <xdr:col>0</xdr:col>
          <xdr:colOff>762000</xdr:colOff>
          <xdr:row>0</xdr:row>
          <xdr:rowOff>419100</xdr:rowOff>
        </xdr:to>
        <xdr:sp macro="" textlink="">
          <xdr:nvSpPr>
            <xdr:cNvPr id="16387" name="Button 3" hidden="1">
              <a:extLst>
                <a:ext uri="{63B3BB69-23CF-44E3-9099-C40C66FF867C}">
                  <a14:compatExt spid="_x0000_s16387"/>
                </a:ext>
                <a:ext uri="{FF2B5EF4-FFF2-40B4-BE49-F238E27FC236}">
                  <a16:creationId xmlns:a16="http://schemas.microsoft.com/office/drawing/2014/main" id="{00000000-0008-0000-0400-000003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0</xdr:row>
          <xdr:rowOff>7620</xdr:rowOff>
        </xdr:from>
        <xdr:to>
          <xdr:col>2</xdr:col>
          <xdr:colOff>0</xdr:colOff>
          <xdr:row>0</xdr:row>
          <xdr:rowOff>487680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500-0000016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xdr:colOff>
          <xdr:row>0</xdr:row>
          <xdr:rowOff>45720</xdr:rowOff>
        </xdr:from>
        <xdr:to>
          <xdr:col>7</xdr:col>
          <xdr:colOff>685800</xdr:colOff>
          <xdr:row>0</xdr:row>
          <xdr:rowOff>403860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500-0000026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137160</xdr:colOff>
          <xdr:row>0</xdr:row>
          <xdr:rowOff>114300</xdr:rowOff>
        </xdr:from>
        <xdr:to>
          <xdr:col>0</xdr:col>
          <xdr:colOff>762000</xdr:colOff>
          <xdr:row>0</xdr:row>
          <xdr:rowOff>419100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500-0000036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0</xdr:row>
          <xdr:rowOff>7620</xdr:rowOff>
        </xdr:from>
        <xdr:to>
          <xdr:col>2</xdr:col>
          <xdr:colOff>0</xdr:colOff>
          <xdr:row>0</xdr:row>
          <xdr:rowOff>487680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600-000001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xdr:colOff>
          <xdr:row>0</xdr:row>
          <xdr:rowOff>45720</xdr:rowOff>
        </xdr:from>
        <xdr:to>
          <xdr:col>7</xdr:col>
          <xdr:colOff>685800</xdr:colOff>
          <xdr:row>0</xdr:row>
          <xdr:rowOff>403860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600-000002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137160</xdr:colOff>
          <xdr:row>0</xdr:row>
          <xdr:rowOff>114300</xdr:rowOff>
        </xdr:from>
        <xdr:to>
          <xdr:col>0</xdr:col>
          <xdr:colOff>762000</xdr:colOff>
          <xdr:row>0</xdr:row>
          <xdr:rowOff>419100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600-000003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0</xdr:row>
          <xdr:rowOff>7620</xdr:rowOff>
        </xdr:from>
        <xdr:to>
          <xdr:col>2</xdr:col>
          <xdr:colOff>0</xdr:colOff>
          <xdr:row>0</xdr:row>
          <xdr:rowOff>487680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700-000001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xdr:colOff>
          <xdr:row>0</xdr:row>
          <xdr:rowOff>45720</xdr:rowOff>
        </xdr:from>
        <xdr:to>
          <xdr:col>7</xdr:col>
          <xdr:colOff>685800</xdr:colOff>
          <xdr:row>0</xdr:row>
          <xdr:rowOff>403860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700-000002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137160</xdr:colOff>
          <xdr:row>0</xdr:row>
          <xdr:rowOff>114300</xdr:rowOff>
        </xdr:from>
        <xdr:to>
          <xdr:col>0</xdr:col>
          <xdr:colOff>762000</xdr:colOff>
          <xdr:row>0</xdr:row>
          <xdr:rowOff>419100</xdr:rowOff>
        </xdr:to>
        <xdr:sp macro="" textlink="">
          <xdr:nvSpPr>
            <xdr:cNvPr id="23555" name="Button 3" hidden="1">
              <a:extLst>
                <a:ext uri="{63B3BB69-23CF-44E3-9099-C40C66FF867C}">
                  <a14:compatExt spid="_x0000_s23555"/>
                </a:ext>
                <a:ext uri="{FF2B5EF4-FFF2-40B4-BE49-F238E27FC236}">
                  <a16:creationId xmlns:a16="http://schemas.microsoft.com/office/drawing/2014/main" id="{00000000-0008-0000-0700-000003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0</xdr:row>
          <xdr:rowOff>7620</xdr:rowOff>
        </xdr:from>
        <xdr:to>
          <xdr:col>2</xdr:col>
          <xdr:colOff>0</xdr:colOff>
          <xdr:row>0</xdr:row>
          <xdr:rowOff>487680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800-000001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xdr:colOff>
          <xdr:row>0</xdr:row>
          <xdr:rowOff>45720</xdr:rowOff>
        </xdr:from>
        <xdr:to>
          <xdr:col>7</xdr:col>
          <xdr:colOff>685800</xdr:colOff>
          <xdr:row>0</xdr:row>
          <xdr:rowOff>403860</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0800-000002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137160</xdr:colOff>
          <xdr:row>0</xdr:row>
          <xdr:rowOff>114300</xdr:rowOff>
        </xdr:from>
        <xdr:to>
          <xdr:col>0</xdr:col>
          <xdr:colOff>762000</xdr:colOff>
          <xdr:row>0</xdr:row>
          <xdr:rowOff>419100</xdr:rowOff>
        </xdr:to>
        <xdr:sp macro="" textlink="">
          <xdr:nvSpPr>
            <xdr:cNvPr id="27651" name="Button 3" hidden="1">
              <a:extLst>
                <a:ext uri="{63B3BB69-23CF-44E3-9099-C40C66FF867C}">
                  <a14:compatExt spid="_x0000_s27651"/>
                </a:ext>
                <a:ext uri="{FF2B5EF4-FFF2-40B4-BE49-F238E27FC236}">
                  <a16:creationId xmlns:a16="http://schemas.microsoft.com/office/drawing/2014/main" id="{00000000-0008-0000-0800-000003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0</xdr:row>
          <xdr:rowOff>7620</xdr:rowOff>
        </xdr:from>
        <xdr:to>
          <xdr:col>2</xdr:col>
          <xdr:colOff>0</xdr:colOff>
          <xdr:row>0</xdr:row>
          <xdr:rowOff>487680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900-000001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xdr:colOff>
          <xdr:row>0</xdr:row>
          <xdr:rowOff>45720</xdr:rowOff>
        </xdr:from>
        <xdr:to>
          <xdr:col>7</xdr:col>
          <xdr:colOff>685800</xdr:colOff>
          <xdr:row>0</xdr:row>
          <xdr:rowOff>403860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900-000002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137160</xdr:colOff>
          <xdr:row>0</xdr:row>
          <xdr:rowOff>114300</xdr:rowOff>
        </xdr:from>
        <xdr:to>
          <xdr:col>0</xdr:col>
          <xdr:colOff>762000</xdr:colOff>
          <xdr:row>0</xdr:row>
          <xdr:rowOff>419100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900-000003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0</xdr:row>
          <xdr:rowOff>7620</xdr:rowOff>
        </xdr:from>
        <xdr:to>
          <xdr:col>2</xdr:col>
          <xdr:colOff>0</xdr:colOff>
          <xdr:row>0</xdr:row>
          <xdr:rowOff>487680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A00-00000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xdr:colOff>
          <xdr:row>0</xdr:row>
          <xdr:rowOff>45720</xdr:rowOff>
        </xdr:from>
        <xdr:to>
          <xdr:col>7</xdr:col>
          <xdr:colOff>685800</xdr:colOff>
          <xdr:row>0</xdr:row>
          <xdr:rowOff>403860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A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137160</xdr:colOff>
          <xdr:row>0</xdr:row>
          <xdr:rowOff>114300</xdr:rowOff>
        </xdr:from>
        <xdr:to>
          <xdr:col>0</xdr:col>
          <xdr:colOff>762000</xdr:colOff>
          <xdr:row>0</xdr:row>
          <xdr:rowOff>419100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A00-000003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15240</xdr:colOff>
          <xdr:row>0</xdr:row>
          <xdr:rowOff>0</xdr:rowOff>
        </xdr:from>
        <xdr:to>
          <xdr:col>2</xdr:col>
          <xdr:colOff>15240</xdr:colOff>
          <xdr:row>0</xdr:row>
          <xdr:rowOff>487680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B00-000001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xdr:colOff>
          <xdr:row>0</xdr:row>
          <xdr:rowOff>0</xdr:rowOff>
        </xdr:from>
        <xdr:to>
          <xdr:col>8</xdr:col>
          <xdr:colOff>15240</xdr:colOff>
          <xdr:row>0</xdr:row>
          <xdr:rowOff>487680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B00-000002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15240</xdr:colOff>
          <xdr:row>0</xdr:row>
          <xdr:rowOff>487680</xdr:rowOff>
        </xdr:to>
        <xdr:sp macro="" textlink="">
          <xdr:nvSpPr>
            <xdr:cNvPr id="17411" name="Button 3" hidden="1">
              <a:extLst>
                <a:ext uri="{63B3BB69-23CF-44E3-9099-C40C66FF867C}">
                  <a14:compatExt spid="_x0000_s17411"/>
                </a:ext>
                <a:ext uri="{FF2B5EF4-FFF2-40B4-BE49-F238E27FC236}">
                  <a16:creationId xmlns:a16="http://schemas.microsoft.com/office/drawing/2014/main" id="{00000000-0008-0000-0B00-000003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0</xdr:row>
          <xdr:rowOff>7620</xdr:rowOff>
        </xdr:from>
        <xdr:to>
          <xdr:col>2</xdr:col>
          <xdr:colOff>0</xdr:colOff>
          <xdr:row>0</xdr:row>
          <xdr:rowOff>487680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C00-0000013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xdr:colOff>
          <xdr:row>0</xdr:row>
          <xdr:rowOff>45720</xdr:rowOff>
        </xdr:from>
        <xdr:to>
          <xdr:col>7</xdr:col>
          <xdr:colOff>685800</xdr:colOff>
          <xdr:row>0</xdr:row>
          <xdr:rowOff>403860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C00-0000023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137160</xdr:colOff>
          <xdr:row>0</xdr:row>
          <xdr:rowOff>114300</xdr:rowOff>
        </xdr:from>
        <xdr:to>
          <xdr:col>0</xdr:col>
          <xdr:colOff>762000</xdr:colOff>
          <xdr:row>0</xdr:row>
          <xdr:rowOff>419100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C00-0000033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0</xdr:row>
          <xdr:rowOff>7620</xdr:rowOff>
        </xdr:from>
        <xdr:to>
          <xdr:col>2</xdr:col>
          <xdr:colOff>0</xdr:colOff>
          <xdr:row>0</xdr:row>
          <xdr:rowOff>487680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D00-0000017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xdr:colOff>
          <xdr:row>0</xdr:row>
          <xdr:rowOff>45720</xdr:rowOff>
        </xdr:from>
        <xdr:to>
          <xdr:col>7</xdr:col>
          <xdr:colOff>685800</xdr:colOff>
          <xdr:row>0</xdr:row>
          <xdr:rowOff>403860</xdr:rowOff>
        </xdr:to>
        <xdr:sp macro="" textlink="">
          <xdr:nvSpPr>
            <xdr:cNvPr id="31746" name="Button 2" hidden="1">
              <a:extLst>
                <a:ext uri="{63B3BB69-23CF-44E3-9099-C40C66FF867C}">
                  <a14:compatExt spid="_x0000_s31746"/>
                </a:ext>
                <a:ext uri="{FF2B5EF4-FFF2-40B4-BE49-F238E27FC236}">
                  <a16:creationId xmlns:a16="http://schemas.microsoft.com/office/drawing/2014/main" id="{00000000-0008-0000-0D00-0000027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137160</xdr:colOff>
          <xdr:row>0</xdr:row>
          <xdr:rowOff>114300</xdr:rowOff>
        </xdr:from>
        <xdr:to>
          <xdr:col>0</xdr:col>
          <xdr:colOff>762000</xdr:colOff>
          <xdr:row>0</xdr:row>
          <xdr:rowOff>419100</xdr:rowOff>
        </xdr:to>
        <xdr:sp macro="" textlink="">
          <xdr:nvSpPr>
            <xdr:cNvPr id="31747" name="Button 3" hidden="1">
              <a:extLst>
                <a:ext uri="{63B3BB69-23CF-44E3-9099-C40C66FF867C}">
                  <a14:compatExt spid="_x0000_s31747"/>
                </a:ext>
                <a:ext uri="{FF2B5EF4-FFF2-40B4-BE49-F238E27FC236}">
                  <a16:creationId xmlns:a16="http://schemas.microsoft.com/office/drawing/2014/main" id="{00000000-0008-0000-0D00-0000037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0</xdr:row>
          <xdr:rowOff>7620</xdr:rowOff>
        </xdr:from>
        <xdr:to>
          <xdr:col>2</xdr:col>
          <xdr:colOff>0</xdr:colOff>
          <xdr:row>0</xdr:row>
          <xdr:rowOff>487680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E00-000001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xdr:colOff>
          <xdr:row>0</xdr:row>
          <xdr:rowOff>45720</xdr:rowOff>
        </xdr:from>
        <xdr:to>
          <xdr:col>7</xdr:col>
          <xdr:colOff>685800</xdr:colOff>
          <xdr:row>0</xdr:row>
          <xdr:rowOff>403860</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E00-000002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137160</xdr:colOff>
          <xdr:row>0</xdr:row>
          <xdr:rowOff>114300</xdr:rowOff>
        </xdr:from>
        <xdr:to>
          <xdr:col>0</xdr:col>
          <xdr:colOff>762000</xdr:colOff>
          <xdr:row>0</xdr:row>
          <xdr:rowOff>419100</xdr:rowOff>
        </xdr:to>
        <xdr:sp macro="" textlink="">
          <xdr:nvSpPr>
            <xdr:cNvPr id="21507" name="Button 3" hidden="1">
              <a:extLst>
                <a:ext uri="{63B3BB69-23CF-44E3-9099-C40C66FF867C}">
                  <a14:compatExt spid="_x0000_s21507"/>
                </a:ext>
                <a:ext uri="{FF2B5EF4-FFF2-40B4-BE49-F238E27FC236}">
                  <a16:creationId xmlns:a16="http://schemas.microsoft.com/office/drawing/2014/main" id="{00000000-0008-0000-0E00-000003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0</xdr:row>
          <xdr:rowOff>7620</xdr:rowOff>
        </xdr:from>
        <xdr:to>
          <xdr:col>2</xdr:col>
          <xdr:colOff>0</xdr:colOff>
          <xdr:row>0</xdr:row>
          <xdr:rowOff>487680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F00-0000015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xdr:colOff>
          <xdr:row>0</xdr:row>
          <xdr:rowOff>45720</xdr:rowOff>
        </xdr:from>
        <xdr:to>
          <xdr:col>7</xdr:col>
          <xdr:colOff>685800</xdr:colOff>
          <xdr:row>0</xdr:row>
          <xdr:rowOff>403860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F00-0000025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137160</xdr:colOff>
          <xdr:row>0</xdr:row>
          <xdr:rowOff>114300</xdr:rowOff>
        </xdr:from>
        <xdr:to>
          <xdr:col>0</xdr:col>
          <xdr:colOff>762000</xdr:colOff>
          <xdr:row>0</xdr:row>
          <xdr:rowOff>419100</xdr:rowOff>
        </xdr:to>
        <xdr:sp macro="" textlink="">
          <xdr:nvSpPr>
            <xdr:cNvPr id="22531" name="Button 3" hidden="1">
              <a:extLst>
                <a:ext uri="{63B3BB69-23CF-44E3-9099-C40C66FF867C}">
                  <a14:compatExt spid="_x0000_s22531"/>
                </a:ext>
                <a:ext uri="{FF2B5EF4-FFF2-40B4-BE49-F238E27FC236}">
                  <a16:creationId xmlns:a16="http://schemas.microsoft.com/office/drawing/2014/main" id="{00000000-0008-0000-0F00-0000035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0</xdr:row>
          <xdr:rowOff>7620</xdr:rowOff>
        </xdr:from>
        <xdr:to>
          <xdr:col>2</xdr:col>
          <xdr:colOff>0</xdr:colOff>
          <xdr:row>1</xdr:row>
          <xdr:rowOff>0</xdr:rowOff>
        </xdr:to>
        <xdr:sp macro="" textlink="">
          <xdr:nvSpPr>
            <xdr:cNvPr id="52225" name="Button 1" hidden="1">
              <a:extLst>
                <a:ext uri="{63B3BB69-23CF-44E3-9099-C40C66FF867C}">
                  <a14:compatExt spid="_x0000_s52225"/>
                </a:ext>
                <a:ext uri="{FF2B5EF4-FFF2-40B4-BE49-F238E27FC236}">
                  <a16:creationId xmlns:a16="http://schemas.microsoft.com/office/drawing/2014/main" id="{00000000-0008-0000-1000-000001C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xdr:colOff>
          <xdr:row>0</xdr:row>
          <xdr:rowOff>45720</xdr:rowOff>
        </xdr:from>
        <xdr:to>
          <xdr:col>7</xdr:col>
          <xdr:colOff>685800</xdr:colOff>
          <xdr:row>0</xdr:row>
          <xdr:rowOff>403860</xdr:rowOff>
        </xdr:to>
        <xdr:sp macro="" textlink="">
          <xdr:nvSpPr>
            <xdr:cNvPr id="52226" name="Button 2" hidden="1">
              <a:extLst>
                <a:ext uri="{63B3BB69-23CF-44E3-9099-C40C66FF867C}">
                  <a14:compatExt spid="_x0000_s52226"/>
                </a:ext>
                <a:ext uri="{FF2B5EF4-FFF2-40B4-BE49-F238E27FC236}">
                  <a16:creationId xmlns:a16="http://schemas.microsoft.com/office/drawing/2014/main" id="{00000000-0008-0000-1000-000002C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137160</xdr:colOff>
          <xdr:row>0</xdr:row>
          <xdr:rowOff>114300</xdr:rowOff>
        </xdr:from>
        <xdr:to>
          <xdr:col>0</xdr:col>
          <xdr:colOff>762000</xdr:colOff>
          <xdr:row>0</xdr:row>
          <xdr:rowOff>419100</xdr:rowOff>
        </xdr:to>
        <xdr:sp macro="" textlink="">
          <xdr:nvSpPr>
            <xdr:cNvPr id="52227" name="Button 3" hidden="1">
              <a:extLst>
                <a:ext uri="{63B3BB69-23CF-44E3-9099-C40C66FF867C}">
                  <a14:compatExt spid="_x0000_s52227"/>
                </a:ext>
                <a:ext uri="{FF2B5EF4-FFF2-40B4-BE49-F238E27FC236}">
                  <a16:creationId xmlns:a16="http://schemas.microsoft.com/office/drawing/2014/main" id="{00000000-0008-0000-1000-000003C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0</xdr:row>
          <xdr:rowOff>7620</xdr:rowOff>
        </xdr:from>
        <xdr:to>
          <xdr:col>2</xdr:col>
          <xdr:colOff>0</xdr:colOff>
          <xdr:row>0</xdr:row>
          <xdr:rowOff>487680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1100-00000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xdr:colOff>
          <xdr:row>0</xdr:row>
          <xdr:rowOff>45720</xdr:rowOff>
        </xdr:from>
        <xdr:to>
          <xdr:col>7</xdr:col>
          <xdr:colOff>685800</xdr:colOff>
          <xdr:row>0</xdr:row>
          <xdr:rowOff>403860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1100-000002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137160</xdr:colOff>
          <xdr:row>0</xdr:row>
          <xdr:rowOff>114300</xdr:rowOff>
        </xdr:from>
        <xdr:to>
          <xdr:col>0</xdr:col>
          <xdr:colOff>762000</xdr:colOff>
          <xdr:row>0</xdr:row>
          <xdr:rowOff>419100</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1100-000003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0</xdr:row>
          <xdr:rowOff>7620</xdr:rowOff>
        </xdr:from>
        <xdr:to>
          <xdr:col>2</xdr:col>
          <xdr:colOff>0</xdr:colOff>
          <xdr:row>0</xdr:row>
          <xdr:rowOff>487680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1200-000001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xdr:colOff>
          <xdr:row>0</xdr:row>
          <xdr:rowOff>45720</xdr:rowOff>
        </xdr:from>
        <xdr:to>
          <xdr:col>7</xdr:col>
          <xdr:colOff>685800</xdr:colOff>
          <xdr:row>0</xdr:row>
          <xdr:rowOff>403860</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1200-000002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137160</xdr:colOff>
          <xdr:row>0</xdr:row>
          <xdr:rowOff>114300</xdr:rowOff>
        </xdr:from>
        <xdr:to>
          <xdr:col>0</xdr:col>
          <xdr:colOff>762000</xdr:colOff>
          <xdr:row>0</xdr:row>
          <xdr:rowOff>419100</xdr:rowOff>
        </xdr:to>
        <xdr:sp macro="" textlink="">
          <xdr:nvSpPr>
            <xdr:cNvPr id="30723" name="Button 3" hidden="1">
              <a:extLst>
                <a:ext uri="{63B3BB69-23CF-44E3-9099-C40C66FF867C}">
                  <a14:compatExt spid="_x0000_s30723"/>
                </a:ext>
                <a:ext uri="{FF2B5EF4-FFF2-40B4-BE49-F238E27FC236}">
                  <a16:creationId xmlns:a16="http://schemas.microsoft.com/office/drawing/2014/main" id="{00000000-0008-0000-1200-000003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0</xdr:row>
          <xdr:rowOff>7620</xdr:rowOff>
        </xdr:from>
        <xdr:to>
          <xdr:col>2</xdr:col>
          <xdr:colOff>0</xdr:colOff>
          <xdr:row>0</xdr:row>
          <xdr:rowOff>487680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1300-000001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xdr:colOff>
          <xdr:row>0</xdr:row>
          <xdr:rowOff>45720</xdr:rowOff>
        </xdr:from>
        <xdr:to>
          <xdr:col>7</xdr:col>
          <xdr:colOff>685800</xdr:colOff>
          <xdr:row>0</xdr:row>
          <xdr:rowOff>403860</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1300-000002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137160</xdr:colOff>
          <xdr:row>0</xdr:row>
          <xdr:rowOff>114300</xdr:rowOff>
        </xdr:from>
        <xdr:to>
          <xdr:col>0</xdr:col>
          <xdr:colOff>762000</xdr:colOff>
          <xdr:row>0</xdr:row>
          <xdr:rowOff>419100</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1300-000003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0</xdr:row>
          <xdr:rowOff>7620</xdr:rowOff>
        </xdr:from>
        <xdr:to>
          <xdr:col>2</xdr:col>
          <xdr:colOff>0</xdr:colOff>
          <xdr:row>0</xdr:row>
          <xdr:rowOff>487680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1400-000001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xdr:colOff>
          <xdr:row>0</xdr:row>
          <xdr:rowOff>45720</xdr:rowOff>
        </xdr:from>
        <xdr:to>
          <xdr:col>7</xdr:col>
          <xdr:colOff>685800</xdr:colOff>
          <xdr:row>0</xdr:row>
          <xdr:rowOff>403860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1400-000002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137160</xdr:colOff>
          <xdr:row>0</xdr:row>
          <xdr:rowOff>114300</xdr:rowOff>
        </xdr:from>
        <xdr:to>
          <xdr:col>0</xdr:col>
          <xdr:colOff>762000</xdr:colOff>
          <xdr:row>0</xdr:row>
          <xdr:rowOff>419100</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1400-000003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twoCellAnchor>
    <xdr:from>
      <xdr:col>1</xdr:col>
      <xdr:colOff>36576</xdr:colOff>
      <xdr:row>3</xdr:row>
      <xdr:rowOff>24384</xdr:rowOff>
    </xdr:from>
    <xdr:to>
      <xdr:col>1</xdr:col>
      <xdr:colOff>694944</xdr:colOff>
      <xdr:row>3</xdr:row>
      <xdr:rowOff>463296</xdr:rowOff>
    </xdr:to>
    <xdr:pic>
      <xdr:nvPicPr>
        <xdr:cNvPr id="13312" name="Graphic 13311">
          <a:extLst>
            <a:ext uri="{FF2B5EF4-FFF2-40B4-BE49-F238E27FC236}">
              <a16:creationId xmlns:a16="http://schemas.microsoft.com/office/drawing/2014/main" id="{F5886430-7D58-DE28-358F-98B384ADF758}"/>
            </a:ext>
          </a:extLst>
        </xdr:cNvPr>
        <xdr:cNvPicPr>
          <a:picLocks/>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3633216" y="999744"/>
          <a:ext cx="658368" cy="438912"/>
        </a:xfrm>
        <a:prstGeom prst="rect">
          <a:avLst/>
        </a:prstGeom>
      </xdr:spPr>
    </xdr:pic>
    <xdr:clientData/>
  </xdr:twoCellAnchor>
  <xdr:twoCellAnchor>
    <xdr:from>
      <xdr:col>1</xdr:col>
      <xdr:colOff>36576</xdr:colOff>
      <xdr:row>4</xdr:row>
      <xdr:rowOff>24384</xdr:rowOff>
    </xdr:from>
    <xdr:to>
      <xdr:col>1</xdr:col>
      <xdr:colOff>694944</xdr:colOff>
      <xdr:row>4</xdr:row>
      <xdr:rowOff>463296</xdr:rowOff>
    </xdr:to>
    <xdr:pic>
      <xdr:nvPicPr>
        <xdr:cNvPr id="13317" name="Graphic 13316">
          <a:extLst>
            <a:ext uri="{FF2B5EF4-FFF2-40B4-BE49-F238E27FC236}">
              <a16:creationId xmlns:a16="http://schemas.microsoft.com/office/drawing/2014/main" id="{EFA98A86-4F4A-F71A-CAE5-D516293686C1}"/>
            </a:ext>
          </a:extLst>
        </xdr:cNvPr>
        <xdr:cNvPicPr>
          <a:picLocks/>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3633216" y="1487424"/>
          <a:ext cx="658368" cy="438912"/>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0</xdr:row>
          <xdr:rowOff>7620</xdr:rowOff>
        </xdr:from>
        <xdr:to>
          <xdr:col>2</xdr:col>
          <xdr:colOff>0</xdr:colOff>
          <xdr:row>0</xdr:row>
          <xdr:rowOff>487680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1500-0000014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xdr:colOff>
          <xdr:row>0</xdr:row>
          <xdr:rowOff>45720</xdr:rowOff>
        </xdr:from>
        <xdr:to>
          <xdr:col>7</xdr:col>
          <xdr:colOff>685800</xdr:colOff>
          <xdr:row>0</xdr:row>
          <xdr:rowOff>403860</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1500-0000024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137160</xdr:colOff>
          <xdr:row>0</xdr:row>
          <xdr:rowOff>114300</xdr:rowOff>
        </xdr:from>
        <xdr:to>
          <xdr:col>0</xdr:col>
          <xdr:colOff>762000</xdr:colOff>
          <xdr:row>0</xdr:row>
          <xdr:rowOff>419100</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1500-0000034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0</xdr:row>
          <xdr:rowOff>7620</xdr:rowOff>
        </xdr:from>
        <xdr:to>
          <xdr:col>2</xdr:col>
          <xdr:colOff>0</xdr:colOff>
          <xdr:row>0</xdr:row>
          <xdr:rowOff>487680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1600-0000017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xdr:colOff>
          <xdr:row>0</xdr:row>
          <xdr:rowOff>45720</xdr:rowOff>
        </xdr:from>
        <xdr:to>
          <xdr:col>7</xdr:col>
          <xdr:colOff>685800</xdr:colOff>
          <xdr:row>0</xdr:row>
          <xdr:rowOff>403860</xdr:rowOff>
        </xdr:to>
        <xdr:sp macro="" textlink="">
          <xdr:nvSpPr>
            <xdr:cNvPr id="28674" name="Button 2" hidden="1">
              <a:extLst>
                <a:ext uri="{63B3BB69-23CF-44E3-9099-C40C66FF867C}">
                  <a14:compatExt spid="_x0000_s28674"/>
                </a:ext>
                <a:ext uri="{FF2B5EF4-FFF2-40B4-BE49-F238E27FC236}">
                  <a16:creationId xmlns:a16="http://schemas.microsoft.com/office/drawing/2014/main" id="{00000000-0008-0000-1600-0000027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137160</xdr:colOff>
          <xdr:row>0</xdr:row>
          <xdr:rowOff>114300</xdr:rowOff>
        </xdr:from>
        <xdr:to>
          <xdr:col>0</xdr:col>
          <xdr:colOff>762000</xdr:colOff>
          <xdr:row>0</xdr:row>
          <xdr:rowOff>419100</xdr:rowOff>
        </xdr:to>
        <xdr:sp macro="" textlink="">
          <xdr:nvSpPr>
            <xdr:cNvPr id="28675" name="Button 3" hidden="1">
              <a:extLst>
                <a:ext uri="{63B3BB69-23CF-44E3-9099-C40C66FF867C}">
                  <a14:compatExt spid="_x0000_s28675"/>
                </a:ext>
                <a:ext uri="{FF2B5EF4-FFF2-40B4-BE49-F238E27FC236}">
                  <a16:creationId xmlns:a16="http://schemas.microsoft.com/office/drawing/2014/main" id="{00000000-0008-0000-1600-0000037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0</xdr:row>
          <xdr:rowOff>7620</xdr:rowOff>
        </xdr:from>
        <xdr:to>
          <xdr:col>2</xdr:col>
          <xdr:colOff>0</xdr:colOff>
          <xdr:row>0</xdr:row>
          <xdr:rowOff>487680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1700-000001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xdr:colOff>
          <xdr:row>0</xdr:row>
          <xdr:rowOff>45720</xdr:rowOff>
        </xdr:from>
        <xdr:to>
          <xdr:col>7</xdr:col>
          <xdr:colOff>685800</xdr:colOff>
          <xdr:row>0</xdr:row>
          <xdr:rowOff>403860</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1700-000002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137160</xdr:colOff>
          <xdr:row>0</xdr:row>
          <xdr:rowOff>114300</xdr:rowOff>
        </xdr:from>
        <xdr:to>
          <xdr:col>0</xdr:col>
          <xdr:colOff>762000</xdr:colOff>
          <xdr:row>0</xdr:row>
          <xdr:rowOff>419100</xdr:rowOff>
        </xdr:to>
        <xdr:sp macro="" textlink="">
          <xdr:nvSpPr>
            <xdr:cNvPr id="29699" name="Button 3" hidden="1">
              <a:extLst>
                <a:ext uri="{63B3BB69-23CF-44E3-9099-C40C66FF867C}">
                  <a14:compatExt spid="_x0000_s29699"/>
                </a:ext>
                <a:ext uri="{FF2B5EF4-FFF2-40B4-BE49-F238E27FC236}">
                  <a16:creationId xmlns:a16="http://schemas.microsoft.com/office/drawing/2014/main" id="{00000000-0008-0000-1700-000003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0</xdr:row>
          <xdr:rowOff>7620</xdr:rowOff>
        </xdr:from>
        <xdr:to>
          <xdr:col>2</xdr:col>
          <xdr:colOff>0</xdr:colOff>
          <xdr:row>0</xdr:row>
          <xdr:rowOff>487680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1800-000001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xdr:colOff>
          <xdr:row>0</xdr:row>
          <xdr:rowOff>45720</xdr:rowOff>
        </xdr:from>
        <xdr:to>
          <xdr:col>7</xdr:col>
          <xdr:colOff>685800</xdr:colOff>
          <xdr:row>0</xdr:row>
          <xdr:rowOff>403860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1800-000002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137160</xdr:colOff>
          <xdr:row>0</xdr:row>
          <xdr:rowOff>114300</xdr:rowOff>
        </xdr:from>
        <xdr:to>
          <xdr:col>0</xdr:col>
          <xdr:colOff>762000</xdr:colOff>
          <xdr:row>0</xdr:row>
          <xdr:rowOff>419100</xdr:rowOff>
        </xdr:to>
        <xdr:sp macro="" textlink="">
          <xdr:nvSpPr>
            <xdr:cNvPr id="20483" name="Button 3" hidden="1">
              <a:extLst>
                <a:ext uri="{63B3BB69-23CF-44E3-9099-C40C66FF867C}">
                  <a14:compatExt spid="_x0000_s20483"/>
                </a:ext>
                <a:ext uri="{FF2B5EF4-FFF2-40B4-BE49-F238E27FC236}">
                  <a16:creationId xmlns:a16="http://schemas.microsoft.com/office/drawing/2014/main" id="{00000000-0008-0000-1800-000003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0</xdr:row>
          <xdr:rowOff>7620</xdr:rowOff>
        </xdr:from>
        <xdr:to>
          <xdr:col>2</xdr:col>
          <xdr:colOff>0</xdr:colOff>
          <xdr:row>0</xdr:row>
          <xdr:rowOff>487680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1900-0000016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xdr:colOff>
          <xdr:row>0</xdr:row>
          <xdr:rowOff>45720</xdr:rowOff>
        </xdr:from>
        <xdr:to>
          <xdr:col>7</xdr:col>
          <xdr:colOff>685800</xdr:colOff>
          <xdr:row>0</xdr:row>
          <xdr:rowOff>403860</xdr:rowOff>
        </xdr:to>
        <xdr:sp macro="" textlink="">
          <xdr:nvSpPr>
            <xdr:cNvPr id="24578" name="Button 2" hidden="1">
              <a:extLst>
                <a:ext uri="{63B3BB69-23CF-44E3-9099-C40C66FF867C}">
                  <a14:compatExt spid="_x0000_s24578"/>
                </a:ext>
                <a:ext uri="{FF2B5EF4-FFF2-40B4-BE49-F238E27FC236}">
                  <a16:creationId xmlns:a16="http://schemas.microsoft.com/office/drawing/2014/main" id="{00000000-0008-0000-1900-0000026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137160</xdr:colOff>
          <xdr:row>0</xdr:row>
          <xdr:rowOff>114300</xdr:rowOff>
        </xdr:from>
        <xdr:to>
          <xdr:col>0</xdr:col>
          <xdr:colOff>762000</xdr:colOff>
          <xdr:row>0</xdr:row>
          <xdr:rowOff>419100</xdr:rowOff>
        </xdr:to>
        <xdr:sp macro="" textlink="">
          <xdr:nvSpPr>
            <xdr:cNvPr id="24579" name="Button 3" hidden="1">
              <a:extLst>
                <a:ext uri="{63B3BB69-23CF-44E3-9099-C40C66FF867C}">
                  <a14:compatExt spid="_x0000_s24579"/>
                </a:ext>
                <a:ext uri="{FF2B5EF4-FFF2-40B4-BE49-F238E27FC236}">
                  <a16:creationId xmlns:a16="http://schemas.microsoft.com/office/drawing/2014/main" id="{00000000-0008-0000-1900-0000036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0</xdr:row>
          <xdr:rowOff>7620</xdr:rowOff>
        </xdr:from>
        <xdr:to>
          <xdr:col>2</xdr:col>
          <xdr:colOff>0</xdr:colOff>
          <xdr:row>0</xdr:row>
          <xdr:rowOff>487680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1A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xdr:colOff>
          <xdr:row>0</xdr:row>
          <xdr:rowOff>45720</xdr:rowOff>
        </xdr:from>
        <xdr:to>
          <xdr:col>7</xdr:col>
          <xdr:colOff>685800</xdr:colOff>
          <xdr:row>0</xdr:row>
          <xdr:rowOff>403860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1A00-000002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137160</xdr:colOff>
          <xdr:row>0</xdr:row>
          <xdr:rowOff>114300</xdr:rowOff>
        </xdr:from>
        <xdr:to>
          <xdr:col>0</xdr:col>
          <xdr:colOff>762000</xdr:colOff>
          <xdr:row>0</xdr:row>
          <xdr:rowOff>419100</xdr:rowOff>
        </xdr:to>
        <xdr:sp macro="" textlink="">
          <xdr:nvSpPr>
            <xdr:cNvPr id="8195" name="Button 3" hidden="1">
              <a:extLst>
                <a:ext uri="{63B3BB69-23CF-44E3-9099-C40C66FF867C}">
                  <a14:compatExt spid="_x0000_s8195"/>
                </a:ext>
                <a:ext uri="{FF2B5EF4-FFF2-40B4-BE49-F238E27FC236}">
                  <a16:creationId xmlns:a16="http://schemas.microsoft.com/office/drawing/2014/main" id="{00000000-0008-0000-1A00-000003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richData/_rels/richValueRel.xml.rels><?xml version="1.0" encoding="UTF-8" standalone="yes"?>
<Relationships xmlns="http://schemas.openxmlformats.org/package/2006/relationships"><Relationship Id="rId26" Type="http://schemas.openxmlformats.org/officeDocument/2006/relationships/image" Target="../media/image26.png"/><Relationship Id="rId117" Type="http://schemas.openxmlformats.org/officeDocument/2006/relationships/image" Target="../media/image117.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16" Type="http://schemas.openxmlformats.org/officeDocument/2006/relationships/image" Target="../media/image16.png"/><Relationship Id="rId107" Type="http://schemas.openxmlformats.org/officeDocument/2006/relationships/image" Target="../media/image107.png"/><Relationship Id="rId11" Type="http://schemas.openxmlformats.org/officeDocument/2006/relationships/image" Target="../media/image11.png"/><Relationship Id="rId32" Type="http://schemas.openxmlformats.org/officeDocument/2006/relationships/image" Target="../media/image32.png"/><Relationship Id="rId37" Type="http://schemas.openxmlformats.org/officeDocument/2006/relationships/image" Target="../media/image37.png"/><Relationship Id="rId53" Type="http://schemas.openxmlformats.org/officeDocument/2006/relationships/image" Target="../media/image53.png"/><Relationship Id="rId58" Type="http://schemas.openxmlformats.org/officeDocument/2006/relationships/image" Target="../media/image58.png"/><Relationship Id="rId74" Type="http://schemas.openxmlformats.org/officeDocument/2006/relationships/image" Target="../media/image74.png"/><Relationship Id="rId79" Type="http://schemas.openxmlformats.org/officeDocument/2006/relationships/image" Target="../media/image79.png"/><Relationship Id="rId102" Type="http://schemas.openxmlformats.org/officeDocument/2006/relationships/image" Target="../media/image102.png"/><Relationship Id="rId5" Type="http://schemas.openxmlformats.org/officeDocument/2006/relationships/image" Target="../media/image5.png"/><Relationship Id="rId90" Type="http://schemas.openxmlformats.org/officeDocument/2006/relationships/image" Target="../media/image90.png"/><Relationship Id="rId95" Type="http://schemas.openxmlformats.org/officeDocument/2006/relationships/image" Target="../media/image95.png"/><Relationship Id="rId22" Type="http://schemas.openxmlformats.org/officeDocument/2006/relationships/image" Target="../media/image22.png"/><Relationship Id="rId27" Type="http://schemas.openxmlformats.org/officeDocument/2006/relationships/image" Target="../media/image27.png"/><Relationship Id="rId43" Type="http://schemas.openxmlformats.org/officeDocument/2006/relationships/image" Target="../media/image43.png"/><Relationship Id="rId48" Type="http://schemas.openxmlformats.org/officeDocument/2006/relationships/image" Target="../media/image48.png"/><Relationship Id="rId64" Type="http://schemas.openxmlformats.org/officeDocument/2006/relationships/image" Target="../media/image64.png"/><Relationship Id="rId69" Type="http://schemas.openxmlformats.org/officeDocument/2006/relationships/image" Target="../media/image69.png"/><Relationship Id="rId113" Type="http://schemas.openxmlformats.org/officeDocument/2006/relationships/image" Target="../media/image113.png"/><Relationship Id="rId118" Type="http://schemas.openxmlformats.org/officeDocument/2006/relationships/image" Target="../media/image118.png"/><Relationship Id="rId80" Type="http://schemas.openxmlformats.org/officeDocument/2006/relationships/image" Target="../media/image80.png"/><Relationship Id="rId85" Type="http://schemas.openxmlformats.org/officeDocument/2006/relationships/image" Target="../media/image85.png"/><Relationship Id="rId12" Type="http://schemas.openxmlformats.org/officeDocument/2006/relationships/image" Target="../media/image12.png"/><Relationship Id="rId17" Type="http://schemas.openxmlformats.org/officeDocument/2006/relationships/image" Target="../media/image17.png"/><Relationship Id="rId33" Type="http://schemas.openxmlformats.org/officeDocument/2006/relationships/image" Target="../media/image33.png"/><Relationship Id="rId38" Type="http://schemas.openxmlformats.org/officeDocument/2006/relationships/image" Target="../media/image38.png"/><Relationship Id="rId59" Type="http://schemas.openxmlformats.org/officeDocument/2006/relationships/image" Target="../media/image59.png"/><Relationship Id="rId103" Type="http://schemas.openxmlformats.org/officeDocument/2006/relationships/image" Target="../media/image103.png"/><Relationship Id="rId108" Type="http://schemas.openxmlformats.org/officeDocument/2006/relationships/image" Target="../media/image108.png"/><Relationship Id="rId54" Type="http://schemas.openxmlformats.org/officeDocument/2006/relationships/image" Target="../media/image54.png"/><Relationship Id="rId70" Type="http://schemas.openxmlformats.org/officeDocument/2006/relationships/image" Target="../media/image70.png"/><Relationship Id="rId75" Type="http://schemas.openxmlformats.org/officeDocument/2006/relationships/image" Target="../media/image75.gif"/><Relationship Id="rId91" Type="http://schemas.openxmlformats.org/officeDocument/2006/relationships/image" Target="../media/image91.png"/><Relationship Id="rId96" Type="http://schemas.openxmlformats.org/officeDocument/2006/relationships/image" Target="../media/image96.png"/><Relationship Id="rId1" Type="http://schemas.openxmlformats.org/officeDocument/2006/relationships/image" Target="../media/image1.png"/><Relationship Id="rId6" Type="http://schemas.openxmlformats.org/officeDocument/2006/relationships/image" Target="../media/image6.png"/><Relationship Id="rId23" Type="http://schemas.openxmlformats.org/officeDocument/2006/relationships/image" Target="../media/image23.png"/><Relationship Id="rId28" Type="http://schemas.openxmlformats.org/officeDocument/2006/relationships/image" Target="../media/image28.png"/><Relationship Id="rId49" Type="http://schemas.openxmlformats.org/officeDocument/2006/relationships/image" Target="../media/image49.png"/><Relationship Id="rId114" Type="http://schemas.openxmlformats.org/officeDocument/2006/relationships/image" Target="../media/image114.gif"/><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gif"/><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 Id="rId2" Type="http://schemas.openxmlformats.org/officeDocument/2006/relationships/image" Target="../media/image2.gif"/><Relationship Id="rId29" Type="http://schemas.openxmlformats.org/officeDocument/2006/relationships/image" Target="../media/image29.png"/><Relationship Id="rId24" Type="http://schemas.openxmlformats.org/officeDocument/2006/relationships/image" Target="../media/image24.png"/><Relationship Id="rId40" Type="http://schemas.openxmlformats.org/officeDocument/2006/relationships/image" Target="../media/image40.png"/><Relationship Id="rId45" Type="http://schemas.openxmlformats.org/officeDocument/2006/relationships/image" Target="../media/image45.png"/><Relationship Id="rId66" Type="http://schemas.openxmlformats.org/officeDocument/2006/relationships/image" Target="../media/image66.png"/><Relationship Id="rId87" Type="http://schemas.openxmlformats.org/officeDocument/2006/relationships/image" Target="../media/image87.png"/><Relationship Id="rId110" Type="http://schemas.openxmlformats.org/officeDocument/2006/relationships/image" Target="../media/image110.png"/><Relationship Id="rId115" Type="http://schemas.openxmlformats.org/officeDocument/2006/relationships/image" Target="../media/image115.png"/><Relationship Id="rId61" Type="http://schemas.openxmlformats.org/officeDocument/2006/relationships/image" Target="../media/image61.png"/><Relationship Id="rId82" Type="http://schemas.openxmlformats.org/officeDocument/2006/relationships/image" Target="../media/image82.png"/><Relationship Id="rId19" Type="http://schemas.openxmlformats.org/officeDocument/2006/relationships/image" Target="../media/image19.png"/><Relationship Id="rId14" Type="http://schemas.openxmlformats.org/officeDocument/2006/relationships/image" Target="../media/image14.png"/><Relationship Id="rId30" Type="http://schemas.openxmlformats.org/officeDocument/2006/relationships/image" Target="../media/image30.png"/><Relationship Id="rId35" Type="http://schemas.openxmlformats.org/officeDocument/2006/relationships/image" Target="../media/image35.png"/><Relationship Id="rId56" Type="http://schemas.openxmlformats.org/officeDocument/2006/relationships/image" Target="../media/image56.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25" Type="http://schemas.openxmlformats.org/officeDocument/2006/relationships/image" Target="../media/image25.png"/><Relationship Id="rId46" Type="http://schemas.openxmlformats.org/officeDocument/2006/relationships/image" Target="../media/image46.png"/><Relationship Id="rId67" Type="http://schemas.openxmlformats.org/officeDocument/2006/relationships/image" Target="../media/image67.png"/><Relationship Id="rId116" Type="http://schemas.openxmlformats.org/officeDocument/2006/relationships/image" Target="../media/image116.png"/><Relationship Id="rId20" Type="http://schemas.openxmlformats.org/officeDocument/2006/relationships/image" Target="../media/image20.png"/><Relationship Id="rId41" Type="http://schemas.openxmlformats.org/officeDocument/2006/relationships/image" Target="../media/image41.png"/><Relationship Id="rId62" Type="http://schemas.openxmlformats.org/officeDocument/2006/relationships/image" Target="../media/image62.png"/><Relationship Id="rId83" Type="http://schemas.openxmlformats.org/officeDocument/2006/relationships/image" Target="../media/image83.png"/><Relationship Id="rId88" Type="http://schemas.openxmlformats.org/officeDocument/2006/relationships/image" Target="../media/image88.png"/><Relationship Id="rId111" Type="http://schemas.openxmlformats.org/officeDocument/2006/relationships/image" Target="../media/image111.png"/><Relationship Id="rId15" Type="http://schemas.openxmlformats.org/officeDocument/2006/relationships/image" Target="../media/image15.png"/><Relationship Id="rId36" Type="http://schemas.openxmlformats.org/officeDocument/2006/relationships/image" Target="../media/image36.png"/><Relationship Id="rId57" Type="http://schemas.openxmlformats.org/officeDocument/2006/relationships/image" Target="../media/image57.png"/><Relationship Id="rId106" Type="http://schemas.openxmlformats.org/officeDocument/2006/relationships/image" Target="../media/image106.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18">
  <rv s="0">
    <v>0</v>
    <v>5</v>
  </rv>
  <rv s="0">
    <v>1</v>
    <v>5</v>
  </rv>
  <rv s="0">
    <v>2</v>
    <v>5</v>
  </rv>
  <rv s="0">
    <v>3</v>
    <v>5</v>
  </rv>
  <rv s="0">
    <v>4</v>
    <v>5</v>
  </rv>
  <rv s="0">
    <v>5</v>
    <v>5</v>
  </rv>
  <rv s="0">
    <v>6</v>
    <v>5</v>
  </rv>
  <rv s="0">
    <v>7</v>
    <v>5</v>
  </rv>
  <rv s="0">
    <v>8</v>
    <v>5</v>
  </rv>
  <rv s="0">
    <v>9</v>
    <v>5</v>
  </rv>
  <rv s="0">
    <v>10</v>
    <v>5</v>
  </rv>
  <rv s="0">
    <v>11</v>
    <v>5</v>
  </rv>
  <rv s="0">
    <v>12</v>
    <v>5</v>
  </rv>
  <rv s="0">
    <v>13</v>
    <v>5</v>
  </rv>
  <rv s="0">
    <v>14</v>
    <v>5</v>
  </rv>
  <rv s="0">
    <v>15</v>
    <v>5</v>
  </rv>
  <rv s="0">
    <v>16</v>
    <v>5</v>
  </rv>
  <rv s="0">
    <v>17</v>
    <v>5</v>
  </rv>
  <rv s="0">
    <v>18</v>
    <v>5</v>
  </rv>
  <rv s="0">
    <v>19</v>
    <v>5</v>
  </rv>
  <rv s="0">
    <v>20</v>
    <v>5</v>
  </rv>
  <rv s="0">
    <v>21</v>
    <v>5</v>
  </rv>
  <rv s="0">
    <v>22</v>
    <v>5</v>
  </rv>
  <rv s="0">
    <v>23</v>
    <v>5</v>
  </rv>
  <rv s="0">
    <v>24</v>
    <v>5</v>
  </rv>
  <rv s="0">
    <v>25</v>
    <v>5</v>
  </rv>
  <rv s="0">
    <v>26</v>
    <v>5</v>
  </rv>
  <rv s="0">
    <v>27</v>
    <v>5</v>
  </rv>
  <rv s="0">
    <v>28</v>
    <v>5</v>
  </rv>
  <rv s="0">
    <v>29</v>
    <v>5</v>
  </rv>
  <rv s="0">
    <v>30</v>
    <v>5</v>
  </rv>
  <rv s="0">
    <v>31</v>
    <v>5</v>
  </rv>
  <rv s="0">
    <v>32</v>
    <v>5</v>
  </rv>
  <rv s="0">
    <v>33</v>
    <v>5</v>
  </rv>
  <rv s="0">
    <v>34</v>
    <v>5</v>
  </rv>
  <rv s="0">
    <v>35</v>
    <v>5</v>
  </rv>
  <rv s="0">
    <v>36</v>
    <v>5</v>
  </rv>
  <rv s="0">
    <v>37</v>
    <v>5</v>
  </rv>
  <rv s="0">
    <v>38</v>
    <v>5</v>
  </rv>
  <rv s="0">
    <v>39</v>
    <v>5</v>
  </rv>
  <rv s="0">
    <v>40</v>
    <v>5</v>
  </rv>
  <rv s="0">
    <v>41</v>
    <v>5</v>
  </rv>
  <rv s="0">
    <v>42</v>
    <v>5</v>
  </rv>
  <rv s="0">
    <v>43</v>
    <v>5</v>
  </rv>
  <rv s="0">
    <v>44</v>
    <v>5</v>
  </rv>
  <rv s="0">
    <v>45</v>
    <v>5</v>
  </rv>
  <rv s="0">
    <v>46</v>
    <v>5</v>
  </rv>
  <rv s="0">
    <v>47</v>
    <v>5</v>
  </rv>
  <rv s="0">
    <v>48</v>
    <v>5</v>
  </rv>
  <rv s="0">
    <v>49</v>
    <v>5</v>
  </rv>
  <rv s="0">
    <v>50</v>
    <v>5</v>
  </rv>
  <rv s="0">
    <v>51</v>
    <v>5</v>
  </rv>
  <rv s="0">
    <v>52</v>
    <v>5</v>
  </rv>
  <rv s="0">
    <v>53</v>
    <v>5</v>
  </rv>
  <rv s="0">
    <v>54</v>
    <v>5</v>
  </rv>
  <rv s="0">
    <v>55</v>
    <v>5</v>
  </rv>
  <rv s="0">
    <v>56</v>
    <v>5</v>
  </rv>
  <rv s="0">
    <v>57</v>
    <v>5</v>
  </rv>
  <rv s="0">
    <v>58</v>
    <v>5</v>
  </rv>
  <rv s="0">
    <v>59</v>
    <v>5</v>
  </rv>
  <rv s="0">
    <v>60</v>
    <v>5</v>
  </rv>
  <rv s="0">
    <v>61</v>
    <v>5</v>
  </rv>
  <rv s="0">
    <v>62</v>
    <v>5</v>
  </rv>
  <rv s="0">
    <v>63</v>
    <v>5</v>
  </rv>
  <rv s="0">
    <v>64</v>
    <v>5</v>
  </rv>
  <rv s="0">
    <v>65</v>
    <v>5</v>
  </rv>
  <rv s="0">
    <v>66</v>
    <v>5</v>
  </rv>
  <rv s="0">
    <v>67</v>
    <v>5</v>
  </rv>
  <rv s="0">
    <v>68</v>
    <v>5</v>
  </rv>
  <rv s="0">
    <v>69</v>
    <v>5</v>
  </rv>
  <rv s="0">
    <v>70</v>
    <v>5</v>
  </rv>
  <rv s="0">
    <v>71</v>
    <v>5</v>
  </rv>
  <rv s="0">
    <v>72</v>
    <v>5</v>
  </rv>
  <rv s="0">
    <v>73</v>
    <v>5</v>
  </rv>
  <rv s="0">
    <v>74</v>
    <v>5</v>
  </rv>
  <rv s="0">
    <v>75</v>
    <v>5</v>
  </rv>
  <rv s="0">
    <v>76</v>
    <v>5</v>
  </rv>
  <rv s="0">
    <v>77</v>
    <v>5</v>
  </rv>
  <rv s="0">
    <v>78</v>
    <v>5</v>
  </rv>
  <rv s="0">
    <v>79</v>
    <v>5</v>
  </rv>
  <rv s="0">
    <v>80</v>
    <v>5</v>
  </rv>
  <rv s="0">
    <v>81</v>
    <v>5</v>
  </rv>
  <rv s="0">
    <v>82</v>
    <v>5</v>
  </rv>
  <rv s="0">
    <v>83</v>
    <v>5</v>
  </rv>
  <rv s="0">
    <v>84</v>
    <v>5</v>
  </rv>
  <rv s="0">
    <v>85</v>
    <v>5</v>
  </rv>
  <rv s="0">
    <v>86</v>
    <v>5</v>
  </rv>
  <rv s="0">
    <v>87</v>
    <v>5</v>
  </rv>
  <rv s="0">
    <v>88</v>
    <v>5</v>
  </rv>
  <rv s="0">
    <v>89</v>
    <v>5</v>
  </rv>
  <rv s="0">
    <v>90</v>
    <v>5</v>
  </rv>
  <rv s="0">
    <v>91</v>
    <v>5</v>
  </rv>
  <rv s="0">
    <v>92</v>
    <v>5</v>
  </rv>
  <rv s="0">
    <v>93</v>
    <v>5</v>
  </rv>
  <rv s="0">
    <v>94</v>
    <v>5</v>
  </rv>
  <rv s="0">
    <v>95</v>
    <v>5</v>
  </rv>
  <rv s="0">
    <v>96</v>
    <v>5</v>
  </rv>
  <rv s="0">
    <v>97</v>
    <v>5</v>
  </rv>
  <rv s="0">
    <v>98</v>
    <v>5</v>
  </rv>
  <rv s="0">
    <v>99</v>
    <v>5</v>
  </rv>
  <rv s="0">
    <v>100</v>
    <v>5</v>
  </rv>
  <rv s="0">
    <v>101</v>
    <v>5</v>
  </rv>
  <rv s="0">
    <v>102</v>
    <v>5</v>
  </rv>
  <rv s="0">
    <v>103</v>
    <v>5</v>
  </rv>
  <rv s="0">
    <v>104</v>
    <v>5</v>
  </rv>
  <rv s="0">
    <v>105</v>
    <v>5</v>
  </rv>
  <rv s="0">
    <v>106</v>
    <v>5</v>
  </rv>
  <rv s="0">
    <v>107</v>
    <v>5</v>
  </rv>
  <rv s="0">
    <v>108</v>
    <v>5</v>
  </rv>
  <rv s="0">
    <v>109</v>
    <v>5</v>
  </rv>
  <rv s="0">
    <v>110</v>
    <v>5</v>
  </rv>
  <rv s="0">
    <v>111</v>
    <v>5</v>
  </rv>
  <rv s="0">
    <v>112</v>
    <v>5</v>
  </rv>
  <rv s="0">
    <v>113</v>
    <v>5</v>
  </rv>
  <rv s="0">
    <v>114</v>
    <v>5</v>
  </rv>
  <rv s="0">
    <v>115</v>
    <v>5</v>
  </rv>
  <rv s="0">
    <v>116</v>
    <v>5</v>
  </rv>
  <rv s="0">
    <v>117</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el r:id="rId10"/>
  <rel r:id="rId11"/>
  <rel r:id="rId12"/>
  <rel r:id="rId13"/>
  <rel r:id="rId14"/>
  <rel r:id="rId15"/>
  <rel r:id="rId16"/>
  <rel r:id="rId17"/>
  <rel r:id="rId18"/>
  <rel r:id="rId19"/>
  <rel r:id="rId20"/>
  <rel r:id="rId21"/>
  <rel r:id="rId22"/>
  <rel r:id="rId23"/>
  <rel r:id="rId24"/>
  <rel r:id="rId25"/>
  <rel r:id="rId26"/>
  <rel r:id="rId27"/>
  <rel r:id="rId28"/>
  <rel r:id="rId29"/>
  <rel r:id="rId30"/>
  <rel r:id="rId31"/>
  <rel r:id="rId32"/>
  <rel r:id="rId33"/>
  <rel r:id="rId34"/>
  <rel r:id="rId35"/>
  <rel r:id="rId36"/>
  <rel r:id="rId37"/>
  <rel r:id="rId38"/>
  <rel r:id="rId39"/>
  <rel r:id="rId40"/>
  <rel r:id="rId41"/>
  <rel r:id="rId42"/>
  <rel r:id="rId43"/>
  <rel r:id="rId44"/>
  <rel r:id="rId45"/>
  <rel r:id="rId46"/>
  <rel r:id="rId47"/>
  <rel r:id="rId48"/>
  <rel r:id="rId49"/>
  <rel r:id="rId50"/>
  <rel r:id="rId51"/>
  <rel r:id="rId52"/>
  <rel r:id="rId53"/>
  <rel r:id="rId54"/>
  <rel r:id="rId55"/>
  <rel r:id="rId56"/>
  <rel r:id="rId57"/>
  <rel r:id="rId58"/>
  <rel r:id="rId59"/>
  <rel r:id="rId60"/>
  <rel r:id="rId61"/>
  <rel r:id="rId62"/>
  <rel r:id="rId63"/>
  <rel r:id="rId64"/>
  <rel r:id="rId65"/>
  <rel r:id="rId66"/>
  <rel r:id="rId67"/>
  <rel r:id="rId68"/>
  <rel r:id="rId69"/>
  <rel r:id="rId70"/>
  <rel r:id="rId71"/>
  <rel r:id="rId72"/>
  <rel r:id="rId73"/>
  <rel r:id="rId74"/>
  <rel r:id="rId75"/>
  <rel r:id="rId76"/>
  <rel r:id="rId77"/>
  <rel r:id="rId78"/>
  <rel r:id="rId79"/>
  <rel r:id="rId80"/>
  <rel r:id="rId81"/>
  <rel r:id="rId82"/>
  <rel r:id="rId83"/>
  <rel r:id="rId84"/>
  <rel r:id="rId85"/>
  <rel r:id="rId86"/>
  <rel r:id="rId87"/>
  <rel r:id="rId88"/>
  <rel r:id="rId89"/>
  <rel r:id="rId90"/>
  <rel r:id="rId91"/>
  <rel r:id="rId92"/>
  <rel r:id="rId93"/>
  <rel r:id="rId94"/>
  <rel r:id="rId95"/>
  <rel r:id="rId96"/>
  <rel r:id="rId97"/>
  <rel r:id="rId98"/>
  <rel r:id="rId99"/>
  <rel r:id="rId100"/>
  <rel r:id="rId101"/>
  <rel r:id="rId102"/>
  <rel r:id="rId103"/>
  <rel r:id="rId104"/>
  <rel r:id="rId105"/>
  <rel r:id="rId106"/>
  <rel r:id="rId107"/>
  <rel r:id="rId108"/>
  <rel r:id="rId109"/>
  <rel r:id="rId110"/>
  <rel r:id="rId111"/>
  <rel r:id="rId112"/>
  <rel r:id="rId113"/>
  <rel r:id="rId114"/>
  <rel r:id="rId115"/>
  <rel r:id="rId116"/>
  <rel r:id="rId117"/>
  <rel r:id="rId118"/>
</richValueRel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en.wikipedia.org/wiki/List_of_villages_and_neighbourhoods_in_the_Cook_Islands" TargetMode="External"/><Relationship Id="rId2" Type="http://schemas.openxmlformats.org/officeDocument/2006/relationships/hyperlink" Target="https://vexillology.fandom.com/wiki/Flags_of_islands_of_the_Cook_Islands" TargetMode="External"/><Relationship Id="rId1" Type="http://schemas.openxmlformats.org/officeDocument/2006/relationships/hyperlink" Target="https://vexillology.fandom.com/wiki/Proposed_Flags_of_provinces_of_Fiji" TargetMode="External"/><Relationship Id="rId6" Type="http://schemas.openxmlformats.org/officeDocument/2006/relationships/printerSettings" Target="../printerSettings/printerSettings1.bin"/><Relationship Id="rId5" Type="http://schemas.openxmlformats.org/officeDocument/2006/relationships/hyperlink" Target="https://vexillology.fandom.com/wiki/Proposed_flags_of_districts_of_Nauru" TargetMode="External"/><Relationship Id="rId4" Type="http://schemas.openxmlformats.org/officeDocument/2006/relationships/hyperlink" Target="https://en.wikipedia.org/wiki/Provinces_of_Solomon_Islands" TargetMode="Externa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printerSettings" Target="../printerSettings/printerSettings2.bin"/><Relationship Id="rId7" Type="http://schemas.openxmlformats.org/officeDocument/2006/relationships/ctrlProp" Target="../ctrlProps/ctrlProp2.xml"/><Relationship Id="rId2" Type="http://schemas.openxmlformats.org/officeDocument/2006/relationships/hyperlink" Target="https://en.wikipedia.org/wiki/Flag_of_American_Samoa" TargetMode="External"/><Relationship Id="rId1" Type="http://schemas.openxmlformats.org/officeDocument/2006/relationships/hyperlink" Target="https://upload.wikimedia.org/wikipedia/commons/thumb/8/87/Flag_of_American_Samoa.svg/1200px-Flag_of_American_Samoa.svg.png"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hyperlink" Target="https://en.wikipedia.org/wiki/Principality_of_Snake_Hill" TargetMode="External"/><Relationship Id="rId7" Type="http://schemas.openxmlformats.org/officeDocument/2006/relationships/vmlDrawing" Target="../drawings/vmlDrawing2.vml"/><Relationship Id="rId2" Type="http://schemas.openxmlformats.org/officeDocument/2006/relationships/hyperlink" Target="https://upload.wikimedia.org/wikipedia/commons/thumb/f/f0/Flag_of_the_Principality_of_Snake_Hill.svg/640px-Flag_of_the_Principality_of_Snake_Hill.svg.png" TargetMode="External"/><Relationship Id="rId1" Type="http://schemas.openxmlformats.org/officeDocument/2006/relationships/hyperlink" Target="https://fbref.com/en/country/AUS/Australia-Football" TargetMode="External"/><Relationship Id="rId6" Type="http://schemas.openxmlformats.org/officeDocument/2006/relationships/drawing" Target="../drawings/drawing2.xml"/><Relationship Id="rId5" Type="http://schemas.openxmlformats.org/officeDocument/2006/relationships/printerSettings" Target="../printerSettings/printerSettings3.bin"/><Relationship Id="rId10" Type="http://schemas.openxmlformats.org/officeDocument/2006/relationships/ctrlProp" Target="../ctrlProps/ctrlProp6.xml"/><Relationship Id="rId4" Type="http://schemas.openxmlformats.org/officeDocument/2006/relationships/hyperlink" Target="https://upload.wikimedia.org/wikipedia/commons/thumb/f/f0/Flag_of_the_Principality_of_Snake_Hill.svg/2560px-Flag_of_the_Principality_of_Snake_Hill.svg.png" TargetMode="External"/><Relationship Id="rId9"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7" Type="http://schemas.openxmlformats.org/officeDocument/2006/relationships/ctrlProp" Target="../ctrlProps/ctrlProp12.xml"/><Relationship Id="rId2" Type="http://schemas.openxmlformats.org/officeDocument/2006/relationships/printerSettings" Target="../printerSettings/printerSettings5.bin"/><Relationship Id="rId1" Type="http://schemas.openxmlformats.org/officeDocument/2006/relationships/hyperlink" Target="https://fbref.com/en/country/COK/Cook-Islands-Football"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7" Type="http://schemas.openxmlformats.org/officeDocument/2006/relationships/ctrlProp" Target="../ctrlProps/ctrlProp18.xml"/><Relationship Id="rId2" Type="http://schemas.openxmlformats.org/officeDocument/2006/relationships/printerSettings" Target="../printerSettings/printerSettings7.bin"/><Relationship Id="rId1" Type="http://schemas.openxmlformats.org/officeDocument/2006/relationships/hyperlink" Target="https://fbref.com/en/country/FIJ/Fiji-Football" TargetMode="External"/><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7.xml"/><Relationship Id="rId7" Type="http://schemas.openxmlformats.org/officeDocument/2006/relationships/ctrlProp" Target="../ctrlProps/ctrlProp21.xml"/><Relationship Id="rId2" Type="http://schemas.openxmlformats.org/officeDocument/2006/relationships/printerSettings" Target="../printerSettings/printerSettings8.bin"/><Relationship Id="rId1" Type="http://schemas.openxmlformats.org/officeDocument/2006/relationships/hyperlink" Target="https://fbref.com/en/country/GUM/Guam-Football" TargetMode="External"/><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0.bin"/><Relationship Id="rId6" Type="http://schemas.openxmlformats.org/officeDocument/2006/relationships/ctrlProp" Target="../ctrlProps/ctrlProp27.xml"/><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1.xml"/><Relationship Id="rId7" Type="http://schemas.openxmlformats.org/officeDocument/2006/relationships/ctrlProp" Target="../ctrlProps/ctrlProp33.xml"/><Relationship Id="rId2" Type="http://schemas.openxmlformats.org/officeDocument/2006/relationships/printerSettings" Target="../printerSettings/printerSettings12.bin"/><Relationship Id="rId1" Type="http://schemas.openxmlformats.org/officeDocument/2006/relationships/hyperlink" Target="https://upload.wikimedia.org/wikipedia/commons/thumb/e/e0/Flag_of_the_Northern_Mariana_Islands.svg/2560px-Flag_of_the_Northern_Mariana_Islands.svg.png" TargetMode="External"/><Relationship Id="rId6" Type="http://schemas.openxmlformats.org/officeDocument/2006/relationships/ctrlProp" Target="../ctrlProps/ctrlProp32.xml"/><Relationship Id="rId5" Type="http://schemas.openxmlformats.org/officeDocument/2006/relationships/ctrlProp" Target="../ctrlProps/ctrlProp31.xml"/><Relationship Id="rId4" Type="http://schemas.openxmlformats.org/officeDocument/2006/relationships/vmlDrawing" Target="../drawings/vmlDrawing11.v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12.xml"/><Relationship Id="rId7" Type="http://schemas.openxmlformats.org/officeDocument/2006/relationships/ctrlProp" Target="../ctrlProps/ctrlProp36.xml"/><Relationship Id="rId2" Type="http://schemas.openxmlformats.org/officeDocument/2006/relationships/printerSettings" Target="../printerSettings/printerSettings13.bin"/><Relationship Id="rId1" Type="http://schemas.openxmlformats.org/officeDocument/2006/relationships/hyperlink" Target="https://fbref.com/en/country/NCL/New-Caledonia-Football" TargetMode="External"/><Relationship Id="rId6" Type="http://schemas.openxmlformats.org/officeDocument/2006/relationships/ctrlProp" Target="../ctrlProps/ctrlProp35.xml"/><Relationship Id="rId5" Type="http://schemas.openxmlformats.org/officeDocument/2006/relationships/ctrlProp" Target="../ctrlProps/ctrlProp34.xml"/><Relationship Id="rId4" Type="http://schemas.openxmlformats.org/officeDocument/2006/relationships/vmlDrawing" Target="../drawings/vmlDrawing12.v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4.bin"/><Relationship Id="rId6" Type="http://schemas.openxmlformats.org/officeDocument/2006/relationships/ctrlProp" Target="../ctrlProps/ctrlProp39.xml"/><Relationship Id="rId5" Type="http://schemas.openxmlformats.org/officeDocument/2006/relationships/ctrlProp" Target="../ctrlProps/ctrlProp38.xml"/><Relationship Id="rId4" Type="http://schemas.openxmlformats.org/officeDocument/2006/relationships/ctrlProp" Target="../ctrlProps/ctrlProp37.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14.xml"/><Relationship Id="rId7" Type="http://schemas.openxmlformats.org/officeDocument/2006/relationships/ctrlProp" Target="../ctrlProps/ctrlProp42.xml"/><Relationship Id="rId2" Type="http://schemas.openxmlformats.org/officeDocument/2006/relationships/printerSettings" Target="../printerSettings/printerSettings15.bin"/><Relationship Id="rId1" Type="http://schemas.openxmlformats.org/officeDocument/2006/relationships/hyperlink" Target="https://en.wikipedia.org/wiki/Flag_of_Niue" TargetMode="External"/><Relationship Id="rId6" Type="http://schemas.openxmlformats.org/officeDocument/2006/relationships/ctrlProp" Target="../ctrlProps/ctrlProp41.xml"/><Relationship Id="rId5" Type="http://schemas.openxmlformats.org/officeDocument/2006/relationships/ctrlProp" Target="../ctrlProps/ctrlProp40.xml"/><Relationship Id="rId4" Type="http://schemas.openxmlformats.org/officeDocument/2006/relationships/vmlDrawing" Target="../drawings/vmlDrawing14.v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6.bin"/><Relationship Id="rId6" Type="http://schemas.openxmlformats.org/officeDocument/2006/relationships/ctrlProp" Target="../ctrlProps/ctrlProp45.xml"/><Relationship Id="rId5" Type="http://schemas.openxmlformats.org/officeDocument/2006/relationships/ctrlProp" Target="../ctrlProps/ctrlProp44.xml"/><Relationship Id="rId4" Type="http://schemas.openxmlformats.org/officeDocument/2006/relationships/ctrlProp" Target="../ctrlProps/ctrlProp43.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48.xml"/><Relationship Id="rId3" Type="http://schemas.openxmlformats.org/officeDocument/2006/relationships/printerSettings" Target="../printerSettings/printerSettings17.bin"/><Relationship Id="rId7" Type="http://schemas.openxmlformats.org/officeDocument/2006/relationships/ctrlProp" Target="../ctrlProps/ctrlProp47.xml"/><Relationship Id="rId2" Type="http://schemas.openxmlformats.org/officeDocument/2006/relationships/hyperlink" Target="https://upload.wikimedia.org/wikipedia/commons/thumb/8/8e/Flag_of_Tokelau.svg/2560px-Flag_of_Tokelau.svg.png" TargetMode="External"/><Relationship Id="rId1" Type="http://schemas.openxmlformats.org/officeDocument/2006/relationships/hyperlink" Target="https://fbref.com/en/country/NZL/New-Zealand-Football" TargetMode="External"/><Relationship Id="rId6" Type="http://schemas.openxmlformats.org/officeDocument/2006/relationships/ctrlProp" Target="../ctrlProps/ctrlProp46.xml"/><Relationship Id="rId5" Type="http://schemas.openxmlformats.org/officeDocument/2006/relationships/vmlDrawing" Target="../drawings/vmlDrawing16.vml"/><Relationship Id="rId4"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18.bin"/><Relationship Id="rId6" Type="http://schemas.openxmlformats.org/officeDocument/2006/relationships/ctrlProp" Target="../ctrlProps/ctrlProp51.xml"/><Relationship Id="rId5" Type="http://schemas.openxmlformats.org/officeDocument/2006/relationships/ctrlProp" Target="../ctrlProps/ctrlProp50.xml"/><Relationship Id="rId4" Type="http://schemas.openxmlformats.org/officeDocument/2006/relationships/ctrlProp" Target="../ctrlProps/ctrlProp49.xml"/></Relationships>
</file>

<file path=xl/worksheets/_rels/sheet19.xml.rels><?xml version="1.0" encoding="UTF-8" standalone="yes"?>
<Relationships xmlns="http://schemas.openxmlformats.org/package/2006/relationships"><Relationship Id="rId8" Type="http://schemas.openxmlformats.org/officeDocument/2006/relationships/ctrlProp" Target="../ctrlProps/ctrlProp53.xml"/><Relationship Id="rId3" Type="http://schemas.openxmlformats.org/officeDocument/2006/relationships/hyperlink" Target="https://i.ibb.co/MSJbjXV/Ducie-Island.png" TargetMode="External"/><Relationship Id="rId7" Type="http://schemas.openxmlformats.org/officeDocument/2006/relationships/ctrlProp" Target="../ctrlProps/ctrlProp52.xml"/><Relationship Id="rId2" Type="http://schemas.openxmlformats.org/officeDocument/2006/relationships/hyperlink" Target="https://i.ibb.co/MSJbjXV/Ducie-Island.png" TargetMode="External"/><Relationship Id="rId1" Type="http://schemas.openxmlformats.org/officeDocument/2006/relationships/hyperlink" Target="https://upload.wikimedia.org/wikipedia/commons/thumb/8/88/Flag_of_the_Pitcairn_Islands.svg/2560px-Flag_of_the_Pitcairn_Islands.svg.png" TargetMode="External"/><Relationship Id="rId6" Type="http://schemas.openxmlformats.org/officeDocument/2006/relationships/vmlDrawing" Target="../drawings/vmlDrawing18.vml"/><Relationship Id="rId5" Type="http://schemas.openxmlformats.org/officeDocument/2006/relationships/drawing" Target="../drawings/drawing18.xml"/><Relationship Id="rId4" Type="http://schemas.openxmlformats.org/officeDocument/2006/relationships/printerSettings" Target="../printerSettings/printerSettings19.bin"/><Relationship Id="rId9" Type="http://schemas.openxmlformats.org/officeDocument/2006/relationships/ctrlProp" Target="../ctrlProps/ctrlProp54.x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57.xml"/><Relationship Id="rId3" Type="http://schemas.openxmlformats.org/officeDocument/2006/relationships/printerSettings" Target="../printerSettings/printerSettings20.bin"/><Relationship Id="rId7" Type="http://schemas.openxmlformats.org/officeDocument/2006/relationships/ctrlProp" Target="../ctrlProps/ctrlProp56.xml"/><Relationship Id="rId2" Type="http://schemas.openxmlformats.org/officeDocument/2006/relationships/hyperlink" Target="https://upload.wikimedia.org/wikipedia/commons/thumb/d/db/Flag_of_French_Polynesia.svg/2560px-Flag_of_French_Polynesia.svg.png" TargetMode="External"/><Relationship Id="rId1" Type="http://schemas.openxmlformats.org/officeDocument/2006/relationships/hyperlink" Target="https://fbref.com/en/country/TAH/Tahiti-Football" TargetMode="External"/><Relationship Id="rId6" Type="http://schemas.openxmlformats.org/officeDocument/2006/relationships/ctrlProp" Target="../ctrlProps/ctrlProp55.xml"/><Relationship Id="rId5" Type="http://schemas.openxmlformats.org/officeDocument/2006/relationships/vmlDrawing" Target="../drawings/vmlDrawing19.vml"/><Relationship Id="rId4" Type="http://schemas.openxmlformats.org/officeDocument/2006/relationships/drawing" Target="../drawings/drawing19.xml"/></Relationships>
</file>

<file path=xl/worksheets/_rels/sheet21.xml.rels><?xml version="1.0" encoding="UTF-8" standalone="yes"?>
<Relationships xmlns="http://schemas.openxmlformats.org/package/2006/relationships"><Relationship Id="rId3" Type="http://schemas.openxmlformats.org/officeDocument/2006/relationships/drawing" Target="../drawings/drawing20.xml"/><Relationship Id="rId7" Type="http://schemas.openxmlformats.org/officeDocument/2006/relationships/ctrlProp" Target="../ctrlProps/ctrlProp60.xml"/><Relationship Id="rId2" Type="http://schemas.openxmlformats.org/officeDocument/2006/relationships/printerSettings" Target="../printerSettings/printerSettings21.bin"/><Relationship Id="rId1" Type="http://schemas.openxmlformats.org/officeDocument/2006/relationships/hyperlink" Target="https://fbref.com/en/country/PNG/Papua-New-Guinea-Football" TargetMode="External"/><Relationship Id="rId6" Type="http://schemas.openxmlformats.org/officeDocument/2006/relationships/ctrlProp" Target="../ctrlProps/ctrlProp59.xml"/><Relationship Id="rId5" Type="http://schemas.openxmlformats.org/officeDocument/2006/relationships/ctrlProp" Target="../ctrlProps/ctrlProp58.xml"/><Relationship Id="rId4" Type="http://schemas.openxmlformats.org/officeDocument/2006/relationships/vmlDrawing" Target="../drawings/vmlDrawing20.vml"/></Relationships>
</file>

<file path=xl/worksheets/_rels/sheet22.xml.rels><?xml version="1.0" encoding="UTF-8" standalone="yes"?>
<Relationships xmlns="http://schemas.openxmlformats.org/package/2006/relationships"><Relationship Id="rId3" Type="http://schemas.openxmlformats.org/officeDocument/2006/relationships/drawing" Target="../drawings/drawing21.xml"/><Relationship Id="rId7" Type="http://schemas.openxmlformats.org/officeDocument/2006/relationships/ctrlProp" Target="../ctrlProps/ctrlProp63.xml"/><Relationship Id="rId2" Type="http://schemas.openxmlformats.org/officeDocument/2006/relationships/printerSettings" Target="../printerSettings/printerSettings22.bin"/><Relationship Id="rId1" Type="http://schemas.openxmlformats.org/officeDocument/2006/relationships/hyperlink" Target="https://fbref.com/en/country/SOL/Solomon-Islands-Football" TargetMode="External"/><Relationship Id="rId6" Type="http://schemas.openxmlformats.org/officeDocument/2006/relationships/ctrlProp" Target="../ctrlProps/ctrlProp62.xml"/><Relationship Id="rId5" Type="http://schemas.openxmlformats.org/officeDocument/2006/relationships/ctrlProp" Target="../ctrlProps/ctrlProp61.xml"/><Relationship Id="rId4" Type="http://schemas.openxmlformats.org/officeDocument/2006/relationships/vmlDrawing" Target="../drawings/vmlDrawing21.vml"/></Relationships>
</file>

<file path=xl/worksheets/_rels/sheet23.xml.rels><?xml version="1.0" encoding="UTF-8" standalone="yes"?>
<Relationships xmlns="http://schemas.openxmlformats.org/package/2006/relationships"><Relationship Id="rId8" Type="http://schemas.openxmlformats.org/officeDocument/2006/relationships/ctrlProp" Target="../ctrlProps/ctrlProp66.xml"/><Relationship Id="rId3" Type="http://schemas.openxmlformats.org/officeDocument/2006/relationships/printerSettings" Target="../printerSettings/printerSettings23.bin"/><Relationship Id="rId7" Type="http://schemas.openxmlformats.org/officeDocument/2006/relationships/ctrlProp" Target="../ctrlProps/ctrlProp65.xml"/><Relationship Id="rId2" Type="http://schemas.openxmlformats.org/officeDocument/2006/relationships/hyperlink" Target="https://upload.wikimedia.org/wikipedia/commons/thumb/3/31/Flag_of_Samoa.svg/2560px-Flag_of_Samoa.svg.png" TargetMode="External"/><Relationship Id="rId1" Type="http://schemas.openxmlformats.org/officeDocument/2006/relationships/hyperlink" Target="https://fbref.com/en/country/SAM/Samoa-Football" TargetMode="External"/><Relationship Id="rId6" Type="http://schemas.openxmlformats.org/officeDocument/2006/relationships/ctrlProp" Target="../ctrlProps/ctrlProp64.xml"/><Relationship Id="rId5" Type="http://schemas.openxmlformats.org/officeDocument/2006/relationships/vmlDrawing" Target="../drawings/vmlDrawing22.vml"/><Relationship Id="rId4" Type="http://schemas.openxmlformats.org/officeDocument/2006/relationships/drawing" Target="../drawings/drawing22.xml"/></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68.xml"/><Relationship Id="rId3" Type="http://schemas.openxmlformats.org/officeDocument/2006/relationships/hyperlink" Target="https://upload.wikimedia.org/wikipedia/commons/thumb/8/8d/Naval_Ensign_of_Tonga.svg/2560px-Naval_Ensign_of_Tonga.svg.png" TargetMode="External"/><Relationship Id="rId7" Type="http://schemas.openxmlformats.org/officeDocument/2006/relationships/ctrlProp" Target="../ctrlProps/ctrlProp67.xml"/><Relationship Id="rId2" Type="http://schemas.openxmlformats.org/officeDocument/2006/relationships/hyperlink" Target="https://upload.wikimedia.org/wikipedia/commons/thumb/8/8d/Naval_Ensign_of_Tonga.svg/2560px-Naval_Ensign_of_Tonga.svg.png" TargetMode="External"/><Relationship Id="rId1" Type="http://schemas.openxmlformats.org/officeDocument/2006/relationships/hyperlink" Target="https://fbref.com/en/country/TGA/Tonga-Football" TargetMode="External"/><Relationship Id="rId6" Type="http://schemas.openxmlformats.org/officeDocument/2006/relationships/vmlDrawing" Target="../drawings/vmlDrawing23.vml"/><Relationship Id="rId5" Type="http://schemas.openxmlformats.org/officeDocument/2006/relationships/drawing" Target="../drawings/drawing23.xml"/><Relationship Id="rId4" Type="http://schemas.openxmlformats.org/officeDocument/2006/relationships/printerSettings" Target="../printerSettings/printerSettings24.bin"/><Relationship Id="rId9" Type="http://schemas.openxmlformats.org/officeDocument/2006/relationships/ctrlProp" Target="../ctrlProps/ctrlProp69.x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72.xml"/><Relationship Id="rId3" Type="http://schemas.openxmlformats.org/officeDocument/2006/relationships/printerSettings" Target="../printerSettings/printerSettings25.bin"/><Relationship Id="rId7" Type="http://schemas.openxmlformats.org/officeDocument/2006/relationships/ctrlProp" Target="../ctrlProps/ctrlProp71.xml"/><Relationship Id="rId2" Type="http://schemas.openxmlformats.org/officeDocument/2006/relationships/hyperlink" Target="https://upload.wikimedia.org/wikipedia/commons/thumb/3/38/Flag_of_Tuvalu.svg/2560px-Flag_of_Tuvalu.svg.png" TargetMode="External"/><Relationship Id="rId1" Type="http://schemas.openxmlformats.org/officeDocument/2006/relationships/hyperlink" Target="https://upload.wikimedia.org/wikipedia/commons/thumb/5/5c/Flag_of_Funafuti.svg/648px-Flag_of_Funafuti.svg.png" TargetMode="External"/><Relationship Id="rId6" Type="http://schemas.openxmlformats.org/officeDocument/2006/relationships/ctrlProp" Target="../ctrlProps/ctrlProp70.xml"/><Relationship Id="rId5" Type="http://schemas.openxmlformats.org/officeDocument/2006/relationships/vmlDrawing" Target="../drawings/vmlDrawing24.vml"/><Relationship Id="rId4" Type="http://schemas.openxmlformats.org/officeDocument/2006/relationships/drawing" Target="../drawings/drawing24.xml"/></Relationships>
</file>

<file path=xl/worksheets/_rels/sheet26.xml.rels><?xml version="1.0" encoding="UTF-8" standalone="yes"?>
<Relationships xmlns="http://schemas.openxmlformats.org/package/2006/relationships"><Relationship Id="rId3" Type="http://schemas.openxmlformats.org/officeDocument/2006/relationships/drawing" Target="../drawings/drawing25.xml"/><Relationship Id="rId7" Type="http://schemas.openxmlformats.org/officeDocument/2006/relationships/ctrlProp" Target="../ctrlProps/ctrlProp75.xml"/><Relationship Id="rId2" Type="http://schemas.openxmlformats.org/officeDocument/2006/relationships/printerSettings" Target="../printerSettings/printerSettings26.bin"/><Relationship Id="rId1" Type="http://schemas.openxmlformats.org/officeDocument/2006/relationships/hyperlink" Target="https://fbref.com/en/country/VAN/Vanuatu-Football" TargetMode="External"/><Relationship Id="rId6" Type="http://schemas.openxmlformats.org/officeDocument/2006/relationships/ctrlProp" Target="../ctrlProps/ctrlProp74.xml"/><Relationship Id="rId5" Type="http://schemas.openxmlformats.org/officeDocument/2006/relationships/ctrlProp" Target="../ctrlProps/ctrlProp73.xml"/><Relationship Id="rId4" Type="http://schemas.openxmlformats.org/officeDocument/2006/relationships/vmlDrawing" Target="../drawings/vmlDrawing25.v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6.xml"/><Relationship Id="rId1" Type="http://schemas.openxmlformats.org/officeDocument/2006/relationships/printerSettings" Target="../printerSettings/printerSettings27.bin"/><Relationship Id="rId6" Type="http://schemas.openxmlformats.org/officeDocument/2006/relationships/ctrlProp" Target="../ctrlProps/ctrlProp78.xml"/><Relationship Id="rId5" Type="http://schemas.openxmlformats.org/officeDocument/2006/relationships/ctrlProp" Target="../ctrlProps/ctrlProp77.xml"/><Relationship Id="rId4" Type="http://schemas.openxmlformats.org/officeDocument/2006/relationships/ctrlProp" Target="../ctrlProps/ctrlProp7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AA442-3D02-40D0-80A8-33B78D061832}">
  <sheetPr codeName="Sheet1">
    <tabColor rgb="FFC00000"/>
  </sheetPr>
  <dimension ref="A1:BZ35"/>
  <sheetViews>
    <sheetView topLeftCell="BH1" workbookViewId="0">
      <selection activeCell="A2" sqref="A2"/>
    </sheetView>
  </sheetViews>
  <sheetFormatPr defaultRowHeight="14.4" x14ac:dyDescent="0.3"/>
  <sheetData>
    <row r="1" spans="1:78" x14ac:dyDescent="0.3">
      <c r="B1" s="95" t="s">
        <v>268</v>
      </c>
      <c r="C1" s="95"/>
      <c r="D1" s="95"/>
      <c r="E1" s="95"/>
      <c r="F1" s="95"/>
      <c r="G1" s="95"/>
      <c r="H1" s="95"/>
      <c r="I1" s="95"/>
      <c r="J1" s="95"/>
      <c r="O1" s="96" t="s">
        <v>297</v>
      </c>
      <c r="P1" s="96"/>
      <c r="Q1" s="96"/>
      <c r="R1" s="96"/>
      <c r="S1" s="96"/>
      <c r="T1" s="96"/>
      <c r="U1" s="96"/>
      <c r="V1" s="96"/>
      <c r="W1" s="96"/>
      <c r="Z1" s="97" t="s">
        <v>215</v>
      </c>
      <c r="AA1" s="97"/>
      <c r="AB1" s="97"/>
      <c r="AC1" s="97"/>
      <c r="AD1" s="97"/>
      <c r="AE1" s="97"/>
      <c r="AF1" s="97"/>
      <c r="AG1" s="97"/>
      <c r="AH1" s="97"/>
      <c r="AK1" s="95" t="s">
        <v>204</v>
      </c>
      <c r="AL1" s="95"/>
      <c r="AM1" s="95"/>
      <c r="AN1" s="95"/>
      <c r="AO1" s="95"/>
      <c r="AP1" s="95"/>
      <c r="AQ1" s="95"/>
      <c r="AR1" s="95"/>
      <c r="AS1" s="95"/>
      <c r="AV1" s="98" t="s">
        <v>317</v>
      </c>
      <c r="AW1" s="98"/>
      <c r="AX1" s="98"/>
      <c r="AY1" s="98"/>
      <c r="AZ1" s="98"/>
      <c r="BA1" s="98"/>
      <c r="BB1" s="98"/>
      <c r="BC1" s="98"/>
      <c r="BD1" s="98"/>
      <c r="BG1" s="95" t="s">
        <v>257</v>
      </c>
      <c r="BH1" s="95"/>
      <c r="BI1" s="95"/>
      <c r="BJ1" s="95"/>
      <c r="BK1" s="95"/>
      <c r="BL1" s="95"/>
      <c r="BM1" s="95"/>
      <c r="BN1" s="95"/>
      <c r="BO1" s="95"/>
      <c r="BR1" s="94" t="s">
        <v>337</v>
      </c>
      <c r="BS1" s="94"/>
      <c r="BT1" s="94"/>
      <c r="BU1" s="94"/>
      <c r="BV1" s="94"/>
      <c r="BW1" s="94"/>
      <c r="BX1" s="94"/>
      <c r="BY1" s="94"/>
      <c r="BZ1" s="94"/>
    </row>
    <row r="2" spans="1:78" x14ac:dyDescent="0.3">
      <c r="Z2" s="90" t="s">
        <v>995</v>
      </c>
      <c r="AK2" s="90" t="s">
        <v>1027</v>
      </c>
      <c r="AV2" s="90" t="s">
        <v>1070</v>
      </c>
      <c r="BG2" s="90" t="s">
        <v>1108</v>
      </c>
    </row>
    <row r="3" spans="1:78" x14ac:dyDescent="0.3">
      <c r="O3" t="s">
        <v>915</v>
      </c>
      <c r="P3" t="s">
        <v>404</v>
      </c>
      <c r="Q3" t="s">
        <v>355</v>
      </c>
      <c r="R3" t="s">
        <v>917</v>
      </c>
      <c r="S3" t="s">
        <v>918</v>
      </c>
      <c r="T3" t="s">
        <v>920</v>
      </c>
      <c r="U3" t="s">
        <v>922</v>
      </c>
      <c r="V3" t="s">
        <v>826</v>
      </c>
      <c r="AU3" t="s">
        <v>915</v>
      </c>
      <c r="AV3" t="s">
        <v>355</v>
      </c>
      <c r="AW3" t="s">
        <v>917</v>
      </c>
      <c r="AX3" t="s">
        <v>1037</v>
      </c>
      <c r="AY3" t="s">
        <v>920</v>
      </c>
      <c r="AZ3" t="s">
        <v>922</v>
      </c>
      <c r="BA3" t="s">
        <v>922</v>
      </c>
      <c r="BB3" t="s">
        <v>922</v>
      </c>
      <c r="BC3" t="s">
        <v>922</v>
      </c>
      <c r="BD3" t="s">
        <v>922</v>
      </c>
      <c r="BG3" t="s">
        <v>1072</v>
      </c>
      <c r="BH3" t="s">
        <v>1073</v>
      </c>
      <c r="BI3" t="s">
        <v>1074</v>
      </c>
      <c r="BJ3" t="s">
        <v>920</v>
      </c>
      <c r="BK3" t="s">
        <v>922</v>
      </c>
      <c r="BL3" t="s">
        <v>1077</v>
      </c>
      <c r="BM3" t="s">
        <v>826</v>
      </c>
      <c r="BR3" t="s">
        <v>355</v>
      </c>
      <c r="BS3" t="s">
        <v>917</v>
      </c>
      <c r="BT3" t="s">
        <v>1111</v>
      </c>
      <c r="BU3" t="s">
        <v>1112</v>
      </c>
      <c r="BV3" t="s">
        <v>922</v>
      </c>
    </row>
    <row r="4" spans="1:78" s="89" customFormat="1" ht="15" thickBot="1" x14ac:dyDescent="0.35">
      <c r="B4" s="89" t="s">
        <v>821</v>
      </c>
      <c r="C4" s="89" t="s">
        <v>822</v>
      </c>
      <c r="D4" s="89" t="s">
        <v>823</v>
      </c>
      <c r="E4" s="89" t="s">
        <v>44</v>
      </c>
      <c r="F4" s="89" t="s">
        <v>824</v>
      </c>
      <c r="H4" s="89" t="s">
        <v>825</v>
      </c>
      <c r="I4" s="89" t="s">
        <v>826</v>
      </c>
      <c r="K4" s="89" t="s">
        <v>827</v>
      </c>
      <c r="O4" s="89" t="s">
        <v>916</v>
      </c>
      <c r="S4" s="89" t="s">
        <v>919</v>
      </c>
      <c r="T4" s="89" t="s">
        <v>921</v>
      </c>
      <c r="U4" s="89" t="s">
        <v>923</v>
      </c>
      <c r="V4" s="89" t="s">
        <v>924</v>
      </c>
      <c r="Z4" s="89" t="s">
        <v>996</v>
      </c>
      <c r="AA4" s="89" t="s">
        <v>355</v>
      </c>
      <c r="AB4" s="89" t="s">
        <v>997</v>
      </c>
      <c r="AC4" s="89" t="s">
        <v>998</v>
      </c>
      <c r="AK4" s="91" t="s">
        <v>1034</v>
      </c>
      <c r="AY4" s="89" t="s">
        <v>921</v>
      </c>
      <c r="AZ4" s="89" t="s">
        <v>1038</v>
      </c>
      <c r="BA4" s="89" t="s">
        <v>1038</v>
      </c>
      <c r="BB4" s="89" t="s">
        <v>1038</v>
      </c>
      <c r="BC4" s="89" t="s">
        <v>1039</v>
      </c>
      <c r="BD4" s="89" t="s">
        <v>830</v>
      </c>
      <c r="BI4" s="89" t="s">
        <v>1075</v>
      </c>
      <c r="BJ4" s="89" t="s">
        <v>1076</v>
      </c>
      <c r="BK4" s="89">
        <v>-2011</v>
      </c>
      <c r="BL4" s="89" t="s">
        <v>1078</v>
      </c>
      <c r="BM4" s="89" t="s">
        <v>1079</v>
      </c>
      <c r="BU4" s="89" t="s">
        <v>1113</v>
      </c>
      <c r="BV4" s="89" t="s">
        <v>1114</v>
      </c>
    </row>
    <row r="5" spans="1:78" x14ac:dyDescent="0.3">
      <c r="A5" t="s">
        <v>76</v>
      </c>
      <c r="O5">
        <v>1</v>
      </c>
      <c r="P5" t="s">
        <v>925</v>
      </c>
      <c r="Q5" t="s">
        <v>926</v>
      </c>
      <c r="R5" t="s">
        <v>927</v>
      </c>
      <c r="S5" t="s">
        <v>928</v>
      </c>
      <c r="T5" s="88">
        <v>29998</v>
      </c>
      <c r="U5" s="88">
        <v>269756</v>
      </c>
      <c r="V5">
        <v>6.21</v>
      </c>
      <c r="Z5">
        <v>1</v>
      </c>
      <c r="AA5" t="s">
        <v>999</v>
      </c>
      <c r="AB5" s="88">
        <v>247708</v>
      </c>
      <c r="AC5" t="s">
        <v>1000</v>
      </c>
      <c r="AK5" t="s">
        <v>1028</v>
      </c>
      <c r="AZ5">
        <v>1999</v>
      </c>
      <c r="BA5">
        <v>2009</v>
      </c>
      <c r="BB5">
        <v>2019</v>
      </c>
      <c r="BC5">
        <v>2022</v>
      </c>
      <c r="BD5">
        <v>-2019</v>
      </c>
      <c r="BG5">
        <v>1</v>
      </c>
      <c r="BH5" t="s">
        <v>1080</v>
      </c>
      <c r="BI5" t="s">
        <v>1081</v>
      </c>
      <c r="BJ5">
        <v>110</v>
      </c>
      <c r="BK5" s="88">
        <v>1220</v>
      </c>
      <c r="BL5">
        <v>8</v>
      </c>
      <c r="BM5">
        <v>11.1</v>
      </c>
      <c r="BR5" t="s">
        <v>1115</v>
      </c>
      <c r="BS5" t="s">
        <v>1116</v>
      </c>
      <c r="BT5" t="s">
        <v>1117</v>
      </c>
      <c r="BU5" s="88">
        <v>2779</v>
      </c>
      <c r="BV5" s="88">
        <v>32705</v>
      </c>
    </row>
    <row r="6" spans="1:78" x14ac:dyDescent="0.3">
      <c r="A6" t="s">
        <v>820</v>
      </c>
      <c r="F6" t="s">
        <v>828</v>
      </c>
      <c r="G6" t="s">
        <v>829</v>
      </c>
      <c r="I6" t="s">
        <v>830</v>
      </c>
      <c r="J6" t="s">
        <v>831</v>
      </c>
      <c r="O6">
        <v>2</v>
      </c>
      <c r="P6" t="s">
        <v>929</v>
      </c>
      <c r="Q6" t="s">
        <v>930</v>
      </c>
      <c r="R6" t="s">
        <v>931</v>
      </c>
      <c r="S6" t="s">
        <v>932</v>
      </c>
      <c r="T6" s="88">
        <v>6112</v>
      </c>
      <c r="U6" s="88">
        <v>376473</v>
      </c>
      <c r="V6">
        <v>42.42</v>
      </c>
      <c r="Z6">
        <v>2</v>
      </c>
      <c r="AA6" t="s">
        <v>1001</v>
      </c>
      <c r="AB6" s="88">
        <v>15466</v>
      </c>
      <c r="AC6" t="s">
        <v>1002</v>
      </c>
      <c r="AK6" t="s">
        <v>1029</v>
      </c>
      <c r="AU6">
        <v>1</v>
      </c>
      <c r="AV6" t="s">
        <v>1040</v>
      </c>
      <c r="AW6" t="s">
        <v>1041</v>
      </c>
      <c r="AX6" t="s">
        <v>1042</v>
      </c>
      <c r="AY6">
        <v>615</v>
      </c>
      <c r="AZ6" s="88">
        <v>21577</v>
      </c>
      <c r="BA6" s="88">
        <v>26051</v>
      </c>
      <c r="BB6" s="88">
        <v>30326</v>
      </c>
      <c r="BC6" s="88">
        <v>33476</v>
      </c>
      <c r="BD6">
        <v>49.3</v>
      </c>
      <c r="BG6">
        <v>2</v>
      </c>
      <c r="BH6" t="s">
        <v>1082</v>
      </c>
      <c r="BI6" t="s">
        <v>1083</v>
      </c>
      <c r="BJ6">
        <v>150</v>
      </c>
      <c r="BK6">
        <v>452</v>
      </c>
      <c r="BL6">
        <v>15</v>
      </c>
      <c r="BM6">
        <v>3</v>
      </c>
      <c r="BR6" t="s">
        <v>1118</v>
      </c>
      <c r="BS6" t="s">
        <v>1119</v>
      </c>
      <c r="BT6" t="s">
        <v>1120</v>
      </c>
      <c r="BU6" s="88">
        <v>1198</v>
      </c>
      <c r="BV6" s="88">
        <v>26646</v>
      </c>
    </row>
    <row r="7" spans="1:78" x14ac:dyDescent="0.3">
      <c r="A7">
        <v>1</v>
      </c>
      <c r="B7" t="s">
        <v>832</v>
      </c>
      <c r="C7" t="s">
        <v>834</v>
      </c>
      <c r="D7">
        <v>9</v>
      </c>
      <c r="E7" t="s">
        <v>835</v>
      </c>
      <c r="F7" t="s">
        <v>836</v>
      </c>
      <c r="G7" s="88">
        <v>12504</v>
      </c>
      <c r="H7" s="88">
        <v>4828</v>
      </c>
      <c r="I7" s="88">
        <v>204800</v>
      </c>
      <c r="J7">
        <v>16.38</v>
      </c>
      <c r="K7">
        <v>42.4</v>
      </c>
      <c r="L7" t="s">
        <v>837</v>
      </c>
      <c r="O7">
        <v>3</v>
      </c>
      <c r="P7" t="s">
        <v>929</v>
      </c>
      <c r="Q7" t="s">
        <v>933</v>
      </c>
      <c r="R7" t="s">
        <v>934</v>
      </c>
      <c r="S7" t="s">
        <v>935</v>
      </c>
      <c r="T7" s="88">
        <v>11157</v>
      </c>
      <c r="U7" s="88">
        <v>579825</v>
      </c>
      <c r="V7">
        <v>38.35</v>
      </c>
      <c r="Z7">
        <v>3</v>
      </c>
      <c r="AA7" t="s">
        <v>1003</v>
      </c>
      <c r="AB7" s="88">
        <v>50469</v>
      </c>
      <c r="AC7" t="s">
        <v>1004</v>
      </c>
      <c r="AK7" t="s">
        <v>1030</v>
      </c>
      <c r="AU7">
        <v>2</v>
      </c>
      <c r="AV7" t="s">
        <v>1043</v>
      </c>
      <c r="AW7" t="s">
        <v>1044</v>
      </c>
      <c r="AX7" t="s">
        <v>1045</v>
      </c>
      <c r="AY7" s="88">
        <v>3837</v>
      </c>
      <c r="AZ7" s="88">
        <v>20008</v>
      </c>
      <c r="BA7" s="88">
        <v>26372</v>
      </c>
      <c r="BB7" s="88">
        <v>30619</v>
      </c>
      <c r="BC7" s="88">
        <v>38453</v>
      </c>
      <c r="BD7">
        <v>8</v>
      </c>
      <c r="BG7">
        <v>3</v>
      </c>
      <c r="BH7" t="s">
        <v>1084</v>
      </c>
      <c r="BI7" t="s">
        <v>1085</v>
      </c>
      <c r="BJ7">
        <v>100</v>
      </c>
      <c r="BK7">
        <v>587</v>
      </c>
      <c r="BL7">
        <v>12</v>
      </c>
      <c r="BM7">
        <v>5.9</v>
      </c>
      <c r="BR7" t="s">
        <v>1121</v>
      </c>
      <c r="BS7" t="s">
        <v>1122</v>
      </c>
      <c r="BT7" t="s">
        <v>1123</v>
      </c>
      <c r="BU7" s="88">
        <v>4248</v>
      </c>
      <c r="BV7" s="88">
        <v>36084</v>
      </c>
    </row>
    <row r="8" spans="1:78" x14ac:dyDescent="0.3">
      <c r="B8" t="s">
        <v>833</v>
      </c>
      <c r="O8">
        <v>4</v>
      </c>
      <c r="P8" t="s">
        <v>936</v>
      </c>
      <c r="Q8" t="s">
        <v>937</v>
      </c>
      <c r="R8" t="s">
        <v>938</v>
      </c>
      <c r="S8" t="s">
        <v>939</v>
      </c>
      <c r="T8" s="88">
        <v>15274</v>
      </c>
      <c r="U8" s="88">
        <v>328369</v>
      </c>
      <c r="V8">
        <v>14.2</v>
      </c>
      <c r="Z8">
        <v>4</v>
      </c>
      <c r="AA8" t="s">
        <v>1005</v>
      </c>
      <c r="AB8" s="88">
        <v>10897</v>
      </c>
      <c r="AC8" t="s">
        <v>1006</v>
      </c>
      <c r="AK8" t="s">
        <v>1031</v>
      </c>
      <c r="AU8">
        <v>3</v>
      </c>
      <c r="AV8" t="s">
        <v>1046</v>
      </c>
      <c r="AW8" t="s">
        <v>1047</v>
      </c>
      <c r="AX8" t="s">
        <v>1048</v>
      </c>
      <c r="AY8" s="88">
        <v>5336</v>
      </c>
      <c r="AZ8" s="88">
        <v>60275</v>
      </c>
      <c r="BA8" s="88">
        <v>106023</v>
      </c>
      <c r="BB8" s="88">
        <v>154150</v>
      </c>
      <c r="BC8" s="88">
        <v>166838</v>
      </c>
      <c r="BD8">
        <v>28.9</v>
      </c>
      <c r="BG8">
        <v>4</v>
      </c>
      <c r="BH8" t="s">
        <v>1086</v>
      </c>
      <c r="BI8" t="s">
        <v>1087</v>
      </c>
      <c r="BJ8">
        <v>310</v>
      </c>
      <c r="BK8">
        <v>226</v>
      </c>
      <c r="BL8">
        <v>17</v>
      </c>
      <c r="BM8">
        <v>0.7</v>
      </c>
      <c r="BR8" t="s">
        <v>1124</v>
      </c>
      <c r="BS8" t="s">
        <v>1125</v>
      </c>
      <c r="BT8" t="s">
        <v>1126</v>
      </c>
      <c r="BU8" s="88">
        <v>1455</v>
      </c>
      <c r="BV8" s="88">
        <v>54439</v>
      </c>
    </row>
    <row r="9" spans="1:78" x14ac:dyDescent="0.3">
      <c r="A9">
        <v>2</v>
      </c>
      <c r="B9" t="s">
        <v>838</v>
      </c>
      <c r="C9" t="s">
        <v>840</v>
      </c>
      <c r="D9">
        <v>21</v>
      </c>
      <c r="E9" t="s">
        <v>841</v>
      </c>
      <c r="F9" t="s">
        <v>836</v>
      </c>
      <c r="G9" s="88">
        <v>4941</v>
      </c>
      <c r="H9" s="88">
        <v>1908</v>
      </c>
      <c r="I9" s="88">
        <v>1798300</v>
      </c>
      <c r="J9">
        <v>363.95</v>
      </c>
      <c r="K9">
        <v>942.6</v>
      </c>
      <c r="L9" t="s">
        <v>842</v>
      </c>
      <c r="O9">
        <v>5</v>
      </c>
      <c r="P9" t="s">
        <v>940</v>
      </c>
      <c r="Q9" t="s">
        <v>941</v>
      </c>
      <c r="R9" t="s">
        <v>942</v>
      </c>
      <c r="S9" t="s">
        <v>943</v>
      </c>
      <c r="T9" s="88">
        <v>43426</v>
      </c>
      <c r="U9" s="88">
        <v>450530</v>
      </c>
      <c r="V9">
        <v>7.98</v>
      </c>
      <c r="Z9">
        <v>5</v>
      </c>
      <c r="AA9" t="s">
        <v>1007</v>
      </c>
      <c r="AB9" s="88">
        <v>9602</v>
      </c>
      <c r="AC9" t="s">
        <v>1008</v>
      </c>
      <c r="AK9" t="s">
        <v>1032</v>
      </c>
      <c r="AU9">
        <v>4</v>
      </c>
      <c r="AV9" t="s">
        <v>1049</v>
      </c>
      <c r="AW9" t="s">
        <v>1050</v>
      </c>
      <c r="AX9" t="s">
        <v>1051</v>
      </c>
      <c r="AY9" s="88">
        <v>4136</v>
      </c>
      <c r="AZ9" s="88">
        <v>20421</v>
      </c>
      <c r="BA9" s="88">
        <v>26158</v>
      </c>
      <c r="BB9" s="88">
        <v>30399</v>
      </c>
      <c r="BC9" s="88">
        <v>36688</v>
      </c>
      <c r="BD9">
        <v>7.3</v>
      </c>
      <c r="BG9">
        <v>5</v>
      </c>
      <c r="BH9" t="s">
        <v>1088</v>
      </c>
      <c r="BI9" t="s">
        <v>1089</v>
      </c>
      <c r="BJ9">
        <v>120</v>
      </c>
      <c r="BK9">
        <v>513</v>
      </c>
      <c r="BL9">
        <v>15</v>
      </c>
      <c r="BM9">
        <v>4.3</v>
      </c>
      <c r="BR9" t="s">
        <v>1127</v>
      </c>
      <c r="BS9" t="s">
        <v>1128</v>
      </c>
      <c r="BT9" t="s">
        <v>1129</v>
      </c>
      <c r="BU9" s="88">
        <v>1628</v>
      </c>
      <c r="BV9" s="88">
        <v>29047</v>
      </c>
    </row>
    <row r="10" spans="1:78" x14ac:dyDescent="0.3">
      <c r="B10" t="s">
        <v>839</v>
      </c>
      <c r="O10">
        <v>6</v>
      </c>
      <c r="P10" t="s">
        <v>929</v>
      </c>
      <c r="Q10" t="s">
        <v>944</v>
      </c>
      <c r="R10" t="s">
        <v>945</v>
      </c>
      <c r="S10" t="s">
        <v>946</v>
      </c>
      <c r="T10" s="88">
        <v>11704</v>
      </c>
      <c r="U10" s="88">
        <v>432045</v>
      </c>
      <c r="V10">
        <v>22.6</v>
      </c>
      <c r="Z10">
        <v>6</v>
      </c>
      <c r="AA10" t="s">
        <v>1009</v>
      </c>
      <c r="AB10" s="88">
        <v>15657</v>
      </c>
      <c r="AC10" t="s">
        <v>1010</v>
      </c>
      <c r="AK10" t="s">
        <v>1033</v>
      </c>
      <c r="AU10">
        <v>5</v>
      </c>
      <c r="AV10" t="s">
        <v>1052</v>
      </c>
      <c r="AW10" t="s">
        <v>1053</v>
      </c>
      <c r="AX10" t="s">
        <v>1054</v>
      </c>
      <c r="AY10" s="88">
        <v>3188</v>
      </c>
      <c r="AZ10" s="88">
        <v>31006</v>
      </c>
      <c r="BA10" s="88">
        <v>40419</v>
      </c>
      <c r="BB10" s="88">
        <v>52006</v>
      </c>
      <c r="BC10" s="88">
        <v>57396</v>
      </c>
      <c r="BD10">
        <v>16.3</v>
      </c>
      <c r="BG10">
        <v>6</v>
      </c>
      <c r="BH10" t="s">
        <v>1090</v>
      </c>
      <c r="BI10" t="s">
        <v>1091</v>
      </c>
      <c r="BJ10">
        <v>50</v>
      </c>
      <c r="BK10">
        <v>851</v>
      </c>
      <c r="BL10">
        <v>4</v>
      </c>
      <c r="BM10">
        <v>17</v>
      </c>
      <c r="BR10" t="s">
        <v>1130</v>
      </c>
      <c r="BS10" t="s">
        <v>1131</v>
      </c>
      <c r="BT10" t="s">
        <v>1132</v>
      </c>
      <c r="BU10">
        <v>882</v>
      </c>
      <c r="BV10" s="88">
        <v>7757</v>
      </c>
    </row>
    <row r="11" spans="1:78" x14ac:dyDescent="0.3">
      <c r="A11">
        <v>3</v>
      </c>
      <c r="B11" t="s">
        <v>843</v>
      </c>
      <c r="C11" t="s">
        <v>844</v>
      </c>
      <c r="D11">
        <v>14</v>
      </c>
      <c r="E11" t="s">
        <v>845</v>
      </c>
      <c r="F11" t="s">
        <v>836</v>
      </c>
      <c r="G11" s="88">
        <v>23900</v>
      </c>
      <c r="H11" s="88">
        <v>9200</v>
      </c>
      <c r="I11" s="88">
        <v>536200</v>
      </c>
      <c r="J11">
        <v>22.44</v>
      </c>
      <c r="K11">
        <v>58.1</v>
      </c>
      <c r="L11" t="s">
        <v>846</v>
      </c>
      <c r="O11">
        <v>7</v>
      </c>
      <c r="P11" t="s">
        <v>925</v>
      </c>
      <c r="Q11" t="s">
        <v>947</v>
      </c>
      <c r="R11" t="s">
        <v>948</v>
      </c>
      <c r="S11" t="s">
        <v>949</v>
      </c>
      <c r="T11" s="88">
        <v>34472</v>
      </c>
      <c r="U11" s="88">
        <v>158194</v>
      </c>
      <c r="V11">
        <v>3.04</v>
      </c>
      <c r="Z11">
        <v>7</v>
      </c>
      <c r="AA11" t="s">
        <v>1011</v>
      </c>
      <c r="AB11" s="88">
        <v>65983</v>
      </c>
      <c r="AC11" t="s">
        <v>1012</v>
      </c>
      <c r="AU11">
        <v>6</v>
      </c>
      <c r="AV11" t="s">
        <v>1055</v>
      </c>
      <c r="AW11" t="s">
        <v>1056</v>
      </c>
      <c r="AX11" t="s">
        <v>1057</v>
      </c>
      <c r="AY11" s="88">
        <v>4225</v>
      </c>
      <c r="AZ11" s="88">
        <v>122620</v>
      </c>
      <c r="BA11" s="88">
        <v>152307</v>
      </c>
      <c r="BB11" s="88">
        <v>173347</v>
      </c>
      <c r="BC11" s="88">
        <v>163085</v>
      </c>
      <c r="BD11">
        <v>41</v>
      </c>
      <c r="BG11">
        <v>7</v>
      </c>
      <c r="BH11" t="s">
        <v>1092</v>
      </c>
      <c r="BI11" t="s">
        <v>1093</v>
      </c>
      <c r="BJ11">
        <v>260</v>
      </c>
      <c r="BK11">
        <v>739</v>
      </c>
      <c r="BL11">
        <v>14</v>
      </c>
      <c r="BM11">
        <v>2.8</v>
      </c>
      <c r="BR11" t="s">
        <v>337</v>
      </c>
      <c r="BS11" t="s">
        <v>1125</v>
      </c>
      <c r="BU11" s="88">
        <v>12189</v>
      </c>
      <c r="BV11" s="88">
        <v>186678</v>
      </c>
    </row>
    <row r="12" spans="1:78" x14ac:dyDescent="0.3">
      <c r="A12">
        <v>4</v>
      </c>
      <c r="B12" t="s">
        <v>847</v>
      </c>
      <c r="C12" t="s">
        <v>849</v>
      </c>
      <c r="D12">
        <v>14</v>
      </c>
      <c r="E12" t="s">
        <v>850</v>
      </c>
      <c r="F12" t="s">
        <v>836</v>
      </c>
      <c r="G12" s="88">
        <v>12072</v>
      </c>
      <c r="H12" s="88">
        <v>4661</v>
      </c>
      <c r="I12" s="88">
        <v>355200</v>
      </c>
      <c r="J12">
        <v>29.42</v>
      </c>
      <c r="K12">
        <v>76.2</v>
      </c>
      <c r="L12" t="s">
        <v>851</v>
      </c>
      <c r="O12">
        <v>8</v>
      </c>
      <c r="P12" t="s">
        <v>940</v>
      </c>
      <c r="Q12" t="s">
        <v>950</v>
      </c>
      <c r="R12" t="s">
        <v>951</v>
      </c>
      <c r="S12" t="s">
        <v>952</v>
      </c>
      <c r="T12" s="88">
        <v>28886</v>
      </c>
      <c r="U12" s="88">
        <v>493906</v>
      </c>
      <c r="V12">
        <v>12.49</v>
      </c>
      <c r="Z12">
        <v>8</v>
      </c>
      <c r="AA12" t="s">
        <v>1013</v>
      </c>
      <c r="AB12" s="88">
        <v>58931</v>
      </c>
      <c r="AC12" t="s">
        <v>1014</v>
      </c>
      <c r="AU12">
        <v>7</v>
      </c>
      <c r="AV12" t="s">
        <v>1058</v>
      </c>
      <c r="AW12" t="s">
        <v>1059</v>
      </c>
      <c r="AX12" t="s">
        <v>1060</v>
      </c>
      <c r="AY12">
        <v>671</v>
      </c>
      <c r="AZ12" s="88">
        <v>2377</v>
      </c>
      <c r="BA12" s="88">
        <v>3041</v>
      </c>
      <c r="BB12" s="88">
        <v>4091</v>
      </c>
      <c r="BC12" s="88">
        <v>4465</v>
      </c>
      <c r="BD12">
        <v>6.1</v>
      </c>
      <c r="BG12">
        <v>8</v>
      </c>
      <c r="BH12" t="s">
        <v>1094</v>
      </c>
      <c r="BI12" t="s">
        <v>1095</v>
      </c>
      <c r="BJ12">
        <v>118</v>
      </c>
      <c r="BK12" s="88">
        <v>1804</v>
      </c>
      <c r="BL12">
        <v>17</v>
      </c>
      <c r="BM12">
        <v>15.3</v>
      </c>
    </row>
    <row r="13" spans="1:78" x14ac:dyDescent="0.3">
      <c r="B13" t="s">
        <v>848</v>
      </c>
      <c r="O13">
        <v>9</v>
      </c>
      <c r="P13" t="s">
        <v>936</v>
      </c>
      <c r="Q13" t="s">
        <v>953</v>
      </c>
      <c r="R13" t="s">
        <v>954</v>
      </c>
      <c r="S13" t="s">
        <v>955</v>
      </c>
      <c r="T13" s="88">
        <v>2000</v>
      </c>
      <c r="U13" s="88">
        <v>50231</v>
      </c>
      <c r="V13">
        <v>20.76</v>
      </c>
      <c r="Z13">
        <v>9</v>
      </c>
      <c r="AA13" t="s">
        <v>1015</v>
      </c>
      <c r="AB13" s="88">
        <v>177678</v>
      </c>
      <c r="AC13" t="s">
        <v>1016</v>
      </c>
      <c r="AU13">
        <v>8</v>
      </c>
      <c r="AV13" t="s">
        <v>1061</v>
      </c>
      <c r="AW13" t="s">
        <v>1062</v>
      </c>
      <c r="AX13" t="s">
        <v>1063</v>
      </c>
      <c r="AY13">
        <v>868</v>
      </c>
      <c r="AZ13" s="88">
        <v>18912</v>
      </c>
      <c r="BA13" s="88">
        <v>21362</v>
      </c>
      <c r="BB13" s="88">
        <v>22132</v>
      </c>
      <c r="BC13" s="88">
        <v>25701</v>
      </c>
      <c r="BD13">
        <v>25.5</v>
      </c>
      <c r="BG13">
        <v>9</v>
      </c>
      <c r="BH13" t="s">
        <v>1096</v>
      </c>
      <c r="BI13" t="s">
        <v>1097</v>
      </c>
      <c r="BJ13">
        <v>120</v>
      </c>
      <c r="BK13">
        <v>446</v>
      </c>
      <c r="BL13">
        <v>12</v>
      </c>
      <c r="BM13">
        <v>3.7</v>
      </c>
    </row>
    <row r="14" spans="1:78" x14ac:dyDescent="0.3">
      <c r="A14">
        <v>5</v>
      </c>
      <c r="B14" t="s">
        <v>852</v>
      </c>
      <c r="C14" t="s">
        <v>854</v>
      </c>
      <c r="D14">
        <v>14</v>
      </c>
      <c r="E14" t="s">
        <v>855</v>
      </c>
      <c r="F14" t="s">
        <v>836</v>
      </c>
      <c r="G14" s="88">
        <v>8385</v>
      </c>
      <c r="H14" s="88">
        <v>3237</v>
      </c>
      <c r="I14" s="88">
        <v>53300</v>
      </c>
      <c r="J14">
        <v>6.36</v>
      </c>
      <c r="K14">
        <v>16.5</v>
      </c>
      <c r="L14" t="s">
        <v>856</v>
      </c>
      <c r="O14">
        <v>10</v>
      </c>
      <c r="P14" t="s">
        <v>925</v>
      </c>
      <c r="Q14" t="s">
        <v>956</v>
      </c>
      <c r="R14" t="s">
        <v>957</v>
      </c>
      <c r="S14" t="s">
        <v>958</v>
      </c>
      <c r="T14" s="88">
        <v>14345</v>
      </c>
      <c r="U14" s="88">
        <v>276512</v>
      </c>
      <c r="V14">
        <v>14.93</v>
      </c>
      <c r="Z14">
        <v>10</v>
      </c>
      <c r="AA14" t="s">
        <v>1017</v>
      </c>
      <c r="AB14" s="88">
        <v>7871</v>
      </c>
      <c r="AC14" t="s">
        <v>1018</v>
      </c>
      <c r="AU14">
        <v>9</v>
      </c>
      <c r="AV14" t="s">
        <v>1064</v>
      </c>
      <c r="AW14" t="s">
        <v>1065</v>
      </c>
      <c r="AX14" t="s">
        <v>1066</v>
      </c>
      <c r="AY14" s="88">
        <v>7509</v>
      </c>
      <c r="AZ14" s="88">
        <v>62739</v>
      </c>
      <c r="BA14" s="88">
        <v>76649</v>
      </c>
      <c r="BB14" s="88">
        <v>94209</v>
      </c>
      <c r="BC14" s="88">
        <v>102083</v>
      </c>
      <c r="BD14">
        <v>12.5</v>
      </c>
      <c r="BG14">
        <v>10</v>
      </c>
      <c r="BH14" t="s">
        <v>1098</v>
      </c>
      <c r="BI14" t="s">
        <v>1099</v>
      </c>
      <c r="BJ14">
        <v>110</v>
      </c>
      <c r="BK14">
        <v>178</v>
      </c>
      <c r="BL14">
        <v>13</v>
      </c>
      <c r="BM14">
        <v>1.6</v>
      </c>
    </row>
    <row r="15" spans="1:78" x14ac:dyDescent="0.3">
      <c r="B15" t="s">
        <v>853</v>
      </c>
      <c r="O15">
        <v>11</v>
      </c>
      <c r="P15" t="s">
        <v>940</v>
      </c>
      <c r="Q15" t="s">
        <v>959</v>
      </c>
      <c r="R15" t="s">
        <v>960</v>
      </c>
      <c r="S15" t="s">
        <v>961</v>
      </c>
      <c r="T15" s="88">
        <v>33705</v>
      </c>
      <c r="U15" s="88">
        <v>674810</v>
      </c>
      <c r="V15">
        <v>15.56</v>
      </c>
      <c r="Z15">
        <v>11</v>
      </c>
      <c r="AA15" t="s">
        <v>1019</v>
      </c>
      <c r="AB15" s="88">
        <v>30432</v>
      </c>
      <c r="AC15" t="s">
        <v>1020</v>
      </c>
      <c r="AU15" t="s">
        <v>1067</v>
      </c>
      <c r="AV15" t="s">
        <v>1068</v>
      </c>
      <c r="AW15" t="s">
        <v>1047</v>
      </c>
      <c r="AX15" t="s">
        <v>1069</v>
      </c>
      <c r="AY15">
        <v>22</v>
      </c>
      <c r="AZ15" s="88">
        <v>49107</v>
      </c>
      <c r="BA15" s="88">
        <v>73143</v>
      </c>
      <c r="BB15" s="88">
        <v>130176</v>
      </c>
      <c r="BC15" s="88">
        <v>94206</v>
      </c>
      <c r="BD15" s="92">
        <v>5917.1</v>
      </c>
      <c r="BG15">
        <v>11</v>
      </c>
      <c r="BH15" t="s">
        <v>1100</v>
      </c>
      <c r="BI15" t="s">
        <v>1101</v>
      </c>
      <c r="BJ15">
        <v>310</v>
      </c>
      <c r="BK15" s="88">
        <v>1380</v>
      </c>
      <c r="BL15">
        <v>18</v>
      </c>
      <c r="BM15">
        <v>4.5</v>
      </c>
    </row>
    <row r="16" spans="1:78" x14ac:dyDescent="0.3">
      <c r="A16">
        <v>6</v>
      </c>
      <c r="B16" t="s">
        <v>857</v>
      </c>
      <c r="C16" t="s">
        <v>859</v>
      </c>
      <c r="D16">
        <v>11</v>
      </c>
      <c r="E16" t="s">
        <v>860</v>
      </c>
      <c r="F16" t="s">
        <v>836</v>
      </c>
      <c r="G16" s="88">
        <v>14138</v>
      </c>
      <c r="H16" s="88">
        <v>5459</v>
      </c>
      <c r="I16" s="88">
        <v>185400</v>
      </c>
      <c r="J16">
        <v>13.11</v>
      </c>
      <c r="K16">
        <v>34</v>
      </c>
      <c r="L16" t="s">
        <v>861</v>
      </c>
      <c r="O16">
        <v>12</v>
      </c>
      <c r="P16" t="s">
        <v>936</v>
      </c>
      <c r="Q16" t="s">
        <v>962</v>
      </c>
      <c r="R16" t="s">
        <v>963</v>
      </c>
      <c r="S16" t="s">
        <v>964</v>
      </c>
      <c r="T16" s="88">
        <v>9557</v>
      </c>
      <c r="U16" s="88">
        <v>194067</v>
      </c>
      <c r="V16">
        <v>12.31</v>
      </c>
      <c r="Z16">
        <v>12</v>
      </c>
      <c r="AA16" t="s">
        <v>1021</v>
      </c>
      <c r="AB16" s="88">
        <v>108016</v>
      </c>
      <c r="AC16" t="s">
        <v>1022</v>
      </c>
      <c r="BG16">
        <v>12</v>
      </c>
      <c r="BH16" t="s">
        <v>1102</v>
      </c>
      <c r="BI16" t="s">
        <v>1103</v>
      </c>
      <c r="BJ16">
        <v>160</v>
      </c>
      <c r="BK16">
        <v>484</v>
      </c>
      <c r="BL16">
        <v>11</v>
      </c>
      <c r="BM16">
        <v>3</v>
      </c>
    </row>
    <row r="17" spans="1:65" x14ac:dyDescent="0.3">
      <c r="B17" t="s">
        <v>858</v>
      </c>
      <c r="O17">
        <v>13</v>
      </c>
      <c r="P17" t="s">
        <v>925</v>
      </c>
      <c r="Q17" t="s">
        <v>965</v>
      </c>
      <c r="R17" t="s">
        <v>966</v>
      </c>
      <c r="S17" t="s">
        <v>967</v>
      </c>
      <c r="T17" s="88">
        <v>22735</v>
      </c>
      <c r="U17" s="88">
        <v>186309</v>
      </c>
      <c r="V17">
        <v>5.82</v>
      </c>
      <c r="Z17">
        <v>13</v>
      </c>
      <c r="AA17" t="s">
        <v>1023</v>
      </c>
      <c r="AB17" s="88">
        <v>20031</v>
      </c>
      <c r="AC17" t="s">
        <v>1024</v>
      </c>
      <c r="BG17">
        <v>13</v>
      </c>
      <c r="BH17" t="s">
        <v>1104</v>
      </c>
      <c r="BI17" t="s">
        <v>1105</v>
      </c>
      <c r="BJ17">
        <v>80</v>
      </c>
      <c r="BK17">
        <v>318</v>
      </c>
      <c r="BL17">
        <v>6</v>
      </c>
      <c r="BM17">
        <v>3</v>
      </c>
    </row>
    <row r="18" spans="1:65" x14ac:dyDescent="0.3">
      <c r="A18">
        <v>7</v>
      </c>
      <c r="B18" t="s">
        <v>862</v>
      </c>
      <c r="C18" t="s">
        <v>863</v>
      </c>
      <c r="D18">
        <v>11</v>
      </c>
      <c r="E18" t="s">
        <v>864</v>
      </c>
      <c r="F18" t="s">
        <v>836</v>
      </c>
      <c r="G18" s="88">
        <v>7254</v>
      </c>
      <c r="H18" s="88">
        <v>2801</v>
      </c>
      <c r="I18" s="88">
        <v>130800</v>
      </c>
      <c r="J18">
        <v>18.03</v>
      </c>
      <c r="K18">
        <v>46.7</v>
      </c>
      <c r="L18" t="s">
        <v>865</v>
      </c>
      <c r="O18">
        <v>14</v>
      </c>
      <c r="P18" t="s">
        <v>936</v>
      </c>
      <c r="Q18" t="s">
        <v>968</v>
      </c>
      <c r="R18" t="s">
        <v>969</v>
      </c>
      <c r="S18" t="s">
        <v>970</v>
      </c>
      <c r="T18" s="88">
        <v>9384</v>
      </c>
      <c r="U18" s="88">
        <v>249358</v>
      </c>
      <c r="V18">
        <v>15.18</v>
      </c>
      <c r="Z18">
        <v>14</v>
      </c>
      <c r="AA18" t="s">
        <v>1025</v>
      </c>
      <c r="AB18" s="88">
        <v>64552</v>
      </c>
      <c r="AC18" t="s">
        <v>1026</v>
      </c>
      <c r="BG18">
        <v>14</v>
      </c>
      <c r="BH18" t="s">
        <v>1106</v>
      </c>
      <c r="BI18" t="s">
        <v>1107</v>
      </c>
      <c r="BJ18">
        <v>150</v>
      </c>
      <c r="BK18">
        <v>747</v>
      </c>
      <c r="BL18">
        <v>7</v>
      </c>
      <c r="BM18">
        <v>4</v>
      </c>
    </row>
    <row r="19" spans="1:65" x14ac:dyDescent="0.3">
      <c r="A19">
        <v>8</v>
      </c>
      <c r="B19" t="s">
        <v>866</v>
      </c>
      <c r="C19" t="s">
        <v>867</v>
      </c>
      <c r="D19">
        <v>12</v>
      </c>
      <c r="E19" t="s">
        <v>868</v>
      </c>
      <c r="F19" t="s">
        <v>836</v>
      </c>
      <c r="G19" s="88">
        <v>22221</v>
      </c>
      <c r="H19" s="88">
        <v>8580</v>
      </c>
      <c r="I19" s="88">
        <v>263300</v>
      </c>
      <c r="J19">
        <v>11.85</v>
      </c>
      <c r="K19">
        <v>30.7</v>
      </c>
      <c r="L19" t="s">
        <v>869</v>
      </c>
      <c r="S19" t="s">
        <v>971</v>
      </c>
    </row>
    <row r="20" spans="1:65" x14ac:dyDescent="0.3">
      <c r="A20">
        <v>9</v>
      </c>
      <c r="B20" t="s">
        <v>870</v>
      </c>
      <c r="C20" t="s">
        <v>872</v>
      </c>
      <c r="D20">
        <v>13</v>
      </c>
      <c r="E20" t="s">
        <v>870</v>
      </c>
      <c r="F20" t="s">
        <v>836</v>
      </c>
      <c r="G20" s="88">
        <v>8049</v>
      </c>
      <c r="H20" s="88">
        <v>3108</v>
      </c>
      <c r="I20" s="88">
        <v>550600</v>
      </c>
      <c r="J20">
        <v>68.41</v>
      </c>
      <c r="K20">
        <v>177.2</v>
      </c>
      <c r="L20" t="s">
        <v>873</v>
      </c>
      <c r="O20">
        <v>15</v>
      </c>
      <c r="P20" t="s">
        <v>929</v>
      </c>
      <c r="Q20" t="s">
        <v>972</v>
      </c>
      <c r="R20" t="s">
        <v>973</v>
      </c>
      <c r="S20" t="s">
        <v>974</v>
      </c>
      <c r="T20" s="88">
        <v>15089</v>
      </c>
      <c r="U20" s="88">
        <v>510245</v>
      </c>
      <c r="V20">
        <v>23.86</v>
      </c>
    </row>
    <row r="21" spans="1:65" x14ac:dyDescent="0.3">
      <c r="B21" t="s">
        <v>871</v>
      </c>
      <c r="O21">
        <v>16</v>
      </c>
      <c r="P21" t="s">
        <v>925</v>
      </c>
      <c r="Q21" t="s">
        <v>975</v>
      </c>
      <c r="R21" t="s">
        <v>976</v>
      </c>
      <c r="S21" t="s">
        <v>977</v>
      </c>
      <c r="T21" s="88">
        <v>98189</v>
      </c>
      <c r="U21" s="88">
        <v>201351</v>
      </c>
      <c r="V21">
        <v>1.53</v>
      </c>
    </row>
    <row r="22" spans="1:65" x14ac:dyDescent="0.3">
      <c r="A22">
        <v>10</v>
      </c>
      <c r="B22" t="s">
        <v>874</v>
      </c>
      <c r="C22" t="s">
        <v>876</v>
      </c>
      <c r="D22">
        <v>13</v>
      </c>
      <c r="E22" t="s">
        <v>877</v>
      </c>
      <c r="F22" t="s">
        <v>878</v>
      </c>
      <c r="G22" s="88">
        <v>9616</v>
      </c>
      <c r="H22" s="88">
        <v>3713</v>
      </c>
      <c r="I22" s="88">
        <v>60000</v>
      </c>
      <c r="J22">
        <v>6.24</v>
      </c>
      <c r="K22">
        <v>16.2</v>
      </c>
      <c r="L22" t="s">
        <v>879</v>
      </c>
      <c r="O22">
        <v>17</v>
      </c>
      <c r="P22" t="s">
        <v>929</v>
      </c>
      <c r="Q22" t="s">
        <v>978</v>
      </c>
      <c r="R22" t="s">
        <v>979</v>
      </c>
      <c r="S22" t="s">
        <v>980</v>
      </c>
      <c r="T22" s="88">
        <v>4299</v>
      </c>
      <c r="U22" s="88">
        <v>362850</v>
      </c>
      <c r="V22">
        <v>59.12</v>
      </c>
    </row>
    <row r="23" spans="1:65" x14ac:dyDescent="0.3">
      <c r="B23" t="s">
        <v>875</v>
      </c>
      <c r="O23">
        <v>18</v>
      </c>
      <c r="P23" t="s">
        <v>936</v>
      </c>
      <c r="Q23" t="s">
        <v>981</v>
      </c>
      <c r="R23" t="s">
        <v>982</v>
      </c>
      <c r="S23" t="s">
        <v>983</v>
      </c>
      <c r="T23" s="88">
        <v>20387</v>
      </c>
      <c r="U23" s="88">
        <v>264264</v>
      </c>
      <c r="V23">
        <v>8.8000000000000007</v>
      </c>
    </row>
    <row r="24" spans="1:65" x14ac:dyDescent="0.3">
      <c r="A24">
        <v>11</v>
      </c>
      <c r="B24" t="s">
        <v>880</v>
      </c>
      <c r="C24" t="s">
        <v>882</v>
      </c>
      <c r="D24">
        <v>13</v>
      </c>
      <c r="E24" t="s">
        <v>883</v>
      </c>
      <c r="F24" t="s">
        <v>878</v>
      </c>
      <c r="G24">
        <v>422</v>
      </c>
      <c r="H24">
        <v>163</v>
      </c>
      <c r="I24" s="88">
        <v>55200</v>
      </c>
      <c r="J24">
        <v>130.81</v>
      </c>
      <c r="K24">
        <v>338.8</v>
      </c>
      <c r="L24" t="s">
        <v>884</v>
      </c>
      <c r="O24">
        <v>19</v>
      </c>
      <c r="P24" t="s">
        <v>940</v>
      </c>
      <c r="Q24" t="s">
        <v>984</v>
      </c>
      <c r="R24" t="s">
        <v>985</v>
      </c>
      <c r="S24" t="s">
        <v>986</v>
      </c>
      <c r="T24" s="88">
        <v>35820</v>
      </c>
      <c r="U24" s="88">
        <v>248411</v>
      </c>
      <c r="V24">
        <v>5.12</v>
      </c>
    </row>
    <row r="25" spans="1:65" x14ac:dyDescent="0.3">
      <c r="B25" t="s">
        <v>881</v>
      </c>
      <c r="O25">
        <v>20</v>
      </c>
      <c r="P25" t="s">
        <v>925</v>
      </c>
      <c r="Q25" t="s">
        <v>987</v>
      </c>
      <c r="R25" t="s">
        <v>927</v>
      </c>
      <c r="S25" t="s">
        <v>988</v>
      </c>
      <c r="T25">
        <v>240</v>
      </c>
      <c r="U25" s="88">
        <v>364125</v>
      </c>
      <c r="V25">
        <v>1051.95</v>
      </c>
    </row>
    <row r="26" spans="1:65" x14ac:dyDescent="0.3">
      <c r="A26">
        <v>12</v>
      </c>
      <c r="B26" t="s">
        <v>885</v>
      </c>
      <c r="C26" t="s">
        <v>887</v>
      </c>
      <c r="D26">
        <v>14</v>
      </c>
      <c r="E26" t="s">
        <v>888</v>
      </c>
      <c r="F26" t="s">
        <v>878</v>
      </c>
      <c r="G26" s="88">
        <v>10458</v>
      </c>
      <c r="H26" s="88">
        <v>4038</v>
      </c>
      <c r="I26" s="88">
        <v>52300</v>
      </c>
      <c r="J26">
        <v>4.9800000000000004</v>
      </c>
      <c r="K26">
        <v>12.9</v>
      </c>
      <c r="L26" t="s">
        <v>889</v>
      </c>
      <c r="O26">
        <v>21</v>
      </c>
      <c r="P26" t="s">
        <v>929</v>
      </c>
      <c r="Q26" t="s">
        <v>989</v>
      </c>
      <c r="R26" t="s">
        <v>990</v>
      </c>
      <c r="S26" t="s">
        <v>991</v>
      </c>
      <c r="T26" s="88">
        <v>10498</v>
      </c>
      <c r="U26" s="88">
        <v>249449</v>
      </c>
      <c r="V26">
        <v>17.71</v>
      </c>
    </row>
    <row r="27" spans="1:65" x14ac:dyDescent="0.3">
      <c r="B27" t="s">
        <v>886</v>
      </c>
      <c r="O27">
        <v>22</v>
      </c>
      <c r="P27" t="s">
        <v>929</v>
      </c>
      <c r="Q27" t="s">
        <v>992</v>
      </c>
      <c r="R27" t="s">
        <v>993</v>
      </c>
      <c r="S27" t="s">
        <v>994</v>
      </c>
      <c r="T27" s="88">
        <v>4798</v>
      </c>
      <c r="U27" s="88">
        <v>343987</v>
      </c>
      <c r="V27">
        <v>38.68</v>
      </c>
    </row>
    <row r="28" spans="1:65" x14ac:dyDescent="0.3">
      <c r="A28">
        <v>13</v>
      </c>
      <c r="B28" t="s">
        <v>890</v>
      </c>
      <c r="C28" t="s">
        <v>892</v>
      </c>
      <c r="D28">
        <v>7</v>
      </c>
      <c r="E28" t="s">
        <v>893</v>
      </c>
      <c r="F28" t="s">
        <v>878</v>
      </c>
      <c r="G28" s="88">
        <v>23245</v>
      </c>
      <c r="H28" s="88">
        <v>8975</v>
      </c>
      <c r="I28" s="88">
        <v>34800</v>
      </c>
      <c r="J28">
        <v>1.5</v>
      </c>
      <c r="K28">
        <v>3.9</v>
      </c>
      <c r="L28" t="s">
        <v>894</v>
      </c>
    </row>
    <row r="29" spans="1:65" x14ac:dyDescent="0.3">
      <c r="B29" t="s">
        <v>891</v>
      </c>
    </row>
    <row r="30" spans="1:65" x14ac:dyDescent="0.3">
      <c r="A30">
        <v>14</v>
      </c>
      <c r="B30" t="s">
        <v>895</v>
      </c>
      <c r="C30" t="s">
        <v>897</v>
      </c>
      <c r="D30">
        <v>14</v>
      </c>
      <c r="E30" t="s">
        <v>898</v>
      </c>
      <c r="F30" t="s">
        <v>878</v>
      </c>
      <c r="G30" s="88">
        <v>44504</v>
      </c>
      <c r="H30" s="88">
        <v>17183</v>
      </c>
      <c r="I30" s="88">
        <v>694400</v>
      </c>
      <c r="J30">
        <v>15.6</v>
      </c>
      <c r="K30">
        <v>40.4</v>
      </c>
      <c r="L30" t="s">
        <v>899</v>
      </c>
    </row>
    <row r="31" spans="1:65" x14ac:dyDescent="0.3">
      <c r="B31" t="s">
        <v>896</v>
      </c>
    </row>
    <row r="32" spans="1:65" x14ac:dyDescent="0.3">
      <c r="A32">
        <v>15</v>
      </c>
      <c r="B32" t="s">
        <v>900</v>
      </c>
      <c r="C32" t="s">
        <v>902</v>
      </c>
      <c r="D32">
        <v>12</v>
      </c>
      <c r="E32" t="s">
        <v>903</v>
      </c>
      <c r="F32" t="s">
        <v>878</v>
      </c>
      <c r="G32" s="88">
        <v>31186</v>
      </c>
      <c r="H32" s="88">
        <v>12041</v>
      </c>
      <c r="I32" s="88">
        <v>257200</v>
      </c>
      <c r="J32">
        <v>8.25</v>
      </c>
      <c r="K32">
        <v>21.4</v>
      </c>
      <c r="L32" t="s">
        <v>904</v>
      </c>
    </row>
    <row r="33" spans="1:12" x14ac:dyDescent="0.3">
      <c r="B33" t="s">
        <v>901</v>
      </c>
    </row>
    <row r="34" spans="1:12" x14ac:dyDescent="0.3">
      <c r="A34">
        <v>16</v>
      </c>
      <c r="B34" t="s">
        <v>905</v>
      </c>
      <c r="C34" t="s">
        <v>907</v>
      </c>
      <c r="D34">
        <v>12</v>
      </c>
      <c r="E34" t="s">
        <v>908</v>
      </c>
      <c r="F34" t="s">
        <v>878</v>
      </c>
      <c r="G34" s="88">
        <v>31196</v>
      </c>
      <c r="H34" s="88">
        <v>12045</v>
      </c>
      <c r="I34" s="88">
        <v>106100</v>
      </c>
      <c r="J34">
        <v>3.4</v>
      </c>
      <c r="K34">
        <v>8.8000000000000007</v>
      </c>
      <c r="L34" t="s">
        <v>909</v>
      </c>
    </row>
    <row r="35" spans="1:12" x14ac:dyDescent="0.3">
      <c r="B35" t="s">
        <v>906</v>
      </c>
    </row>
  </sheetData>
  <mergeCells count="7">
    <mergeCell ref="BR1:BZ1"/>
    <mergeCell ref="B1:J1"/>
    <mergeCell ref="O1:W1"/>
    <mergeCell ref="Z1:AH1"/>
    <mergeCell ref="AK1:AS1"/>
    <mergeCell ref="AV1:BD1"/>
    <mergeCell ref="BG1:BO1"/>
  </mergeCells>
  <hyperlinks>
    <hyperlink ref="Z2" r:id="rId1" xr:uid="{060E8531-91E6-4276-9A5B-08AA73D28C11}"/>
    <hyperlink ref="AK2" r:id="rId2" xr:uid="{0346D3F3-81C4-41DD-8B2A-D1C3F26EAABF}"/>
    <hyperlink ref="AK4" r:id="rId3" xr:uid="{A0A7AB1A-A799-44B1-A195-809A0C5A4A31}"/>
    <hyperlink ref="AV2" r:id="rId4" xr:uid="{ACC7F049-C26A-407E-A594-3607D8DAB3C8}"/>
    <hyperlink ref="BG2" r:id="rId5" xr:uid="{C2F53E3E-BC9B-4C7D-B2B5-858362AB6AC3}"/>
  </hyperlinks>
  <pageMargins left="0.7" right="0.7" top="0.75" bottom="0.75" header="0.3" footer="0.3"/>
  <pageSetup orientation="portrait" r:id="rId6"/>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A883D8-C5CF-4B52-9CDA-3CECAE655D95}">
  <sheetPr codeName="Sheet15"/>
  <dimension ref="A1:IY7"/>
  <sheetViews>
    <sheetView tabSelected="1" zoomScale="70" zoomScaleNormal="70" workbookViewId="0">
      <pane xSplit="5" ySplit="1" topLeftCell="F2" activePane="bottomRight" state="frozen"/>
      <selection activeCell="A2" sqref="A2"/>
      <selection pane="topRight" activeCell="A2" sqref="A2"/>
      <selection pane="bottomLeft" activeCell="A2" sqref="A2"/>
      <selection pane="bottomRight" activeCell="B3" sqref="B3"/>
    </sheetView>
  </sheetViews>
  <sheetFormatPr defaultRowHeight="38.4" customHeight="1" x14ac:dyDescent="0.3"/>
  <cols>
    <col min="1" max="1" width="52.44140625" style="82" bestFit="1" customWidth="1"/>
    <col min="2" max="2" width="10.109375" style="82" customWidth="1"/>
    <col min="3" max="3" width="7.44140625" style="83" customWidth="1"/>
    <col min="4" max="4" width="4.77734375" style="84" customWidth="1"/>
    <col min="5" max="5" width="4.5546875" style="84" customWidth="1"/>
    <col min="6" max="6" width="5.77734375" style="84" customWidth="1"/>
    <col min="7" max="7" width="7.44140625" style="82" customWidth="1"/>
    <col min="8" max="8" width="11.44140625" style="82" customWidth="1"/>
    <col min="9" max="9" width="10" style="82" customWidth="1"/>
    <col min="10" max="10" width="4.21875" style="82" customWidth="1"/>
    <col min="11" max="11" width="5.6640625" style="84" customWidth="1"/>
    <col min="12" max="12" width="2.88671875" style="84" customWidth="1"/>
    <col min="13" max="13" width="6.44140625" style="84" customWidth="1"/>
    <col min="14" max="14" width="4.5546875" style="84" customWidth="1"/>
    <col min="15" max="15" width="10.5546875" style="85" customWidth="1"/>
    <col min="16" max="16" width="6.88671875" style="84" customWidth="1"/>
    <col min="17" max="17" width="4.77734375" style="84" customWidth="1"/>
    <col min="18" max="18" width="13.109375" style="83" customWidth="1"/>
    <col min="19" max="19" width="6.77734375" style="83" customWidth="1"/>
    <col min="20" max="46" width="8.44140625" style="82" customWidth="1"/>
    <col min="47" max="47" width="24.5546875" style="82" customWidth="1"/>
    <col min="48" max="51" width="16.6640625" style="82" customWidth="1"/>
    <col min="52" max="52" width="6.5546875" style="82" customWidth="1"/>
    <col min="53" max="54" width="5.88671875" style="82" customWidth="1"/>
    <col min="55" max="55" width="1.33203125" style="82" customWidth="1"/>
    <col min="56" max="56" width="7.44140625" style="82" customWidth="1"/>
    <col min="57" max="57" width="2.33203125" style="82" customWidth="1"/>
    <col min="58" max="62" width="6.109375" style="82" customWidth="1"/>
    <col min="63" max="63" width="2.33203125" style="82" customWidth="1"/>
    <col min="64" max="64" width="7" style="82" bestFit="1" customWidth="1"/>
    <col min="65" max="65" width="6.44140625" style="82" bestFit="1" customWidth="1"/>
    <col min="66" max="66" width="7.109375" style="82" bestFit="1" customWidth="1"/>
    <col min="67" max="71" width="6.44140625" style="82" bestFit="1" customWidth="1"/>
    <col min="72" max="73" width="6.44140625" style="82" customWidth="1"/>
    <col min="74" max="75" width="13.44140625" style="82" customWidth="1"/>
    <col min="76" max="84" width="14.6640625" style="82" customWidth="1"/>
    <col min="85" max="85" width="6.44140625" style="82" customWidth="1"/>
    <col min="86" max="87" width="11.6640625" style="82" bestFit="1" customWidth="1"/>
    <col min="88" max="88" width="11.6640625" style="82" customWidth="1"/>
    <col min="89" max="89" width="12.77734375" style="82" bestFit="1" customWidth="1"/>
    <col min="90" max="90" width="16.44140625" style="83" bestFit="1" customWidth="1"/>
    <col min="91" max="92" width="14.88671875" style="83" bestFit="1" customWidth="1"/>
    <col min="93" max="93" width="16" style="83" bestFit="1" customWidth="1"/>
    <col min="94" max="97" width="7.77734375" style="82" customWidth="1"/>
    <col min="98" max="98" width="33.21875" style="82" customWidth="1"/>
    <col min="99" max="99" width="18" style="82" customWidth="1"/>
    <col min="100" max="100" width="75.6640625" style="82" customWidth="1"/>
    <col min="101" max="125" width="33" style="82" customWidth="1"/>
    <col min="126" max="126" width="8.88671875" style="82"/>
    <col min="127" max="128" width="9.44140625" style="82" bestFit="1" customWidth="1"/>
    <col min="129" max="129" width="10.77734375" style="82" bestFit="1" customWidth="1"/>
    <col min="130" max="134" width="10.77734375" style="82" customWidth="1"/>
    <col min="135" max="135" width="10.109375" style="82" bestFit="1" customWidth="1"/>
    <col min="136" max="136" width="7.77734375" style="82" bestFit="1" customWidth="1"/>
    <col min="137" max="137" width="7.77734375" style="82" customWidth="1"/>
    <col min="138" max="138" width="9" style="82" bestFit="1" customWidth="1"/>
    <col min="139" max="139" width="11.33203125" style="82" bestFit="1" customWidth="1"/>
    <col min="140" max="140" width="9.109375" style="82" bestFit="1" customWidth="1"/>
    <col min="141" max="141" width="9" style="82" bestFit="1" customWidth="1"/>
    <col min="142" max="142" width="12" style="82" bestFit="1" customWidth="1"/>
    <col min="143" max="166" width="12" style="82" customWidth="1"/>
    <col min="167" max="167" width="17.21875" style="82" customWidth="1"/>
    <col min="168" max="191" width="12" style="82" customWidth="1"/>
    <col min="192" max="192" width="8.5546875" style="82" bestFit="1" customWidth="1"/>
    <col min="193" max="193" width="8.5546875" style="82" customWidth="1"/>
    <col min="194" max="194" width="7.109375" style="82" bestFit="1" customWidth="1"/>
    <col min="195" max="195" width="7.5546875" style="82" bestFit="1" customWidth="1"/>
    <col min="196" max="196" width="8.5546875" style="82" bestFit="1" customWidth="1"/>
    <col min="197" max="200" width="8.5546875" style="82" customWidth="1"/>
    <col min="201" max="201" width="188.88671875" style="82" customWidth="1"/>
    <col min="202" max="202" width="9.5546875" style="82" bestFit="1" customWidth="1"/>
    <col min="203" max="203" width="10.44140625" style="82" bestFit="1" customWidth="1"/>
    <col min="204" max="204" width="11.109375" style="82" bestFit="1" customWidth="1"/>
    <col min="205" max="205" width="10.44140625" style="82" bestFit="1" customWidth="1"/>
    <col min="206" max="210" width="10.44140625" style="82" customWidth="1"/>
    <col min="211" max="211" width="45.44140625" style="82" customWidth="1"/>
    <col min="212" max="212" width="47.5546875" style="82" bestFit="1" customWidth="1"/>
    <col min="213" max="213" width="9.33203125" style="86" customWidth="1"/>
    <col min="214" max="214" width="119.5546875" style="82" customWidth="1"/>
    <col min="215" max="215" width="69.6640625" style="82" customWidth="1"/>
    <col min="216" max="218" width="8.88671875" style="82"/>
    <col min="219" max="219" width="37.109375" style="82" customWidth="1"/>
    <col min="220" max="220" width="16.33203125" style="82" customWidth="1"/>
    <col min="221" max="222" width="8.88671875" style="82"/>
    <col min="223" max="223" width="10.109375" style="82" bestFit="1" customWidth="1"/>
    <col min="224" max="232" width="10.88671875" style="82" customWidth="1"/>
    <col min="233" max="234" width="30.77734375" style="82" customWidth="1"/>
    <col min="235" max="235" width="5.109375" style="82" customWidth="1"/>
    <col min="236" max="236" width="3" style="82" customWidth="1"/>
    <col min="237" max="245" width="6.77734375" style="76" customWidth="1"/>
    <col min="246" max="247" width="8.88671875" style="82"/>
    <col min="248" max="248" width="61.5546875" style="82" customWidth="1"/>
    <col min="249" max="253" width="8.88671875" style="82"/>
    <col min="254" max="254" width="9" style="82" customWidth="1"/>
    <col min="255" max="16384" width="8.88671875" style="82"/>
  </cols>
  <sheetData>
    <row r="1" spans="1:259" s="5" customFormat="1" ht="38.4" customHeight="1" thickBot="1" x14ac:dyDescent="0.35">
      <c r="A1" s="1" t="s">
        <v>0</v>
      </c>
      <c r="B1" s="79" t="s">
        <v>1</v>
      </c>
      <c r="C1" s="2" t="s">
        <v>2</v>
      </c>
      <c r="D1" s="3"/>
      <c r="E1" s="3" t="s">
        <v>3</v>
      </c>
      <c r="F1" s="4"/>
      <c r="H1" s="6" t="s">
        <v>4</v>
      </c>
      <c r="J1" s="5" t="s">
        <v>5</v>
      </c>
      <c r="K1" s="7" t="s">
        <v>6</v>
      </c>
      <c r="L1" s="8" t="s">
        <v>7</v>
      </c>
      <c r="M1" s="8" t="s">
        <v>8</v>
      </c>
      <c r="N1" s="9" t="s">
        <v>9</v>
      </c>
      <c r="O1" s="10" t="s">
        <v>10</v>
      </c>
      <c r="P1" s="11" t="s">
        <v>11</v>
      </c>
      <c r="Q1" s="11" t="s">
        <v>12</v>
      </c>
      <c r="R1" s="12" t="s">
        <v>0</v>
      </c>
      <c r="S1" s="13" t="s">
        <v>13</v>
      </c>
      <c r="T1" s="14" t="s">
        <v>14</v>
      </c>
      <c r="U1" s="14" t="s">
        <v>15</v>
      </c>
      <c r="V1" s="15" t="s">
        <v>16</v>
      </c>
      <c r="W1" s="14" t="s">
        <v>17</v>
      </c>
      <c r="X1" s="14" t="s">
        <v>18</v>
      </c>
      <c r="Y1" s="14" t="s">
        <v>19</v>
      </c>
      <c r="Z1" s="14" t="s">
        <v>20</v>
      </c>
      <c r="AA1" s="14" t="s">
        <v>21</v>
      </c>
      <c r="AB1" s="14" t="s">
        <v>22</v>
      </c>
      <c r="AC1" s="14" t="s">
        <v>23</v>
      </c>
      <c r="AD1" s="14" t="s">
        <v>24</v>
      </c>
      <c r="AE1" s="14" t="s">
        <v>25</v>
      </c>
      <c r="AF1" s="16" t="s">
        <v>26</v>
      </c>
      <c r="AG1" s="16" t="s">
        <v>27</v>
      </c>
      <c r="AH1" s="16" t="s">
        <v>28</v>
      </c>
      <c r="AI1" s="16" t="s">
        <v>29</v>
      </c>
      <c r="AJ1" s="16" t="s">
        <v>30</v>
      </c>
      <c r="AK1" s="16" t="s">
        <v>31</v>
      </c>
      <c r="AL1" s="16" t="s">
        <v>32</v>
      </c>
      <c r="AM1" s="16" t="s">
        <v>33</v>
      </c>
      <c r="AN1" s="16" t="s">
        <v>34</v>
      </c>
      <c r="AO1" s="16" t="s">
        <v>35</v>
      </c>
      <c r="AP1" s="16" t="s">
        <v>36</v>
      </c>
      <c r="AQ1" s="16" t="s">
        <v>37</v>
      </c>
      <c r="AR1" s="16" t="s">
        <v>38</v>
      </c>
      <c r="AS1" s="16" t="s">
        <v>39</v>
      </c>
      <c r="AT1" s="17" t="s">
        <v>40</v>
      </c>
      <c r="AU1" s="18" t="s">
        <v>41</v>
      </c>
      <c r="AV1" s="18" t="s">
        <v>42</v>
      </c>
      <c r="AW1" s="18" t="s">
        <v>43</v>
      </c>
      <c r="AX1" s="19"/>
      <c r="AY1" s="20" t="s">
        <v>44</v>
      </c>
      <c r="AZ1" s="19" t="s">
        <v>45</v>
      </c>
      <c r="BA1" s="19"/>
      <c r="BB1" s="19"/>
      <c r="BC1" s="21"/>
      <c r="BD1" s="19" t="s">
        <v>46</v>
      </c>
      <c r="BE1" s="21"/>
      <c r="BF1" s="19" t="s">
        <v>47</v>
      </c>
      <c r="BG1" s="19" t="s">
        <v>48</v>
      </c>
      <c r="BH1" s="19" t="s">
        <v>49</v>
      </c>
      <c r="BI1" s="19" t="s">
        <v>50</v>
      </c>
      <c r="BJ1" s="19" t="s">
        <v>51</v>
      </c>
      <c r="BK1" s="21"/>
      <c r="BL1" s="22" t="s">
        <v>52</v>
      </c>
      <c r="BM1" s="22"/>
      <c r="BN1" s="22"/>
      <c r="BO1" s="22"/>
      <c r="BP1" s="22"/>
      <c r="BQ1" s="22"/>
      <c r="BR1" s="22"/>
      <c r="BS1" s="22"/>
      <c r="BT1" s="23"/>
      <c r="BU1" s="23" t="s">
        <v>53</v>
      </c>
      <c r="BV1" s="23" t="s">
        <v>54</v>
      </c>
      <c r="BW1" s="23" t="s">
        <v>55</v>
      </c>
      <c r="BX1" s="23"/>
      <c r="BY1" s="23" t="s">
        <v>56</v>
      </c>
      <c r="BZ1" s="23" t="s">
        <v>57</v>
      </c>
      <c r="CA1" s="23" t="s">
        <v>58</v>
      </c>
      <c r="CB1" s="23" t="s">
        <v>59</v>
      </c>
      <c r="CC1" s="23" t="s">
        <v>60</v>
      </c>
      <c r="CD1" s="23" t="s">
        <v>61</v>
      </c>
      <c r="CE1" s="23" t="s">
        <v>62</v>
      </c>
      <c r="CF1" s="23" t="s">
        <v>63</v>
      </c>
      <c r="CG1" s="23"/>
      <c r="CH1" s="23" t="s">
        <v>64</v>
      </c>
      <c r="CI1" s="23" t="s">
        <v>65</v>
      </c>
      <c r="CJ1" s="23" t="s">
        <v>66</v>
      </c>
      <c r="CK1" s="23" t="s">
        <v>67</v>
      </c>
      <c r="CL1" s="24" t="s">
        <v>68</v>
      </c>
      <c r="CM1" s="24" t="s">
        <v>69</v>
      </c>
      <c r="CN1" s="24" t="s">
        <v>70</v>
      </c>
      <c r="CO1" s="24" t="s">
        <v>71</v>
      </c>
      <c r="CP1" s="24" t="s">
        <v>72</v>
      </c>
      <c r="CQ1" s="24" t="s">
        <v>73</v>
      </c>
      <c r="CR1" s="24" t="s">
        <v>74</v>
      </c>
      <c r="CS1" s="24" t="s">
        <v>75</v>
      </c>
      <c r="CT1" s="1" t="s">
        <v>76</v>
      </c>
      <c r="CU1" s="25" t="s">
        <v>0</v>
      </c>
      <c r="CV1" s="5" t="s">
        <v>77</v>
      </c>
      <c r="CW1" s="14" t="s">
        <v>78</v>
      </c>
      <c r="CX1" s="14" t="s">
        <v>79</v>
      </c>
      <c r="CY1" s="14" t="s">
        <v>66</v>
      </c>
      <c r="CZ1" s="14" t="s">
        <v>80</v>
      </c>
      <c r="DA1" s="14" t="s">
        <v>81</v>
      </c>
      <c r="DB1" s="14" t="s">
        <v>82</v>
      </c>
      <c r="DC1" s="14" t="s">
        <v>83</v>
      </c>
      <c r="DD1" s="14" t="s">
        <v>84</v>
      </c>
      <c r="DE1" s="14" t="s">
        <v>85</v>
      </c>
      <c r="DF1" s="14" t="s">
        <v>86</v>
      </c>
      <c r="DG1" s="14" t="s">
        <v>87</v>
      </c>
      <c r="DH1" s="14" t="s">
        <v>88</v>
      </c>
      <c r="DI1" s="14" t="s">
        <v>89</v>
      </c>
      <c r="DJ1" s="14" t="s">
        <v>90</v>
      </c>
      <c r="DK1" s="14" t="s">
        <v>91</v>
      </c>
      <c r="DL1" s="14" t="s">
        <v>92</v>
      </c>
      <c r="DM1" s="14" t="s">
        <v>93</v>
      </c>
      <c r="DN1" s="14" t="s">
        <v>94</v>
      </c>
      <c r="DO1" s="14" t="s">
        <v>95</v>
      </c>
      <c r="DP1" s="14" t="s">
        <v>96</v>
      </c>
      <c r="DQ1" s="14" t="s">
        <v>97</v>
      </c>
      <c r="DR1" s="14" t="s">
        <v>56</v>
      </c>
      <c r="DS1" s="14" t="s">
        <v>98</v>
      </c>
      <c r="DT1" s="14" t="s">
        <v>99</v>
      </c>
      <c r="DU1" s="14" t="s">
        <v>100</v>
      </c>
      <c r="DV1" s="14" t="s">
        <v>101</v>
      </c>
      <c r="DW1" s="14" t="s">
        <v>102</v>
      </c>
      <c r="DX1" s="14" t="s">
        <v>103</v>
      </c>
      <c r="DY1" s="14" t="s">
        <v>104</v>
      </c>
      <c r="DZ1" s="14" t="s">
        <v>105</v>
      </c>
      <c r="EA1" s="14" t="s">
        <v>106</v>
      </c>
      <c r="EB1" s="14" t="s">
        <v>107</v>
      </c>
      <c r="EC1" s="14" t="s">
        <v>108</v>
      </c>
      <c r="ED1" s="14" t="s">
        <v>109</v>
      </c>
      <c r="EE1" s="15" t="s">
        <v>18</v>
      </c>
      <c r="EF1" s="14" t="s">
        <v>19</v>
      </c>
      <c r="EG1" s="14" t="s">
        <v>20</v>
      </c>
      <c r="EH1" s="14" t="s">
        <v>21</v>
      </c>
      <c r="EI1" s="14" t="s">
        <v>110</v>
      </c>
      <c r="EJ1" s="14" t="s">
        <v>23</v>
      </c>
      <c r="EK1" s="14" t="s">
        <v>111</v>
      </c>
      <c r="EL1" s="14" t="s">
        <v>112</v>
      </c>
      <c r="EM1" s="14" t="s">
        <v>26</v>
      </c>
      <c r="EN1" s="16" t="s">
        <v>27</v>
      </c>
      <c r="EO1" s="16" t="s">
        <v>28</v>
      </c>
      <c r="EP1" s="16" t="s">
        <v>29</v>
      </c>
      <c r="EQ1" s="16" t="s">
        <v>113</v>
      </c>
      <c r="ER1" s="16" t="s">
        <v>31</v>
      </c>
      <c r="ES1" s="16" t="s">
        <v>32</v>
      </c>
      <c r="ET1" s="16" t="s">
        <v>114</v>
      </c>
      <c r="EU1" s="16" t="s">
        <v>34</v>
      </c>
      <c r="EV1" s="16" t="s">
        <v>35</v>
      </c>
      <c r="EW1" s="16" t="s">
        <v>115</v>
      </c>
      <c r="EX1" s="16" t="s">
        <v>37</v>
      </c>
      <c r="EY1" s="16" t="s">
        <v>38</v>
      </c>
      <c r="EZ1" s="16" t="s">
        <v>39</v>
      </c>
      <c r="FA1" s="16" t="s">
        <v>116</v>
      </c>
      <c r="FB1" s="16" t="s">
        <v>117</v>
      </c>
      <c r="FC1" s="16" t="s">
        <v>118</v>
      </c>
      <c r="FD1" s="16" t="s">
        <v>54</v>
      </c>
      <c r="FE1" s="16" t="s">
        <v>119</v>
      </c>
      <c r="FF1" s="16" t="s">
        <v>120</v>
      </c>
      <c r="FG1" s="16" t="s">
        <v>121</v>
      </c>
      <c r="FH1" s="16" t="s">
        <v>122</v>
      </c>
      <c r="FI1" s="16" t="s">
        <v>123</v>
      </c>
      <c r="FJ1" s="16" t="s">
        <v>124</v>
      </c>
      <c r="FK1" s="16" t="s">
        <v>125</v>
      </c>
      <c r="FL1" s="16" t="s">
        <v>126</v>
      </c>
      <c r="FM1" s="16" t="s">
        <v>127</v>
      </c>
      <c r="FN1" s="16" t="s">
        <v>128</v>
      </c>
      <c r="FO1" s="16" t="s">
        <v>129</v>
      </c>
      <c r="FP1" s="16" t="s">
        <v>130</v>
      </c>
      <c r="FQ1" s="16" t="s">
        <v>131</v>
      </c>
      <c r="FR1" s="16" t="s">
        <v>132</v>
      </c>
      <c r="FS1" s="16" t="s">
        <v>133</v>
      </c>
      <c r="FT1" s="16" t="s">
        <v>134</v>
      </c>
      <c r="FU1" s="16" t="s">
        <v>44</v>
      </c>
      <c r="FV1" s="16" t="s">
        <v>135</v>
      </c>
      <c r="FW1" s="16" t="s">
        <v>58</v>
      </c>
      <c r="FX1" s="16" t="s">
        <v>136</v>
      </c>
      <c r="FY1" s="16" t="s">
        <v>137</v>
      </c>
      <c r="FZ1" s="16" t="s">
        <v>138</v>
      </c>
      <c r="GA1" s="16" t="s">
        <v>139</v>
      </c>
      <c r="GB1" s="16" t="s">
        <v>140</v>
      </c>
      <c r="GC1" s="16" t="s">
        <v>141</v>
      </c>
      <c r="GD1" s="16" t="s">
        <v>142</v>
      </c>
      <c r="GE1" s="16" t="s">
        <v>143</v>
      </c>
      <c r="GF1" s="16" t="s">
        <v>144</v>
      </c>
      <c r="GG1" s="16" t="s">
        <v>145</v>
      </c>
      <c r="GH1" s="16" t="s">
        <v>61</v>
      </c>
      <c r="GI1" s="16" t="s">
        <v>62</v>
      </c>
      <c r="GJ1" s="14" t="s">
        <v>146</v>
      </c>
      <c r="GK1" s="14" t="s">
        <v>147</v>
      </c>
      <c r="GL1" s="14" t="s">
        <v>148</v>
      </c>
      <c r="GM1" s="17" t="s">
        <v>149</v>
      </c>
      <c r="GN1" s="26" t="s">
        <v>150</v>
      </c>
      <c r="GO1" s="26" t="s">
        <v>151</v>
      </c>
      <c r="GP1" s="18" t="s">
        <v>41</v>
      </c>
      <c r="GQ1" s="18" t="s">
        <v>42</v>
      </c>
      <c r="GR1" s="18" t="s">
        <v>43</v>
      </c>
      <c r="GS1" s="21"/>
      <c r="GT1" s="27" t="s">
        <v>52</v>
      </c>
      <c r="GU1" s="27"/>
      <c r="GV1" s="27"/>
      <c r="GW1" s="27"/>
      <c r="GX1" s="28"/>
      <c r="GY1" s="28"/>
      <c r="GZ1" s="28"/>
      <c r="HA1" s="28"/>
      <c r="HB1" s="28"/>
      <c r="HC1" s="28"/>
      <c r="HD1" s="29" t="s">
        <v>13</v>
      </c>
      <c r="HE1" s="30" t="s">
        <v>152</v>
      </c>
      <c r="HF1" s="31"/>
      <c r="HG1" s="32"/>
      <c r="HK1" s="32" t="s">
        <v>4</v>
      </c>
      <c r="HP1" s="33" t="s">
        <v>153</v>
      </c>
      <c r="HQ1" s="33" t="s">
        <v>154</v>
      </c>
      <c r="HR1" s="33" t="s">
        <v>155</v>
      </c>
      <c r="HS1" s="33" t="s">
        <v>156</v>
      </c>
      <c r="HT1" s="33" t="s">
        <v>157</v>
      </c>
      <c r="HU1" s="33" t="s">
        <v>158</v>
      </c>
      <c r="HV1" s="33" t="s">
        <v>159</v>
      </c>
      <c r="HW1" s="33" t="s">
        <v>160</v>
      </c>
      <c r="HX1" s="34" t="s">
        <v>161</v>
      </c>
      <c r="IA1" s="14" t="s">
        <v>162</v>
      </c>
      <c r="IB1" s="35" t="s">
        <v>163</v>
      </c>
      <c r="IC1" s="36" t="s">
        <v>153</v>
      </c>
      <c r="ID1" s="36" t="s">
        <v>154</v>
      </c>
      <c r="IE1" s="36" t="s">
        <v>156</v>
      </c>
      <c r="IF1" s="37" t="s">
        <v>161</v>
      </c>
      <c r="IG1" s="36" t="s">
        <v>157</v>
      </c>
      <c r="IH1" s="36" t="s">
        <v>158</v>
      </c>
      <c r="II1" s="36" t="s">
        <v>155</v>
      </c>
      <c r="IJ1" s="36" t="s">
        <v>159</v>
      </c>
      <c r="IK1" s="36" t="s">
        <v>160</v>
      </c>
      <c r="IO1" s="33" t="s">
        <v>153</v>
      </c>
      <c r="IP1" s="33" t="s">
        <v>154</v>
      </c>
      <c r="IQ1" s="33" t="s">
        <v>155</v>
      </c>
      <c r="IR1" s="33" t="s">
        <v>156</v>
      </c>
      <c r="IS1" s="33" t="s">
        <v>157</v>
      </c>
      <c r="IT1" s="33" t="s">
        <v>158</v>
      </c>
      <c r="IU1" s="33" t="s">
        <v>159</v>
      </c>
      <c r="IV1" s="33" t="s">
        <v>160</v>
      </c>
      <c r="IW1" s="34" t="s">
        <v>161</v>
      </c>
      <c r="IY1" s="5" t="s">
        <v>164</v>
      </c>
    </row>
    <row r="2" spans="1:259" s="44" customFormat="1" ht="38.4" customHeight="1" thickBot="1" x14ac:dyDescent="0.35">
      <c r="A2" s="77" t="s">
        <v>171</v>
      </c>
      <c r="B2" s="78" t="e" vm="1">
        <v>#VALUE!</v>
      </c>
      <c r="C2" s="39">
        <v>1</v>
      </c>
      <c r="D2" s="70" t="s">
        <v>172</v>
      </c>
      <c r="E2" s="40" t="s">
        <v>173</v>
      </c>
      <c r="F2" s="41" t="s">
        <v>165</v>
      </c>
      <c r="G2" s="42">
        <f>COUNTIF($A$1:$A$8245,A2)</f>
        <v>1</v>
      </c>
      <c r="H2" s="43"/>
      <c r="I2" s="59" t="s">
        <v>174</v>
      </c>
      <c r="J2" s="44" t="str">
        <f>""</f>
        <v/>
      </c>
      <c r="K2" s="45">
        <v>44273</v>
      </c>
      <c r="L2" s="46">
        <v>11545</v>
      </c>
      <c r="M2" s="46" t="s">
        <v>1143</v>
      </c>
      <c r="N2" s="47" t="s">
        <v>177</v>
      </c>
      <c r="O2" s="74" t="s">
        <v>175</v>
      </c>
      <c r="P2" s="48" t="s">
        <v>176</v>
      </c>
      <c r="Q2" s="73">
        <v>2</v>
      </c>
      <c r="R2" s="49" t="s">
        <v>177</v>
      </c>
      <c r="S2" s="50">
        <v>0</v>
      </c>
      <c r="T2" s="51" t="s">
        <v>167</v>
      </c>
      <c r="U2" s="52" t="s">
        <v>166</v>
      </c>
      <c r="V2" s="52" t="s">
        <v>166</v>
      </c>
      <c r="W2" s="52" t="s">
        <v>166</v>
      </c>
      <c r="X2" s="52" t="s">
        <v>166</v>
      </c>
      <c r="Y2" s="52" t="s">
        <v>167</v>
      </c>
      <c r="Z2" s="52" t="s">
        <v>167</v>
      </c>
      <c r="AA2" s="52" t="s">
        <v>166</v>
      </c>
      <c r="AB2" s="52" t="s">
        <v>166</v>
      </c>
      <c r="AC2" s="52" t="s">
        <v>167</v>
      </c>
      <c r="AD2" s="52" t="s">
        <v>166</v>
      </c>
      <c r="AE2" s="52" t="s">
        <v>166</v>
      </c>
      <c r="AF2" s="53" t="s">
        <v>167</v>
      </c>
      <c r="AG2" s="53" t="s">
        <v>166</v>
      </c>
      <c r="AH2" s="53" t="s">
        <v>166</v>
      </c>
      <c r="AI2" s="53" t="s">
        <v>166</v>
      </c>
      <c r="AJ2" s="53" t="s">
        <v>166</v>
      </c>
      <c r="AK2" s="53" t="s">
        <v>166</v>
      </c>
      <c r="AL2" s="53" t="s">
        <v>166</v>
      </c>
      <c r="AM2" s="53" t="s">
        <v>166</v>
      </c>
      <c r="AN2" s="53" t="s">
        <v>166</v>
      </c>
      <c r="AO2" s="53" t="s">
        <v>166</v>
      </c>
      <c r="AP2" s="53" t="s">
        <v>166</v>
      </c>
      <c r="AQ2" s="53" t="s">
        <v>166</v>
      </c>
      <c r="AR2" s="53" t="s">
        <v>166</v>
      </c>
      <c r="AS2" s="53" t="s">
        <v>166</v>
      </c>
      <c r="AT2" s="54">
        <v>0</v>
      </c>
      <c r="AU2" s="53"/>
      <c r="AV2" s="53" t="str">
        <f>IF(LEFT(A2,1)="[",LEFT(A2,5)&amp;AU2&amp;A2,"")</f>
        <v/>
      </c>
      <c r="AW2" s="53" t="str">
        <f>C2&amp;H2&amp;A2</f>
        <v>1American Samoa</v>
      </c>
      <c r="AX2" s="55"/>
      <c r="AY2" s="55" t="s">
        <v>167</v>
      </c>
      <c r="AZ2" s="56"/>
      <c r="BA2" s="56"/>
      <c r="BB2" s="56"/>
      <c r="BC2" s="57"/>
      <c r="BD2" s="58" t="s">
        <v>154</v>
      </c>
      <c r="BE2" s="59"/>
      <c r="BF2" s="58"/>
      <c r="BG2" s="58"/>
      <c r="BH2" s="58"/>
      <c r="BI2" s="58"/>
      <c r="BJ2" s="58"/>
      <c r="BK2" s="59"/>
      <c r="BL2" s="58" t="s">
        <v>157</v>
      </c>
      <c r="BM2" s="58" t="s">
        <v>156</v>
      </c>
      <c r="BN2" s="58" t="s">
        <v>154</v>
      </c>
      <c r="BO2" s="58" t="s">
        <v>161</v>
      </c>
      <c r="BP2" s="58" t="s">
        <v>159</v>
      </c>
      <c r="BQ2" s="58"/>
      <c r="BR2" s="58"/>
      <c r="BS2" s="58"/>
      <c r="BT2" s="58"/>
      <c r="BU2" s="60"/>
      <c r="BV2" s="61" t="s">
        <v>167</v>
      </c>
      <c r="BW2" s="61" t="s">
        <v>170</v>
      </c>
      <c r="BX2" s="59"/>
      <c r="BY2" s="44" t="s">
        <v>166</v>
      </c>
      <c r="CB2" s="5" t="s">
        <v>178</v>
      </c>
      <c r="CC2" s="5"/>
      <c r="CD2" s="62">
        <v>0</v>
      </c>
      <c r="CE2" s="62">
        <v>0</v>
      </c>
      <c r="CF2" s="62" t="e">
        <v>#REF!</v>
      </c>
      <c r="CG2" s="75" cm="1">
        <f t="array" ref="CG2">SUMPRODUCT(--(LEN(TRIM(BL2:BT2))&gt;0))</f>
        <v>5</v>
      </c>
      <c r="CH2" s="53" t="str">
        <f>IF(CG2=2,"y","n")</f>
        <v>n</v>
      </c>
      <c r="CI2" s="53" t="str">
        <f>IF(CG2=3,"y","n")</f>
        <v>n</v>
      </c>
      <c r="CJ2" s="53" t="str">
        <f>IF(CG2=4,"y","n")</f>
        <v>n</v>
      </c>
      <c r="CK2" s="53" t="str">
        <f>IF(CG2&gt;4,"y","n")</f>
        <v>y</v>
      </c>
      <c r="CL2" s="53" t="str">
        <f>IF(S2=0,"y","n")</f>
        <v>y</v>
      </c>
      <c r="CM2" s="53" t="str">
        <f>IF(S2=2,"y","n")</f>
        <v>n</v>
      </c>
      <c r="CN2" s="53" t="str">
        <f>IF(S2=3,"y","n")</f>
        <v>n</v>
      </c>
      <c r="CO2" s="53" t="str">
        <f>IF(S2&gt;=4,"y","n")</f>
        <v>n</v>
      </c>
      <c r="CP2" s="53" t="str">
        <f>IF(AT2=0,"y","n")</f>
        <v>y</v>
      </c>
      <c r="CQ2" s="53" t="str">
        <f>IF(AT2=1,"y","n")</f>
        <v>n</v>
      </c>
      <c r="CR2" s="53" t="str">
        <f>IF(AT2=2,"y","n")</f>
        <v>n</v>
      </c>
      <c r="CS2" s="53" t="str">
        <f>IF(AT2&gt;=3,"y","n")</f>
        <v>n</v>
      </c>
      <c r="CT2" s="38" t="str">
        <f>CHAR(34)&amp;A2&amp;CHAR(34)</f>
        <v>"American Samoa"</v>
      </c>
      <c r="CU2" s="63" t="str">
        <f>CHAR(34)&amp;"rgn_"&amp;R2&amp;CHAR(34)</f>
        <v>"rgn_Oceania"</v>
      </c>
      <c r="CV2" s="44" t="str">
        <f>CHAR(34)&amp;D2&amp;CHAR(34)</f>
        <v>"https://upload.wikimedia.org/wikipedia/commons/thumb/8/87/Flag_of_American_Samoa.svg/1200px-Flag_of_American_Samoa.svg.png"</v>
      </c>
      <c r="CW2" s="44" t="str">
        <f t="shared" ref="CW2:CZ3" si="0">IF(CH2="y",CHAR(34)&amp;CH$1&amp;CHAR(34)&amp;",","")</f>
        <v/>
      </c>
      <c r="CX2" s="44" t="str">
        <f t="shared" si="0"/>
        <v/>
      </c>
      <c r="CY2" s="44" t="str">
        <f t="shared" si="0"/>
        <v/>
      </c>
      <c r="CZ2" s="44" t="str">
        <f t="shared" si="0"/>
        <v>"5+Colo",</v>
      </c>
      <c r="DA2" s="44" t="str">
        <f>IF(Q2&gt;1,CHAR(34)&amp;"words2"&amp;CHAR(34)&amp;",","")</f>
        <v>"words2",</v>
      </c>
      <c r="DB2" s="44" t="str">
        <f>IF(Q2&gt;2,CHAR(34)&amp;"words3"&amp;CHAR(34)&amp;",","")</f>
        <v/>
      </c>
      <c r="DC2" s="44" t="str">
        <f>IF(Q2=2,CHAR(34)&amp;"exact2"&amp;CHAR(34)&amp;",","")</f>
        <v>"exact2",</v>
      </c>
      <c r="DD2" s="44"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"lets13",</v>
      </c>
      <c r="DE2" s="44"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"startA",</v>
      </c>
      <c r="DF2" s="44" t="str">
        <f>IFERROR(IF(SEARCH("tan",A2)&gt;0,CHAR(34)&amp;"withtn"&amp;CHAR(34)&amp;",",""),"")</f>
        <v/>
      </c>
      <c r="DG2" s="44" t="str">
        <f>IFERROR(IF(SEARCH("q",A2)&gt;0,CHAR(34)&amp;"with_q"&amp;CHAR(34)&amp;",",""),"")</f>
        <v/>
      </c>
      <c r="DH2" s="44" t="str">
        <f>IFERROR(IF(SEARCH("v",A2)&gt;0,CHAR(34)&amp;"with_v"&amp;CHAR(34)&amp;",",""),"")</f>
        <v/>
      </c>
      <c r="DI2" s="44" t="str">
        <f>IFERROR(IF(SEARCH("w",A2)&gt;0,CHAR(34)&amp;"with_w"&amp;CHAR(34)&amp;",",""),"")</f>
        <v/>
      </c>
      <c r="DJ2" s="44" t="str">
        <f>IFERROR(IF(SEARCH("y",A2)&gt;0,CHAR(34)&amp;"with_y"&amp;CHAR(34)&amp;",",""),"")</f>
        <v/>
      </c>
      <c r="DK2" s="44" t="str">
        <f>IFERROR(IF(SEARCH("z",A2)&gt;0,CHAR(34)&amp;"with_z"&amp;CHAR(34)&amp;",",""),"")</f>
        <v/>
      </c>
      <c r="DL2" s="44" t="str">
        <f>IF(CG2=2, CHAR(34) &amp; _xlfn.TEXTJOIN("", TRUE, _xlfn._xlws.SORT(HP2:HX2)) &amp; CHAR(34) &amp; ",", "")</f>
        <v/>
      </c>
      <c r="DM2" s="44" t="str" cm="1">
        <f t="array" ref="DM2">IF(CG2=3,CHAR(34) &amp; _xlfn.TEXTJOIN("", TRUE, RIGHT(HP2:HX2, 2)) &amp; CHAR(34) &amp; ",", "")</f>
        <v/>
      </c>
      <c r="DN2" s="44" t="str">
        <f>IF(AND(ISNUMBER(SEARCH("18", O2)), ISERROR(SEARCH("1918", O2)), ISERROR(SEARCH("2018", O2))), CHAR(34) &amp; "year18" &amp; CHAR(34) &amp; ",", "")</f>
        <v/>
      </c>
      <c r="DO2" s="44" t="str">
        <f>IF(AND(ISNUMBER(SEARCH("19", O2)), ISERROR(SEARCH("1819", O2)),  ISERROR(SEARCH("1219", O2)),ISERROR(SEARCH("1119", O2)),ISERROR(SEARCH("1190", O2)),ISERROR(SEARCH("2019", O2))), CHAR(34) &amp; "year19" &amp; CHAR(34) &amp; ",", "")</f>
        <v>"year19",</v>
      </c>
      <c r="DP2" s="5" t="str">
        <f>IF(AND(ISNUMBER(SEARCH("20", O2)), ISERROR(SEARCH("1920", O2))), CHAR(34)&amp;"year00"&amp;CHAR(34)&amp;",", "")</f>
        <v/>
      </c>
      <c r="DQ2" s="5" t="str">
        <f>IF(CC2="y",CHAR(34)&amp;"soviet"&amp;CHAR(34)&amp;",","")</f>
        <v/>
      </c>
      <c r="DR2" s="5" t="str">
        <f>IF(BY2="y",CHAR(34)&amp;"dgband"&amp;CHAR(34)&amp;",","")</f>
        <v/>
      </c>
      <c r="DS2" s="5" t="str">
        <f>IF(W2="y",IF(AND(V2="n",BY2&lt;&gt;"y"),CHAR(34)&amp;"allver"&amp;CHAR(34)&amp;",",""),"")</f>
        <v/>
      </c>
      <c r="DT2" s="5" t="str">
        <f>IF(V2="y",IF(AND(W2="n",BY2&lt;&gt;"y"),CHAR(34)&amp;"allhor"&amp;CHAR(34)&amp;",",""),"")</f>
        <v/>
      </c>
      <c r="DU2" s="5" t="str">
        <f>IF(BY2="y",IF(AND(W2="n",V2="n"),CHAR(34)&amp;"alldia"&amp;CHAR(34)&amp;",",""),"")</f>
        <v/>
      </c>
      <c r="DV2" s="44" t="str">
        <f>IF(IA2&lt;&gt;"",(IF(IA2="y",CHAR(34)&amp;"largec"&amp;CHAR(34)&amp;",",CHAR(34)&amp;"smallc"&amp;CHAR(34)&amp;",")),"")</f>
        <v/>
      </c>
      <c r="DW2" s="44" t="str">
        <f t="shared" ref="DW2:DZ3" si="1">IF(CL2="y",CHAR(34)&amp;CL$1&amp;CHAR(34)&amp;",","")</f>
        <v>"NoBand",</v>
      </c>
      <c r="DX2" s="44" t="str">
        <f t="shared" si="1"/>
        <v/>
      </c>
      <c r="DY2" s="44" t="str">
        <f t="shared" si="1"/>
        <v/>
      </c>
      <c r="DZ2" s="44" t="str">
        <f t="shared" si="1"/>
        <v/>
      </c>
      <c r="EA2" s="44" t="str">
        <f t="shared" ref="EA2:EE3" si="2">IF(T2="y",CHAR(34)&amp;T$1&amp;CHAR(34)&amp;",","")</f>
        <v>"Diagon",</v>
      </c>
      <c r="EB2" s="44" t="str">
        <f t="shared" si="2"/>
        <v/>
      </c>
      <c r="EC2" s="44" t="str">
        <f t="shared" si="2"/>
        <v/>
      </c>
      <c r="ED2" s="44" t="str">
        <f t="shared" si="2"/>
        <v/>
      </c>
      <c r="EE2" s="44" t="str">
        <f t="shared" si="2"/>
        <v/>
      </c>
      <c r="EF2" s="44" t="str">
        <f>IF(AND(Y2&lt;&gt;"n",Y2&lt;&gt;""),CHAR(34)&amp;Y$1&amp;CHAR(34)&amp;",","")</f>
        <v>"Animal",</v>
      </c>
      <c r="EG2" s="44" t="str">
        <f t="shared" ref="EG2:EP3" si="3">IF(Z2="y",CHAR(34)&amp;Z$1&amp;CHAR(34)&amp;",","")</f>
        <v>"Bird",</v>
      </c>
      <c r="EH2" s="44" t="str">
        <f t="shared" si="3"/>
        <v/>
      </c>
      <c r="EI2" s="44" t="str">
        <f t="shared" si="3"/>
        <v/>
      </c>
      <c r="EJ2" s="44" t="str">
        <f t="shared" si="3"/>
        <v>"Weapon",</v>
      </c>
      <c r="EK2" s="44" t="str">
        <f t="shared" si="3"/>
        <v/>
      </c>
      <c r="EL2" s="44" t="str">
        <f t="shared" si="3"/>
        <v/>
      </c>
      <c r="EM2" s="44" t="str">
        <f t="shared" si="3"/>
        <v>"Trside",</v>
      </c>
      <c r="EN2" s="44" t="str">
        <f t="shared" si="3"/>
        <v/>
      </c>
      <c r="EO2" s="44" t="str">
        <f t="shared" si="3"/>
        <v/>
      </c>
      <c r="EP2" s="44" t="str">
        <f t="shared" si="3"/>
        <v/>
      </c>
      <c r="EQ2" s="44" t="str">
        <f t="shared" ref="EQ2:EZ3" si="4">IF(AJ2="y",CHAR(34)&amp;AJ$1&amp;CHAR(34)&amp;",","")</f>
        <v/>
      </c>
      <c r="ER2" s="44" t="str">
        <f t="shared" si="4"/>
        <v/>
      </c>
      <c r="ES2" s="44" t="str">
        <f t="shared" si="4"/>
        <v/>
      </c>
      <c r="ET2" s="44" t="str">
        <f t="shared" si="4"/>
        <v/>
      </c>
      <c r="EU2" s="44" t="str">
        <f t="shared" si="4"/>
        <v/>
      </c>
      <c r="EV2" s="44" t="str">
        <f t="shared" si="4"/>
        <v/>
      </c>
      <c r="EW2" s="44" t="str">
        <f t="shared" si="4"/>
        <v/>
      </c>
      <c r="EX2" s="44" t="str">
        <f t="shared" si="4"/>
        <v/>
      </c>
      <c r="EY2" s="44" t="str">
        <f t="shared" si="4"/>
        <v/>
      </c>
      <c r="EZ2" s="44" t="str">
        <f t="shared" si="4"/>
        <v/>
      </c>
      <c r="FA2" s="44" t="str">
        <f>IF(AT2&gt;0,CHAR(34)&amp;"sta"&amp;AZ2&amp;CHAR(34)&amp;",","")</f>
        <v/>
      </c>
      <c r="FB2" s="44" t="str">
        <f>IF(AND(AT2&gt;0,BA2&lt;&gt;""),CHAR(34)&amp;"sta"&amp;BA2&amp;CHAR(34)&amp;",","")</f>
        <v/>
      </c>
      <c r="FC2" s="44" t="str">
        <f>IF(AND(AT2&gt;0,BB2&lt;&gt;""),CHAR(34)&amp;"sta"&amp;BB2&amp;CHAR(34)&amp;",","")</f>
        <v/>
      </c>
      <c r="FD2" s="44" t="str">
        <f>IF(BV2="n",CHAR(34)&amp;"tcWHYE"&amp;CHAR(34)&amp;",",IF(BV2="y",CHAR(34)&amp;FD$1&amp;CHAR(34)&amp;",",""))</f>
        <v>"ntWHYE",</v>
      </c>
      <c r="FE2" s="44" t="str">
        <f>IF(COUNTIF(BL2:BT2,"BLU")=0,CHAR(34)&amp;"NO_BLU"&amp;CHAR(34)&amp;",", "")</f>
        <v/>
      </c>
      <c r="FF2" s="44" t="str">
        <f>IF(COUNTIF(BL2:BT2,"WHI")=0,CHAR(34)&amp;"NO_WHI"&amp;CHAR(34)&amp;",", "")</f>
        <v/>
      </c>
      <c r="FG2" s="44" t="str">
        <f>IF(COUNTIF(BL2:BT2,"RED")=0,CHAR(34)&amp;"NO_RED"&amp;CHAR(34)&amp;",", "")</f>
        <v/>
      </c>
      <c r="FH2" s="44" t="str">
        <f>IF(COUNTIF(BL2:BS2,"GRE")=0,CHAR(34)&amp;"NO_GRE"&amp;CHAR(34)&amp;",", "")</f>
        <v>"NO_GRE",</v>
      </c>
      <c r="FI2" s="44" t="str">
        <f>IF(COUNTIF(BL2:BT2,"YEL")=0,CHAR(34)&amp;"NO_YEL"&amp;CHAR(34)&amp;",", "")</f>
        <v/>
      </c>
      <c r="FJ2" s="44" t="str">
        <f>IF(COUNTIF(BL2:BT2,"BLA")=0,CHAR(34)&amp;"NO_BLA"&amp;CHAR(34)&amp;",", "")</f>
        <v>"NO_BLA",</v>
      </c>
      <c r="FK2" s="44" t="str">
        <f>IF(AND(FH2&lt;&gt;"",FF2&lt;&gt;""),CHAR(34)&amp;"WHGRNO"&amp;CHAR(34)&amp;",","")</f>
        <v/>
      </c>
      <c r="FL2" s="44" t="str">
        <f>IF(AND(FI2&lt;&gt;"",FF2&lt;&gt;""),CHAR(34)&amp;"WHYENO"&amp;CHAR(34)&amp;",","")</f>
        <v/>
      </c>
      <c r="FM2" s="44" t="str">
        <f>IF(AND(FJ2&lt;&gt;"",FF2&lt;&gt;""),CHAR(34)&amp;"BAWHNO"&amp;CHAR(34)&amp;",","")</f>
        <v/>
      </c>
      <c r="FN2" s="44" t="str">
        <f>IF(AND(FE2&lt;&gt;"",FF2&lt;&gt;""),CHAR(34)&amp;"BLWHNO"&amp;CHAR(34)&amp;",","")</f>
        <v/>
      </c>
      <c r="FO2" s="44" t="str">
        <f>IF(AND(FE2&lt;&gt;"",FG2&lt;&gt;""),CHAR(34)&amp;"BLRENO"&amp;CHAR(34)&amp;",","")</f>
        <v/>
      </c>
      <c r="FP2" s="44" t="str">
        <f>IF(AND(FF2&lt;&gt;"",FF2&lt;&gt;""),CHAR(34)&amp;"WHRENO"&amp;CHAR(34)&amp;",","")</f>
        <v/>
      </c>
      <c r="FQ2" s="44" t="str">
        <f>IF(LEN(BF2)=3,CHAR(34)&amp;"001"&amp;BF2&amp;CHAR(34)&amp;",","")</f>
        <v/>
      </c>
      <c r="FR2" s="44" t="str">
        <f>IF(LEN(BG2)=3,CHAR(34)&amp;"002"&amp;BG2&amp;CHAR(34)&amp;",","")</f>
        <v/>
      </c>
      <c r="FS2" s="44" t="str">
        <f>IF(LEN(BH2)=3,CHAR(34)&amp;"003"&amp;BH2&amp;CHAR(34)&amp;",","")</f>
        <v/>
      </c>
      <c r="FT2" s="44" t="str">
        <f>CHAR(34)&amp;"myr"&amp;BD2&amp;CHAR(34)&amp;","</f>
        <v>"myrBLU",</v>
      </c>
      <c r="FU2" s="44" t="str">
        <f>IF(AY2="y",CHAR(34)&amp;"island"&amp;CHAR(34)&amp;",","")</f>
        <v>"island",</v>
      </c>
      <c r="FV2" s="44" t="str">
        <f>IF(BZ2="y",CHAR(34)&amp;"landlo"&amp;CHAR(34)&amp;",","")</f>
        <v/>
      </c>
      <c r="FW2" s="44" t="str">
        <f>IF(CA2="y",CHAR(34)&amp;"eunion"&amp;CHAR(34)&amp;",","")</f>
        <v/>
      </c>
      <c r="FX2" s="44" t="str">
        <f>SUBSTITUTE(IFERROR(SEARCH("[",A2),IFERROR(IF(AND(CA2&lt;&gt;"y",SEARCH("Europe",R2)&gt;0),CHAR(34)&amp;"noeuni"&amp;CHAR(34)&amp;",",""),"")),"1","")</f>
        <v/>
      </c>
      <c r="FY2" s="44" t="str">
        <f>IFERROR(IF(SEARCH("Arabic",CB2)&gt;0,CHAR(34)&amp;"arabic"&amp;CHAR(34)&amp;",",""),"")</f>
        <v/>
      </c>
      <c r="FZ2" s="44" t="str">
        <f>IFERROR(IF(SEARCH("English",CB2)&gt;0,CHAR(34)&amp;"englis"&amp;CHAR(34)&amp;",",""),"")</f>
        <v>"englis",</v>
      </c>
      <c r="GA2" s="44" t="str">
        <f>IFERROR(IF(SEARCH("French",CB2)&gt;0,CHAR(34)&amp;"french"&amp;CHAR(34)&amp;",",""),"")</f>
        <v/>
      </c>
      <c r="GB2" s="44" t="str">
        <f>IFERROR(IF(SEARCH("Spanish",CB2)&gt;0,CHAR(34)&amp;"spanis"&amp;CHAR(34)&amp;",",""),"")</f>
        <v/>
      </c>
      <c r="GC2" s="44" t="str">
        <f>IFERROR(IF(SEARCH("Portuguese",CB2)&gt;0,CHAR(34)&amp;"portug"&amp;CHAR(34)&amp;",",""),"")</f>
        <v/>
      </c>
      <c r="GD2" s="44" t="str">
        <f>IFERROR(IF(SEARCH("German",CB2)&gt;0,CHAR(34)&amp;"german"&amp;CHAR(34)&amp;",",""),"")</f>
        <v/>
      </c>
      <c r="GE2" s="44" t="str">
        <f>IFERROR(IF(SEARCH("Dutch",CB2)&gt;0,CHAR(34)&amp;"dutchs"&amp;CHAR(34)&amp;",",""),"")</f>
        <v/>
      </c>
      <c r="GF2" s="44" t="str">
        <f>IFERROR(IF(SEARCH("Histor",AU2)&gt;0,CHAR(34)&amp;"histor"&amp;CHAR(34)&amp;",",""),"")</f>
        <v/>
      </c>
      <c r="GG2" s="44" t="str">
        <f>IF(BU2="y",CHAR(34)&amp;"unjack"&amp;CHAR(34)&amp;",","")</f>
        <v/>
      </c>
      <c r="GH2" s="44" t="str">
        <f>IF(CD2=1,CHAR(34)&amp;"southc"&amp;CHAR(34)&amp;",","")</f>
        <v/>
      </c>
      <c r="GI2" s="44" t="str">
        <f>IF(CE2=1,CHAR(34)&amp;"hasmap"&amp;CHAR(34)&amp;",","")</f>
        <v/>
      </c>
      <c r="GJ2" s="44" t="str">
        <f>IF(CP2="y",CHAR(34)&amp;CP$1&amp;CHAR(34)&amp;",","")</f>
        <v>"NoStar",</v>
      </c>
      <c r="GK2" s="44" t="str">
        <f>IF(GJ2="",CHAR(34)&amp;"HasSta"&amp;CHAR(34)&amp;",","")</f>
        <v/>
      </c>
      <c r="GL2" s="44" t="str">
        <f t="shared" ref="GL2:GN3" si="5">IF(CQ2="y",CHAR(34)&amp;CQ$1&amp;CHAR(34)&amp;",","")</f>
        <v/>
      </c>
      <c r="GM2" s="44" t="str">
        <f t="shared" si="5"/>
        <v/>
      </c>
      <c r="GN2" s="44" t="str">
        <f t="shared" si="5"/>
        <v/>
      </c>
      <c r="GP2" s="44" t="str">
        <f>CHAR(34)&amp;AU2&amp;CHAR(34)</f>
        <v>""</v>
      </c>
      <c r="GS2" s="44" t="str">
        <f>SUBSTITUTE("["&amp;_xlfn.CONCAT(CW2:GN2)&amp;"]",",]","]")</f>
        <v>["5+Colo","words2","exact2","lets13","startA","year19","NoBand","Diagon","Animal","Bird","Weapon","Trside","ntWHYE","NO_GRE","NO_BLA","myrBLU","island","englis","NoStar"]</v>
      </c>
      <c r="GT2" s="44" t="str">
        <f t="shared" ref="GT2:HB3" si="6">IF(BL2&lt;&gt;"",CHAR(34)&amp;"cl_"&amp;BL2&amp;CHAR(34)&amp;",","")</f>
        <v>"cl_YEL",</v>
      </c>
      <c r="GU2" s="44" t="str">
        <f t="shared" si="6"/>
        <v>"cl_RED",</v>
      </c>
      <c r="GV2" s="44" t="str">
        <f t="shared" si="6"/>
        <v>"cl_BLU",</v>
      </c>
      <c r="GW2" s="44" t="str">
        <f t="shared" si="6"/>
        <v>"cl_WHI",</v>
      </c>
      <c r="GX2" s="44" t="str">
        <f t="shared" si="6"/>
        <v>"cl_BRO",</v>
      </c>
      <c r="GY2" s="44" t="str">
        <f t="shared" si="6"/>
        <v/>
      </c>
      <c r="GZ2" s="44" t="str">
        <f t="shared" si="6"/>
        <v/>
      </c>
      <c r="HA2" s="44" t="str">
        <f t="shared" si="6"/>
        <v/>
      </c>
      <c r="HB2" s="44" t="str">
        <f t="shared" si="6"/>
        <v/>
      </c>
      <c r="HC2" s="44" t="str">
        <f>SUBSTITUTE("["&amp;_xlfn.CONCAT(GT2:HB2)&amp;"]",",]","]")</f>
        <v>["cl_YEL","cl_RED","cl_BLU","cl_WHI","cl_BRO"]</v>
      </c>
      <c r="HE2" s="64"/>
      <c r="HF2" s="65" t="str">
        <f>"{couname:"&amp;CT2&amp;(IF(HK2&lt;&gt;"",",subtype:"&amp;CHAR(34)&amp;HK2&amp;CHAR(34),""))&amp;",year:"&amp;HJ2&amp;",region:"&amp;CU2&amp;",Colors:"&amp;HC2&amp;",Items:"&amp;GS2&amp;",Flag:"&amp;CV2&amp;",HDFlag:"&amp;CHAR(34)&amp;E2&amp;CHAR(34)&amp;",type:"&amp;GP2&amp;", describe: "&amp;HH2&amp;", isnew:"&amp;CHAR(34)&amp;F2&amp;CHAR(34)&amp;", links: "&amp;HL2&amp;"},"</f>
        <v>{couname:"American Samoa",year:"1960 ",region:"rgn_Oceania",Colors:["cl_YEL","cl_RED","cl_BLU","cl_WHI","cl_BRO"],Items:["5+Colo","words2","exact2","lets13","startA","year19","NoBand","Diagon","Animal","Bird","Weapon","Trside","ntWHYE","NO_GRE","NO_BLA","myrBLU","island","englis","NoStar"],Flag:"https://upload.wikimedia.org/wikipedia/commons/thumb/8/87/Flag_of_American_Samoa.svg/1200px-Flag_of_American_Samoa.svg.png",HDFlag:"https://upload.wikimedia.org/wikipedia/commons/thumb/8/87/Flag_of_American_Samoa.svg/2560px-Flag_of_American_Samoa.svg.png",type:"", describe: "\nThe colors used epitomize the traditional colors of the United States and Samoa. The bald eagle and the blue, white and red colors symbolize the country's ties to the United States. The eagle holds a staff and a war club, two traditional symbols of the Samoan chiefs.", isnew:".", links: "https://en.wikipedia.org/wiki/Flag_of_American_Samoa"},</v>
      </c>
      <c r="HG2" s="66" t="str">
        <f>"{couname:"&amp;CT2&amp;(IF(HK2&lt;&gt;"",",subtype:"&amp;CHAR(34)&amp;HK2&amp;CHAR(34),""))&amp;",year:"&amp;HJ2&amp;",region:"&amp;CU2&amp;",Colors:"&amp;HC2&amp;",Items:"&amp;GS2&amp;",Flag:"&amp;CV2&amp;",HDFlag:"&amp;CHAR(34)&amp;E2&amp;CHAR(34)&amp;",type:"&amp;GP2&amp;", describe: "&amp;HI2&amp;", links: "&amp;HL2&amp;"},"</f>
        <v>{couname:"American Samoa",year:"1960 ",region:"rgn_Oceania",Colors:["cl_YEL","cl_RED","cl_BLU","cl_WHI","cl_BRO"],Items:["5+Colo","words2","exact2","lets13","startA","year19","NoBand","Diagon","Animal","Bird","Weapon","Trside","ntWHYE","NO_GRE","NO_BLA","myrBLU","island","englis","NoStar"],Flag:"https://upload.wikimedia.org/wikipedia/commons/thumb/8/87/Flag_of_American_Samoa.svg/1200px-Flag_of_American_Samoa.svg.png",HDFlag:"https://upload.wikimedia.org/wikipedia/commons/thumb/8/87/Flag_of_American_Samoa.svg/2560px-Flag_of_American_Samoa.svg.png",type:"", describe: "\nThe colors used epitomize the traditional colors of the United States and Samoa. The bald eagle and the blue, white and red colors symbolize the country's ties to the United States. The eagle holds a staff and a war club, two traditional symbols of the Samoan chiefs.", links: "https://en.wikipedia.org/wiki/Flag_of_American_Samoa"},</v>
      </c>
      <c r="HH2" s="44" t="str">
        <f>IF(P2&lt;&gt;"",CHAR(34)&amp;"\n"&amp;P2&amp;CHAR(34),CHAR(34)&amp;CHAR(34))</f>
        <v>"\nThe colors used epitomize the traditional colors of the United States and Samoa. The bald eagle and the blue, white and red colors symbolize the country's ties to the United States. The eagle holds a staff and a war club, two traditional symbols of the Samoan chiefs."</v>
      </c>
      <c r="HI2" s="44" t="str">
        <f>IF(J2=0,CHAR(34)&amp;CHAR(34),HH2)</f>
        <v>"\nThe colors used epitomize the traditional colors of the United States and Samoa. The bald eagle and the blue, white and red colors symbolize the country's ties to the United States. The eagle holds a staff and a war club, two traditional symbols of the Samoan chiefs."</v>
      </c>
      <c r="HJ2" s="44" t="str">
        <f>CHAR(34)&amp;O2&amp;CHAR(34)</f>
        <v>"1960 "</v>
      </c>
      <c r="HL2" s="44" t="str">
        <f>CHAR(34)&amp;I2&amp;CHAR(34)</f>
        <v>"https://en.wikipedia.org/wiki/Flag_of_American_Samoa"</v>
      </c>
      <c r="HM2" s="65"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{"couname":"American Samoa","year":"1960 ","region":"rgn_Oceania","Colors":["cl_YEL","cl_RED","cl_BLU","cl_WHI","cl_BRO"],"Items":["5+Colo","words2","exact2","lets13","startA","year19","NoBand","Diagon","Animal","Bird","Weapon","Trside","ntWHYE","NO_GRE","NO_BLA","myrBLU","island","englis","NoStar"],"Flag":"https://upload.wikimedia.org/wikipedia/commons/thumb/8/87/Flag_of_American_Samoa.svg/1200px-Flag_of_American_Samoa.svg.png","HDFlag":"https://upload.wikimedia.org/wikipedia/commons/thumb/8/87/Flag_of_American_Samoa.svg/2560px-Flag_of_American_Samoa.svg.png","type":"", "describe": "\nThe colors used epitomize the traditional colors of the United States and Samoa. The bald eagle and the blue, white and red colors symbolize the country's ties to the United States. The eagle holds a staff and a war club, two traditional symbols of the Samoan chiefs.", "isnew": ".", "links": "https://en.wikipedia.org/wiki/Flag_of_American_Samoa"},</v>
      </c>
      <c r="HN2" s="67"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{"couname":"American Samoa","year":"1960 ","region":"rgn_Oceania","Colors":["cl_YEL","cl_RED","cl_BLU","cl_WHI","cl_BRO"],"Items":["5+Colo","words2","exact2","lets13","startA","year19","NoBand","Diagon","Animal","Bird","Weapon","Trside","ntWHYE","NO_GRE","NO_BLA","myrBLU","island","englis","NoStar"],"Flag":"https://upload.wikimedia.org/wikipedia/commons/thumb/8/87/Flag_of_American_Samoa.svg/1200px-Flag_of_American_Samoa.svg.png","HDFlag":"https://upload.wikimedia.org/wikipedia/commons/thumb/8/87/Flag_of_American_Samoa.svg/2560px-Flag_of_American_Samoa.svg.png","type":"", "describe": "\nThe colors used epitomize the traditional colors of the United States and Samoa. The bald eagle and the blue, white and red colors symbolize the country's ties to the United States. The eagle holds a staff and a war club, two traditional symbols of the Samoan chiefs.", "isnew": ".", "links": "https://en.wikipedia.org/wiki/Flag_of_American_Samoa"},</v>
      </c>
      <c r="HO2" s="71"/>
      <c r="HP2" s="44" t="str" cm="1">
        <f t="array" ref="HP2">IF(_xlfn.TEXTJOIN(", ", TRUE, IF(ISNUMBER(SEARCH("BLA", BL2:BT2)), COLUMN(BL2:BT2) - COLUMN(BL2) + 1, ""))&lt;&gt;"","BLA","")</f>
        <v/>
      </c>
      <c r="HQ2" s="44" t="str" cm="1">
        <f t="array" ref="HQ2">IF(_xlfn.TEXTJOIN(", ", TRUE, IF(ISNUMBER(SEARCH("BLU", BL2:BT2)), COLUMN(BL2:BT2) - COLUMN(BL2) + 1, ""))&lt;&gt;"","BLU","")</f>
        <v>BLU</v>
      </c>
      <c r="HR2" s="44" t="str" cm="1">
        <f t="array" ref="HR2">IF(_xlfn.TEXTJOIN(", ", TRUE, IF(ISNUMBER(SEARCH("GRE", BL2:BT2)), COLUMN(BL2:BT2) - COLUMN(BL2) + 1, ""))&lt;&gt;"","GRE","")</f>
        <v/>
      </c>
      <c r="HS2" s="44" t="str" cm="1">
        <f t="array" ref="HS2">IF(_xlfn.TEXTJOIN(", ", TRUE, IF(ISNUMBER(SEARCH("RED", BL2:BT2)), COLUMN(BL2:BT2) - COLUMN(BL2) + 1, ""))&lt;&gt;"","RED","")</f>
        <v>RED</v>
      </c>
      <c r="HT2" s="44" t="str" cm="1">
        <f t="array" ref="HT2">IF(_xlfn.TEXTJOIN(", ", TRUE, IF(ISNUMBER(SEARCH("YEL", BL2:BT2)), COLUMN(BL2:BT2) - COLUMN(BL2) + 1, ""))&lt;&gt;"","YEL","")</f>
        <v>YEL</v>
      </c>
      <c r="HU2" s="44" t="str" cm="1">
        <f t="array" ref="HU2">IF(_xlfn.TEXTJOIN(", ", TRUE, IF(ISNUMBER(SEARCH("ORA", BL2:BT2)), COLUMN(BL2:BT2) - COLUMN(BL2) + 1, ""))&lt;&gt;"","ORA","")</f>
        <v/>
      </c>
      <c r="HV2" s="44" t="str" cm="1">
        <f t="array" ref="HV2">IF(_xlfn.TEXTJOIN(", ", TRUE, IF(ISNUMBER(SEARCH("BRO", BL2:BT2)), COLUMN(BL2:BT2) - COLUMN(BL2) + 1, ""))&lt;&gt;"","BRO","")</f>
        <v>BRO</v>
      </c>
      <c r="HW2" s="44" t="str" cm="1">
        <f t="array" ref="HW2">IF(_xlfn.TEXTJOIN(", ", TRUE, IF(ISNUMBER(SEARCH("PUR", BL2:BT2)), COLUMN(BL2:BT2) - COLUMN(BL2) + 1, ""))&lt;&gt;"","PUR","")</f>
        <v/>
      </c>
      <c r="HX2" s="44" t="str" cm="1">
        <f t="array" ref="HX2">IF(_xlfn.TEXTJOIN(", ", TRUE, IF(ISNUMBER(SEARCH("WHI", BL2:BT2)), COLUMN(BL2:BT2) - COLUMN(BL2) + 1, ""))&lt;&gt;"","WHI","")</f>
        <v>WHI</v>
      </c>
      <c r="HY2" s="72"/>
      <c r="HZ2" s="72"/>
      <c r="IA2" s="5"/>
      <c r="IB2" s="5"/>
      <c r="IC2" s="68">
        <v>0</v>
      </c>
      <c r="ID2" s="68">
        <v>0.52</v>
      </c>
      <c r="IE2" s="68">
        <v>0.12</v>
      </c>
      <c r="IF2" s="68">
        <v>0.34</v>
      </c>
      <c r="IG2" s="68">
        <v>0.01</v>
      </c>
      <c r="IH2" s="68">
        <v>0</v>
      </c>
      <c r="II2" s="68">
        <v>0</v>
      </c>
      <c r="IJ2" s="68">
        <v>0</v>
      </c>
      <c r="IK2" s="68">
        <v>0</v>
      </c>
      <c r="IL2" s="44">
        <f>SUM(IC2:IK2)</f>
        <v>0.99</v>
      </c>
      <c r="IM2" s="42">
        <f>COUNTIF(IC2:IK2,"&gt;0")-CG2</f>
        <v>-1</v>
      </c>
      <c r="IN2" s="69" t="str">
        <f>"http://mkweb.bcgsc.ca/color-summarizer/?url="&amp;D2&amp;"&amp;precision=low&amp;num_clusters="&amp;CG2&amp;"&amp;text=1"</f>
        <v>http://mkweb.bcgsc.ca/color-summarizer/?url=https://upload.wikimedia.org/wikipedia/commons/thumb/8/87/Flag_of_American_Samoa.svg/1200px-Flag_of_American_Samoa.svg.png&amp;precision=low&amp;num_clusters=5&amp;text=1</v>
      </c>
      <c r="IO2" s="44" t="str">
        <f>IF(HP2&lt;&gt;"",CHAR(34)&amp;"black"&amp;CHAR(34),"")</f>
        <v/>
      </c>
      <c r="IP2" s="44" t="str">
        <f>IF(HQ2&lt;&gt;"",CHAR(34)&amp;"blue"&amp;CHAR(34),"")</f>
        <v>"blue"</v>
      </c>
      <c r="IQ2" s="44" t="str">
        <f>IF(HR2&lt;&gt;"",CHAR(34)&amp;"green"&amp;CHAR(34),"")</f>
        <v/>
      </c>
      <c r="IR2" s="44" t="str">
        <f>IF(HS2&lt;&gt;"",CHAR(34)&amp;"red"&amp;CHAR(34),"")</f>
        <v>"red"</v>
      </c>
      <c r="IS2" s="44" t="str">
        <f>IF(HT2&lt;&gt;"",CHAR(34)&amp;"yellow"&amp;CHAR(34),"")</f>
        <v>"yellow"</v>
      </c>
      <c r="IT2" s="44" t="str">
        <f>IF(HU2&lt;&gt;"",CHAR(34)&amp;"orange"&amp;CHAR(34),"")</f>
        <v/>
      </c>
      <c r="IU2" s="44" t="str">
        <f>IF(HV2&lt;&gt;"",CHAR(34)&amp;"brown"&amp;CHAR(34),"")</f>
        <v>"brown"</v>
      </c>
      <c r="IV2" s="44" t="str">
        <f>IF(HW2&lt;&gt;"",CHAR(34)&amp;"purple"&amp;CHAR(34),"")</f>
        <v/>
      </c>
      <c r="IW2" s="44" t="str">
        <f>IF(HX2&lt;&gt;"",CHAR(34)&amp;"white"&amp;CHAR(34),"")</f>
        <v>"white"</v>
      </c>
      <c r="IX2" s="44" t="str">
        <f>"{"&amp;CHAR(34)&amp;"url"&amp;CHAR(34)&amp;":"&amp;CHAR(34)&amp;IN2&amp;CHAR(34)&amp;","&amp;CHAR(34)&amp;"name"&amp;CHAR(34)&amp;":"&amp;CHAR(34)&amp;A2&amp;CHAR(34)&amp;"},"</f>
        <v>{"url":"http://mkweb.bcgsc.ca/color-summarizer/?url=https://upload.wikimedia.org/wikipedia/commons/thumb/8/87/Flag_of_American_Samoa.svg/1200px-Flag_of_American_Samoa.svg.png&amp;precision=low&amp;num_clusters=5&amp;text=1","name":"American Samoa"},</v>
      </c>
      <c r="IY2" s="44">
        <v>6</v>
      </c>
    </row>
    <row r="3" spans="1:259" s="44" customFormat="1" ht="38.4" customHeight="1" thickBot="1" x14ac:dyDescent="0.35">
      <c r="A3" s="80" t="s">
        <v>357</v>
      </c>
      <c r="B3" s="78" t="e" vm="2">
        <v>#VALUE!</v>
      </c>
      <c r="C3" s="39">
        <v>2</v>
      </c>
      <c r="D3" s="70" t="s">
        <v>1036</v>
      </c>
      <c r="E3" s="40" t="s">
        <v>1036</v>
      </c>
      <c r="F3" s="41" t="s">
        <v>165</v>
      </c>
      <c r="G3" s="42">
        <f>COUNTIF($A$1:$A$8245,A3)</f>
        <v>1</v>
      </c>
      <c r="H3" s="43"/>
      <c r="I3" s="59" t="s">
        <v>358</v>
      </c>
      <c r="J3" s="44" t="str">
        <f>""</f>
        <v/>
      </c>
      <c r="K3" s="45"/>
      <c r="L3" s="46"/>
      <c r="M3" s="46"/>
      <c r="N3" s="47" t="s">
        <v>177</v>
      </c>
      <c r="O3" s="74" t="s">
        <v>230</v>
      </c>
      <c r="P3" s="48" t="s">
        <v>359</v>
      </c>
      <c r="Q3" s="73">
        <v>2</v>
      </c>
      <c r="R3" s="49" t="s">
        <v>177</v>
      </c>
      <c r="S3" s="50">
        <v>0</v>
      </c>
      <c r="T3" s="51" t="s">
        <v>166</v>
      </c>
      <c r="U3" s="52" t="s">
        <v>166</v>
      </c>
      <c r="V3" s="52" t="s">
        <v>167</v>
      </c>
      <c r="W3" s="52" t="s">
        <v>166</v>
      </c>
      <c r="X3" s="52" t="s">
        <v>167</v>
      </c>
      <c r="Y3" s="52" t="s">
        <v>167</v>
      </c>
      <c r="Z3" s="52" t="s">
        <v>167</v>
      </c>
      <c r="AA3" s="52" t="s">
        <v>166</v>
      </c>
      <c r="AB3" s="52" t="s">
        <v>166</v>
      </c>
      <c r="AC3" s="52" t="s">
        <v>166</v>
      </c>
      <c r="AD3" s="52" t="s">
        <v>166</v>
      </c>
      <c r="AE3" s="52" t="s">
        <v>166</v>
      </c>
      <c r="AF3" s="53" t="s">
        <v>166</v>
      </c>
      <c r="AG3" s="53" t="s">
        <v>166</v>
      </c>
      <c r="AH3" s="53" t="s">
        <v>166</v>
      </c>
      <c r="AI3" s="53" t="s">
        <v>166</v>
      </c>
      <c r="AJ3" s="53" t="s">
        <v>166</v>
      </c>
      <c r="AK3" s="53" t="s">
        <v>166</v>
      </c>
      <c r="AL3" s="53" t="s">
        <v>166</v>
      </c>
      <c r="AM3" s="53" t="s">
        <v>166</v>
      </c>
      <c r="AN3" s="53" t="s">
        <v>166</v>
      </c>
      <c r="AO3" s="53" t="s">
        <v>166</v>
      </c>
      <c r="AP3" s="53" t="s">
        <v>166</v>
      </c>
      <c r="AQ3" s="53" t="s">
        <v>166</v>
      </c>
      <c r="AR3" s="53" t="s">
        <v>166</v>
      </c>
      <c r="AS3" s="53" t="s">
        <v>166</v>
      </c>
      <c r="AT3" s="54">
        <v>3</v>
      </c>
      <c r="AU3" s="53" t="s">
        <v>360</v>
      </c>
      <c r="AV3" s="53" t="str">
        <f>IF(LEFT(A3,1)="[",LEFT(A3,5)&amp;AU3&amp;A3,"")</f>
        <v>[ASM]City[ASM] Manu'a Islands</v>
      </c>
      <c r="AW3" s="53" t="str">
        <f>C3&amp;H3&amp;A3</f>
        <v>2[ASM] Manu'a Islands</v>
      </c>
      <c r="AX3" s="55"/>
      <c r="AY3" s="55"/>
      <c r="AZ3" s="56" t="s">
        <v>161</v>
      </c>
      <c r="BA3" s="56"/>
      <c r="BB3" s="56"/>
      <c r="BC3" s="57"/>
      <c r="BD3" s="58" t="s">
        <v>155</v>
      </c>
      <c r="BE3" s="59"/>
      <c r="BF3" s="58" t="s">
        <v>231</v>
      </c>
      <c r="BG3" s="58" t="s">
        <v>231</v>
      </c>
      <c r="BH3" s="58" t="s">
        <v>231</v>
      </c>
      <c r="BI3" s="58"/>
      <c r="BJ3" s="58"/>
      <c r="BK3" s="59"/>
      <c r="BL3" s="58" t="s">
        <v>231</v>
      </c>
      <c r="BM3" s="58" t="s">
        <v>231</v>
      </c>
      <c r="BN3" s="58" t="s">
        <v>155</v>
      </c>
      <c r="BO3" s="58" t="s">
        <v>156</v>
      </c>
      <c r="BP3" s="58" t="s">
        <v>157</v>
      </c>
      <c r="BQ3" s="58" t="s">
        <v>231</v>
      </c>
      <c r="BR3" s="58" t="s">
        <v>231</v>
      </c>
      <c r="BS3" s="58" t="s">
        <v>231</v>
      </c>
      <c r="BT3" s="58" t="s">
        <v>161</v>
      </c>
      <c r="BU3" s="60"/>
      <c r="BV3" s="61"/>
      <c r="BW3" s="61">
        <v>0</v>
      </c>
      <c r="BX3" s="59"/>
      <c r="CB3" s="5"/>
      <c r="CC3" s="5"/>
      <c r="CD3" s="62">
        <v>0</v>
      </c>
      <c r="CE3" s="62">
        <v>0</v>
      </c>
      <c r="CF3" s="62" t="e">
        <v>#REF!</v>
      </c>
      <c r="CG3" s="75" cm="1">
        <f t="array" ref="CG3">SUMPRODUCT(--(LEN(TRIM(BL3:BT3))&gt;0))</f>
        <v>4</v>
      </c>
      <c r="CH3" s="53" t="str">
        <f>IF(CG3=2,"y","n")</f>
        <v>n</v>
      </c>
      <c r="CI3" s="53" t="str">
        <f>IF(CG3=3,"y","n")</f>
        <v>n</v>
      </c>
      <c r="CJ3" s="53" t="str">
        <f>IF(CG3=4,"y","n")</f>
        <v>y</v>
      </c>
      <c r="CK3" s="53" t="str">
        <f>IF(CG3&gt;4,"y","n")</f>
        <v>n</v>
      </c>
      <c r="CL3" s="53" t="str">
        <f>IF(S3=0,"y","n")</f>
        <v>y</v>
      </c>
      <c r="CM3" s="53" t="str">
        <f>IF(S3=2,"y","n")</f>
        <v>n</v>
      </c>
      <c r="CN3" s="53" t="str">
        <f>IF(S3=3,"y","n")</f>
        <v>n</v>
      </c>
      <c r="CO3" s="53" t="str">
        <f>IF(S3&gt;=4,"y","n")</f>
        <v>n</v>
      </c>
      <c r="CP3" s="53" t="str">
        <f>IF(AT3=0,"y","n")</f>
        <v>n</v>
      </c>
      <c r="CQ3" s="53" t="str">
        <f>IF(AT3=1,"y","n")</f>
        <v>n</v>
      </c>
      <c r="CR3" s="53" t="str">
        <f>IF(AT3=2,"y","n")</f>
        <v>n</v>
      </c>
      <c r="CS3" s="53" t="str">
        <f>IF(AT3&gt;=3,"y","n")</f>
        <v>y</v>
      </c>
      <c r="CT3" s="38" t="str">
        <f>CHAR(34)&amp;A3&amp;CHAR(34)</f>
        <v>"[ASM] Manu'a Islands"</v>
      </c>
      <c r="CU3" s="63" t="str">
        <f>CHAR(34)&amp;"rgn_"&amp;R3&amp;CHAR(34)</f>
        <v>"rgn_Oceania"</v>
      </c>
      <c r="CV3" s="44" t="str">
        <f>CHAR(34)&amp;D3&amp;CHAR(34)</f>
        <v>"https://upload.wikimedia.org/wikipedia/commons/0/04/Manu%27a-flag.gif"</v>
      </c>
      <c r="CW3" s="44" t="str">
        <f t="shared" si="0"/>
        <v/>
      </c>
      <c r="CX3" s="44" t="str">
        <f t="shared" si="0"/>
        <v/>
      </c>
      <c r="CY3" s="44" t="str">
        <f t="shared" si="0"/>
        <v>"4Color",</v>
      </c>
      <c r="CZ3" s="44" t="str">
        <f t="shared" si="0"/>
        <v/>
      </c>
      <c r="DA3" s="44" t="str">
        <f>IF(Q3&gt;1,CHAR(34)&amp;"words2"&amp;CHAR(34)&amp;",","")</f>
        <v>"words2",</v>
      </c>
      <c r="DB3" s="44" t="str">
        <f>IF(Q3&gt;2,CHAR(34)&amp;"words3"&amp;CHAR(34)&amp;",","")</f>
        <v/>
      </c>
      <c r="DC3" s="44" t="str">
        <f>IF(Q3=2,CHAR(34)&amp;"exact2"&amp;CHAR(34)&amp;",","")</f>
        <v>"exact2",</v>
      </c>
      <c r="DD3" s="44" t="str">
        <f>IF(LEN(CHAR(34)&amp;"lets"&amp;LEN(SUBSTITUTE(SUBSTITUTE(IFERROR(TRIM(SUBSTITUTE(SUBSTITUTE(SUBSTITUTE(IFERROR(TRIM(SUBSTITUTE(A3,MID(A3,FIND("(",A3),FIND(")",A3)-FIND("(",A3)+1),"")),A3),"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",""),"-",""))&amp;CHAR(34)&amp;",")=9,CHAR(34)&amp;"lets"&amp;LEN(SUBSTITUTE(SUBSTITUTE(IFERROR(TRIM(SUBSTITUTE(SUBSTITUTE(SUBSTITUTE(IFERROR(TRIM(SUBSTITUTE(A3,MID(A3,FIND("(",A3),FIND(")",A3)-FIND("(",A3)+1),"")),A3),"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",""),"-",""))&amp;CHAR(34)&amp;",",CHAR(34)&amp;"lets0"&amp;LEN(SUBSTITUTE(SUBSTITUTE(IFERROR(TRIM(SUBSTITUTE(SUBSTITUTE(SUBSTITUTE(IFERROR(TRIM(SUBSTITUTE(A3,MID(A3,FIND("(",A3),FIND(")",A3)-FIND("(",A3)+1),"")),A3),"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f>
        <v>"lets13",</v>
      </c>
      <c r="DE3" s="44" t="str">
        <f>IFERROR(CHAR(34)&amp;"start"&amp;LEFT(TRIM(SUBSTITUTE(SUBSTITUTE(TRIM(SUBSTITUTE(SUBSTITUTE(A3, MID(A3, FIND("[", A3), FIND("]", A3) - FIND("[", A3) + 1), ""), "  ", " ")), MID(TRIM(SUBSTITUTE(SUBSTITUTE(A3, MID(A3, FIND("[", A3), FIND("]", A3) - FIND("[", A3) + 1), ""), "  ", " ")), FIND("[", TRIM(SUBSTITUTE(SUBSTITUTE(A3, MID(A3, FIND("[", A3), FIND("]", A3) - FIND("[", A3) + 1), ""), "  ", " "))), FIND("]", TRIM(SUBSTITUTE(SUBSTITUTE(A3, MID(A3, FIND("[", A3), FIND("]", A3) - FIND("[", A3) + 1), ""), "  ", " "))) - FIND("[", TRIM(SUBSTITUTE(SUBSTITUTE(A3, MID(A3, FIND("[", A3), FIND("]", A3) - FIND("[", A3) + 1), ""), "  ", " "))) + 1), ""), "  ", " ")),1)&amp;CHAR(34)&amp;",",CHAR(34)&amp;"start"&amp;IFERROR(LEFT(SUBSTITUTE(A3,"["&amp;MID(A3,FIND("[",A3)+1,FIND("]",A3)-FIND("[",A3)-1)&amp;"] ",""),1),LEFT(A3,1))&amp;CHAR(34)&amp;",")</f>
        <v>"startM",</v>
      </c>
      <c r="DF3" s="44" t="str">
        <f>IFERROR(IF(SEARCH("tan",A3)&gt;0,CHAR(34)&amp;"withtn"&amp;CHAR(34)&amp;",",""),"")</f>
        <v/>
      </c>
      <c r="DG3" s="44" t="str">
        <f>IFERROR(IF(SEARCH("q",A3)&gt;0,CHAR(34)&amp;"with_q"&amp;CHAR(34)&amp;",",""),"")</f>
        <v/>
      </c>
      <c r="DH3" s="44" t="str">
        <f>IFERROR(IF(SEARCH("v",A3)&gt;0,CHAR(34)&amp;"with_v"&amp;CHAR(34)&amp;",",""),"")</f>
        <v/>
      </c>
      <c r="DI3" s="44" t="str">
        <f>IFERROR(IF(SEARCH("w",A3)&gt;0,CHAR(34)&amp;"with_w"&amp;CHAR(34)&amp;",",""),"")</f>
        <v/>
      </c>
      <c r="DJ3" s="44" t="str">
        <f>IFERROR(IF(SEARCH("y",A3)&gt;0,CHAR(34)&amp;"with_y"&amp;CHAR(34)&amp;",",""),"")</f>
        <v/>
      </c>
      <c r="DK3" s="44" t="str">
        <f>IFERROR(IF(SEARCH("z",A3)&gt;0,CHAR(34)&amp;"with_z"&amp;CHAR(34)&amp;",",""),"")</f>
        <v/>
      </c>
      <c r="DL3" s="44" t="str">
        <f>IF(CG3=2, CHAR(34) &amp; _xlfn.TEXTJOIN("", TRUE, _xlfn._xlws.SORT(HP3:HX3)) &amp; CHAR(34) &amp; ",", "")</f>
        <v/>
      </c>
      <c r="DM3" s="44" t="str" cm="1">
        <f t="array" ref="DM3">IF(CG3=3,CHAR(34) &amp; _xlfn.TEXTJOIN("", TRUE, RIGHT(HP3:HX3, 2)) &amp; CHAR(34) &amp; ",", "")</f>
        <v/>
      </c>
      <c r="DN3" s="44" t="str">
        <f>IF(AND(ISNUMBER(SEARCH("18", O3)), ISERROR(SEARCH("1918", O3)), ISERROR(SEARCH("2018", O3))), CHAR(34) &amp; "year18" &amp; CHAR(34) &amp; ",", "")</f>
        <v/>
      </c>
      <c r="DO3" s="44" t="str">
        <f>IF(AND(ISNUMBER(SEARCH("19", O3)), ISERROR(SEARCH("1819", O3)),  ISERROR(SEARCH("1219", O3)),ISERROR(SEARCH("1119", O3)),ISERROR(SEARCH("1190", O3)),ISERROR(SEARCH("2019", O3))), CHAR(34) &amp; "year19" &amp; CHAR(34) &amp; ",", "")</f>
        <v/>
      </c>
      <c r="DP3" s="5" t="str">
        <f>IF(AND(ISNUMBER(SEARCH("20", O3)), ISERROR(SEARCH("1920", O3))), CHAR(34)&amp;"year00"&amp;CHAR(34)&amp;",", "")</f>
        <v/>
      </c>
      <c r="DQ3" s="5" t="str">
        <f>IF(CC3="y",CHAR(34)&amp;"soviet"&amp;CHAR(34)&amp;",","")</f>
        <v/>
      </c>
      <c r="DR3" s="5" t="str">
        <f>IF(BY3="y",CHAR(34)&amp;"dgband"&amp;CHAR(34)&amp;",","")</f>
        <v/>
      </c>
      <c r="DS3" s="5" t="str">
        <f>IF(W3="y",IF(AND(V3="n",BY3&lt;&gt;"y"),CHAR(34)&amp;"allver"&amp;CHAR(34)&amp;",",""),"")</f>
        <v/>
      </c>
      <c r="DT3" s="5" t="str">
        <f>IF(V3="y",IF(AND(W3="n",BY3&lt;&gt;"y"),CHAR(34)&amp;"allhor"&amp;CHAR(34)&amp;",",""),"")</f>
        <v>"allhor",</v>
      </c>
      <c r="DU3" s="5" t="str">
        <f>IF(BY3="y",IF(AND(W3="n",V3="n"),CHAR(34)&amp;"alldia"&amp;CHAR(34)&amp;",",""),"")</f>
        <v/>
      </c>
      <c r="DV3" s="44" t="str">
        <f>IF(IA3&lt;&gt;"",(IF(IA3="y",CHAR(34)&amp;"largec"&amp;CHAR(34)&amp;",",CHAR(34)&amp;"smallc"&amp;CHAR(34)&amp;",")),"")</f>
        <v/>
      </c>
      <c r="DW3" s="44" t="str">
        <f t="shared" si="1"/>
        <v>"NoBand",</v>
      </c>
      <c r="DX3" s="44" t="str">
        <f t="shared" si="1"/>
        <v/>
      </c>
      <c r="DY3" s="44" t="str">
        <f t="shared" si="1"/>
        <v/>
      </c>
      <c r="DZ3" s="44" t="str">
        <f t="shared" si="1"/>
        <v/>
      </c>
      <c r="EA3" s="44" t="str">
        <f t="shared" si="2"/>
        <v/>
      </c>
      <c r="EB3" s="44" t="str">
        <f t="shared" si="2"/>
        <v/>
      </c>
      <c r="EC3" s="44" t="str">
        <f t="shared" si="2"/>
        <v>"Horizo",</v>
      </c>
      <c r="ED3" s="44" t="str">
        <f t="shared" si="2"/>
        <v/>
      </c>
      <c r="EE3" s="44" t="str">
        <f t="shared" si="2"/>
        <v>"Circle",</v>
      </c>
      <c r="EF3" s="44" t="str">
        <f>IF(AND(Y3&lt;&gt;"n",Y3&lt;&gt;""),CHAR(34)&amp;Y$1&amp;CHAR(34)&amp;",","")</f>
        <v>"Animal",</v>
      </c>
      <c r="EG3" s="44" t="str">
        <f t="shared" si="3"/>
        <v>"Bird",</v>
      </c>
      <c r="EH3" s="44" t="str">
        <f t="shared" si="3"/>
        <v/>
      </c>
      <c r="EI3" s="44" t="str">
        <f t="shared" si="3"/>
        <v/>
      </c>
      <c r="EJ3" s="44" t="str">
        <f t="shared" si="3"/>
        <v/>
      </c>
      <c r="EK3" s="44" t="str">
        <f t="shared" si="3"/>
        <v/>
      </c>
      <c r="EL3" s="44" t="str">
        <f t="shared" si="3"/>
        <v/>
      </c>
      <c r="EM3" s="44" t="str">
        <f t="shared" si="3"/>
        <v/>
      </c>
      <c r="EN3" s="44" t="str">
        <f t="shared" si="3"/>
        <v/>
      </c>
      <c r="EO3" s="44" t="str">
        <f t="shared" si="3"/>
        <v/>
      </c>
      <c r="EP3" s="44" t="str">
        <f t="shared" si="3"/>
        <v/>
      </c>
      <c r="EQ3" s="44" t="str">
        <f t="shared" si="4"/>
        <v/>
      </c>
      <c r="ER3" s="44" t="str">
        <f t="shared" si="4"/>
        <v/>
      </c>
      <c r="ES3" s="44" t="str">
        <f t="shared" si="4"/>
        <v/>
      </c>
      <c r="ET3" s="44" t="str">
        <f t="shared" si="4"/>
        <v/>
      </c>
      <c r="EU3" s="44" t="str">
        <f t="shared" si="4"/>
        <v/>
      </c>
      <c r="EV3" s="44" t="str">
        <f t="shared" si="4"/>
        <v/>
      </c>
      <c r="EW3" s="44" t="str">
        <f t="shared" si="4"/>
        <v/>
      </c>
      <c r="EX3" s="44" t="str">
        <f t="shared" si="4"/>
        <v/>
      </c>
      <c r="EY3" s="44" t="str">
        <f t="shared" si="4"/>
        <v/>
      </c>
      <c r="EZ3" s="44" t="str">
        <f t="shared" si="4"/>
        <v/>
      </c>
      <c r="FA3" s="44" t="str">
        <f>IF(AT3&gt;0,CHAR(34)&amp;"sta"&amp;AZ3&amp;CHAR(34)&amp;",","")</f>
        <v>"staWHI",</v>
      </c>
      <c r="FB3" s="44" t="str">
        <f>IF(AND(AT3&gt;0,BA3&lt;&gt;""),CHAR(34)&amp;"sta"&amp;BA3&amp;CHAR(34)&amp;",","")</f>
        <v/>
      </c>
      <c r="FC3" s="44" t="str">
        <f>IF(AND(AT3&gt;0,BB3&lt;&gt;""),CHAR(34)&amp;"sta"&amp;BB3&amp;CHAR(34)&amp;",","")</f>
        <v/>
      </c>
      <c r="FD3" s="44" t="str">
        <f>IF(BV3="n",CHAR(34)&amp;"tcWHYE"&amp;CHAR(34)&amp;",",IF(BV3="y",CHAR(34)&amp;FD$1&amp;CHAR(34)&amp;",",""))</f>
        <v/>
      </c>
      <c r="FE3" s="44" t="str">
        <f>IF(COUNTIF(BL3:BT3,"BLU")=0,CHAR(34)&amp;"NO_BLU"&amp;CHAR(34)&amp;",", "")</f>
        <v>"NO_BLU",</v>
      </c>
      <c r="FF3" s="44" t="str">
        <f>IF(COUNTIF(BL3:BT3,"WHI")=0,CHAR(34)&amp;"NO_WHI"&amp;CHAR(34)&amp;",", "")</f>
        <v/>
      </c>
      <c r="FG3" s="44" t="str">
        <f>IF(COUNTIF(BL3:BT3,"RED")=0,CHAR(34)&amp;"NO_RED"&amp;CHAR(34)&amp;",", "")</f>
        <v/>
      </c>
      <c r="FH3" s="44" t="str">
        <f>IF(COUNTIF(BL3:BS3,"GRE")=0,CHAR(34)&amp;"NO_GRE"&amp;CHAR(34)&amp;",", "")</f>
        <v/>
      </c>
      <c r="FI3" s="44" t="str">
        <f>IF(COUNTIF(BL3:BT3,"YEL")=0,CHAR(34)&amp;"NO_YEL"&amp;CHAR(34)&amp;",", "")</f>
        <v/>
      </c>
      <c r="FJ3" s="44" t="str">
        <f>IF(COUNTIF(BL3:BT3,"BLA")=0,CHAR(34)&amp;"NO_BLA"&amp;CHAR(34)&amp;",", "")</f>
        <v>"NO_BLA",</v>
      </c>
      <c r="FK3" s="44" t="str">
        <f>IF(AND(FH3&lt;&gt;"",FF3&lt;&gt;""),CHAR(34)&amp;"WHGRNO"&amp;CHAR(34)&amp;",","")</f>
        <v/>
      </c>
      <c r="FL3" s="44" t="str">
        <f>IF(AND(FI3&lt;&gt;"",FF3&lt;&gt;""),CHAR(34)&amp;"WHYENO"&amp;CHAR(34)&amp;",","")</f>
        <v/>
      </c>
      <c r="FM3" s="44" t="str">
        <f>IF(AND(FJ3&lt;&gt;"",FF3&lt;&gt;""),CHAR(34)&amp;"BAWHNO"&amp;CHAR(34)&amp;",","")</f>
        <v/>
      </c>
      <c r="FN3" s="44" t="str">
        <f>IF(AND(FE3&lt;&gt;"",FF3&lt;&gt;""),CHAR(34)&amp;"BLWHNO"&amp;CHAR(34)&amp;",","")</f>
        <v/>
      </c>
      <c r="FO3" s="44" t="str">
        <f>IF(AND(FE3&lt;&gt;"",FG3&lt;&gt;""),CHAR(34)&amp;"BLRENO"&amp;CHAR(34)&amp;",","")</f>
        <v/>
      </c>
      <c r="FP3" s="44" t="str">
        <f>IF(AND(FF3&lt;&gt;"",FF3&lt;&gt;""),CHAR(34)&amp;"WHRENO"&amp;CHAR(34)&amp;",","")</f>
        <v/>
      </c>
      <c r="FQ3" s="44" t="str">
        <f>IF(LEN(BF3)=3,CHAR(34)&amp;"001"&amp;BF3&amp;CHAR(34)&amp;",","")</f>
        <v/>
      </c>
      <c r="FR3" s="44" t="str">
        <f>IF(LEN(BG3)=3,CHAR(34)&amp;"002"&amp;BG3&amp;CHAR(34)&amp;",","")</f>
        <v/>
      </c>
      <c r="FS3" s="44" t="str">
        <f>IF(LEN(BH3)=3,CHAR(34)&amp;"003"&amp;BH3&amp;CHAR(34)&amp;",","")</f>
        <v/>
      </c>
      <c r="FT3" s="44" t="str">
        <f>CHAR(34)&amp;"myr"&amp;BD3&amp;CHAR(34)&amp;","</f>
        <v>"myrGRE",</v>
      </c>
      <c r="FU3" s="44" t="str">
        <f>IF(AY3="y",CHAR(34)&amp;"island"&amp;CHAR(34)&amp;",","")</f>
        <v/>
      </c>
      <c r="FV3" s="44" t="str">
        <f>IF(BZ3="y",CHAR(34)&amp;"landlo"&amp;CHAR(34)&amp;",","")</f>
        <v/>
      </c>
      <c r="FW3" s="44" t="str">
        <f>IF(CA3="y",CHAR(34)&amp;"eunion"&amp;CHAR(34)&amp;",","")</f>
        <v/>
      </c>
      <c r="FX3" s="44" t="str">
        <f>SUBSTITUTE(IFERROR(SEARCH("[",A3),IFERROR(IF(AND(CA3&lt;&gt;"y",SEARCH("Europe",R3)&gt;0),CHAR(34)&amp;"noeuni"&amp;CHAR(34)&amp;",",""),"")),"1","")</f>
        <v/>
      </c>
      <c r="FY3" s="44" t="str">
        <f>IFERROR(IF(SEARCH("Arabic",CB3)&gt;0,CHAR(34)&amp;"arabic"&amp;CHAR(34)&amp;",",""),"")</f>
        <v/>
      </c>
      <c r="FZ3" s="44" t="str">
        <f>IFERROR(IF(SEARCH("English",CB3)&gt;0,CHAR(34)&amp;"englis"&amp;CHAR(34)&amp;",",""),"")</f>
        <v/>
      </c>
      <c r="GA3" s="44" t="str">
        <f>IFERROR(IF(SEARCH("French",CB3)&gt;0,CHAR(34)&amp;"french"&amp;CHAR(34)&amp;",",""),"")</f>
        <v/>
      </c>
      <c r="GB3" s="44" t="str">
        <f>IFERROR(IF(SEARCH("Spanish",CB3)&gt;0,CHAR(34)&amp;"spanis"&amp;CHAR(34)&amp;",",""),"")</f>
        <v/>
      </c>
      <c r="GC3" s="44" t="str">
        <f>IFERROR(IF(SEARCH("Portuguese",CB3)&gt;0,CHAR(34)&amp;"portug"&amp;CHAR(34)&amp;",",""),"")</f>
        <v/>
      </c>
      <c r="GD3" s="44" t="str">
        <f>IFERROR(IF(SEARCH("German",CB3)&gt;0,CHAR(34)&amp;"german"&amp;CHAR(34)&amp;",",""),"")</f>
        <v/>
      </c>
      <c r="GE3" s="44" t="str">
        <f>IFERROR(IF(SEARCH("Dutch",CB3)&gt;0,CHAR(34)&amp;"dutchs"&amp;CHAR(34)&amp;",",""),"")</f>
        <v/>
      </c>
      <c r="GF3" s="44" t="str">
        <f>IFERROR(IF(SEARCH("Historical",AU3)&gt;0,CHAR(34)&amp;"histor"&amp;CHAR(34)&amp;",",""),"")</f>
        <v/>
      </c>
      <c r="GG3" s="44" t="str">
        <f>IF(BU3="y",CHAR(34)&amp;"unjack"&amp;CHAR(34)&amp;",","")</f>
        <v/>
      </c>
      <c r="GH3" s="44" t="str">
        <f>IF(CD3=1,CHAR(34)&amp;"southc"&amp;CHAR(34)&amp;",","")</f>
        <v/>
      </c>
      <c r="GI3" s="44" t="str">
        <f>IF(CE3=1,CHAR(34)&amp;"hasmap"&amp;CHAR(34)&amp;",","")</f>
        <v/>
      </c>
      <c r="GJ3" s="44" t="str">
        <f>IF(CP3="y",CHAR(34)&amp;CP$1&amp;CHAR(34)&amp;",","")</f>
        <v/>
      </c>
      <c r="GK3" s="44" t="str">
        <f>IF(GJ3="",CHAR(34)&amp;"HasSta"&amp;CHAR(34)&amp;",","")</f>
        <v>"HasSta",</v>
      </c>
      <c r="GL3" s="44" t="str">
        <f t="shared" si="5"/>
        <v/>
      </c>
      <c r="GM3" s="44" t="str">
        <f t="shared" si="5"/>
        <v/>
      </c>
      <c r="GN3" s="44" t="str">
        <f t="shared" si="5"/>
        <v>"3+Star",</v>
      </c>
      <c r="GP3" s="44" t="str">
        <f>CHAR(34)&amp;AU3&amp;CHAR(34)</f>
        <v>"City"</v>
      </c>
      <c r="GS3" s="44" t="str">
        <f>SUBSTITUTE("["&amp;_xlfn.CONCAT(CW3:GN3)&amp;"]",",]","]")</f>
        <v>["4Color","words2","exact2","lets13","startM","allhor","NoBand","Horizo","Circle","Animal","Bird","staWHI","NO_BLU","NO_BLA","myrGRE","HasSta","3+Star"]</v>
      </c>
      <c r="GT3" s="44" t="str">
        <f t="shared" si="6"/>
        <v/>
      </c>
      <c r="GU3" s="44" t="str">
        <f t="shared" si="6"/>
        <v/>
      </c>
      <c r="GV3" s="44" t="str">
        <f t="shared" si="6"/>
        <v>"cl_GRE",</v>
      </c>
      <c r="GW3" s="44" t="str">
        <f t="shared" si="6"/>
        <v>"cl_RED",</v>
      </c>
      <c r="GX3" s="44" t="str">
        <f t="shared" si="6"/>
        <v>"cl_YEL",</v>
      </c>
      <c r="GY3" s="44" t="str">
        <f t="shared" si="6"/>
        <v/>
      </c>
      <c r="GZ3" s="44" t="str">
        <f t="shared" si="6"/>
        <v/>
      </c>
      <c r="HA3" s="44" t="str">
        <f t="shared" si="6"/>
        <v/>
      </c>
      <c r="HB3" s="44" t="str">
        <f t="shared" si="6"/>
        <v>"cl_WHI",</v>
      </c>
      <c r="HC3" s="44" t="str">
        <f>SUBSTITUTE("["&amp;_xlfn.CONCAT(GT3:HB3)&amp;"]",",]","]")</f>
        <v>["cl_GRE","cl_RED","cl_YEL","cl_WHI"]</v>
      </c>
      <c r="HE3" s="64"/>
      <c r="HF3" s="65" t="str">
        <f>"{couname:"&amp;CT3&amp;(IF(HK3&lt;&gt;"",",subtype:"&amp;CHAR(34)&amp;HK3&amp;CHAR(34),""))&amp;",year:"&amp;HJ3&amp;",region:"&amp;CU3&amp;",Colors:"&amp;HC3&amp;",Items:"&amp;GS3&amp;",Flag:"&amp;CV3&amp;",HDFlag:"&amp;CHAR(34)&amp;E3&amp;CHAR(34)&amp;",type:"&amp;GP3&amp;", describe: "&amp;HH3&amp;", isnew:"&amp;CHAR(34)&amp;F3&amp;CHAR(34)&amp;", links: "&amp;HL3&amp;"},"</f>
        <v>{couname:"[ASM] Manu'a Islands",year:"???",region:"rgn_Oceania",Colors:["cl_GRE","cl_RED","cl_YEL","cl_WHI"],Items:["4Color","words2","exact2","lets13","startM","allhor","NoBand","Horizo","Circle","Animal","Bird","staWHI","NO_BLU","NO_BLA","myrGRE","HasSta","3+Star"],Flag:"https://upload.wikimedia.org/wikipedia/commons/0/04/Manu%27a-flag.gif",HDFlag:"https://upload.wikimedia.org/wikipedia/commons/0/04/Manu%27a-flag.gif",type:"City", describe: "\nThe flag of Manu'atele, Manu'a Islands in American Samoa is green with three horizontal yellow bands, tapering off toward the hoist, with yellow ring around a red disk bearing a white chicken; in the upper fly, three four-pointed stars.", isnew:".", links: "https://www.crwflags.com/fotw/flags/as-manut.html"},</v>
      </c>
      <c r="HG3" s="66" t="str">
        <f>"{couname:"&amp;CT3&amp;(IF(HK3&lt;&gt;"",",subtype:"&amp;CHAR(34)&amp;HK3&amp;CHAR(34),""))&amp;",year:"&amp;HJ3&amp;",region:"&amp;CU3&amp;",Colors:"&amp;HC3&amp;",Items:"&amp;GS3&amp;",Flag:"&amp;CV3&amp;",HDFlag:"&amp;CHAR(34)&amp;E3&amp;CHAR(34)&amp;",type:"&amp;GP3&amp;", describe: "&amp;HI3&amp;", links: "&amp;HL3&amp;"},"</f>
        <v>{couname:"[ASM] Manu'a Islands",year:"???",region:"rgn_Oceania",Colors:["cl_GRE","cl_RED","cl_YEL","cl_WHI"],Items:["4Color","words2","exact2","lets13","startM","allhor","NoBand","Horizo","Circle","Animal","Bird","staWHI","NO_BLU","NO_BLA","myrGRE","HasSta","3+Star"],Flag:"https://upload.wikimedia.org/wikipedia/commons/0/04/Manu%27a-flag.gif",HDFlag:"https://upload.wikimedia.org/wikipedia/commons/0/04/Manu%27a-flag.gif",type:"City", describe: "\nThe flag of Manu'atele, Manu'a Islands in American Samoa is green with three horizontal yellow bands, tapering off toward the hoist, with yellow ring around a red disk bearing a white chicken; in the upper fly, three four-pointed stars.", links: "https://www.crwflags.com/fotw/flags/as-manut.html"},</v>
      </c>
      <c r="HH3" s="44" t="str">
        <f>IF(P3&lt;&gt;"",CHAR(34)&amp;"\n"&amp;P3&amp;CHAR(34),CHAR(34)&amp;CHAR(34))</f>
        <v>"\nThe flag of Manu'atele, Manu'a Islands in American Samoa is green with three horizontal yellow bands, tapering off toward the hoist, with yellow ring around a red disk bearing a white chicken; in the upper fly, three four-pointed stars."</v>
      </c>
      <c r="HI3" s="44" t="str">
        <f>IF(J3=0,CHAR(34)&amp;CHAR(34),HH3)</f>
        <v>"\nThe flag of Manu'atele, Manu'a Islands in American Samoa is green with three horizontal yellow bands, tapering off toward the hoist, with yellow ring around a red disk bearing a white chicken; in the upper fly, three four-pointed stars."</v>
      </c>
      <c r="HJ3" s="44" t="str">
        <f>CHAR(34)&amp;O3&amp;CHAR(34)</f>
        <v>"???"</v>
      </c>
      <c r="HL3" s="44" t="str">
        <f>CHAR(34)&amp;I3&amp;CHAR(34)</f>
        <v>"https://www.crwflags.com/fotw/flags/as-manut.html"</v>
      </c>
      <c r="HM3" s="65"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{"couname":"[ASM] Manu'a Islands","year":"???","region":"rgn_Oceania","Colors":["cl_GRE","cl_RED","cl_YEL","cl_WHI"],"Items":["4Color","words2","exact2","lets13","startM","allhor","NoBand","Horizo","Circle","Animal","Bird","staWHI","NO_BLU","NO_BLA","myrGRE","HasSta","3+Star"],"Flag":"https://upload.wikimedia.org/wikipedia/commons/0/04/Manu%27a-flag.gif","HDFlag":"https://upload.wikimedia.org/wikipedia/commons/0/04/Manu%27a-flag.gif","type":"City", "describe": "\nThe flag of Manu'atele, Manu'a Islands in American Samoa is green with three horizontal yellow bands, tapering off toward the hoist, with yellow ring around a red disk bearing a white chicken; in the upper fly, three four-pointed stars.", "isnew": ".", "links": "https://www.crwflags.com/fotw/flags/as-manut.html"},</v>
      </c>
      <c r="HN3" s="67"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{"couname":"[ASM] Manu'a Islands","year":"???","region":"rgn_Oceania","Colors":["cl_GRE","cl_RED","cl_YEL","cl_WHI"],"Items":["4Color","words2","exact2","lets13","startM","allhor","NoBand","Horizo","Circle","Animal","Bird","staWHI","NO_BLU","NO_BLA","myrGRE","HasSta","3+Star"],"Flag":"https://upload.wikimedia.org/wikipedia/commons/0/04/Manu%27a-flag.gif","HDFlag":"https://upload.wikimedia.org/wikipedia/commons/0/04/Manu%27a-flag.gif","type":"City", "describe": "\nThe flag of Manu'atele, Manu'a Islands in American Samoa is green with three horizontal yellow bands, tapering off toward the hoist, with yellow ring around a red disk bearing a white chicken; in the upper fly, three four-pointed stars.", "isnew": ".", "links": "https://www.crwflags.com/fotw/flags/as-manut.html"},</v>
      </c>
      <c r="HO3" s="71">
        <v>45576</v>
      </c>
      <c r="HP3" s="44" t="str" cm="1">
        <f t="array" ref="HP3">IF(_xlfn.TEXTJOIN(", ", TRUE, IF(ISNUMBER(SEARCH("BLA", BL3:BT3)), COLUMN(BL3:BT3) - COLUMN(BL3) + 1, ""))&lt;&gt;"","BLA","")</f>
        <v/>
      </c>
      <c r="HQ3" s="44" t="str" cm="1">
        <f t="array" ref="HQ3">IF(_xlfn.TEXTJOIN(", ", TRUE, IF(ISNUMBER(SEARCH("BLU", BL3:BT3)), COLUMN(BL3:BT3) - COLUMN(BL3) + 1, ""))&lt;&gt;"","BLU","")</f>
        <v/>
      </c>
      <c r="HR3" s="44" t="str" cm="1">
        <f t="array" ref="HR3">IF(_xlfn.TEXTJOIN(", ", TRUE, IF(ISNUMBER(SEARCH("GRE", BL3:BT3)), COLUMN(BL3:BT3) - COLUMN(BL3) + 1, ""))&lt;&gt;"","GRE","")</f>
        <v>GRE</v>
      </c>
      <c r="HS3" s="44" t="str" cm="1">
        <f t="array" ref="HS3">IF(_xlfn.TEXTJOIN(", ", TRUE, IF(ISNUMBER(SEARCH("RED", BL3:BT3)), COLUMN(BL3:BT3) - COLUMN(BL3) + 1, ""))&lt;&gt;"","RED","")</f>
        <v>RED</v>
      </c>
      <c r="HT3" s="44" t="str" cm="1">
        <f t="array" ref="HT3">IF(_xlfn.TEXTJOIN(", ", TRUE, IF(ISNUMBER(SEARCH("YEL", BL3:BT3)), COLUMN(BL3:BT3) - COLUMN(BL3) + 1, ""))&lt;&gt;"","YEL","")</f>
        <v>YEL</v>
      </c>
      <c r="HU3" s="44" t="str" cm="1">
        <f t="array" ref="HU3">IF(_xlfn.TEXTJOIN(", ", TRUE, IF(ISNUMBER(SEARCH("ORA", BL3:BT3)), COLUMN(BL3:BT3) - COLUMN(BL3) + 1, ""))&lt;&gt;"","ORA","")</f>
        <v/>
      </c>
      <c r="HV3" s="44" t="str" cm="1">
        <f t="array" ref="HV3">IF(_xlfn.TEXTJOIN(", ", TRUE, IF(ISNUMBER(SEARCH("BRO", BL3:BT3)), COLUMN(BL3:BT3) - COLUMN(BL3) + 1, ""))&lt;&gt;"","BRO","")</f>
        <v/>
      </c>
      <c r="HW3" s="44" t="str" cm="1">
        <f t="array" ref="HW3">IF(_xlfn.TEXTJOIN(", ", TRUE, IF(ISNUMBER(SEARCH("PUR", BL3:BT3)), COLUMN(BL3:BT3) - COLUMN(BL3) + 1, ""))&lt;&gt;"","PUR","")</f>
        <v/>
      </c>
      <c r="HX3" s="44" t="str" cm="1">
        <f t="array" ref="HX3">IF(_xlfn.TEXTJOIN(", ", TRUE, IF(ISNUMBER(SEARCH("WHI", BL3:BT3)), COLUMN(BL3:BT3) - COLUMN(BL3) + 1, ""))&lt;&gt;"","WHI","")</f>
        <v>WHI</v>
      </c>
      <c r="HY3" s="72"/>
      <c r="HZ3" s="72"/>
      <c r="IA3" s="5"/>
      <c r="IB3" s="5"/>
      <c r="IC3" s="68"/>
      <c r="ID3" s="68"/>
      <c r="IE3" s="68"/>
      <c r="IF3" s="68"/>
      <c r="IG3" s="68"/>
      <c r="IH3" s="68"/>
      <c r="II3" s="68"/>
      <c r="IJ3" s="68"/>
      <c r="IK3" s="68"/>
      <c r="IL3" s="44">
        <f>SUM(IC3:IK3)</f>
        <v>0</v>
      </c>
      <c r="IM3" s="42">
        <f>COUNTIF(IC3:IK3,"&gt;0")-CG3</f>
        <v>-4</v>
      </c>
      <c r="IN3" s="69" t="str">
        <f>"http://mkweb.bcgsc.ca/color-summarizer/?url="&amp;D3&amp;"&amp;precision=low&amp;num_clusters="&amp;CG3&amp;"&amp;text=1"</f>
        <v>http://mkweb.bcgsc.ca/color-summarizer/?url=https://upload.wikimedia.org/wikipedia/commons/0/04/Manu%27a-flag.gif&amp;precision=low&amp;num_clusters=4&amp;text=1</v>
      </c>
      <c r="IO3" s="44" t="str">
        <f>IF(HP3&lt;&gt;"",CHAR(34)&amp;"black"&amp;CHAR(34),"")</f>
        <v/>
      </c>
      <c r="IP3" s="44" t="str">
        <f>IF(HQ3&lt;&gt;"",CHAR(34)&amp;"blue"&amp;CHAR(34),"")</f>
        <v/>
      </c>
      <c r="IQ3" s="44" t="str">
        <f>IF(HR3&lt;&gt;"",CHAR(34)&amp;"green"&amp;CHAR(34),"")</f>
        <v>"green"</v>
      </c>
      <c r="IR3" s="44" t="str">
        <f>IF(HS3&lt;&gt;"",CHAR(34)&amp;"red"&amp;CHAR(34),"")</f>
        <v>"red"</v>
      </c>
      <c r="IS3" s="44" t="str">
        <f>IF(HT3&lt;&gt;"",CHAR(34)&amp;"yellow"&amp;CHAR(34),"")</f>
        <v>"yellow"</v>
      </c>
      <c r="IT3" s="44" t="str">
        <f>IF(HU3&lt;&gt;"",CHAR(34)&amp;"orange"&amp;CHAR(34),"")</f>
        <v/>
      </c>
      <c r="IU3" s="44" t="str">
        <f>IF(HV3&lt;&gt;"",CHAR(34)&amp;"brown"&amp;CHAR(34),"")</f>
        <v/>
      </c>
      <c r="IV3" s="44" t="str">
        <f>IF(HW3&lt;&gt;"",CHAR(34)&amp;"purple"&amp;CHAR(34),"")</f>
        <v/>
      </c>
      <c r="IW3" s="44" t="str">
        <f>IF(HX3&lt;&gt;"",CHAR(34)&amp;"white"&amp;CHAR(34),"")</f>
        <v>"white"</v>
      </c>
      <c r="IX3" s="44" t="str">
        <f>"{"&amp;CHAR(34)&amp;"url"&amp;CHAR(34)&amp;":"&amp;CHAR(34)&amp;IN3&amp;CHAR(34)&amp;","&amp;CHAR(34)&amp;"name"&amp;CHAR(34)&amp;":"&amp;CHAR(34)&amp;A3&amp;CHAR(34)&amp;"},"</f>
        <v>{"url":"http://mkweb.bcgsc.ca/color-summarizer/?url=https://upload.wikimedia.org/wikipedia/commons/0/04/Manu%27a-flag.gif&amp;precision=low&amp;num_clusters=4&amp;text=1","name":"[ASM] Manu'a Islands"},</v>
      </c>
      <c r="IY3" s="44">
        <v>293</v>
      </c>
    </row>
    <row r="7" spans="1:259" ht="38.4" customHeight="1" x14ac:dyDescent="0.3">
      <c r="M7" s="84" t="s">
        <v>1142</v>
      </c>
    </row>
  </sheetData>
  <autoFilter ref="A1:IY3" xr:uid="{A1051193-A95B-4CFB-A73C-F0184620C81F}">
    <sortState xmlns:xlrd2="http://schemas.microsoft.com/office/spreadsheetml/2017/richdata2" ref="A2:IY3">
      <sortCondition ref="AW1:AW3"/>
    </sortState>
  </autoFilter>
  <conditionalFormatting sqref="H1 CW1:GS1 IA1:IB1">
    <cfRule type="cellIs" dxfId="1909" priority="65" operator="greaterThan">
      <formula>0</formula>
    </cfRule>
  </conditionalFormatting>
  <conditionalFormatting sqref="H1:H1048576">
    <cfRule type="cellIs" dxfId="1908" priority="5" stopIfTrue="1" operator="notEqual">
      <formula>""</formula>
    </cfRule>
  </conditionalFormatting>
  <conditionalFormatting sqref="R2:R3 CU2:CU3">
    <cfRule type="cellIs" dxfId="1907" priority="7" operator="greaterThan">
      <formula>0</formula>
    </cfRule>
  </conditionalFormatting>
  <conditionalFormatting sqref="T2:AS3 CH2:CS3">
    <cfRule type="cellIs" dxfId="1906" priority="2" stopIfTrue="1" operator="equal">
      <formula>"n"</formula>
    </cfRule>
    <cfRule type="cellIs" dxfId="1905" priority="3" stopIfTrue="1" operator="equal">
      <formula>"y"</formula>
    </cfRule>
    <cfRule type="cellIs" dxfId="1904" priority="4" operator="greaterThan">
      <formula>0</formula>
    </cfRule>
  </conditionalFormatting>
  <conditionalFormatting sqref="T1:BK1">
    <cfRule type="cellIs" dxfId="1903" priority="68" operator="greaterThan">
      <formula>0</formula>
    </cfRule>
  </conditionalFormatting>
  <conditionalFormatting sqref="AZ2:BB3">
    <cfRule type="expression" dxfId="1902" priority="1">
      <formula>$AT2=0</formula>
    </cfRule>
  </conditionalFormatting>
  <conditionalFormatting sqref="AZ2:BU3">
    <cfRule type="cellIs" dxfId="1901" priority="43" operator="equal">
      <formula>"PIN"</formula>
    </cfRule>
    <cfRule type="cellIs" dxfId="1900" priority="44" operator="equal">
      <formula>"ORA"</formula>
    </cfRule>
    <cfRule type="cellIs" dxfId="1899" priority="45" operator="equal">
      <formula>"GRA"</formula>
    </cfRule>
    <cfRule type="cellIs" dxfId="1898" priority="46" operator="equal">
      <formula>"PUR"</formula>
    </cfRule>
    <cfRule type="cellIs" dxfId="1897" priority="47" operator="equal">
      <formula>"BRO"</formula>
    </cfRule>
    <cfRule type="cellIs" dxfId="1896" priority="48" operator="equal">
      <formula>"YEL"</formula>
    </cfRule>
    <cfRule type="cellIs" dxfId="1895" priority="49" operator="equal">
      <formula>"BLU"</formula>
    </cfRule>
    <cfRule type="cellIs" dxfId="1894" priority="50" operator="equal">
      <formula>"WHI"</formula>
    </cfRule>
    <cfRule type="cellIs" dxfId="1893" priority="51" operator="equal">
      <formula>"GRE"</formula>
    </cfRule>
    <cfRule type="cellIs" dxfId="1892" priority="52" operator="equal">
      <formula>"RED"</formula>
    </cfRule>
    <cfRule type="cellIs" dxfId="1891" priority="53" operator="equal">
      <formula>"BLA"</formula>
    </cfRule>
  </conditionalFormatting>
  <conditionalFormatting sqref="BV1:BW1 BV2 BV3:BW1048576">
    <cfRule type="cellIs" dxfId="1890" priority="67" operator="equal">
      <formula>"nc"</formula>
    </cfRule>
  </conditionalFormatting>
  <conditionalFormatting sqref="BX2:CA3 CD2:CF3">
    <cfRule type="cellIs" dxfId="1889" priority="6" operator="equal">
      <formula>"y"</formula>
    </cfRule>
    <cfRule type="cellIs" dxfId="1888" priority="54" operator="equal">
      <formula>"PIN"</formula>
    </cfRule>
    <cfRule type="cellIs" dxfId="1887" priority="55" operator="equal">
      <formula>"ORA"</formula>
    </cfRule>
    <cfRule type="cellIs" dxfId="1886" priority="56" operator="equal">
      <formula>"GRA"</formula>
    </cfRule>
    <cfRule type="cellIs" dxfId="1885" priority="57" operator="equal">
      <formula>"PUR"</formula>
    </cfRule>
    <cfRule type="cellIs" dxfId="1884" priority="58" operator="equal">
      <formula>"BRO"</formula>
    </cfRule>
    <cfRule type="cellIs" dxfId="1883" priority="59" operator="equal">
      <formula>"YEL"</formula>
    </cfRule>
    <cfRule type="cellIs" dxfId="1882" priority="60" operator="equal">
      <formula>"BLU"</formula>
    </cfRule>
    <cfRule type="cellIs" dxfId="1881" priority="61" operator="equal">
      <formula>"WHI"</formula>
    </cfRule>
    <cfRule type="cellIs" dxfId="1880" priority="62" operator="equal">
      <formula>"GRE"</formula>
    </cfRule>
    <cfRule type="cellIs" dxfId="1879" priority="63" operator="equal">
      <formula>"RED"</formula>
    </cfRule>
    <cfRule type="cellIs" dxfId="1878" priority="64" operator="equal">
      <formula>"BLA"</formula>
    </cfRule>
  </conditionalFormatting>
  <conditionalFormatting sqref="BZ2:CA3 CD2:CF3">
    <cfRule type="cellIs" dxfId="1877" priority="8" operator="greaterThan">
      <formula>0</formula>
    </cfRule>
  </conditionalFormatting>
  <conditionalFormatting sqref="HF1:HG1">
    <cfRule type="cellIs" dxfId="1876" priority="69" operator="greaterThan">
      <formula>0</formula>
    </cfRule>
  </conditionalFormatting>
  <conditionalFormatting sqref="HK1">
    <cfRule type="cellIs" dxfId="1875" priority="66" operator="greaterThan">
      <formula>0</formula>
    </cfRule>
  </conditionalFormatting>
  <conditionalFormatting sqref="HP1:HX1">
    <cfRule type="cellIs" dxfId="1874" priority="20" operator="equal">
      <formula>"PIN"</formula>
    </cfRule>
    <cfRule type="cellIs" dxfId="1873" priority="21" operator="equal">
      <formula>"ORA"</formula>
    </cfRule>
    <cfRule type="cellIs" dxfId="1872" priority="22" operator="equal">
      <formula>"GRA"</formula>
    </cfRule>
    <cfRule type="cellIs" dxfId="1871" priority="23" operator="equal">
      <formula>"PUR"</formula>
    </cfRule>
    <cfRule type="cellIs" dxfId="1870" priority="24" operator="equal">
      <formula>"BRO"</formula>
    </cfRule>
    <cfRule type="cellIs" dxfId="1869" priority="25" operator="equal">
      <formula>"YEL"</formula>
    </cfRule>
    <cfRule type="cellIs" dxfId="1868" priority="26" operator="equal">
      <formula>"BLU"</formula>
    </cfRule>
    <cfRule type="cellIs" dxfId="1867" priority="27" operator="equal">
      <formula>"WHI"</formula>
    </cfRule>
    <cfRule type="cellIs" dxfId="1866" priority="28" operator="equal">
      <formula>"GRE"</formula>
    </cfRule>
    <cfRule type="cellIs" dxfId="1865" priority="29" operator="equal">
      <formula>"RED"</formula>
    </cfRule>
    <cfRule type="cellIs" dxfId="1864" priority="30" operator="equal">
      <formula>"BLA"</formula>
    </cfRule>
  </conditionalFormatting>
  <conditionalFormatting sqref="IC1:IK1">
    <cfRule type="cellIs" dxfId="1863" priority="32" operator="equal">
      <formula>"PIN"</formula>
    </cfRule>
    <cfRule type="cellIs" dxfId="1862" priority="33" operator="equal">
      <formula>"ORA"</formula>
    </cfRule>
    <cfRule type="cellIs" dxfId="1861" priority="34" operator="equal">
      <formula>"GRA"</formula>
    </cfRule>
    <cfRule type="cellIs" dxfId="1860" priority="35" operator="equal">
      <formula>"PUR"</formula>
    </cfRule>
    <cfRule type="cellIs" dxfId="1859" priority="36" operator="equal">
      <formula>"BRO"</formula>
    </cfRule>
    <cfRule type="cellIs" dxfId="1858" priority="37" operator="equal">
      <formula>"YEL"</formula>
    </cfRule>
    <cfRule type="cellIs" dxfId="1857" priority="38" operator="equal">
      <formula>"BLU"</formula>
    </cfRule>
    <cfRule type="cellIs" dxfId="1856" priority="39" operator="equal">
      <formula>"WHI"</formula>
    </cfRule>
    <cfRule type="cellIs" dxfId="1855" priority="40" operator="equal">
      <formula>"GRE"</formula>
    </cfRule>
    <cfRule type="cellIs" dxfId="1854" priority="41" operator="equal">
      <formula>"RED"</formula>
    </cfRule>
    <cfRule type="cellIs" dxfId="1853" priority="42" operator="equal">
      <formula>"BLA"</formula>
    </cfRule>
  </conditionalFormatting>
  <conditionalFormatting sqref="IC2:IK3">
    <cfRule type="expression" dxfId="1852" priority="31">
      <formula>$IL2&gt;0</formula>
    </cfRule>
  </conditionalFormatting>
  <conditionalFormatting sqref="IO1:IW1">
    <cfRule type="cellIs" dxfId="1851" priority="9" operator="equal">
      <formula>"PIN"</formula>
    </cfRule>
    <cfRule type="cellIs" dxfId="1850" priority="10" operator="equal">
      <formula>"ORA"</formula>
    </cfRule>
    <cfRule type="cellIs" dxfId="1849" priority="11" operator="equal">
      <formula>"GRA"</formula>
    </cfRule>
    <cfRule type="cellIs" dxfId="1848" priority="12" operator="equal">
      <formula>"PUR"</formula>
    </cfRule>
    <cfRule type="cellIs" dxfId="1847" priority="13" operator="equal">
      <formula>"BRO"</formula>
    </cfRule>
    <cfRule type="cellIs" dxfId="1846" priority="14" operator="equal">
      <formula>"YEL"</formula>
    </cfRule>
    <cfRule type="cellIs" dxfId="1845" priority="15" operator="equal">
      <formula>"BLU"</formula>
    </cfRule>
    <cfRule type="cellIs" dxfId="1844" priority="16" operator="equal">
      <formula>"WHI"</formula>
    </cfRule>
    <cfRule type="cellIs" dxfId="1843" priority="17" operator="equal">
      <formula>"GRE"</formula>
    </cfRule>
    <cfRule type="cellIs" dxfId="1842" priority="18" operator="equal">
      <formula>"RED"</formula>
    </cfRule>
    <cfRule type="cellIs" dxfId="1841" priority="19" operator="equal">
      <formula>"BLA"</formula>
    </cfRule>
  </conditionalFormatting>
  <conditionalFormatting sqref="J2:J3">
    <cfRule type="colorScale" priority="2632">
      <colorScale>
        <cfvo type="min"/>
        <cfvo type="percentile" val="50"/>
        <cfvo type="max"/>
        <color rgb="FFF8696B"/>
        <color rgb="FFFFEB84"/>
        <color rgb="FF63BE7B"/>
      </colorScale>
    </cfRule>
  </conditionalFormatting>
  <conditionalFormatting sqref="S2:S3">
    <cfRule type="colorScale" priority="2633">
      <colorScale>
        <cfvo type="min"/>
        <cfvo type="max"/>
        <color rgb="FFFCFCFF"/>
        <color rgb="FF754BFB"/>
      </colorScale>
    </cfRule>
  </conditionalFormatting>
  <conditionalFormatting sqref="AT2:AT3">
    <cfRule type="colorScale" priority="2634">
      <colorScale>
        <cfvo type="min"/>
        <cfvo type="max"/>
        <color rgb="FFFCFCFF"/>
        <color theme="8" tint="0.39997558519241921"/>
      </colorScale>
    </cfRule>
  </conditionalFormatting>
  <conditionalFormatting sqref="CG2:CG3">
    <cfRule type="colorScale" priority="2635">
      <colorScale>
        <cfvo type="min"/>
        <cfvo type="max"/>
        <color rgb="FFFCFCFF"/>
        <color rgb="FF63BE7B"/>
      </colorScale>
    </cfRule>
  </conditionalFormatting>
  <hyperlinks>
    <hyperlink ref="D2" r:id="rId1" xr:uid="{3C996FEB-8F71-4B00-9B8E-6F16B26A1967}"/>
    <hyperlink ref="I2" r:id="rId2" xr:uid="{1BB48B4E-27C4-40B2-8457-610E5B19E48F}"/>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8433" r:id="rId6" name="Button 1">
              <controlPr defaultSize="0" print="0" autoFill="0" autoPict="0" macro="[0]!InsertImagesFromSelectedRange">
                <anchor moveWithCells="1" sizeWithCells="1">
                  <from>
                    <xdr:col>1</xdr:col>
                    <xdr:colOff>76200</xdr:colOff>
                    <xdr:row>0</xdr:row>
                    <xdr:rowOff>7620</xdr:rowOff>
                  </from>
                  <to>
                    <xdr:col>2</xdr:col>
                    <xdr:colOff>0</xdr:colOff>
                    <xdr:row>0</xdr:row>
                    <xdr:rowOff>487680</xdr:rowOff>
                  </to>
                </anchor>
              </controlPr>
            </control>
          </mc:Choice>
        </mc:AlternateContent>
        <mc:AlternateContent xmlns:mc="http://schemas.openxmlformats.org/markup-compatibility/2006">
          <mc:Choice Requires="x14">
            <control shapeId="18434" r:id="rId7" name="Button 2">
              <controlPr defaultSize="0" print="0" autoFill="0" autoPict="0" macro="[0]!ReplaceLineBreaksWithNewLineManualRange">
                <anchor moveWithCells="1" sizeWithCells="1">
                  <from>
                    <xdr:col>7</xdr:col>
                    <xdr:colOff>15240</xdr:colOff>
                    <xdr:row>0</xdr:row>
                    <xdr:rowOff>45720</xdr:rowOff>
                  </from>
                  <to>
                    <xdr:col>7</xdr:col>
                    <xdr:colOff>685800</xdr:colOff>
                    <xdr:row>0</xdr:row>
                    <xdr:rowOff>403860</xdr:rowOff>
                  </to>
                </anchor>
              </controlPr>
            </control>
          </mc:Choice>
        </mc:AlternateContent>
        <mc:AlternateContent xmlns:mc="http://schemas.openxmlformats.org/markup-compatibility/2006">
          <mc:Choice Requires="x14">
            <control shapeId="18435" r:id="rId8" name="Button 3">
              <controlPr defaultSize="0" print="0" autoFill="0" autoPict="0" macro="[0]!GoToSheet">
                <anchor moveWithCells="1" sizeWithCells="1">
                  <from>
                    <xdr:col>0</xdr:col>
                    <xdr:colOff>137160</xdr:colOff>
                    <xdr:row>0</xdr:row>
                    <xdr:rowOff>114300</xdr:rowOff>
                  </from>
                  <to>
                    <xdr:col>0</xdr:col>
                    <xdr:colOff>762000</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FD2F29-52EB-42C0-B4D2-EE67A6C38CFE}">
  <sheetPr codeName="Sheet3"/>
  <dimension ref="A1:IY65"/>
  <sheetViews>
    <sheetView zoomScale="70" zoomScaleNormal="70" workbookViewId="0">
      <pane xSplit="5" ySplit="1" topLeftCell="F2" activePane="bottomRight" state="frozen"/>
      <selection activeCell="A2" sqref="A2"/>
      <selection pane="topRight" activeCell="A2" sqref="A2"/>
      <selection pane="bottomLeft" activeCell="A2" sqref="A2"/>
      <selection pane="bottomRight" activeCell="C3" sqref="C3"/>
    </sheetView>
  </sheetViews>
  <sheetFormatPr defaultRowHeight="38.4" customHeight="1" x14ac:dyDescent="0.3"/>
  <cols>
    <col min="1" max="1" width="52.44140625" style="82" bestFit="1" customWidth="1"/>
    <col min="2" max="2" width="10.109375" style="82" customWidth="1"/>
    <col min="3" max="3" width="7.44140625" style="83" customWidth="1"/>
    <col min="4" max="4" width="26.21875" style="84" customWidth="1"/>
    <col min="5" max="5" width="4.5546875" style="84" customWidth="1"/>
    <col min="6" max="6" width="5.77734375" style="84" customWidth="1"/>
    <col min="7" max="7" width="7.44140625" style="82" customWidth="1"/>
    <col min="8" max="8" width="11.44140625" style="82" customWidth="1"/>
    <col min="9" max="9" width="10" style="82" customWidth="1"/>
    <col min="10" max="10" width="4.21875" style="82" customWidth="1"/>
    <col min="11" max="11" width="5.6640625" style="84" customWidth="1"/>
    <col min="12" max="12" width="2.88671875" style="84" customWidth="1"/>
    <col min="13" max="13" width="6.44140625" style="84" customWidth="1"/>
    <col min="14" max="14" width="4.5546875" style="84" customWidth="1"/>
    <col min="15" max="15" width="10.5546875" style="85" customWidth="1"/>
    <col min="16" max="16" width="6.88671875" style="84" customWidth="1"/>
    <col min="17" max="17" width="4.77734375" style="84" customWidth="1"/>
    <col min="18" max="18" width="13.109375" style="83" customWidth="1"/>
    <col min="19" max="19" width="6.77734375" style="83" customWidth="1"/>
    <col min="20" max="46" width="8.44140625" style="82" customWidth="1"/>
    <col min="47" max="47" width="24.5546875" style="82" customWidth="1"/>
    <col min="48" max="51" width="16.6640625" style="82" customWidth="1"/>
    <col min="52" max="52" width="6.5546875" style="82" customWidth="1"/>
    <col min="53" max="54" width="5.88671875" style="82" customWidth="1"/>
    <col min="55" max="55" width="1.33203125" style="82" customWidth="1"/>
    <col min="56" max="56" width="7.44140625" style="82" customWidth="1"/>
    <col min="57" max="57" width="2.33203125" style="82" customWidth="1"/>
    <col min="58" max="62" width="6.109375" style="82" customWidth="1"/>
    <col min="63" max="63" width="2.33203125" style="82" customWidth="1"/>
    <col min="64" max="64" width="7" style="82" bestFit="1" customWidth="1"/>
    <col min="65" max="65" width="6.44140625" style="82" bestFit="1" customWidth="1"/>
    <col min="66" max="66" width="7.109375" style="82" bestFit="1" customWidth="1"/>
    <col min="67" max="71" width="6.44140625" style="82" bestFit="1" customWidth="1"/>
    <col min="72" max="73" width="6.44140625" style="82" customWidth="1"/>
    <col min="74" max="75" width="13.44140625" style="82" customWidth="1"/>
    <col min="76" max="84" width="14.6640625" style="82" customWidth="1"/>
    <col min="85" max="85" width="6.44140625" style="82" customWidth="1"/>
    <col min="86" max="87" width="11.6640625" style="82" bestFit="1" customWidth="1"/>
    <col min="88" max="88" width="11.6640625" style="82" customWidth="1"/>
    <col min="89" max="89" width="12.77734375" style="82" bestFit="1" customWidth="1"/>
    <col min="90" max="90" width="16.44140625" style="83" bestFit="1" customWidth="1"/>
    <col min="91" max="92" width="14.88671875" style="83" bestFit="1" customWidth="1"/>
    <col min="93" max="93" width="16" style="83" bestFit="1" customWidth="1"/>
    <col min="94" max="97" width="7.77734375" style="82" customWidth="1"/>
    <col min="98" max="98" width="33.21875" style="82" customWidth="1"/>
    <col min="99" max="99" width="18" style="82" customWidth="1"/>
    <col min="100" max="100" width="75.6640625" style="82" customWidth="1"/>
    <col min="101" max="125" width="33" style="82" customWidth="1"/>
    <col min="126" max="126" width="8.88671875" style="82"/>
    <col min="127" max="128" width="9.44140625" style="82" bestFit="1" customWidth="1"/>
    <col min="129" max="129" width="10.77734375" style="82" bestFit="1" customWidth="1"/>
    <col min="130" max="134" width="10.77734375" style="82" customWidth="1"/>
    <col min="135" max="135" width="10.109375" style="82" bestFit="1" customWidth="1"/>
    <col min="136" max="136" width="7.77734375" style="82" bestFit="1" customWidth="1"/>
    <col min="137" max="137" width="7.77734375" style="82" customWidth="1"/>
    <col min="138" max="138" width="9" style="82" bestFit="1" customWidth="1"/>
    <col min="139" max="139" width="11.33203125" style="82" bestFit="1" customWidth="1"/>
    <col min="140" max="140" width="9.109375" style="82" bestFit="1" customWidth="1"/>
    <col min="141" max="141" width="9" style="82" bestFit="1" customWidth="1"/>
    <col min="142" max="142" width="12" style="82" bestFit="1" customWidth="1"/>
    <col min="143" max="166" width="12" style="82" customWidth="1"/>
    <col min="167" max="167" width="17.21875" style="82" customWidth="1"/>
    <col min="168" max="191" width="12" style="82" customWidth="1"/>
    <col min="192" max="192" width="8.5546875" style="82" bestFit="1" customWidth="1"/>
    <col min="193" max="193" width="8.5546875" style="82" customWidth="1"/>
    <col min="194" max="194" width="7.109375" style="82" bestFit="1" customWidth="1"/>
    <col min="195" max="195" width="7.5546875" style="82" bestFit="1" customWidth="1"/>
    <col min="196" max="196" width="8.5546875" style="82" bestFit="1" customWidth="1"/>
    <col min="197" max="200" width="8.5546875" style="82" customWidth="1"/>
    <col min="201" max="201" width="188.88671875" style="82" customWidth="1"/>
    <col min="202" max="202" width="9.5546875" style="82" bestFit="1" customWidth="1"/>
    <col min="203" max="203" width="10.44140625" style="82" bestFit="1" customWidth="1"/>
    <col min="204" max="204" width="11.109375" style="82" bestFit="1" customWidth="1"/>
    <col min="205" max="205" width="10.44140625" style="82" bestFit="1" customWidth="1"/>
    <col min="206" max="210" width="10.44140625" style="82" customWidth="1"/>
    <col min="211" max="211" width="45.44140625" style="82" customWidth="1"/>
    <col min="212" max="212" width="47.5546875" style="82" bestFit="1" customWidth="1"/>
    <col min="213" max="213" width="9.33203125" style="86" customWidth="1"/>
    <col min="214" max="214" width="119.5546875" style="82" customWidth="1"/>
    <col min="215" max="215" width="69.6640625" style="82" customWidth="1"/>
    <col min="216" max="218" width="8.88671875" style="82"/>
    <col min="219" max="219" width="37.109375" style="82" customWidth="1"/>
    <col min="220" max="220" width="16.33203125" style="82" customWidth="1"/>
    <col min="221" max="222" width="8.88671875" style="82"/>
    <col min="223" max="223" width="10.109375" style="82" bestFit="1" customWidth="1"/>
    <col min="224" max="232" width="10.88671875" style="82" customWidth="1"/>
    <col min="233" max="234" width="30.77734375" style="82" customWidth="1"/>
    <col min="235" max="235" width="5.109375" style="82" customWidth="1"/>
    <col min="236" max="236" width="3" style="82" customWidth="1"/>
    <col min="237" max="245" width="6.77734375" style="76" customWidth="1"/>
    <col min="246" max="247" width="8.88671875" style="82"/>
    <col min="248" max="248" width="61.5546875" style="82" customWidth="1"/>
    <col min="249" max="253" width="8.88671875" style="82"/>
    <col min="254" max="254" width="9" style="82" customWidth="1"/>
    <col min="255" max="16384" width="8.88671875" style="82"/>
  </cols>
  <sheetData>
    <row r="1" spans="1:259" s="5" customFormat="1" ht="38.4" customHeight="1" thickBot="1" x14ac:dyDescent="0.35">
      <c r="A1" s="1" t="s">
        <v>0</v>
      </c>
      <c r="B1" s="79" t="s">
        <v>1</v>
      </c>
      <c r="C1" s="2" t="s">
        <v>2</v>
      </c>
      <c r="D1" s="3"/>
      <c r="E1" s="3" t="s">
        <v>3</v>
      </c>
      <c r="F1" s="4"/>
      <c r="H1" s="6" t="s">
        <v>4</v>
      </c>
      <c r="J1" s="5" t="s">
        <v>5</v>
      </c>
      <c r="K1" s="7" t="s">
        <v>6</v>
      </c>
      <c r="L1" s="8" t="s">
        <v>7</v>
      </c>
      <c r="M1" s="8" t="s">
        <v>8</v>
      </c>
      <c r="N1" s="9" t="s">
        <v>9</v>
      </c>
      <c r="O1" s="10" t="s">
        <v>10</v>
      </c>
      <c r="P1" s="11" t="s">
        <v>11</v>
      </c>
      <c r="Q1" s="11" t="s">
        <v>12</v>
      </c>
      <c r="R1" s="12" t="s">
        <v>0</v>
      </c>
      <c r="S1" s="13" t="s">
        <v>13</v>
      </c>
      <c r="T1" s="14" t="s">
        <v>14</v>
      </c>
      <c r="U1" s="14" t="s">
        <v>15</v>
      </c>
      <c r="V1" s="15" t="s">
        <v>16</v>
      </c>
      <c r="W1" s="14" t="s">
        <v>17</v>
      </c>
      <c r="X1" s="14" t="s">
        <v>18</v>
      </c>
      <c r="Y1" s="14" t="s">
        <v>19</v>
      </c>
      <c r="Z1" s="14" t="s">
        <v>20</v>
      </c>
      <c r="AA1" s="14" t="s">
        <v>21</v>
      </c>
      <c r="AB1" s="14" t="s">
        <v>22</v>
      </c>
      <c r="AC1" s="14" t="s">
        <v>23</v>
      </c>
      <c r="AD1" s="14" t="s">
        <v>24</v>
      </c>
      <c r="AE1" s="14" t="s">
        <v>25</v>
      </c>
      <c r="AF1" s="16" t="s">
        <v>26</v>
      </c>
      <c r="AG1" s="16" t="s">
        <v>27</v>
      </c>
      <c r="AH1" s="16" t="s">
        <v>28</v>
      </c>
      <c r="AI1" s="16" t="s">
        <v>29</v>
      </c>
      <c r="AJ1" s="16" t="s">
        <v>30</v>
      </c>
      <c r="AK1" s="16" t="s">
        <v>31</v>
      </c>
      <c r="AL1" s="16" t="s">
        <v>32</v>
      </c>
      <c r="AM1" s="16" t="s">
        <v>33</v>
      </c>
      <c r="AN1" s="16" t="s">
        <v>34</v>
      </c>
      <c r="AO1" s="16" t="s">
        <v>35</v>
      </c>
      <c r="AP1" s="16" t="s">
        <v>36</v>
      </c>
      <c r="AQ1" s="16" t="s">
        <v>37</v>
      </c>
      <c r="AR1" s="16" t="s">
        <v>38</v>
      </c>
      <c r="AS1" s="16" t="s">
        <v>39</v>
      </c>
      <c r="AT1" s="17" t="s">
        <v>40</v>
      </c>
      <c r="AU1" s="18" t="s">
        <v>41</v>
      </c>
      <c r="AV1" s="18" t="s">
        <v>42</v>
      </c>
      <c r="AW1" s="18" t="s">
        <v>43</v>
      </c>
      <c r="AX1" s="19"/>
      <c r="AY1" s="20" t="s">
        <v>44</v>
      </c>
      <c r="AZ1" s="19" t="s">
        <v>45</v>
      </c>
      <c r="BA1" s="19"/>
      <c r="BB1" s="19"/>
      <c r="BC1" s="21"/>
      <c r="BD1" s="19" t="s">
        <v>46</v>
      </c>
      <c r="BE1" s="21"/>
      <c r="BF1" s="19" t="s">
        <v>47</v>
      </c>
      <c r="BG1" s="19" t="s">
        <v>48</v>
      </c>
      <c r="BH1" s="19" t="s">
        <v>49</v>
      </c>
      <c r="BI1" s="19" t="s">
        <v>50</v>
      </c>
      <c r="BJ1" s="19" t="s">
        <v>51</v>
      </c>
      <c r="BK1" s="21"/>
      <c r="BL1" s="22" t="s">
        <v>52</v>
      </c>
      <c r="BM1" s="22"/>
      <c r="BN1" s="22"/>
      <c r="BO1" s="22"/>
      <c r="BP1" s="22"/>
      <c r="BQ1" s="22"/>
      <c r="BR1" s="22"/>
      <c r="BS1" s="22"/>
      <c r="BT1" s="23"/>
      <c r="BU1" s="23" t="s">
        <v>53</v>
      </c>
      <c r="BV1" s="23" t="s">
        <v>54</v>
      </c>
      <c r="BW1" s="23" t="s">
        <v>55</v>
      </c>
      <c r="BX1" s="23"/>
      <c r="BY1" s="23" t="s">
        <v>56</v>
      </c>
      <c r="BZ1" s="23" t="s">
        <v>57</v>
      </c>
      <c r="CA1" s="23" t="s">
        <v>58</v>
      </c>
      <c r="CB1" s="23" t="s">
        <v>59</v>
      </c>
      <c r="CC1" s="23" t="s">
        <v>60</v>
      </c>
      <c r="CD1" s="23" t="s">
        <v>61</v>
      </c>
      <c r="CE1" s="23" t="s">
        <v>62</v>
      </c>
      <c r="CF1" s="23" t="s">
        <v>63</v>
      </c>
      <c r="CG1" s="23"/>
      <c r="CH1" s="23" t="s">
        <v>64</v>
      </c>
      <c r="CI1" s="23" t="s">
        <v>65</v>
      </c>
      <c r="CJ1" s="23" t="s">
        <v>66</v>
      </c>
      <c r="CK1" s="23" t="s">
        <v>67</v>
      </c>
      <c r="CL1" s="24" t="s">
        <v>68</v>
      </c>
      <c r="CM1" s="24" t="s">
        <v>69</v>
      </c>
      <c r="CN1" s="24" t="s">
        <v>70</v>
      </c>
      <c r="CO1" s="24" t="s">
        <v>71</v>
      </c>
      <c r="CP1" s="24" t="s">
        <v>72</v>
      </c>
      <c r="CQ1" s="24" t="s">
        <v>73</v>
      </c>
      <c r="CR1" s="24" t="s">
        <v>74</v>
      </c>
      <c r="CS1" s="24" t="s">
        <v>75</v>
      </c>
      <c r="CT1" s="1" t="s">
        <v>76</v>
      </c>
      <c r="CU1" s="25" t="s">
        <v>0</v>
      </c>
      <c r="CV1" s="5" t="s">
        <v>77</v>
      </c>
      <c r="CW1" s="14" t="s">
        <v>78</v>
      </c>
      <c r="CX1" s="14" t="s">
        <v>79</v>
      </c>
      <c r="CY1" s="14" t="s">
        <v>66</v>
      </c>
      <c r="CZ1" s="14" t="s">
        <v>80</v>
      </c>
      <c r="DA1" s="14" t="s">
        <v>81</v>
      </c>
      <c r="DB1" s="14" t="s">
        <v>82</v>
      </c>
      <c r="DC1" s="14" t="s">
        <v>83</v>
      </c>
      <c r="DD1" s="14" t="s">
        <v>84</v>
      </c>
      <c r="DE1" s="14" t="s">
        <v>85</v>
      </c>
      <c r="DF1" s="14" t="s">
        <v>86</v>
      </c>
      <c r="DG1" s="14" t="s">
        <v>87</v>
      </c>
      <c r="DH1" s="14" t="s">
        <v>88</v>
      </c>
      <c r="DI1" s="14" t="s">
        <v>89</v>
      </c>
      <c r="DJ1" s="14" t="s">
        <v>90</v>
      </c>
      <c r="DK1" s="14" t="s">
        <v>91</v>
      </c>
      <c r="DL1" s="14" t="s">
        <v>92</v>
      </c>
      <c r="DM1" s="14" t="s">
        <v>93</v>
      </c>
      <c r="DN1" s="14" t="s">
        <v>94</v>
      </c>
      <c r="DO1" s="14" t="s">
        <v>95</v>
      </c>
      <c r="DP1" s="14" t="s">
        <v>96</v>
      </c>
      <c r="DQ1" s="14" t="s">
        <v>97</v>
      </c>
      <c r="DR1" s="14" t="s">
        <v>56</v>
      </c>
      <c r="DS1" s="14" t="s">
        <v>98</v>
      </c>
      <c r="DT1" s="14" t="s">
        <v>99</v>
      </c>
      <c r="DU1" s="14" t="s">
        <v>100</v>
      </c>
      <c r="DV1" s="14" t="s">
        <v>101</v>
      </c>
      <c r="DW1" s="14" t="s">
        <v>102</v>
      </c>
      <c r="DX1" s="14" t="s">
        <v>103</v>
      </c>
      <c r="DY1" s="14" t="s">
        <v>104</v>
      </c>
      <c r="DZ1" s="14" t="s">
        <v>105</v>
      </c>
      <c r="EA1" s="14" t="s">
        <v>106</v>
      </c>
      <c r="EB1" s="14" t="s">
        <v>107</v>
      </c>
      <c r="EC1" s="14" t="s">
        <v>108</v>
      </c>
      <c r="ED1" s="14" t="s">
        <v>109</v>
      </c>
      <c r="EE1" s="15" t="s">
        <v>18</v>
      </c>
      <c r="EF1" s="14" t="s">
        <v>19</v>
      </c>
      <c r="EG1" s="14" t="s">
        <v>20</v>
      </c>
      <c r="EH1" s="14" t="s">
        <v>21</v>
      </c>
      <c r="EI1" s="14" t="s">
        <v>110</v>
      </c>
      <c r="EJ1" s="14" t="s">
        <v>23</v>
      </c>
      <c r="EK1" s="14" t="s">
        <v>111</v>
      </c>
      <c r="EL1" s="14" t="s">
        <v>112</v>
      </c>
      <c r="EM1" s="14" t="s">
        <v>26</v>
      </c>
      <c r="EN1" s="16" t="s">
        <v>27</v>
      </c>
      <c r="EO1" s="16" t="s">
        <v>28</v>
      </c>
      <c r="EP1" s="16" t="s">
        <v>29</v>
      </c>
      <c r="EQ1" s="16" t="s">
        <v>113</v>
      </c>
      <c r="ER1" s="16" t="s">
        <v>31</v>
      </c>
      <c r="ES1" s="16" t="s">
        <v>32</v>
      </c>
      <c r="ET1" s="16" t="s">
        <v>114</v>
      </c>
      <c r="EU1" s="16" t="s">
        <v>34</v>
      </c>
      <c r="EV1" s="16" t="s">
        <v>35</v>
      </c>
      <c r="EW1" s="16" t="s">
        <v>115</v>
      </c>
      <c r="EX1" s="16" t="s">
        <v>37</v>
      </c>
      <c r="EY1" s="16" t="s">
        <v>38</v>
      </c>
      <c r="EZ1" s="16" t="s">
        <v>39</v>
      </c>
      <c r="FA1" s="16" t="s">
        <v>116</v>
      </c>
      <c r="FB1" s="16" t="s">
        <v>117</v>
      </c>
      <c r="FC1" s="16" t="s">
        <v>118</v>
      </c>
      <c r="FD1" s="16" t="s">
        <v>54</v>
      </c>
      <c r="FE1" s="16" t="s">
        <v>119</v>
      </c>
      <c r="FF1" s="16" t="s">
        <v>120</v>
      </c>
      <c r="FG1" s="16" t="s">
        <v>121</v>
      </c>
      <c r="FH1" s="16" t="s">
        <v>122</v>
      </c>
      <c r="FI1" s="16" t="s">
        <v>123</v>
      </c>
      <c r="FJ1" s="16" t="s">
        <v>124</v>
      </c>
      <c r="FK1" s="16" t="s">
        <v>125</v>
      </c>
      <c r="FL1" s="16" t="s">
        <v>126</v>
      </c>
      <c r="FM1" s="16" t="s">
        <v>127</v>
      </c>
      <c r="FN1" s="16" t="s">
        <v>128</v>
      </c>
      <c r="FO1" s="16" t="s">
        <v>129</v>
      </c>
      <c r="FP1" s="16" t="s">
        <v>130</v>
      </c>
      <c r="FQ1" s="16" t="s">
        <v>131</v>
      </c>
      <c r="FR1" s="16" t="s">
        <v>132</v>
      </c>
      <c r="FS1" s="16" t="s">
        <v>133</v>
      </c>
      <c r="FT1" s="16" t="s">
        <v>134</v>
      </c>
      <c r="FU1" s="16" t="s">
        <v>44</v>
      </c>
      <c r="FV1" s="16" t="s">
        <v>135</v>
      </c>
      <c r="FW1" s="16" t="s">
        <v>58</v>
      </c>
      <c r="FX1" s="16" t="s">
        <v>136</v>
      </c>
      <c r="FY1" s="16" t="s">
        <v>137</v>
      </c>
      <c r="FZ1" s="16" t="s">
        <v>138</v>
      </c>
      <c r="GA1" s="16" t="s">
        <v>139</v>
      </c>
      <c r="GB1" s="16" t="s">
        <v>140</v>
      </c>
      <c r="GC1" s="16" t="s">
        <v>141</v>
      </c>
      <c r="GD1" s="16" t="s">
        <v>142</v>
      </c>
      <c r="GE1" s="16" t="s">
        <v>143</v>
      </c>
      <c r="GF1" s="16" t="s">
        <v>144</v>
      </c>
      <c r="GG1" s="16" t="s">
        <v>145</v>
      </c>
      <c r="GH1" s="16" t="s">
        <v>61</v>
      </c>
      <c r="GI1" s="16" t="s">
        <v>62</v>
      </c>
      <c r="GJ1" s="14" t="s">
        <v>146</v>
      </c>
      <c r="GK1" s="14" t="s">
        <v>147</v>
      </c>
      <c r="GL1" s="14" t="s">
        <v>148</v>
      </c>
      <c r="GM1" s="17" t="s">
        <v>149</v>
      </c>
      <c r="GN1" s="26" t="s">
        <v>150</v>
      </c>
      <c r="GO1" s="26" t="s">
        <v>151</v>
      </c>
      <c r="GP1" s="18" t="s">
        <v>41</v>
      </c>
      <c r="GQ1" s="18" t="s">
        <v>42</v>
      </c>
      <c r="GR1" s="18" t="s">
        <v>43</v>
      </c>
      <c r="GS1" s="21"/>
      <c r="GT1" s="27" t="s">
        <v>52</v>
      </c>
      <c r="GU1" s="27"/>
      <c r="GV1" s="27"/>
      <c r="GW1" s="27"/>
      <c r="GX1" s="28"/>
      <c r="GY1" s="28"/>
      <c r="GZ1" s="28"/>
      <c r="HA1" s="28"/>
      <c r="HB1" s="28"/>
      <c r="HC1" s="28"/>
      <c r="HD1" s="29" t="s">
        <v>13</v>
      </c>
      <c r="HE1" s="30" t="s">
        <v>152</v>
      </c>
      <c r="HF1" s="31"/>
      <c r="HG1" s="32"/>
      <c r="HK1" s="32" t="s">
        <v>4</v>
      </c>
      <c r="HP1" s="33" t="s">
        <v>153</v>
      </c>
      <c r="HQ1" s="33" t="s">
        <v>154</v>
      </c>
      <c r="HR1" s="33" t="s">
        <v>155</v>
      </c>
      <c r="HS1" s="33" t="s">
        <v>156</v>
      </c>
      <c r="HT1" s="33" t="s">
        <v>157</v>
      </c>
      <c r="HU1" s="33" t="s">
        <v>158</v>
      </c>
      <c r="HV1" s="33" t="s">
        <v>159</v>
      </c>
      <c r="HW1" s="33" t="s">
        <v>160</v>
      </c>
      <c r="HX1" s="34" t="s">
        <v>161</v>
      </c>
      <c r="IA1" s="14" t="s">
        <v>162</v>
      </c>
      <c r="IB1" s="35" t="s">
        <v>163</v>
      </c>
      <c r="IC1" s="36" t="s">
        <v>153</v>
      </c>
      <c r="ID1" s="36" t="s">
        <v>154</v>
      </c>
      <c r="IE1" s="36" t="s">
        <v>156</v>
      </c>
      <c r="IF1" s="37" t="s">
        <v>161</v>
      </c>
      <c r="IG1" s="36" t="s">
        <v>157</v>
      </c>
      <c r="IH1" s="36" t="s">
        <v>158</v>
      </c>
      <c r="II1" s="36" t="s">
        <v>155</v>
      </c>
      <c r="IJ1" s="36" t="s">
        <v>159</v>
      </c>
      <c r="IK1" s="36" t="s">
        <v>160</v>
      </c>
      <c r="IO1" s="33" t="s">
        <v>153</v>
      </c>
      <c r="IP1" s="33" t="s">
        <v>154</v>
      </c>
      <c r="IQ1" s="33" t="s">
        <v>155</v>
      </c>
      <c r="IR1" s="33" t="s">
        <v>156</v>
      </c>
      <c r="IS1" s="33" t="s">
        <v>157</v>
      </c>
      <c r="IT1" s="33" t="s">
        <v>158</v>
      </c>
      <c r="IU1" s="33" t="s">
        <v>159</v>
      </c>
      <c r="IV1" s="33" t="s">
        <v>160</v>
      </c>
      <c r="IW1" s="34" t="s">
        <v>161</v>
      </c>
      <c r="IY1" s="5" t="s">
        <v>164</v>
      </c>
    </row>
    <row r="2" spans="1:259" s="44" customFormat="1" ht="38.4" customHeight="1" thickBot="1" x14ac:dyDescent="0.35">
      <c r="A2" s="77" t="s">
        <v>180</v>
      </c>
      <c r="B2" s="78" t="e" vm="3">
        <v>#VALUE!</v>
      </c>
      <c r="C2" s="39">
        <v>1</v>
      </c>
      <c r="D2" s="70" t="s">
        <v>181</v>
      </c>
      <c r="E2" s="40" t="s">
        <v>182</v>
      </c>
      <c r="F2" s="41" t="s">
        <v>165</v>
      </c>
      <c r="G2" s="42">
        <f t="shared" ref="G2:G22" si="0">COUNTIF($A$1:$A$8359,A2)</f>
        <v>1</v>
      </c>
      <c r="H2" s="43"/>
      <c r="I2" s="59" t="s">
        <v>183</v>
      </c>
      <c r="J2" s="44" t="str">
        <f>""</f>
        <v/>
      </c>
      <c r="K2" s="45">
        <v>26010000</v>
      </c>
      <c r="L2" s="46">
        <v>6600000</v>
      </c>
      <c r="M2" s="46" t="s">
        <v>1144</v>
      </c>
      <c r="N2" s="47" t="s">
        <v>177</v>
      </c>
      <c r="O2" s="74" t="s">
        <v>184</v>
      </c>
      <c r="P2" s="48" t="s">
        <v>185</v>
      </c>
      <c r="Q2" s="73">
        <v>1</v>
      </c>
      <c r="R2" s="49" t="s">
        <v>177</v>
      </c>
      <c r="S2" s="50">
        <v>0</v>
      </c>
      <c r="T2" s="51" t="s">
        <v>166</v>
      </c>
      <c r="U2" s="52" t="s">
        <v>167</v>
      </c>
      <c r="V2" s="52" t="s">
        <v>166</v>
      </c>
      <c r="W2" s="52" t="s">
        <v>166</v>
      </c>
      <c r="X2" s="52" t="s">
        <v>166</v>
      </c>
      <c r="Y2" s="52" t="s">
        <v>166</v>
      </c>
      <c r="Z2" s="52" t="s">
        <v>166</v>
      </c>
      <c r="AA2" s="52" t="s">
        <v>166</v>
      </c>
      <c r="AB2" s="52" t="s">
        <v>166</v>
      </c>
      <c r="AC2" s="52" t="s">
        <v>166</v>
      </c>
      <c r="AD2" s="52" t="s">
        <v>166</v>
      </c>
      <c r="AE2" s="52" t="s">
        <v>166</v>
      </c>
      <c r="AF2" s="53" t="s">
        <v>166</v>
      </c>
      <c r="AG2" s="53" t="s">
        <v>166</v>
      </c>
      <c r="AH2" s="53" t="s">
        <v>166</v>
      </c>
      <c r="AI2" s="53" t="s">
        <v>167</v>
      </c>
      <c r="AJ2" s="53" t="s">
        <v>166</v>
      </c>
      <c r="AK2" s="53" t="s">
        <v>166</v>
      </c>
      <c r="AL2" s="53" t="s">
        <v>166</v>
      </c>
      <c r="AM2" s="53" t="s">
        <v>166</v>
      </c>
      <c r="AN2" s="53" t="s">
        <v>166</v>
      </c>
      <c r="AO2" s="53" t="s">
        <v>166</v>
      </c>
      <c r="AP2" s="53" t="s">
        <v>166</v>
      </c>
      <c r="AQ2" s="53" t="s">
        <v>166</v>
      </c>
      <c r="AR2" s="53" t="s">
        <v>166</v>
      </c>
      <c r="AS2" s="53" t="s">
        <v>166</v>
      </c>
      <c r="AT2" s="54">
        <v>6</v>
      </c>
      <c r="AU2" s="53"/>
      <c r="AV2" s="53" t="str">
        <f t="shared" ref="AV2:AV22" si="1">IF(LEFT(A2,1)="[",LEFT(A2,5)&amp;AU2&amp;A2,"")</f>
        <v/>
      </c>
      <c r="AW2" s="53" t="str">
        <f t="shared" ref="AW2:AW22" si="2">C2&amp;H2&amp;A2</f>
        <v>1Australia</v>
      </c>
      <c r="AX2" s="55" t="str">
        <f>_xlfn.TEXTJOIN(";",TRUE,AU2:AW2)</f>
        <v>1Australia</v>
      </c>
      <c r="AY2" s="55"/>
      <c r="AZ2" s="56" t="s">
        <v>161</v>
      </c>
      <c r="BA2" s="56"/>
      <c r="BB2" s="56"/>
      <c r="BC2" s="57"/>
      <c r="BD2" s="58" t="s">
        <v>154</v>
      </c>
      <c r="BE2" s="59"/>
      <c r="BF2" s="58"/>
      <c r="BG2" s="58"/>
      <c r="BH2" s="58"/>
      <c r="BI2" s="58"/>
      <c r="BJ2" s="58"/>
      <c r="BK2" s="59"/>
      <c r="BL2" s="58" t="s">
        <v>156</v>
      </c>
      <c r="BM2" s="58" t="s">
        <v>161</v>
      </c>
      <c r="BN2" s="58" t="s">
        <v>154</v>
      </c>
      <c r="BO2" s="58"/>
      <c r="BP2" s="58"/>
      <c r="BQ2" s="58"/>
      <c r="BR2" s="58"/>
      <c r="BS2" s="58"/>
      <c r="BT2" s="58"/>
      <c r="BU2" s="60" t="s">
        <v>167</v>
      </c>
      <c r="BV2" s="61" t="s">
        <v>168</v>
      </c>
      <c r="BW2" s="61" t="s">
        <v>170</v>
      </c>
      <c r="BX2" s="59"/>
      <c r="CB2" s="5" t="s">
        <v>138</v>
      </c>
      <c r="CC2" s="5"/>
      <c r="CD2" s="62">
        <v>1</v>
      </c>
      <c r="CE2" s="62">
        <v>0</v>
      </c>
      <c r="CF2" s="62" t="e">
        <v>#REF!</v>
      </c>
      <c r="CG2" s="75" cm="1">
        <f t="array" ref="CG2">SUMPRODUCT(--(LEN(TRIM(BL2:BT2))&gt;0))</f>
        <v>3</v>
      </c>
      <c r="CH2" s="53" t="str">
        <f t="shared" ref="CH2:CH22" si="3">IF(CG2=2,"y","n")</f>
        <v>n</v>
      </c>
      <c r="CI2" s="53" t="str">
        <f t="shared" ref="CI2:CI22" si="4">IF(CG2=3,"y","n")</f>
        <v>y</v>
      </c>
      <c r="CJ2" s="53" t="str">
        <f t="shared" ref="CJ2:CJ22" si="5">IF(CG2=4,"y","n")</f>
        <v>n</v>
      </c>
      <c r="CK2" s="53" t="str">
        <f t="shared" ref="CK2:CK22" si="6">IF(CG2&gt;4,"y","n")</f>
        <v>n</v>
      </c>
      <c r="CL2" s="53" t="str">
        <f t="shared" ref="CL2:CL22" si="7">IF(S2=0,"y","n")</f>
        <v>y</v>
      </c>
      <c r="CM2" s="53" t="str">
        <f t="shared" ref="CM2:CM22" si="8">IF(S2=2,"y","n")</f>
        <v>n</v>
      </c>
      <c r="CN2" s="53" t="str">
        <f t="shared" ref="CN2:CN22" si="9">IF(S2=3,"y","n")</f>
        <v>n</v>
      </c>
      <c r="CO2" s="53" t="str">
        <f t="shared" ref="CO2:CO22" si="10">IF(S2&gt;=4,"y","n")</f>
        <v>n</v>
      </c>
      <c r="CP2" s="53" t="str">
        <f t="shared" ref="CP2:CP22" si="11">IF(AT2=0,"y","n")</f>
        <v>n</v>
      </c>
      <c r="CQ2" s="53" t="str">
        <f t="shared" ref="CQ2:CQ22" si="12">IF(AT2=1,"y","n")</f>
        <v>n</v>
      </c>
      <c r="CR2" s="53" t="str">
        <f t="shared" ref="CR2:CR22" si="13">IF(AT2=2,"y","n")</f>
        <v>n</v>
      </c>
      <c r="CS2" s="53" t="str">
        <f t="shared" ref="CS2:CS22" si="14">IF(AT2&gt;=3,"y","n")</f>
        <v>y</v>
      </c>
      <c r="CT2" s="38" t="str">
        <f t="shared" ref="CT2:CT22" si="15">CHAR(34)&amp;A2&amp;CHAR(34)</f>
        <v>"Australia"</v>
      </c>
      <c r="CU2" s="63" t="str">
        <f t="shared" ref="CU2:CU22" si="16">CHAR(34)&amp;"rgn_"&amp;R2&amp;CHAR(34)</f>
        <v>"rgn_Oceania"</v>
      </c>
      <c r="CV2" s="44" t="str">
        <f t="shared" ref="CV2:CV22" si="17">CHAR(34)&amp;D2&amp;CHAR(34)</f>
        <v>"https://i.ibb.co/cJ1kzCd/Australia-Flag.png"</v>
      </c>
      <c r="CW2" s="44" t="str">
        <f t="shared" ref="CW2:CW22" si="18">IF(CH2="y",CHAR(34)&amp;CH$1&amp;CHAR(34)&amp;",","")</f>
        <v/>
      </c>
      <c r="CX2" s="44" t="str">
        <f t="shared" ref="CX2:CX22" si="19">IF(CI2="y",CHAR(34)&amp;CI$1&amp;CHAR(34)&amp;",","")</f>
        <v>"3Color",</v>
      </c>
      <c r="CY2" s="44" t="str">
        <f t="shared" ref="CY2:CY22" si="20">IF(CJ2="y",CHAR(34)&amp;CJ$1&amp;CHAR(34)&amp;",","")</f>
        <v/>
      </c>
      <c r="CZ2" s="44" t="str">
        <f t="shared" ref="CZ2:CZ22" si="21">IF(CK2="y",CHAR(34)&amp;CK$1&amp;CHAR(34)&amp;",","")</f>
        <v/>
      </c>
      <c r="DA2" s="44" t="str">
        <f t="shared" ref="DA2:DA22" si="22">IF(Q2&gt;1,CHAR(34)&amp;"words2"&amp;CHAR(34)&amp;",","")</f>
        <v/>
      </c>
      <c r="DB2" s="44" t="str">
        <f t="shared" ref="DB2:DB22" si="23">IF(Q2&gt;2,CHAR(34)&amp;"words3"&amp;CHAR(34)&amp;",","")</f>
        <v/>
      </c>
      <c r="DC2" s="44" t="str">
        <f t="shared" ref="DC2:DC15" si="24">IF(Q2=2,CHAR(34)&amp;"exact2"&amp;CHAR(34)&amp;",","")</f>
        <v/>
      </c>
      <c r="DD2" s="44" t="str">
        <f t="shared" ref="DD2:DD15" si="25">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"lets09",</v>
      </c>
      <c r="DE2" s="44" t="str">
        <f t="shared" ref="DE2:DE15" si="26">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"startA",</v>
      </c>
      <c r="DF2" s="44" t="str">
        <f t="shared" ref="DF2:DF22" si="27">IFERROR(IF(SEARCH("tan",A2)&gt;0,CHAR(34)&amp;"withtn"&amp;CHAR(34)&amp;",",""),"")</f>
        <v/>
      </c>
      <c r="DG2" s="44" t="str">
        <f t="shared" ref="DG2:DG22" si="28">IFERROR(IF(SEARCH("q",A2)&gt;0,CHAR(34)&amp;"with_q"&amp;CHAR(34)&amp;",",""),"")</f>
        <v/>
      </c>
      <c r="DH2" s="44" t="str">
        <f t="shared" ref="DH2:DH22" si="29">IFERROR(IF(SEARCH("v",A2)&gt;0,CHAR(34)&amp;"with_v"&amp;CHAR(34)&amp;",",""),"")</f>
        <v/>
      </c>
      <c r="DI2" s="44" t="str">
        <f t="shared" ref="DI2:DI22" si="30">IFERROR(IF(SEARCH("w",A2)&gt;0,CHAR(34)&amp;"with_w"&amp;CHAR(34)&amp;",",""),"")</f>
        <v/>
      </c>
      <c r="DJ2" s="44" t="str">
        <f t="shared" ref="DJ2:DJ22" si="31">IFERROR(IF(SEARCH("y",A2)&gt;0,CHAR(34)&amp;"with_y"&amp;CHAR(34)&amp;",",""),"")</f>
        <v/>
      </c>
      <c r="DK2" s="44" t="str">
        <f t="shared" ref="DK2:DK22" si="32">IFERROR(IF(SEARCH("z",A2)&gt;0,CHAR(34)&amp;"with_z"&amp;CHAR(34)&amp;",",""),"")</f>
        <v/>
      </c>
      <c r="DL2" s="44" t="str">
        <f t="shared" ref="DL2:DL22" si="33">IF(CG2=2, CHAR(34) &amp; _xlfn.TEXTJOIN("", TRUE, _xlfn._xlws.SORT(HP2:HX2)) &amp; CHAR(34) &amp; ",", "")</f>
        <v/>
      </c>
      <c r="DM2" s="44" t="str" cm="1">
        <f t="array" ref="DM2">IF(CG2=3,CHAR(34) &amp; _xlfn.TEXTJOIN("", TRUE, RIGHT(HP2:HX2, 2)) &amp; CHAR(34) &amp; ",", "")</f>
        <v>"LUEDHI",</v>
      </c>
      <c r="DN2" s="44" t="str">
        <f t="shared" ref="DN2:DN22" si="34">IF(AND(ISNUMBER(SEARCH("18", O2)), ISERROR(SEARCH("1918", O2)), ISERROR(SEARCH("2018", O2))), CHAR(34) &amp; "year18" &amp; CHAR(34) &amp; ",", "")</f>
        <v/>
      </c>
      <c r="DO2" s="44" t="str">
        <f t="shared" ref="DO2:DO22" si="35">IF(AND(ISNUMBER(SEARCH("19", O2)), ISERROR(SEARCH("1819", O2)),  ISERROR(SEARCH("1219", O2)),ISERROR(SEARCH("1119", O2)),ISERROR(SEARCH("1190", O2)),ISERROR(SEARCH("2019", O2))), CHAR(34) &amp; "year19" &amp; CHAR(34) &amp; ",", "")</f>
        <v>"year19",</v>
      </c>
      <c r="DP2" s="5" t="str">
        <f t="shared" ref="DP2:DP22" si="36">IF(AND(ISNUMBER(SEARCH("20", O2)), ISERROR(SEARCH("1920", O2))), CHAR(34)&amp;"year00"&amp;CHAR(34)&amp;",", "")</f>
        <v/>
      </c>
      <c r="DQ2" s="5" t="str">
        <f t="shared" ref="DQ2:DQ22" si="37">IF(CC2="y",CHAR(34)&amp;"soviet"&amp;CHAR(34)&amp;",","")</f>
        <v/>
      </c>
      <c r="DR2" s="5" t="str">
        <f t="shared" ref="DR2:DR22" si="38">IF(BY2="y",CHAR(34)&amp;"dgband"&amp;CHAR(34)&amp;",","")</f>
        <v/>
      </c>
      <c r="DS2" s="5" t="str">
        <f t="shared" ref="DS2:DS22" si="39">IF(W2="y",IF(AND(V2="n",BY2&lt;&gt;"y"),CHAR(34)&amp;"allver"&amp;CHAR(34)&amp;",",""),"")</f>
        <v/>
      </c>
      <c r="DT2" s="5" t="str">
        <f t="shared" ref="DT2:DT22" si="40">IF(V2="y",IF(AND(W2="n",BY2&lt;&gt;"y"),CHAR(34)&amp;"allhor"&amp;CHAR(34)&amp;",",""),"")</f>
        <v/>
      </c>
      <c r="DU2" s="5" t="str">
        <f t="shared" ref="DU2:DU22" si="41">IF(BY2="y",IF(AND(W2="n",V2="n"),CHAR(34)&amp;"alldia"&amp;CHAR(34)&amp;",",""),"")</f>
        <v/>
      </c>
      <c r="DV2" s="44" t="str">
        <f t="shared" ref="DV2:DV15" si="42">IF(IA2&lt;&gt;"",(IF(IA2="y",CHAR(34)&amp;"largec"&amp;CHAR(34)&amp;",",CHAR(34)&amp;"smallc"&amp;CHAR(34)&amp;",")),"")</f>
        <v>"smallc",</v>
      </c>
      <c r="DW2" s="44" t="str">
        <f t="shared" ref="DW2:DW22" si="43">IF(CL2="y",CHAR(34)&amp;CL$1&amp;CHAR(34)&amp;",","")</f>
        <v>"NoBand",</v>
      </c>
      <c r="DX2" s="44" t="str">
        <f t="shared" ref="DX2:DX22" si="44">IF(CM2="y",CHAR(34)&amp;CM$1&amp;CHAR(34)&amp;",","")</f>
        <v/>
      </c>
      <c r="DY2" s="44" t="str">
        <f t="shared" ref="DY2:DY22" si="45">IF(CN2="y",CHAR(34)&amp;CN$1&amp;CHAR(34)&amp;",","")</f>
        <v/>
      </c>
      <c r="DZ2" s="44" t="str">
        <f t="shared" ref="DZ2:DZ22" si="46">IF(CO2="y",CHAR(34)&amp;CO$1&amp;CHAR(34)&amp;",","")</f>
        <v/>
      </c>
      <c r="EA2" s="44" t="str">
        <f t="shared" ref="EA2:EA22" si="47">IF(T2="y",CHAR(34)&amp;T$1&amp;CHAR(34)&amp;",","")</f>
        <v/>
      </c>
      <c r="EB2" s="44" t="str">
        <f t="shared" ref="EB2:EB22" si="48">IF(U2="y",CHAR(34)&amp;U$1&amp;CHAR(34)&amp;",","")</f>
        <v>"Crosse",</v>
      </c>
      <c r="EC2" s="44" t="str">
        <f t="shared" ref="EC2:EC22" si="49">IF(V2="y",CHAR(34)&amp;V$1&amp;CHAR(34)&amp;",","")</f>
        <v/>
      </c>
      <c r="ED2" s="44" t="str">
        <f t="shared" ref="ED2:ED22" si="50">IF(W2="y",CHAR(34)&amp;W$1&amp;CHAR(34)&amp;",","")</f>
        <v/>
      </c>
      <c r="EE2" s="44" t="str">
        <f t="shared" ref="EE2:EE22" si="51">IF(X2="y",CHAR(34)&amp;X$1&amp;CHAR(34)&amp;",","")</f>
        <v/>
      </c>
      <c r="EF2" s="44" t="str">
        <f t="shared" ref="EF2:EF22" si="52">IF(AND(Y2&lt;&gt;"n",Y2&lt;&gt;""),CHAR(34)&amp;Y$1&amp;CHAR(34)&amp;",","")</f>
        <v/>
      </c>
      <c r="EG2" s="44" t="str">
        <f t="shared" ref="EG2:EG22" si="53">IF(Z2="y",CHAR(34)&amp;Z$1&amp;CHAR(34)&amp;",","")</f>
        <v/>
      </c>
      <c r="EH2" s="44" t="str">
        <f t="shared" ref="EH2:EH22" si="54">IF(AA2="y",CHAR(34)&amp;AA$1&amp;CHAR(34)&amp;",","")</f>
        <v/>
      </c>
      <c r="EI2" s="44" t="str">
        <f t="shared" ref="EI2:EI22" si="55">IF(AB2="y",CHAR(34)&amp;AB$1&amp;CHAR(34)&amp;",","")</f>
        <v/>
      </c>
      <c r="EJ2" s="44" t="str">
        <f t="shared" ref="EJ2:EJ22" si="56">IF(AC2="y",CHAR(34)&amp;AC$1&amp;CHAR(34)&amp;",","")</f>
        <v/>
      </c>
      <c r="EK2" s="44" t="str">
        <f t="shared" ref="EK2:EK22" si="57">IF(AD2="y",CHAR(34)&amp;AD$1&amp;CHAR(34)&amp;",","")</f>
        <v/>
      </c>
      <c r="EL2" s="44" t="str">
        <f t="shared" ref="EL2:EL22" si="58">IF(AE2="y",CHAR(34)&amp;AE$1&amp;CHAR(34)&amp;",","")</f>
        <v/>
      </c>
      <c r="EM2" s="44" t="str">
        <f t="shared" ref="EM2:EM22" si="59">IF(AF2="y",CHAR(34)&amp;AF$1&amp;CHAR(34)&amp;",","")</f>
        <v/>
      </c>
      <c r="EN2" s="44" t="str">
        <f t="shared" ref="EN2:EN22" si="60">IF(AG2="y",CHAR(34)&amp;AG$1&amp;CHAR(34)&amp;",","")</f>
        <v/>
      </c>
      <c r="EO2" s="44" t="str">
        <f t="shared" ref="EO2:EO22" si="61">IF(AH2="y",CHAR(34)&amp;AH$1&amp;CHAR(34)&amp;",","")</f>
        <v/>
      </c>
      <c r="EP2" s="44" t="str">
        <f t="shared" ref="EP2:EP22" si="62">IF(AI2="y",CHAR(34)&amp;AI$1&amp;CHAR(34)&amp;",","")</f>
        <v>"Canton",</v>
      </c>
      <c r="EQ2" s="44" t="str">
        <f t="shared" ref="EQ2:EQ22" si="63">IF(AJ2="y",CHAR(34)&amp;AJ$1&amp;CHAR(34)&amp;",","")</f>
        <v/>
      </c>
      <c r="ER2" s="44" t="str">
        <f t="shared" ref="ER2:ER22" si="64">IF(AK2="y",CHAR(34)&amp;AK$1&amp;CHAR(34)&amp;",","")</f>
        <v/>
      </c>
      <c r="ES2" s="44" t="str">
        <f t="shared" ref="ES2:ES22" si="65">IF(AL2="y",CHAR(34)&amp;AL$1&amp;CHAR(34)&amp;",","")</f>
        <v/>
      </c>
      <c r="ET2" s="44" t="str">
        <f t="shared" ref="ET2:ET22" si="66">IF(AM2="y",CHAR(34)&amp;AM$1&amp;CHAR(34)&amp;",","")</f>
        <v/>
      </c>
      <c r="EU2" s="44" t="str">
        <f t="shared" ref="EU2:EU22" si="67">IF(AN2="y",CHAR(34)&amp;AN$1&amp;CHAR(34)&amp;",","")</f>
        <v/>
      </c>
      <c r="EV2" s="44" t="str">
        <f t="shared" ref="EV2:EV22" si="68">IF(AO2="y",CHAR(34)&amp;AO$1&amp;CHAR(34)&amp;",","")</f>
        <v/>
      </c>
      <c r="EW2" s="44" t="str">
        <f t="shared" ref="EW2:EW22" si="69">IF(AP2="y",CHAR(34)&amp;AP$1&amp;CHAR(34)&amp;",","")</f>
        <v/>
      </c>
      <c r="EX2" s="44" t="str">
        <f t="shared" ref="EX2:EX22" si="70">IF(AQ2="y",CHAR(34)&amp;AQ$1&amp;CHAR(34)&amp;",","")</f>
        <v/>
      </c>
      <c r="EY2" s="44" t="str">
        <f t="shared" ref="EY2:EY22" si="71">IF(AR2="y",CHAR(34)&amp;AR$1&amp;CHAR(34)&amp;",","")</f>
        <v/>
      </c>
      <c r="EZ2" s="44" t="str">
        <f t="shared" ref="EZ2:EZ22" si="72">IF(AS2="y",CHAR(34)&amp;AS$1&amp;CHAR(34)&amp;",","")</f>
        <v/>
      </c>
      <c r="FA2" s="44" t="str">
        <f t="shared" ref="FA2:FA22" si="73">IF(AT2&gt;0,CHAR(34)&amp;"sta"&amp;AZ2&amp;CHAR(34)&amp;",","")</f>
        <v>"staWHI",</v>
      </c>
      <c r="FB2" s="44" t="str">
        <f t="shared" ref="FB2:FB22" si="74">IF(AND(AT2&gt;0,BA2&lt;&gt;""),CHAR(34)&amp;"sta"&amp;BA2&amp;CHAR(34)&amp;",","")</f>
        <v/>
      </c>
      <c r="FC2" s="44" t="str">
        <f t="shared" ref="FC2:FC15" si="75">IF(AND(AT2&gt;0,BB2&lt;&gt;""),CHAR(34)&amp;"sta"&amp;BB2&amp;CHAR(34)&amp;",","")</f>
        <v/>
      </c>
      <c r="FD2" s="44" t="str">
        <f t="shared" ref="FD2:FD22" si="76">IF(BV2="n",CHAR(34)&amp;"tcWHYE"&amp;CHAR(34)&amp;",",IF(BV2="y",CHAR(34)&amp;FD$1&amp;CHAR(34)&amp;",",""))</f>
        <v/>
      </c>
      <c r="FE2" s="44" t="str">
        <f t="shared" ref="FE2:FE22" si="77">IF(COUNTIF(BL2:BT2,"BLU")=0,CHAR(34)&amp;"NO_BLU"&amp;CHAR(34)&amp;",", "")</f>
        <v/>
      </c>
      <c r="FF2" s="44" t="str">
        <f t="shared" ref="FF2:FF22" si="78">IF(COUNTIF(BL2:BT2,"WHI")=0,CHAR(34)&amp;"NO_WHI"&amp;CHAR(34)&amp;",", "")</f>
        <v/>
      </c>
      <c r="FG2" s="44" t="str">
        <f t="shared" ref="FG2:FG22" si="79">IF(COUNTIF(BL2:BT2,"RED")=0,CHAR(34)&amp;"NO_RED"&amp;CHAR(34)&amp;",", "")</f>
        <v/>
      </c>
      <c r="FH2" s="44" t="str">
        <f t="shared" ref="FH2:FH22" si="80">IF(COUNTIF(BL2:BS2,"GRE")=0,CHAR(34)&amp;"NO_GRE"&amp;CHAR(34)&amp;",", "")</f>
        <v>"NO_GRE",</v>
      </c>
      <c r="FI2" s="44" t="str">
        <f t="shared" ref="FI2:FI22" si="81">IF(COUNTIF(BL2:BT2,"YEL")=0,CHAR(34)&amp;"NO_YEL"&amp;CHAR(34)&amp;",", "")</f>
        <v>"NO_YEL",</v>
      </c>
      <c r="FJ2" s="44" t="str">
        <f t="shared" ref="FJ2:FJ22" si="82">IF(COUNTIF(BL2:BT2,"BLA")=0,CHAR(34)&amp;"NO_BLA"&amp;CHAR(34)&amp;",", "")</f>
        <v>"NO_BLA",</v>
      </c>
      <c r="FK2" s="44" t="str">
        <f t="shared" ref="FK2:FK22" si="83">IF(AND(FH2&lt;&gt;"",FF2&lt;&gt;""),CHAR(34)&amp;"WHGRNO"&amp;CHAR(34)&amp;",","")</f>
        <v/>
      </c>
      <c r="FL2" s="44" t="str">
        <f t="shared" ref="FL2:FL22" si="84">IF(AND(FI2&lt;&gt;"",FF2&lt;&gt;""),CHAR(34)&amp;"WHYENO"&amp;CHAR(34)&amp;",","")</f>
        <v/>
      </c>
      <c r="FM2" s="44" t="str">
        <f t="shared" ref="FM2:FM22" si="85">IF(AND(FJ2&lt;&gt;"",FF2&lt;&gt;""),CHAR(34)&amp;"BAWHNO"&amp;CHAR(34)&amp;",","")</f>
        <v/>
      </c>
      <c r="FN2" s="44" t="str">
        <f t="shared" ref="FN2:FN22" si="86">IF(AND(FE2&lt;&gt;"",FF2&lt;&gt;""),CHAR(34)&amp;"BLWHNO"&amp;CHAR(34)&amp;",","")</f>
        <v/>
      </c>
      <c r="FO2" s="44" t="str">
        <f t="shared" ref="FO2:FO22" si="87">IF(AND(FE2&lt;&gt;"",FG2&lt;&gt;""),CHAR(34)&amp;"BLRENO"&amp;CHAR(34)&amp;",","")</f>
        <v/>
      </c>
      <c r="FP2" s="44" t="str">
        <f t="shared" ref="FP2:FP22" si="88">IF(AND(FF2&lt;&gt;"",FF2&lt;&gt;""),CHAR(34)&amp;"WHRENO"&amp;CHAR(34)&amp;",","")</f>
        <v/>
      </c>
      <c r="FQ2" s="44" t="str">
        <f t="shared" ref="FQ2:FQ22" si="89">IF(LEN(BF2)=3,CHAR(34)&amp;"001"&amp;BF2&amp;CHAR(34)&amp;",","")</f>
        <v/>
      </c>
      <c r="FR2" s="44" t="str">
        <f t="shared" ref="FR2:FR22" si="90">IF(LEN(BG2)=3,CHAR(34)&amp;"002"&amp;BG2&amp;CHAR(34)&amp;",","")</f>
        <v/>
      </c>
      <c r="FS2" s="44" t="str">
        <f t="shared" ref="FS2:FS22" si="91">IF(LEN(BH2)=3,CHAR(34)&amp;"003"&amp;BH2&amp;CHAR(34)&amp;",","")</f>
        <v/>
      </c>
      <c r="FT2" s="44" t="str">
        <f t="shared" ref="FT2:FT22" si="92">CHAR(34)&amp;"myr"&amp;BD2&amp;CHAR(34)&amp;","</f>
        <v>"myrBLU",</v>
      </c>
      <c r="FU2" s="44" t="str">
        <f t="shared" ref="FU2:FU22" si="93">IF(AY2="y",CHAR(34)&amp;"island"&amp;CHAR(34)&amp;",","")</f>
        <v/>
      </c>
      <c r="FV2" s="44" t="str">
        <f t="shared" ref="FV2:FV22" si="94">IF(BZ2="y",CHAR(34)&amp;"landlo"&amp;CHAR(34)&amp;",","")</f>
        <v/>
      </c>
      <c r="FW2" s="44" t="str">
        <f t="shared" ref="FW2:FW22" si="95">IF(CA2="y",CHAR(34)&amp;"eunion"&amp;CHAR(34)&amp;",","")</f>
        <v/>
      </c>
      <c r="FX2" s="44" t="str">
        <f t="shared" ref="FX2:FX15" si="96">SUBSTITUTE(IFERROR(SEARCH("[",A2),IFERROR(IF(AND(CA2&lt;&gt;"y",SEARCH("Europe",R2)&gt;0),CHAR(34)&amp;"noeuni"&amp;CHAR(34)&amp;",",""),"")),"1","")</f>
        <v/>
      </c>
      <c r="FY2" s="44" t="str">
        <f t="shared" ref="FY2:FY22" si="97">IFERROR(IF(SEARCH("Arabic",CB2)&gt;0,CHAR(34)&amp;"arabic"&amp;CHAR(34)&amp;",",""),"")</f>
        <v/>
      </c>
      <c r="FZ2" s="44" t="str">
        <f t="shared" ref="FZ2:FZ22" si="98">IFERROR(IF(SEARCH("English",CB2)&gt;0,CHAR(34)&amp;"englis"&amp;CHAR(34)&amp;",",""),"")</f>
        <v>"englis",</v>
      </c>
      <c r="GA2" s="44" t="str">
        <f t="shared" ref="GA2:GA22" si="99">IFERROR(IF(SEARCH("French",CB2)&gt;0,CHAR(34)&amp;"french"&amp;CHAR(34)&amp;",",""),"")</f>
        <v/>
      </c>
      <c r="GB2" s="44" t="str">
        <f t="shared" ref="GB2:GB22" si="100">IFERROR(IF(SEARCH("Spanish",CB2)&gt;0,CHAR(34)&amp;"spanis"&amp;CHAR(34)&amp;",",""),"")</f>
        <v/>
      </c>
      <c r="GC2" s="44" t="str">
        <f t="shared" ref="GC2:GC15" si="101">IFERROR(IF(SEARCH("Portuguese",CB2)&gt;0,CHAR(34)&amp;"portug"&amp;CHAR(34)&amp;",",""),"")</f>
        <v/>
      </c>
      <c r="GD2" s="44" t="str">
        <f t="shared" ref="GD2:GD15" si="102">IFERROR(IF(SEARCH("German",CB2)&gt;0,CHAR(34)&amp;"german"&amp;CHAR(34)&amp;",",""),"")</f>
        <v/>
      </c>
      <c r="GE2" s="44" t="str">
        <f t="shared" ref="GE2:GE33" si="103">IFERROR(IF(SEARCH("Dutch",CB2)&gt;0,CHAR(34)&amp;"dutchs"&amp;CHAR(34)&amp;",",""),"")</f>
        <v/>
      </c>
      <c r="GF2" s="44" t="str">
        <f>IFERROR(IF(SEARCH("Histor",AU2)&gt;0,CHAR(34)&amp;"histor"&amp;CHAR(34)&amp;",",""),"")</f>
        <v/>
      </c>
      <c r="GG2" s="44" t="str">
        <f t="shared" ref="GG2:GG33" si="104">IF(BU2="y",CHAR(34)&amp;"unjack"&amp;CHAR(34)&amp;",","")</f>
        <v>"unjack",</v>
      </c>
      <c r="GH2" s="44" t="str">
        <f t="shared" ref="GH2:GH33" si="105">IF(CD2=1,CHAR(34)&amp;"southc"&amp;CHAR(34)&amp;",","")</f>
        <v>"southc",</v>
      </c>
      <c r="GI2" s="44" t="str">
        <f t="shared" ref="GI2:GI33" si="106">IF(CE2=1,CHAR(34)&amp;"hasmap"&amp;CHAR(34)&amp;",","")</f>
        <v/>
      </c>
      <c r="GJ2" s="44" t="str">
        <f t="shared" ref="GJ2:GJ22" si="107">IF(CP2="y",CHAR(34)&amp;CP$1&amp;CHAR(34)&amp;",","")</f>
        <v/>
      </c>
      <c r="GK2" s="44" t="str">
        <f t="shared" ref="GK2:GK22" si="108">IF(GJ2="",CHAR(34)&amp;"HasSta"&amp;CHAR(34)&amp;",","")</f>
        <v>"HasSta",</v>
      </c>
      <c r="GL2" s="44" t="str">
        <f t="shared" ref="GL2:GL22" si="109">IF(CQ2="y",CHAR(34)&amp;CQ$1&amp;CHAR(34)&amp;",","")</f>
        <v/>
      </c>
      <c r="GM2" s="44" t="str">
        <f t="shared" ref="GM2:GM22" si="110">IF(CR2="y",CHAR(34)&amp;CR$1&amp;CHAR(34)&amp;",","")</f>
        <v/>
      </c>
      <c r="GN2" s="44" t="str">
        <f t="shared" ref="GN2:GN22" si="111">IF(CS2="y",CHAR(34)&amp;CS$1&amp;CHAR(34)&amp;",","")</f>
        <v>"3+Star",</v>
      </c>
      <c r="GP2" s="44" t="str">
        <f t="shared" ref="GP2:GP22" si="112">CHAR(34)&amp;AU2&amp;CHAR(34)</f>
        <v>""</v>
      </c>
      <c r="GS2" s="44" t="str">
        <f t="shared" ref="GS2:GS22" si="113">SUBSTITUTE("["&amp;_xlfn.CONCAT(CW2:GN2)&amp;"]",",]","]")</f>
        <v>["3Color","lets09","startA","LUEDHI","year19","smallc","NoBand","Crosse","Canton","staWHI","NO_GRE","NO_YEL","NO_BLA","myrBLU","englis","unjack","southc","HasSta","3+Star"]</v>
      </c>
      <c r="GT2" s="44" t="str">
        <f t="shared" ref="GT2:GT22" si="114">IF(BL2&lt;&gt;"",CHAR(34)&amp;"cl_"&amp;BL2&amp;CHAR(34)&amp;",","")</f>
        <v>"cl_RED",</v>
      </c>
      <c r="GU2" s="44" t="str">
        <f t="shared" ref="GU2:GU22" si="115">IF(BM2&lt;&gt;"",CHAR(34)&amp;"cl_"&amp;BM2&amp;CHAR(34)&amp;",","")</f>
        <v>"cl_WHI",</v>
      </c>
      <c r="GV2" s="44" t="str">
        <f t="shared" ref="GV2:GV22" si="116">IF(BN2&lt;&gt;"",CHAR(34)&amp;"cl_"&amp;BN2&amp;CHAR(34)&amp;",","")</f>
        <v>"cl_BLU",</v>
      </c>
      <c r="GW2" s="44" t="str">
        <f t="shared" ref="GW2:GW22" si="117">IF(BO2&lt;&gt;"",CHAR(34)&amp;"cl_"&amp;BO2&amp;CHAR(34)&amp;",","")</f>
        <v/>
      </c>
      <c r="GX2" s="44" t="str">
        <f t="shared" ref="GX2:GX22" si="118">IF(BP2&lt;&gt;"",CHAR(34)&amp;"cl_"&amp;BP2&amp;CHAR(34)&amp;",","")</f>
        <v/>
      </c>
      <c r="GY2" s="44" t="str">
        <f t="shared" ref="GY2:GY22" si="119">IF(BQ2&lt;&gt;"",CHAR(34)&amp;"cl_"&amp;BQ2&amp;CHAR(34)&amp;",","")</f>
        <v/>
      </c>
      <c r="GZ2" s="44" t="str">
        <f t="shared" ref="GZ2:GZ22" si="120">IF(BR2&lt;&gt;"",CHAR(34)&amp;"cl_"&amp;BR2&amp;CHAR(34)&amp;",","")</f>
        <v/>
      </c>
      <c r="HA2" s="44" t="str">
        <f t="shared" ref="HA2:HA22" si="121">IF(BS2&lt;&gt;"",CHAR(34)&amp;"cl_"&amp;BS2&amp;CHAR(34)&amp;",","")</f>
        <v/>
      </c>
      <c r="HB2" s="44" t="str">
        <f t="shared" ref="HB2:HB22" si="122">IF(BT2&lt;&gt;"",CHAR(34)&amp;"cl_"&amp;BT2&amp;CHAR(34)&amp;",","")</f>
        <v/>
      </c>
      <c r="HC2" s="44" t="str">
        <f t="shared" ref="HC2:HC22" si="123">SUBSTITUTE("["&amp;_xlfn.CONCAT(GT2:HB2)&amp;"]",",]","]")</f>
        <v>["cl_RED","cl_WHI","cl_BLU"]</v>
      </c>
      <c r="HE2" s="64"/>
      <c r="HF2" s="65" t="str">
        <f t="shared" ref="HF2:HF22" si="124">"{couname:"&amp;CT2&amp;(IF(HK2&lt;&gt;"",",subtype:"&amp;CHAR(34)&amp;HK2&amp;CHAR(34),""))&amp;",year:"&amp;HJ2&amp;",region:"&amp;CU2&amp;",Colors:"&amp;HC2&amp;",Items:"&amp;GS2&amp;",Flag:"&amp;CV2&amp;",HDFlag:"&amp;CHAR(34)&amp;E2&amp;CHAR(34)&amp;",type:"&amp;GP2&amp;", describe: "&amp;HH2&amp;", isnew:"&amp;CHAR(34)&amp;F2&amp;CHAR(34)&amp;", links: "&amp;HL2&amp;"},"</f>
        <v>{couname:"Australia",year:"1903, 1908. 1970 ",region:"rgn_Oceania",Colors:["cl_RED","cl_WHI","cl_BLU"],Items:["3Color","lets09","startA","LUEDHI","year19","smallc","NoBand","Crosse","Canton","staWHI","NO_GRE","NO_YEL","NO_BLA","myrBLU","englis","unjack","southc","HasSta","3+Star"],Flag:"https://i.ibb.co/cJ1kzCd/Australia-Flag.png",HDFlag:"https://upload.wikimedia.org/wikipedia/en/thumb/b/b9/Flag_of_Australia.svg/2560px-Flag_of_Australia.svg.png",type:"", describe: "\nThe Commonwealth Star is the emblem of Australian Federation. Six points represent the states and the seventh all the federal territories which together constitute the nation, the Commonwealth of Australia. The constellation of the Southern Cross indicates our geographical location in the southern hemisphere. This constellation of  stars relate to the various indigenous legends and reminds of the rich Aboriginal and Torres Strait heritage.", isnew:".", links: "https://en.wikipedia.org/wiki/Flag_of_Australia"},</v>
      </c>
      <c r="HG2" s="66" t="str">
        <f t="shared" ref="HG2:HG22" si="125">"{couname:"&amp;CT2&amp;(IF(HK2&lt;&gt;"",",subtype:"&amp;CHAR(34)&amp;HK2&amp;CHAR(34),""))&amp;",year:"&amp;HJ2&amp;",region:"&amp;CU2&amp;",Colors:"&amp;HC2&amp;",Items:"&amp;GS2&amp;",Flag:"&amp;CV2&amp;",HDFlag:"&amp;CHAR(34)&amp;E2&amp;CHAR(34)&amp;",type:"&amp;GP2&amp;", describe: "&amp;HI2&amp;", links: "&amp;HL2&amp;"},"</f>
        <v>{couname:"Australia",year:"1903, 1908. 1970 ",region:"rgn_Oceania",Colors:["cl_RED","cl_WHI","cl_BLU"],Items:["3Color","lets09","startA","LUEDHI","year19","smallc","NoBand","Crosse","Canton","staWHI","NO_GRE","NO_YEL","NO_BLA","myrBLU","englis","unjack","southc","HasSta","3+Star"],Flag:"https://i.ibb.co/cJ1kzCd/Australia-Flag.png",HDFlag:"https://upload.wikimedia.org/wikipedia/en/thumb/b/b9/Flag_of_Australia.svg/2560px-Flag_of_Australia.svg.png",type:"", describe: "\nThe Commonwealth Star is the emblem of Australian Federation. Six points represent the states and the seventh all the federal territories which together constitute the nation, the Commonwealth of Australia. The constellation of the Southern Cross indicates our geographical location in the southern hemisphere. This constellation of  stars relate to the various indigenous legends and reminds of the rich Aboriginal and Torres Strait heritage.", links: "https://en.wikipedia.org/wiki/Flag_of_Australia"},</v>
      </c>
      <c r="HH2" s="44" t="str">
        <f t="shared" ref="HH2:HH22" si="126">IF(P2&lt;&gt;"",CHAR(34)&amp;"\n"&amp;P2&amp;CHAR(34),CHAR(34)&amp;CHAR(34))</f>
        <v>"\nThe Commonwealth Star is the emblem of Australian Federation. Six points represent the states and the seventh all the federal territories which together constitute the nation, the Commonwealth of Australia. The constellation of the Southern Cross indicates our geographical location in the southern hemisphere. This constellation of  stars relate to the various indigenous legends and reminds of the rich Aboriginal and Torres Strait heritage."</v>
      </c>
      <c r="HI2" s="44" t="str">
        <f t="shared" ref="HI2:HI22" si="127">IF(J2=0,CHAR(34)&amp;CHAR(34),HH2)</f>
        <v>"\nThe Commonwealth Star is the emblem of Australian Federation. Six points represent the states and the seventh all the federal territories which together constitute the nation, the Commonwealth of Australia. The constellation of the Southern Cross indicates our geographical location in the southern hemisphere. This constellation of  stars relate to the various indigenous legends and reminds of the rich Aboriginal and Torres Strait heritage."</v>
      </c>
      <c r="HJ2" s="44" t="str">
        <f t="shared" ref="HJ2:HJ22" si="128">CHAR(34)&amp;O2&amp;CHAR(34)</f>
        <v>"1903, 1908. 1970 "</v>
      </c>
      <c r="HL2" s="44" t="str">
        <f t="shared" ref="HL2:HL22" si="129">CHAR(34)&amp;I2&amp;CHAR(34)</f>
        <v>"https://en.wikipedia.org/wiki/Flag_of_Australia"</v>
      </c>
      <c r="HM2" s="65" t="str">
        <f t="shared" ref="HM2:HM22" si="130">"{"&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{"couname":"Australia","year":"1903, 1908. 1970 ","region":"rgn_Oceania","Colors":["cl_RED","cl_WHI","cl_BLU"],"Items":["3Color","lets09","startA","LUEDHI","year19","smallc","NoBand","Crosse","Canton","staWHI","NO_GRE","NO_YEL","NO_BLA","myrBLU","englis","unjack","southc","HasSta","3+Star"],"Flag":"https://i.ibb.co/cJ1kzCd/Australia-Flag.png","HDFlag":"https://upload.wikimedia.org/wikipedia/en/thumb/b/b9/Flag_of_Australia.svg/2560px-Flag_of_Australia.svg.png","type":"", "describe": "\nThe Commonwealth Star is the emblem of Australian Federation. Six points represent the states and the seventh all the federal territories which together constitute the nation, the Commonwealth of Australia. The constellation of the Southern Cross indicates our geographical location in the southern hemisphere. This constellation of  stars relate to the various indigenous legends and reminds of the rich Aboriginal and Torres Strait heritage.", "isnew": ".", "links": "https://en.wikipedia.org/wiki/Flag_of_Australia"},</v>
      </c>
      <c r="HN2" s="67" t="str">
        <f t="shared" ref="HN2:HN22" si="131">"{"&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{"couname":"Australia","year":"1903, 1908. 1970 ","region":"rgn_Oceania","Colors":["cl_RED","cl_WHI","cl_BLU"],"Items":["3Color","lets09","startA","LUEDHI","year19","smallc","NoBand","Crosse","Canton","staWHI","NO_GRE","NO_YEL","NO_BLA","myrBLU","englis","unjack","southc","HasSta","3+Star"],"Flag":"https://i.ibb.co/cJ1kzCd/Australia-Flag.png","HDFlag":"https://upload.wikimedia.org/wikipedia/en/thumb/b/b9/Flag_of_Australia.svg/2560px-Flag_of_Australia.svg.png","type":"", "describe": "\nThe Commonwealth Star is the emblem of Australian Federation. Six points represent the states and the seventh all the federal territories which together constitute the nation, the Commonwealth of Australia. The constellation of the Southern Cross indicates our geographical location in the southern hemisphere. This constellation of  stars relate to the various indigenous legends and reminds of the rich Aboriginal and Torres Strait heritage.", "isnew": ".", "links": "https://en.wikipedia.org/wiki/Flag_of_Australia"},</v>
      </c>
      <c r="HO2" s="71"/>
      <c r="HP2" s="44" t="str" cm="1">
        <f t="array" ref="HP2">IF(_xlfn.TEXTJOIN(", ", TRUE, IF(ISNUMBER(SEARCH("BLA", BL2:BT2)), COLUMN(BL2:BT2) - COLUMN(BL2) + 1, ""))&lt;&gt;"","BLA","")</f>
        <v/>
      </c>
      <c r="HQ2" s="44" t="str" cm="1">
        <f t="array" ref="HQ2">IF(_xlfn.TEXTJOIN(", ", TRUE, IF(ISNUMBER(SEARCH("BLU", BL2:BT2)), COLUMN(BL2:BT2) - COLUMN(BL2) + 1, ""))&lt;&gt;"","BLU","")</f>
        <v>BLU</v>
      </c>
      <c r="HR2" s="44" t="str" cm="1">
        <f t="array" ref="HR2">IF(_xlfn.TEXTJOIN(", ", TRUE, IF(ISNUMBER(SEARCH("GRE", BL2:BT2)), COLUMN(BL2:BT2) - COLUMN(BL2) + 1, ""))&lt;&gt;"","GRE","")</f>
        <v/>
      </c>
      <c r="HS2" s="44" t="str" cm="1">
        <f t="array" ref="HS2">IF(_xlfn.TEXTJOIN(", ", TRUE, IF(ISNUMBER(SEARCH("RED", BL2:BT2)), COLUMN(BL2:BT2) - COLUMN(BL2) + 1, ""))&lt;&gt;"","RED","")</f>
        <v>RED</v>
      </c>
      <c r="HT2" s="44" t="str" cm="1">
        <f t="array" ref="HT2">IF(_xlfn.TEXTJOIN(", ", TRUE, IF(ISNUMBER(SEARCH("YEL", BL2:BT2)), COLUMN(BL2:BT2) - COLUMN(BL2) + 1, ""))&lt;&gt;"","YEL","")</f>
        <v/>
      </c>
      <c r="HU2" s="44" t="str" cm="1">
        <f t="array" ref="HU2">IF(_xlfn.TEXTJOIN(", ", TRUE, IF(ISNUMBER(SEARCH("ORA", BL2:BT2)), COLUMN(BL2:BT2) - COLUMN(BL2) + 1, ""))&lt;&gt;"","ORA","")</f>
        <v/>
      </c>
      <c r="HV2" s="44" t="str" cm="1">
        <f t="array" ref="HV2">IF(_xlfn.TEXTJOIN(", ", TRUE, IF(ISNUMBER(SEARCH("BRO", BL2:BT2)), COLUMN(BL2:BT2) - COLUMN(BL2) + 1, ""))&lt;&gt;"","BRO","")</f>
        <v/>
      </c>
      <c r="HW2" s="44" t="str" cm="1">
        <f t="array" ref="HW2">IF(_xlfn.TEXTJOIN(", ", TRUE, IF(ISNUMBER(SEARCH("PUR", BL2:BT2)), COLUMN(BL2:BT2) - COLUMN(BL2) + 1, ""))&lt;&gt;"","PUR","")</f>
        <v/>
      </c>
      <c r="HX2" s="44" t="str" cm="1">
        <f t="array" ref="HX2">IF(_xlfn.TEXTJOIN(", ", TRUE, IF(ISNUMBER(SEARCH("WHI", BL2:BT2)), COLUMN(BL2:BT2) - COLUMN(BL2) + 1, ""))&lt;&gt;"","WHI","")</f>
        <v>WHI</v>
      </c>
      <c r="HY2" s="72"/>
      <c r="HZ2" s="72"/>
      <c r="IA2" s="5" t="s">
        <v>166</v>
      </c>
      <c r="IB2" s="5" t="s">
        <v>166</v>
      </c>
      <c r="IC2" s="68"/>
      <c r="ID2" s="68"/>
      <c r="IE2" s="68"/>
      <c r="IF2" s="68"/>
      <c r="IG2" s="68"/>
      <c r="IH2" s="68"/>
      <c r="II2" s="68"/>
      <c r="IJ2" s="68"/>
      <c r="IK2" s="68"/>
      <c r="IL2" s="44">
        <f t="shared" ref="IL2:IL15" si="132">SUM(IC2:IK2)</f>
        <v>0</v>
      </c>
      <c r="IM2" s="42">
        <f t="shared" ref="IM2:IM22" si="133">COUNTIF(IC2:IK2,"&gt;0")-CG2</f>
        <v>-3</v>
      </c>
      <c r="IN2" s="69" t="str">
        <f t="shared" ref="IN2:IN22" si="134">"http://mkweb.bcgsc.ca/color-summarizer/?url="&amp;D2&amp;"&amp;precision=low&amp;num_clusters="&amp;CG2&amp;"&amp;text=1"</f>
        <v>http://mkweb.bcgsc.ca/color-summarizer/?url=https://i.ibb.co/cJ1kzCd/Australia-Flag.png&amp;precision=low&amp;num_clusters=3&amp;text=1</v>
      </c>
      <c r="IO2" s="44" t="str">
        <f t="shared" ref="IO2:IO22" si="135">IF(HP2&lt;&gt;"",CHAR(34)&amp;"black"&amp;CHAR(34),"")</f>
        <v/>
      </c>
      <c r="IP2" s="44" t="str">
        <f t="shared" ref="IP2:IP22" si="136">IF(HQ2&lt;&gt;"",CHAR(34)&amp;"blue"&amp;CHAR(34),"")</f>
        <v>"blue"</v>
      </c>
      <c r="IQ2" s="44" t="str">
        <f t="shared" ref="IQ2:IQ22" si="137">IF(HR2&lt;&gt;"",CHAR(34)&amp;"green"&amp;CHAR(34),"")</f>
        <v/>
      </c>
      <c r="IR2" s="44" t="str">
        <f t="shared" ref="IR2:IR22" si="138">IF(HS2&lt;&gt;"",CHAR(34)&amp;"red"&amp;CHAR(34),"")</f>
        <v>"red"</v>
      </c>
      <c r="IS2" s="44" t="str">
        <f t="shared" ref="IS2:IS22" si="139">IF(HT2&lt;&gt;"",CHAR(34)&amp;"yellow"&amp;CHAR(34),"")</f>
        <v/>
      </c>
      <c r="IT2" s="44" t="str">
        <f t="shared" ref="IT2:IT22" si="140">IF(HU2&lt;&gt;"",CHAR(34)&amp;"orange"&amp;CHAR(34),"")</f>
        <v/>
      </c>
      <c r="IU2" s="44" t="str">
        <f t="shared" ref="IU2:IU22" si="141">IF(HV2&lt;&gt;"",CHAR(34)&amp;"brown"&amp;CHAR(34),"")</f>
        <v/>
      </c>
      <c r="IV2" s="44" t="str">
        <f t="shared" ref="IV2:IV22" si="142">IF(HW2&lt;&gt;"",CHAR(34)&amp;"purple"&amp;CHAR(34),"")</f>
        <v/>
      </c>
      <c r="IW2" s="44" t="str">
        <f t="shared" ref="IW2:IW22" si="143">IF(HX2&lt;&gt;"",CHAR(34)&amp;"white"&amp;CHAR(34),"")</f>
        <v>"white"</v>
      </c>
      <c r="IX2" s="44" t="str">
        <f t="shared" ref="IX2:IX22" si="144">"{"&amp;CHAR(34)&amp;"url"&amp;CHAR(34)&amp;":"&amp;CHAR(34)&amp;IN2&amp;CHAR(34)&amp;","&amp;CHAR(34)&amp;"name"&amp;CHAR(34)&amp;":"&amp;CHAR(34)&amp;A2&amp;CHAR(34)&amp;"},"</f>
        <v>{"url":"http://mkweb.bcgsc.ca/color-summarizer/?url=https://i.ibb.co/cJ1kzCd/Australia-Flag.png&amp;precision=low&amp;num_clusters=3&amp;text=1","name":"Australia"},</v>
      </c>
      <c r="IY2" s="44">
        <v>14</v>
      </c>
    </row>
    <row r="3" spans="1:259" s="44" customFormat="1" ht="38.4" customHeight="1" thickBot="1" x14ac:dyDescent="0.35">
      <c r="A3" s="80" t="s">
        <v>372</v>
      </c>
      <c r="B3" s="78" t="e" vm="4">
        <v>#VALUE!</v>
      </c>
      <c r="C3" s="39">
        <v>2</v>
      </c>
      <c r="D3" s="70" t="s">
        <v>373</v>
      </c>
      <c r="E3" s="40" t="s">
        <v>374</v>
      </c>
      <c r="F3" s="41" t="s">
        <v>165</v>
      </c>
      <c r="G3" s="42">
        <f t="shared" si="0"/>
        <v>1</v>
      </c>
      <c r="H3" s="43"/>
      <c r="I3" s="59" t="s">
        <v>375</v>
      </c>
      <c r="J3" s="44" t="str">
        <f>""</f>
        <v/>
      </c>
      <c r="K3" s="45"/>
      <c r="L3" s="46"/>
      <c r="M3" s="46"/>
      <c r="N3" s="47" t="s">
        <v>177</v>
      </c>
      <c r="O3" s="74">
        <v>1876</v>
      </c>
      <c r="P3" s="48" t="s">
        <v>376</v>
      </c>
      <c r="Q3" s="73">
        <v>3</v>
      </c>
      <c r="R3" s="49" t="s">
        <v>177</v>
      </c>
      <c r="S3" s="50">
        <v>0</v>
      </c>
      <c r="T3" s="51" t="s">
        <v>166</v>
      </c>
      <c r="U3" s="52" t="s">
        <v>167</v>
      </c>
      <c r="V3" s="52" t="s">
        <v>166</v>
      </c>
      <c r="W3" s="52" t="s">
        <v>166</v>
      </c>
      <c r="X3" s="52" t="s">
        <v>167</v>
      </c>
      <c r="Y3" s="52" t="s">
        <v>167</v>
      </c>
      <c r="Z3" s="52" t="s">
        <v>166</v>
      </c>
      <c r="AA3" s="52" t="s">
        <v>166</v>
      </c>
      <c r="AB3" s="52" t="s">
        <v>166</v>
      </c>
      <c r="AC3" s="52" t="s">
        <v>166</v>
      </c>
      <c r="AD3" s="52" t="s">
        <v>166</v>
      </c>
      <c r="AE3" s="52" t="s">
        <v>166</v>
      </c>
      <c r="AF3" s="53" t="s">
        <v>166</v>
      </c>
      <c r="AG3" s="53" t="s">
        <v>166</v>
      </c>
      <c r="AH3" s="53" t="s">
        <v>166</v>
      </c>
      <c r="AI3" s="53" t="s">
        <v>167</v>
      </c>
      <c r="AJ3" s="53" t="s">
        <v>166</v>
      </c>
      <c r="AK3" s="53" t="s">
        <v>166</v>
      </c>
      <c r="AL3" s="53" t="s">
        <v>166</v>
      </c>
      <c r="AM3" s="53" t="s">
        <v>166</v>
      </c>
      <c r="AN3" s="53" t="s">
        <v>166</v>
      </c>
      <c r="AO3" s="53" t="s">
        <v>166</v>
      </c>
      <c r="AP3" s="53" t="s">
        <v>166</v>
      </c>
      <c r="AQ3" s="53" t="s">
        <v>166</v>
      </c>
      <c r="AR3" s="53" t="s">
        <v>166</v>
      </c>
      <c r="AS3" s="53" t="s">
        <v>166</v>
      </c>
      <c r="AT3" s="54">
        <v>4</v>
      </c>
      <c r="AU3" s="53" t="s">
        <v>377</v>
      </c>
      <c r="AV3" s="53" t="str">
        <f t="shared" si="1"/>
        <v>[AUS]State[AUS] New South Wales</v>
      </c>
      <c r="AW3" s="53" t="str">
        <f t="shared" si="2"/>
        <v>2[AUS] New South Wales</v>
      </c>
      <c r="AX3" s="55"/>
      <c r="AY3" s="55"/>
      <c r="AZ3" s="56" t="s">
        <v>157</v>
      </c>
      <c r="BA3" s="56"/>
      <c r="BB3" s="56"/>
      <c r="BC3" s="57"/>
      <c r="BD3" s="58" t="s">
        <v>154</v>
      </c>
      <c r="BE3" s="59"/>
      <c r="BF3" s="58" t="s">
        <v>231</v>
      </c>
      <c r="BG3" s="58" t="s">
        <v>231</v>
      </c>
      <c r="BH3" s="58" t="s">
        <v>231</v>
      </c>
      <c r="BI3" s="58"/>
      <c r="BJ3" s="58"/>
      <c r="BK3" s="59"/>
      <c r="BL3" s="58" t="s">
        <v>153</v>
      </c>
      <c r="BM3" s="58" t="s">
        <v>154</v>
      </c>
      <c r="BN3" s="58" t="s">
        <v>231</v>
      </c>
      <c r="BO3" s="58" t="s">
        <v>156</v>
      </c>
      <c r="BP3" s="58" t="s">
        <v>157</v>
      </c>
      <c r="BQ3" s="58" t="s">
        <v>231</v>
      </c>
      <c r="BR3" s="58" t="s">
        <v>231</v>
      </c>
      <c r="BS3" s="58" t="s">
        <v>231</v>
      </c>
      <c r="BT3" s="58" t="s">
        <v>161</v>
      </c>
      <c r="BU3" s="60" t="s">
        <v>167</v>
      </c>
      <c r="BV3" s="61"/>
      <c r="BW3" s="61">
        <v>0</v>
      </c>
      <c r="BX3" s="59"/>
      <c r="CB3" s="5"/>
      <c r="CC3" s="5"/>
      <c r="CD3" s="62">
        <v>1</v>
      </c>
      <c r="CE3" s="62">
        <v>0</v>
      </c>
      <c r="CF3" s="62" t="e">
        <v>#REF!</v>
      </c>
      <c r="CG3" s="75" cm="1">
        <f t="array" ref="CG3">SUMPRODUCT(--(LEN(TRIM(BL3:BT3))&gt;0))</f>
        <v>5</v>
      </c>
      <c r="CH3" s="53" t="str">
        <f t="shared" si="3"/>
        <v>n</v>
      </c>
      <c r="CI3" s="53" t="str">
        <f t="shared" si="4"/>
        <v>n</v>
      </c>
      <c r="CJ3" s="53" t="str">
        <f t="shared" si="5"/>
        <v>n</v>
      </c>
      <c r="CK3" s="53" t="str">
        <f t="shared" si="6"/>
        <v>y</v>
      </c>
      <c r="CL3" s="53" t="str">
        <f t="shared" si="7"/>
        <v>y</v>
      </c>
      <c r="CM3" s="53" t="str">
        <f t="shared" si="8"/>
        <v>n</v>
      </c>
      <c r="CN3" s="53" t="str">
        <f t="shared" si="9"/>
        <v>n</v>
      </c>
      <c r="CO3" s="53" t="str">
        <f t="shared" si="10"/>
        <v>n</v>
      </c>
      <c r="CP3" s="53" t="str">
        <f t="shared" si="11"/>
        <v>n</v>
      </c>
      <c r="CQ3" s="53" t="str">
        <f t="shared" si="12"/>
        <v>n</v>
      </c>
      <c r="CR3" s="53" t="str">
        <f t="shared" si="13"/>
        <v>n</v>
      </c>
      <c r="CS3" s="53" t="str">
        <f t="shared" si="14"/>
        <v>y</v>
      </c>
      <c r="CT3" s="38" t="str">
        <f t="shared" si="15"/>
        <v>"[AUS] New South Wales"</v>
      </c>
      <c r="CU3" s="63" t="str">
        <f t="shared" si="16"/>
        <v>"rgn_Oceania"</v>
      </c>
      <c r="CV3" s="44" t="str">
        <f t="shared" si="17"/>
        <v>"https://upload.wikimedia.org/wikipedia/commons/thumb/0/00/Flag_of_New_South_Wales.svg/320px-Flag_of_New_South_Wales.svg.png"</v>
      </c>
      <c r="CW3" s="44" t="str">
        <f t="shared" si="18"/>
        <v/>
      </c>
      <c r="CX3" s="44" t="str">
        <f t="shared" si="19"/>
        <v/>
      </c>
      <c r="CY3" s="44" t="str">
        <f t="shared" si="20"/>
        <v/>
      </c>
      <c r="CZ3" s="44" t="str">
        <f t="shared" si="21"/>
        <v>"5+Colo",</v>
      </c>
      <c r="DA3" s="44" t="str">
        <f t="shared" si="22"/>
        <v>"words2",</v>
      </c>
      <c r="DB3" s="44" t="str">
        <f t="shared" si="23"/>
        <v>"words3",</v>
      </c>
      <c r="DC3" s="44" t="str">
        <f t="shared" si="24"/>
        <v/>
      </c>
      <c r="DD3" s="44" t="str">
        <f t="shared" si="25"/>
        <v>"lets13",</v>
      </c>
      <c r="DE3" s="44" t="str">
        <f t="shared" si="26"/>
        <v>"startN",</v>
      </c>
      <c r="DF3" s="44" t="str">
        <f t="shared" si="27"/>
        <v/>
      </c>
      <c r="DG3" s="44" t="str">
        <f t="shared" si="28"/>
        <v/>
      </c>
      <c r="DH3" s="44" t="str">
        <f t="shared" si="29"/>
        <v/>
      </c>
      <c r="DI3" s="44" t="str">
        <f t="shared" si="30"/>
        <v>"with_w",</v>
      </c>
      <c r="DJ3" s="44" t="str">
        <f t="shared" si="31"/>
        <v/>
      </c>
      <c r="DK3" s="44" t="str">
        <f t="shared" si="32"/>
        <v/>
      </c>
      <c r="DL3" s="44" t="str">
        <f t="shared" si="33"/>
        <v/>
      </c>
      <c r="DM3" s="44" t="str" cm="1">
        <f t="array" ref="DM3">IF(CG3=3,CHAR(34) &amp; _xlfn.TEXTJOIN("", TRUE, RIGHT(HP3:HX3, 2)) &amp; CHAR(34) &amp; ",", "")</f>
        <v/>
      </c>
      <c r="DN3" s="44" t="str">
        <f t="shared" si="34"/>
        <v>"year18",</v>
      </c>
      <c r="DO3" s="44" t="str">
        <f t="shared" si="35"/>
        <v/>
      </c>
      <c r="DP3" s="5" t="str">
        <f t="shared" si="36"/>
        <v/>
      </c>
      <c r="DQ3" s="5" t="str">
        <f t="shared" si="37"/>
        <v/>
      </c>
      <c r="DR3" s="5" t="str">
        <f t="shared" si="38"/>
        <v/>
      </c>
      <c r="DS3" s="5" t="str">
        <f t="shared" si="39"/>
        <v/>
      </c>
      <c r="DT3" s="5" t="str">
        <f t="shared" si="40"/>
        <v/>
      </c>
      <c r="DU3" s="5" t="str">
        <f t="shared" si="41"/>
        <v/>
      </c>
      <c r="DV3" s="44" t="str">
        <f t="shared" si="42"/>
        <v>"smallc",</v>
      </c>
      <c r="DW3" s="44" t="str">
        <f t="shared" si="43"/>
        <v>"NoBand",</v>
      </c>
      <c r="DX3" s="44" t="str">
        <f t="shared" si="44"/>
        <v/>
      </c>
      <c r="DY3" s="44" t="str">
        <f t="shared" si="45"/>
        <v/>
      </c>
      <c r="DZ3" s="44" t="str">
        <f t="shared" si="46"/>
        <v/>
      </c>
      <c r="EA3" s="44" t="str">
        <f t="shared" si="47"/>
        <v/>
      </c>
      <c r="EB3" s="44" t="str">
        <f t="shared" si="48"/>
        <v>"Crosse",</v>
      </c>
      <c r="EC3" s="44" t="str">
        <f t="shared" si="49"/>
        <v/>
      </c>
      <c r="ED3" s="44" t="str">
        <f t="shared" si="50"/>
        <v/>
      </c>
      <c r="EE3" s="44" t="str">
        <f t="shared" si="51"/>
        <v>"Circle",</v>
      </c>
      <c r="EF3" s="44" t="str">
        <f t="shared" si="52"/>
        <v>"Animal",</v>
      </c>
      <c r="EG3" s="44" t="str">
        <f t="shared" si="53"/>
        <v/>
      </c>
      <c r="EH3" s="44" t="str">
        <f t="shared" si="54"/>
        <v/>
      </c>
      <c r="EI3" s="44" t="str">
        <f t="shared" si="55"/>
        <v/>
      </c>
      <c r="EJ3" s="44" t="str">
        <f t="shared" si="56"/>
        <v/>
      </c>
      <c r="EK3" s="44" t="str">
        <f t="shared" si="57"/>
        <v/>
      </c>
      <c r="EL3" s="44" t="str">
        <f t="shared" si="58"/>
        <v/>
      </c>
      <c r="EM3" s="44" t="str">
        <f t="shared" si="59"/>
        <v/>
      </c>
      <c r="EN3" s="44" t="str">
        <f t="shared" si="60"/>
        <v/>
      </c>
      <c r="EO3" s="44" t="str">
        <f t="shared" si="61"/>
        <v/>
      </c>
      <c r="EP3" s="44" t="str">
        <f t="shared" si="62"/>
        <v>"Canton",</v>
      </c>
      <c r="EQ3" s="44" t="str">
        <f t="shared" si="63"/>
        <v/>
      </c>
      <c r="ER3" s="44" t="str">
        <f t="shared" si="64"/>
        <v/>
      </c>
      <c r="ES3" s="44" t="str">
        <f t="shared" si="65"/>
        <v/>
      </c>
      <c r="ET3" s="44" t="str">
        <f t="shared" si="66"/>
        <v/>
      </c>
      <c r="EU3" s="44" t="str">
        <f t="shared" si="67"/>
        <v/>
      </c>
      <c r="EV3" s="44" t="str">
        <f t="shared" si="68"/>
        <v/>
      </c>
      <c r="EW3" s="44" t="str">
        <f t="shared" si="69"/>
        <v/>
      </c>
      <c r="EX3" s="44" t="str">
        <f t="shared" si="70"/>
        <v/>
      </c>
      <c r="EY3" s="44" t="str">
        <f t="shared" si="71"/>
        <v/>
      </c>
      <c r="EZ3" s="44" t="str">
        <f t="shared" si="72"/>
        <v/>
      </c>
      <c r="FA3" s="44" t="str">
        <f t="shared" si="73"/>
        <v>"staYEL",</v>
      </c>
      <c r="FB3" s="44" t="str">
        <f t="shared" si="74"/>
        <v/>
      </c>
      <c r="FC3" s="44" t="str">
        <f t="shared" si="75"/>
        <v/>
      </c>
      <c r="FD3" s="44" t="str">
        <f t="shared" si="76"/>
        <v/>
      </c>
      <c r="FE3" s="44" t="str">
        <f t="shared" si="77"/>
        <v/>
      </c>
      <c r="FF3" s="44" t="str">
        <f t="shared" si="78"/>
        <v/>
      </c>
      <c r="FG3" s="44" t="str">
        <f t="shared" si="79"/>
        <v/>
      </c>
      <c r="FH3" s="44" t="str">
        <f t="shared" si="80"/>
        <v>"NO_GRE",</v>
      </c>
      <c r="FI3" s="44" t="str">
        <f t="shared" si="81"/>
        <v/>
      </c>
      <c r="FJ3" s="44" t="str">
        <f t="shared" si="82"/>
        <v/>
      </c>
      <c r="FK3" s="44" t="str">
        <f t="shared" si="83"/>
        <v/>
      </c>
      <c r="FL3" s="44" t="str">
        <f t="shared" si="84"/>
        <v/>
      </c>
      <c r="FM3" s="44" t="str">
        <f t="shared" si="85"/>
        <v/>
      </c>
      <c r="FN3" s="44" t="str">
        <f t="shared" si="86"/>
        <v/>
      </c>
      <c r="FO3" s="44" t="str">
        <f t="shared" si="87"/>
        <v/>
      </c>
      <c r="FP3" s="44" t="str">
        <f t="shared" si="88"/>
        <v/>
      </c>
      <c r="FQ3" s="44" t="str">
        <f t="shared" si="89"/>
        <v/>
      </c>
      <c r="FR3" s="44" t="str">
        <f t="shared" si="90"/>
        <v/>
      </c>
      <c r="FS3" s="44" t="str">
        <f t="shared" si="91"/>
        <v/>
      </c>
      <c r="FT3" s="44" t="str">
        <f t="shared" si="92"/>
        <v>"myrBLU",</v>
      </c>
      <c r="FU3" s="44" t="str">
        <f t="shared" si="93"/>
        <v/>
      </c>
      <c r="FV3" s="44" t="str">
        <f t="shared" si="94"/>
        <v/>
      </c>
      <c r="FW3" s="44" t="str">
        <f t="shared" si="95"/>
        <v/>
      </c>
      <c r="FX3" s="44" t="str">
        <f t="shared" si="96"/>
        <v/>
      </c>
      <c r="FY3" s="44" t="str">
        <f t="shared" si="97"/>
        <v/>
      </c>
      <c r="FZ3" s="44" t="str">
        <f t="shared" si="98"/>
        <v/>
      </c>
      <c r="GA3" s="44" t="str">
        <f t="shared" si="99"/>
        <v/>
      </c>
      <c r="GB3" s="44" t="str">
        <f t="shared" si="100"/>
        <v/>
      </c>
      <c r="GC3" s="44" t="str">
        <f t="shared" si="101"/>
        <v/>
      </c>
      <c r="GD3" s="44" t="str">
        <f t="shared" si="102"/>
        <v/>
      </c>
      <c r="GE3" s="44" t="str">
        <f t="shared" si="103"/>
        <v/>
      </c>
      <c r="GF3" s="44" t="str">
        <f t="shared" ref="GF3:GF12" si="145">IFERROR(IF(SEARCH("Historical",AU3)&gt;0,CHAR(34)&amp;"histor"&amp;CHAR(34)&amp;",",""),"")</f>
        <v/>
      </c>
      <c r="GG3" s="44" t="str">
        <f t="shared" si="104"/>
        <v>"unjack",</v>
      </c>
      <c r="GH3" s="44" t="str">
        <f t="shared" si="105"/>
        <v>"southc",</v>
      </c>
      <c r="GI3" s="44" t="str">
        <f t="shared" si="106"/>
        <v/>
      </c>
      <c r="GJ3" s="44" t="str">
        <f t="shared" si="107"/>
        <v/>
      </c>
      <c r="GK3" s="44" t="str">
        <f t="shared" si="108"/>
        <v>"HasSta",</v>
      </c>
      <c r="GL3" s="44" t="str">
        <f t="shared" si="109"/>
        <v/>
      </c>
      <c r="GM3" s="44" t="str">
        <f t="shared" si="110"/>
        <v/>
      </c>
      <c r="GN3" s="44" t="str">
        <f t="shared" si="111"/>
        <v>"3+Star",</v>
      </c>
      <c r="GP3" s="44" t="str">
        <f t="shared" si="112"/>
        <v>"State"</v>
      </c>
      <c r="GS3" s="44" t="str">
        <f t="shared" si="113"/>
        <v>["5+Colo","words2","words3","lets13","startN","with_w","year18","smallc","NoBand","Crosse","Circle","Animal","Canton","staYEL","NO_GRE","myrBLU","unjack","southc","HasSta","3+Star"]</v>
      </c>
      <c r="GT3" s="44" t="str">
        <f t="shared" si="114"/>
        <v>"cl_BLA",</v>
      </c>
      <c r="GU3" s="44" t="str">
        <f t="shared" si="115"/>
        <v>"cl_BLU",</v>
      </c>
      <c r="GV3" s="44" t="str">
        <f t="shared" si="116"/>
        <v/>
      </c>
      <c r="GW3" s="44" t="str">
        <f t="shared" si="117"/>
        <v>"cl_RED",</v>
      </c>
      <c r="GX3" s="44" t="str">
        <f t="shared" si="118"/>
        <v>"cl_YEL",</v>
      </c>
      <c r="GY3" s="44" t="str">
        <f t="shared" si="119"/>
        <v/>
      </c>
      <c r="GZ3" s="44" t="str">
        <f t="shared" si="120"/>
        <v/>
      </c>
      <c r="HA3" s="44" t="str">
        <f t="shared" si="121"/>
        <v/>
      </c>
      <c r="HB3" s="44" t="str">
        <f t="shared" si="122"/>
        <v>"cl_WHI",</v>
      </c>
      <c r="HC3" s="44" t="str">
        <f t="shared" si="123"/>
        <v>["cl_BLA","cl_BLU","cl_RED","cl_YEL","cl_WHI"]</v>
      </c>
      <c r="HE3" s="64"/>
      <c r="HF3" s="65" t="str">
        <f t="shared" si="124"/>
        <v>{couname:"[AUS] New South Wales",year:"1876",region:"rgn_Oceania",Colors:["cl_BLA","cl_BLU","cl_RED","cl_YEL","cl_WHI"],Items:["5+Colo","words2","words3","lets13","startN","with_w","year18","smallc","NoBand","Crosse","Circle","Animal","Canton","staYEL","NO_GRE","myrBLU","unjack","southc","HasSta","3+Star"],Flag:"https://upload.wikimedia.org/wikipedia/commons/thumb/0/00/Flag_of_New_South_Wales.svg/320px-Flag_of_New_South_Wales.svg.png",HDFlag:"https://upload.wikimedia.org/wikipedia/commons/thumb/0/00/Flag_of_New_South_Wales.svg/2560px-Flag_of_New_South_Wales.svg.png",type:"State", describe: "\nAs a variant of the Blue Ensign, the Union Jack is displayed in the canton. The St George's Cross, the Southern Cross and the 'Lion in the South' are displayed in the Badge of New South Wales on the flag. The St George's Cross is used on the ensign of the British Royal Navy, with a golden, 8-pointed star placed on each arm of the cross. This symbolises the maritime origins of New South Wales, with seafarers relying upon the Southern Cross to navigate the seas, and the role of the navy in protecting the State.\n\nThe 'Lion in the South' is taken from the three golden lions on a red field on the arms of England, and symbolises both the sovereignty of New South Wales and the offspring of an old country. It represent the origins of the founders of the Colony of New South Wales as well as the independence of their succeeding generations.", isnew:".", links: "https://en.wikipedia.org/wiki/Flag_of_New_South_Wales"},</v>
      </c>
      <c r="HG3" s="66" t="str">
        <f t="shared" si="125"/>
        <v>{couname:"[AUS] New South Wales",year:"1876",region:"rgn_Oceania",Colors:["cl_BLA","cl_BLU","cl_RED","cl_YEL","cl_WHI"],Items:["5+Colo","words2","words3","lets13","startN","with_w","year18","smallc","NoBand","Crosse","Circle","Animal","Canton","staYEL","NO_GRE","myrBLU","unjack","southc","HasSta","3+Star"],Flag:"https://upload.wikimedia.org/wikipedia/commons/thumb/0/00/Flag_of_New_South_Wales.svg/320px-Flag_of_New_South_Wales.svg.png",HDFlag:"https://upload.wikimedia.org/wikipedia/commons/thumb/0/00/Flag_of_New_South_Wales.svg/2560px-Flag_of_New_South_Wales.svg.png",type:"State", describe: "\nAs a variant of the Blue Ensign, the Union Jack is displayed in the canton. The St George's Cross, the Southern Cross and the 'Lion in the South' are displayed in the Badge of New South Wales on the flag. The St George's Cross is used on the ensign of the British Royal Navy, with a golden, 8-pointed star placed on each arm of the cross. This symbolises the maritime origins of New South Wales, with seafarers relying upon the Southern Cross to navigate the seas, and the role of the navy in protecting the State.\n\nThe 'Lion in the South' is taken from the three golden lions on a red field on the arms of England, and symbolises both the sovereignty of New South Wales and the offspring of an old country. It represent the origins of the founders of the Colony of New South Wales as well as the independence of their succeeding generations.", links: "https://en.wikipedia.org/wiki/Flag_of_New_South_Wales"},</v>
      </c>
      <c r="HH3" s="44" t="str">
        <f t="shared" si="126"/>
        <v>"\nAs a variant of the Blue Ensign, the Union Jack is displayed in the canton. The St George's Cross, the Southern Cross and the 'Lion in the South' are displayed in the Badge of New South Wales on the flag. The St George's Cross is used on the ensign of the British Royal Navy, with a golden, 8-pointed star placed on each arm of the cross. This symbolises the maritime origins of New South Wales, with seafarers relying upon the Southern Cross to navigate the seas, and the role of the navy in protecting the State.\n\nThe 'Lion in the South' is taken from the three golden lions on a red field on the arms of England, and symbolises both the sovereignty of New South Wales and the offspring of an old country. It represent the origins of the founders of the Colony of New South Wales as well as the independence of their succeeding generations."</v>
      </c>
      <c r="HI3" s="44" t="str">
        <f t="shared" si="127"/>
        <v>"\nAs a variant of the Blue Ensign, the Union Jack is displayed in the canton. The St George's Cross, the Southern Cross and the 'Lion in the South' are displayed in the Badge of New South Wales on the flag. The St George's Cross is used on the ensign of the British Royal Navy, with a golden, 8-pointed star placed on each arm of the cross. This symbolises the maritime origins of New South Wales, with seafarers relying upon the Southern Cross to navigate the seas, and the role of the navy in protecting the State.\n\nThe 'Lion in the South' is taken from the three golden lions on a red field on the arms of England, and symbolises both the sovereignty of New South Wales and the offspring of an old country. It represent the origins of the founders of the Colony of New South Wales as well as the independence of their succeeding generations."</v>
      </c>
      <c r="HJ3" s="44" t="str">
        <f t="shared" si="128"/>
        <v>"1876"</v>
      </c>
      <c r="HL3" s="44" t="str">
        <f t="shared" si="129"/>
        <v>"https://en.wikipedia.org/wiki/Flag_of_New_South_Wales"</v>
      </c>
      <c r="HM3" s="65" t="str">
        <f t="shared" si="130"/>
        <v>{"couname":"[AUS] New South Wales","year":"1876","region":"rgn_Oceania","Colors":["cl_BLA","cl_BLU","cl_RED","cl_YEL","cl_WHI"],"Items":["5+Colo","words2","words3","lets13","startN","with_w","year18","smallc","NoBand","Crosse","Circle","Animal","Canton","staYEL","NO_GRE","myrBLU","unjack","southc","HasSta","3+Star"],"Flag":"https://upload.wikimedia.org/wikipedia/commons/thumb/0/00/Flag_of_New_South_Wales.svg/320px-Flag_of_New_South_Wales.svg.png","HDFlag":"https://upload.wikimedia.org/wikipedia/commons/thumb/0/00/Flag_of_New_South_Wales.svg/2560px-Flag_of_New_South_Wales.svg.png","type":"State", "describe": "\nAs a variant of the Blue Ensign, the Union Jack is displayed in the canton. The St George's Cross, the Southern Cross and the 'Lion in the South' are displayed in the Badge of New South Wales on the flag. The St George's Cross is used on the ensign of the British Royal Navy, with a golden, 8-pointed star placed on each arm of the cross. This symbolises the maritime origins of New South Wales, with seafarers relying upon the Southern Cross to navigate the seas, and the role of the navy in protecting the State.\n\nThe 'Lion in the South' is taken from the three golden lions on a red field on the arms of England, and symbolises both the sovereignty of New South Wales and the offspring of an old country. It represent the origins of the founders of the Colony of New South Wales as well as the independence of their succeeding generations.", "isnew": ".", "links": "https://en.wikipedia.org/wiki/Flag_of_New_South_Wales"},</v>
      </c>
      <c r="HN3" s="67" t="str">
        <f t="shared" si="131"/>
        <v>{"couname":"[AUS] New South Wales","year":"1876","region":"rgn_Oceania","Colors":["cl_BLA","cl_BLU","cl_RED","cl_YEL","cl_WHI"],"Items":["5+Colo","words2","words3","lets13","startN","with_w","year18","smallc","NoBand","Crosse","Circle","Animal","Canton","staYEL","NO_GRE","myrBLU","unjack","southc","HasSta","3+Star"],"Flag":"https://upload.wikimedia.org/wikipedia/commons/thumb/0/00/Flag_of_New_South_Wales.svg/320px-Flag_of_New_South_Wales.svg.png","HDFlag":"https://upload.wikimedia.org/wikipedia/commons/thumb/0/00/Flag_of_New_South_Wales.svg/2560px-Flag_of_New_South_Wales.svg.png","type":"State", "describe": "\nAs a variant of the Blue Ensign, the Union Jack is displayed in the canton. The St George's Cross, the Southern Cross and the 'Lion in the South' are displayed in the Badge of New South Wales on the flag. The St George's Cross is used on the ensign of the British Royal Navy, with a golden, 8-pointed star placed on each arm of the cross. This symbolises the maritime origins of New South Wales, with seafarers relying upon the Southern Cross to navigate the seas, and the role of the navy in protecting the State.\n\nThe 'Lion in the South' is taken from the three golden lions on a red field on the arms of England, and symbolises both the sovereignty of New South Wales and the offspring of an old country. It represent the origins of the founders of the Colony of New South Wales as well as the independence of their succeeding generations.", "isnew": ".", "links": "https://en.wikipedia.org/wiki/Flag_of_New_South_Wales"},</v>
      </c>
      <c r="HO3" s="71">
        <v>45576</v>
      </c>
      <c r="HP3" s="44" t="str" cm="1">
        <f t="array" ref="HP3">IF(_xlfn.TEXTJOIN(", ", TRUE, IF(ISNUMBER(SEARCH("BLA", BL3:BT3)), COLUMN(BL3:BT3) - COLUMN(BL3) + 1, ""))&lt;&gt;"","BLA","")</f>
        <v>BLA</v>
      </c>
      <c r="HQ3" s="44" t="str" cm="1">
        <f t="array" ref="HQ3">IF(_xlfn.TEXTJOIN(", ", TRUE, IF(ISNUMBER(SEARCH("BLU", BL3:BT3)), COLUMN(BL3:BT3) - COLUMN(BL3) + 1, ""))&lt;&gt;"","BLU","")</f>
        <v>BLU</v>
      </c>
      <c r="HR3" s="44" t="str" cm="1">
        <f t="array" ref="HR3">IF(_xlfn.TEXTJOIN(", ", TRUE, IF(ISNUMBER(SEARCH("GRE", BL3:BT3)), COLUMN(BL3:BT3) - COLUMN(BL3) + 1, ""))&lt;&gt;"","GRE","")</f>
        <v/>
      </c>
      <c r="HS3" s="44" t="str" cm="1">
        <f t="array" ref="HS3">IF(_xlfn.TEXTJOIN(", ", TRUE, IF(ISNUMBER(SEARCH("RED", BL3:BT3)), COLUMN(BL3:BT3) - COLUMN(BL3) + 1, ""))&lt;&gt;"","RED","")</f>
        <v>RED</v>
      </c>
      <c r="HT3" s="44" t="str" cm="1">
        <f t="array" ref="HT3">IF(_xlfn.TEXTJOIN(", ", TRUE, IF(ISNUMBER(SEARCH("YEL", BL3:BT3)), COLUMN(BL3:BT3) - COLUMN(BL3) + 1, ""))&lt;&gt;"","YEL","")</f>
        <v>YEL</v>
      </c>
      <c r="HU3" s="44" t="str" cm="1">
        <f t="array" ref="HU3">IF(_xlfn.TEXTJOIN(", ", TRUE, IF(ISNUMBER(SEARCH("ORA", BL3:BT3)), COLUMN(BL3:BT3) - COLUMN(BL3) + 1, ""))&lt;&gt;"","ORA","")</f>
        <v/>
      </c>
      <c r="HV3" s="44" t="str" cm="1">
        <f t="array" ref="HV3">IF(_xlfn.TEXTJOIN(", ", TRUE, IF(ISNUMBER(SEARCH("BRO", BL3:BT3)), COLUMN(BL3:BT3) - COLUMN(BL3) + 1, ""))&lt;&gt;"","BRO","")</f>
        <v/>
      </c>
      <c r="HW3" s="44" t="str" cm="1">
        <f t="array" ref="HW3">IF(_xlfn.TEXTJOIN(", ", TRUE, IF(ISNUMBER(SEARCH("PUR", BL3:BT3)), COLUMN(BL3:BT3) - COLUMN(BL3) + 1, ""))&lt;&gt;"","PUR","")</f>
        <v/>
      </c>
      <c r="HX3" s="44" t="str" cm="1">
        <f t="array" ref="HX3">IF(_xlfn.TEXTJOIN(", ", TRUE, IF(ISNUMBER(SEARCH("WHI", BL3:BT3)), COLUMN(BL3:BT3) - COLUMN(BL3) + 1, ""))&lt;&gt;"","WHI","")</f>
        <v>WHI</v>
      </c>
      <c r="HY3" s="72"/>
      <c r="HZ3" s="72"/>
      <c r="IA3" s="5" t="s">
        <v>166</v>
      </c>
      <c r="IB3" s="5"/>
      <c r="IC3" s="68"/>
      <c r="ID3" s="68"/>
      <c r="IE3" s="68"/>
      <c r="IF3" s="68"/>
      <c r="IG3" s="68"/>
      <c r="IH3" s="68"/>
      <c r="II3" s="68"/>
      <c r="IJ3" s="68"/>
      <c r="IK3" s="68"/>
      <c r="IL3" s="44">
        <f t="shared" si="132"/>
        <v>0</v>
      </c>
      <c r="IM3" s="42">
        <f t="shared" si="133"/>
        <v>-5</v>
      </c>
      <c r="IN3" s="69" t="str">
        <f t="shared" si="134"/>
        <v>http://mkweb.bcgsc.ca/color-summarizer/?url=https://upload.wikimedia.org/wikipedia/commons/thumb/0/00/Flag_of_New_South_Wales.svg/320px-Flag_of_New_South_Wales.svg.png&amp;precision=low&amp;num_clusters=5&amp;text=1</v>
      </c>
      <c r="IO3" s="44" t="str">
        <f t="shared" si="135"/>
        <v>"black"</v>
      </c>
      <c r="IP3" s="44" t="str">
        <f t="shared" si="136"/>
        <v>"blue"</v>
      </c>
      <c r="IQ3" s="44" t="str">
        <f t="shared" si="137"/>
        <v/>
      </c>
      <c r="IR3" s="44" t="str">
        <f t="shared" si="138"/>
        <v>"red"</v>
      </c>
      <c r="IS3" s="44" t="str">
        <f t="shared" si="139"/>
        <v>"yellow"</v>
      </c>
      <c r="IT3" s="44" t="str">
        <f t="shared" si="140"/>
        <v/>
      </c>
      <c r="IU3" s="44" t="str">
        <f t="shared" si="141"/>
        <v/>
      </c>
      <c r="IV3" s="44" t="str">
        <f t="shared" si="142"/>
        <v/>
      </c>
      <c r="IW3" s="44" t="str">
        <f t="shared" si="143"/>
        <v>"white"</v>
      </c>
      <c r="IX3" s="44" t="str">
        <f t="shared" si="144"/>
        <v>{"url":"http://mkweb.bcgsc.ca/color-summarizer/?url=https://upload.wikimedia.org/wikipedia/commons/thumb/0/00/Flag_of_New_South_Wales.svg/320px-Flag_of_New_South_Wales.svg.png&amp;precision=low&amp;num_clusters=5&amp;text=1","name":"[AUS] New South Wales"},</v>
      </c>
      <c r="IY3" s="44">
        <v>296</v>
      </c>
    </row>
    <row r="4" spans="1:259" s="44" customFormat="1" ht="38.4" customHeight="1" thickBot="1" x14ac:dyDescent="0.35">
      <c r="A4" s="80" t="s">
        <v>378</v>
      </c>
      <c r="B4" s="78" t="e" vm="5">
        <v>#VALUE!</v>
      </c>
      <c r="C4" s="39">
        <v>2</v>
      </c>
      <c r="D4" s="70" t="s">
        <v>379</v>
      </c>
      <c r="E4" s="40" t="s">
        <v>380</v>
      </c>
      <c r="F4" s="41" t="s">
        <v>165</v>
      </c>
      <c r="G4" s="42">
        <f t="shared" si="0"/>
        <v>1</v>
      </c>
      <c r="H4" s="43"/>
      <c r="I4" s="59" t="s">
        <v>381</v>
      </c>
      <c r="J4" s="44" t="str">
        <f>""</f>
        <v/>
      </c>
      <c r="K4" s="45"/>
      <c r="L4" s="46"/>
      <c r="M4" s="46"/>
      <c r="N4" s="47" t="s">
        <v>177</v>
      </c>
      <c r="O4" s="74">
        <v>1876</v>
      </c>
      <c r="P4" s="48" t="s">
        <v>382</v>
      </c>
      <c r="Q4" s="73">
        <v>1</v>
      </c>
      <c r="R4" s="49" t="s">
        <v>177</v>
      </c>
      <c r="S4" s="50">
        <v>0</v>
      </c>
      <c r="T4" s="51" t="s">
        <v>166</v>
      </c>
      <c r="U4" s="52" t="s">
        <v>167</v>
      </c>
      <c r="V4" s="52" t="s">
        <v>166</v>
      </c>
      <c r="W4" s="52" t="s">
        <v>166</v>
      </c>
      <c r="X4" s="52" t="s">
        <v>167</v>
      </c>
      <c r="Y4" s="52" t="s">
        <v>166</v>
      </c>
      <c r="Z4" s="52" t="s">
        <v>167</v>
      </c>
      <c r="AA4" s="52" t="s">
        <v>166</v>
      </c>
      <c r="AB4" s="52" t="s">
        <v>166</v>
      </c>
      <c r="AC4" s="52" t="s">
        <v>166</v>
      </c>
      <c r="AD4" s="52" t="s">
        <v>166</v>
      </c>
      <c r="AE4" s="52" t="s">
        <v>166</v>
      </c>
      <c r="AF4" s="53" t="s">
        <v>166</v>
      </c>
      <c r="AG4" s="53" t="s">
        <v>166</v>
      </c>
      <c r="AH4" s="53" t="s">
        <v>166</v>
      </c>
      <c r="AI4" s="53" t="s">
        <v>167</v>
      </c>
      <c r="AJ4" s="53" t="s">
        <v>166</v>
      </c>
      <c r="AK4" s="53" t="s">
        <v>166</v>
      </c>
      <c r="AL4" s="53" t="s">
        <v>166</v>
      </c>
      <c r="AM4" s="53" t="s">
        <v>166</v>
      </c>
      <c r="AN4" s="53" t="s">
        <v>166</v>
      </c>
      <c r="AO4" s="53" t="s">
        <v>166</v>
      </c>
      <c r="AP4" s="53" t="s">
        <v>166</v>
      </c>
      <c r="AQ4" s="53" t="s">
        <v>167</v>
      </c>
      <c r="AR4" s="53" t="s">
        <v>166</v>
      </c>
      <c r="AS4" s="53" t="s">
        <v>166</v>
      </c>
      <c r="AT4" s="54">
        <v>0</v>
      </c>
      <c r="AU4" s="53" t="s">
        <v>377</v>
      </c>
      <c r="AV4" s="53" t="str">
        <f t="shared" si="1"/>
        <v>[AUS]State[AUS] Queensland</v>
      </c>
      <c r="AW4" s="53" t="str">
        <f t="shared" si="2"/>
        <v>2[AUS] Queensland</v>
      </c>
      <c r="AX4" s="55"/>
      <c r="AY4" s="55"/>
      <c r="AZ4" s="56" t="s">
        <v>231</v>
      </c>
      <c r="BA4" s="56"/>
      <c r="BB4" s="56"/>
      <c r="BC4" s="57"/>
      <c r="BD4" s="58" t="s">
        <v>154</v>
      </c>
      <c r="BE4" s="59"/>
      <c r="BF4" s="58" t="s">
        <v>231</v>
      </c>
      <c r="BG4" s="58" t="s">
        <v>231</v>
      </c>
      <c r="BH4" s="58" t="s">
        <v>231</v>
      </c>
      <c r="BI4" s="58"/>
      <c r="BJ4" s="58"/>
      <c r="BK4" s="59"/>
      <c r="BL4" s="58" t="s">
        <v>153</v>
      </c>
      <c r="BM4" s="58" t="s">
        <v>154</v>
      </c>
      <c r="BN4" s="58" t="s">
        <v>155</v>
      </c>
      <c r="BO4" s="58" t="s">
        <v>156</v>
      </c>
      <c r="BP4" s="58" t="s">
        <v>157</v>
      </c>
      <c r="BQ4" s="58" t="s">
        <v>231</v>
      </c>
      <c r="BR4" s="58" t="s">
        <v>231</v>
      </c>
      <c r="BS4" s="58" t="s">
        <v>231</v>
      </c>
      <c r="BT4" s="58" t="s">
        <v>161</v>
      </c>
      <c r="BU4" s="60" t="s">
        <v>167</v>
      </c>
      <c r="BV4" s="61"/>
      <c r="BW4" s="61">
        <v>0</v>
      </c>
      <c r="BX4" s="59"/>
      <c r="CB4" s="5"/>
      <c r="CC4" s="5"/>
      <c r="CD4" s="62">
        <v>0</v>
      </c>
      <c r="CE4" s="62">
        <v>0</v>
      </c>
      <c r="CF4" s="62" t="e">
        <v>#REF!</v>
      </c>
      <c r="CG4" s="75" cm="1">
        <f t="array" ref="CG4">SUMPRODUCT(--(LEN(TRIM(BL4:BT4))&gt;0))</f>
        <v>6</v>
      </c>
      <c r="CH4" s="53" t="str">
        <f t="shared" si="3"/>
        <v>n</v>
      </c>
      <c r="CI4" s="53" t="str">
        <f t="shared" si="4"/>
        <v>n</v>
      </c>
      <c r="CJ4" s="53" t="str">
        <f t="shared" si="5"/>
        <v>n</v>
      </c>
      <c r="CK4" s="53" t="str">
        <f t="shared" si="6"/>
        <v>y</v>
      </c>
      <c r="CL4" s="53" t="str">
        <f t="shared" si="7"/>
        <v>y</v>
      </c>
      <c r="CM4" s="53" t="str">
        <f t="shared" si="8"/>
        <v>n</v>
      </c>
      <c r="CN4" s="53" t="str">
        <f t="shared" si="9"/>
        <v>n</v>
      </c>
      <c r="CO4" s="53" t="str">
        <f t="shared" si="10"/>
        <v>n</v>
      </c>
      <c r="CP4" s="53" t="str">
        <f t="shared" si="11"/>
        <v>y</v>
      </c>
      <c r="CQ4" s="53" t="str">
        <f t="shared" si="12"/>
        <v>n</v>
      </c>
      <c r="CR4" s="53" t="str">
        <f t="shared" si="13"/>
        <v>n</v>
      </c>
      <c r="CS4" s="53" t="str">
        <f t="shared" si="14"/>
        <v>n</v>
      </c>
      <c r="CT4" s="38" t="str">
        <f t="shared" si="15"/>
        <v>"[AUS] Queensland"</v>
      </c>
      <c r="CU4" s="63" t="str">
        <f t="shared" si="16"/>
        <v>"rgn_Oceania"</v>
      </c>
      <c r="CV4" s="44" t="str">
        <f t="shared" si="17"/>
        <v>"https://upload.wikimedia.org/wikipedia/commons/thumb/0/04/Flag_of_Queensland.svg/640px-Flag_of_Queensland.svg.png"</v>
      </c>
      <c r="CW4" s="44" t="str">
        <f t="shared" si="18"/>
        <v/>
      </c>
      <c r="CX4" s="44" t="str">
        <f t="shared" si="19"/>
        <v/>
      </c>
      <c r="CY4" s="44" t="str">
        <f t="shared" si="20"/>
        <v/>
      </c>
      <c r="CZ4" s="44" t="str">
        <f t="shared" si="21"/>
        <v>"5+Colo",</v>
      </c>
      <c r="DA4" s="44" t="str">
        <f t="shared" si="22"/>
        <v/>
      </c>
      <c r="DB4" s="44" t="str">
        <f t="shared" si="23"/>
        <v/>
      </c>
      <c r="DC4" s="44" t="str">
        <f t="shared" si="24"/>
        <v/>
      </c>
      <c r="DD4" s="44" t="str">
        <f t="shared" si="25"/>
        <v>"lets10",</v>
      </c>
      <c r="DE4" s="44" t="str">
        <f t="shared" si="26"/>
        <v>"startQ",</v>
      </c>
      <c r="DF4" s="44" t="str">
        <f t="shared" si="27"/>
        <v/>
      </c>
      <c r="DG4" s="44" t="str">
        <f t="shared" si="28"/>
        <v>"with_q",</v>
      </c>
      <c r="DH4" s="44" t="str">
        <f t="shared" si="29"/>
        <v/>
      </c>
      <c r="DI4" s="44" t="str">
        <f t="shared" si="30"/>
        <v/>
      </c>
      <c r="DJ4" s="44" t="str">
        <f t="shared" si="31"/>
        <v/>
      </c>
      <c r="DK4" s="44" t="str">
        <f t="shared" si="32"/>
        <v/>
      </c>
      <c r="DL4" s="44" t="str">
        <f t="shared" si="33"/>
        <v/>
      </c>
      <c r="DM4" s="44" t="str" cm="1">
        <f t="array" ref="DM4">IF(CG4=3,CHAR(34) &amp; _xlfn.TEXTJOIN("", TRUE, RIGHT(HP4:HX4, 2)) &amp; CHAR(34) &amp; ",", "")</f>
        <v/>
      </c>
      <c r="DN4" s="44" t="str">
        <f t="shared" si="34"/>
        <v>"year18",</v>
      </c>
      <c r="DO4" s="44" t="str">
        <f t="shared" si="35"/>
        <v/>
      </c>
      <c r="DP4" s="5" t="str">
        <f t="shared" si="36"/>
        <v/>
      </c>
      <c r="DQ4" s="5" t="str">
        <f t="shared" si="37"/>
        <v/>
      </c>
      <c r="DR4" s="5" t="str">
        <f t="shared" si="38"/>
        <v/>
      </c>
      <c r="DS4" s="5" t="str">
        <f t="shared" si="39"/>
        <v/>
      </c>
      <c r="DT4" s="5" t="str">
        <f t="shared" si="40"/>
        <v/>
      </c>
      <c r="DU4" s="5" t="str">
        <f t="shared" si="41"/>
        <v/>
      </c>
      <c r="DV4" s="44" t="str">
        <f t="shared" si="42"/>
        <v>"smallc",</v>
      </c>
      <c r="DW4" s="44" t="str">
        <f t="shared" si="43"/>
        <v>"NoBand",</v>
      </c>
      <c r="DX4" s="44" t="str">
        <f t="shared" si="44"/>
        <v/>
      </c>
      <c r="DY4" s="44" t="str">
        <f t="shared" si="45"/>
        <v/>
      </c>
      <c r="DZ4" s="44" t="str">
        <f t="shared" si="46"/>
        <v/>
      </c>
      <c r="EA4" s="44" t="str">
        <f t="shared" si="47"/>
        <v/>
      </c>
      <c r="EB4" s="44" t="str">
        <f t="shared" si="48"/>
        <v>"Crosse",</v>
      </c>
      <c r="EC4" s="44" t="str">
        <f t="shared" si="49"/>
        <v/>
      </c>
      <c r="ED4" s="44" t="str">
        <f t="shared" si="50"/>
        <v/>
      </c>
      <c r="EE4" s="44" t="str">
        <f t="shared" si="51"/>
        <v>"Circle",</v>
      </c>
      <c r="EF4" s="44" t="str">
        <f t="shared" si="52"/>
        <v/>
      </c>
      <c r="EG4" s="44" t="str">
        <f t="shared" si="53"/>
        <v>"Bird",</v>
      </c>
      <c r="EH4" s="44" t="str">
        <f t="shared" si="54"/>
        <v/>
      </c>
      <c r="EI4" s="44" t="str">
        <f t="shared" si="55"/>
        <v/>
      </c>
      <c r="EJ4" s="44" t="str">
        <f t="shared" si="56"/>
        <v/>
      </c>
      <c r="EK4" s="44" t="str">
        <f t="shared" si="57"/>
        <v/>
      </c>
      <c r="EL4" s="44" t="str">
        <f t="shared" si="58"/>
        <v/>
      </c>
      <c r="EM4" s="44" t="str">
        <f t="shared" si="59"/>
        <v/>
      </c>
      <c r="EN4" s="44" t="str">
        <f t="shared" si="60"/>
        <v/>
      </c>
      <c r="EO4" s="44" t="str">
        <f t="shared" si="61"/>
        <v/>
      </c>
      <c r="EP4" s="44" t="str">
        <f t="shared" si="62"/>
        <v>"Canton",</v>
      </c>
      <c r="EQ4" s="44" t="str">
        <f t="shared" si="63"/>
        <v/>
      </c>
      <c r="ER4" s="44" t="str">
        <f t="shared" si="64"/>
        <v/>
      </c>
      <c r="ES4" s="44" t="str">
        <f t="shared" si="65"/>
        <v/>
      </c>
      <c r="ET4" s="44" t="str">
        <f t="shared" si="66"/>
        <v/>
      </c>
      <c r="EU4" s="44" t="str">
        <f t="shared" si="67"/>
        <v/>
      </c>
      <c r="EV4" s="44" t="str">
        <f t="shared" si="68"/>
        <v/>
      </c>
      <c r="EW4" s="44" t="str">
        <f t="shared" si="69"/>
        <v/>
      </c>
      <c r="EX4" s="44" t="str">
        <f t="shared" si="70"/>
        <v>"Crowns",</v>
      </c>
      <c r="EY4" s="44" t="str">
        <f t="shared" si="71"/>
        <v/>
      </c>
      <c r="EZ4" s="44" t="str">
        <f t="shared" si="72"/>
        <v/>
      </c>
      <c r="FA4" s="44" t="str">
        <f t="shared" si="73"/>
        <v/>
      </c>
      <c r="FB4" s="44" t="str">
        <f t="shared" si="74"/>
        <v/>
      </c>
      <c r="FC4" s="44" t="str">
        <f t="shared" si="75"/>
        <v/>
      </c>
      <c r="FD4" s="44" t="str">
        <f t="shared" si="76"/>
        <v/>
      </c>
      <c r="FE4" s="44" t="str">
        <f t="shared" si="77"/>
        <v/>
      </c>
      <c r="FF4" s="44" t="str">
        <f t="shared" si="78"/>
        <v/>
      </c>
      <c r="FG4" s="44" t="str">
        <f t="shared" si="79"/>
        <v/>
      </c>
      <c r="FH4" s="44" t="str">
        <f t="shared" si="80"/>
        <v/>
      </c>
      <c r="FI4" s="44" t="str">
        <f t="shared" si="81"/>
        <v/>
      </c>
      <c r="FJ4" s="44" t="str">
        <f t="shared" si="82"/>
        <v/>
      </c>
      <c r="FK4" s="44" t="str">
        <f t="shared" si="83"/>
        <v/>
      </c>
      <c r="FL4" s="44" t="str">
        <f t="shared" si="84"/>
        <v/>
      </c>
      <c r="FM4" s="44" t="str">
        <f t="shared" si="85"/>
        <v/>
      </c>
      <c r="FN4" s="44" t="str">
        <f t="shared" si="86"/>
        <v/>
      </c>
      <c r="FO4" s="44" t="str">
        <f t="shared" si="87"/>
        <v/>
      </c>
      <c r="FP4" s="44" t="str">
        <f t="shared" si="88"/>
        <v/>
      </c>
      <c r="FQ4" s="44" t="str">
        <f t="shared" si="89"/>
        <v/>
      </c>
      <c r="FR4" s="44" t="str">
        <f t="shared" si="90"/>
        <v/>
      </c>
      <c r="FS4" s="44" t="str">
        <f t="shared" si="91"/>
        <v/>
      </c>
      <c r="FT4" s="44" t="str">
        <f t="shared" si="92"/>
        <v>"myrBLU",</v>
      </c>
      <c r="FU4" s="44" t="str">
        <f t="shared" si="93"/>
        <v/>
      </c>
      <c r="FV4" s="44" t="str">
        <f t="shared" si="94"/>
        <v/>
      </c>
      <c r="FW4" s="44" t="str">
        <f t="shared" si="95"/>
        <v/>
      </c>
      <c r="FX4" s="44" t="str">
        <f t="shared" si="96"/>
        <v/>
      </c>
      <c r="FY4" s="44" t="str">
        <f t="shared" si="97"/>
        <v/>
      </c>
      <c r="FZ4" s="44" t="str">
        <f t="shared" si="98"/>
        <v/>
      </c>
      <c r="GA4" s="44" t="str">
        <f t="shared" si="99"/>
        <v/>
      </c>
      <c r="GB4" s="44" t="str">
        <f t="shared" si="100"/>
        <v/>
      </c>
      <c r="GC4" s="44" t="str">
        <f t="shared" si="101"/>
        <v/>
      </c>
      <c r="GD4" s="44" t="str">
        <f t="shared" si="102"/>
        <v/>
      </c>
      <c r="GE4" s="44" t="str">
        <f t="shared" si="103"/>
        <v/>
      </c>
      <c r="GF4" s="44" t="str">
        <f t="shared" si="145"/>
        <v/>
      </c>
      <c r="GG4" s="44" t="str">
        <f t="shared" si="104"/>
        <v>"unjack",</v>
      </c>
      <c r="GH4" s="44" t="str">
        <f t="shared" si="105"/>
        <v/>
      </c>
      <c r="GI4" s="44" t="str">
        <f t="shared" si="106"/>
        <v/>
      </c>
      <c r="GJ4" s="44" t="str">
        <f t="shared" si="107"/>
        <v>"NoStar",</v>
      </c>
      <c r="GK4" s="44" t="str">
        <f t="shared" si="108"/>
        <v/>
      </c>
      <c r="GL4" s="44" t="str">
        <f t="shared" si="109"/>
        <v/>
      </c>
      <c r="GM4" s="44" t="str">
        <f t="shared" si="110"/>
        <v/>
      </c>
      <c r="GN4" s="44" t="str">
        <f t="shared" si="111"/>
        <v/>
      </c>
      <c r="GP4" s="44" t="str">
        <f t="shared" si="112"/>
        <v>"State"</v>
      </c>
      <c r="GS4" s="44" t="str">
        <f t="shared" si="113"/>
        <v>["5+Colo","lets10","startQ","with_q","year18","smallc","NoBand","Crosse","Circle","Bird","Canton","Crowns","myrBLU","unjack","NoStar"]</v>
      </c>
      <c r="GT4" s="44" t="str">
        <f t="shared" si="114"/>
        <v>"cl_BLA",</v>
      </c>
      <c r="GU4" s="44" t="str">
        <f t="shared" si="115"/>
        <v>"cl_BLU",</v>
      </c>
      <c r="GV4" s="44" t="str">
        <f t="shared" si="116"/>
        <v>"cl_GRE",</v>
      </c>
      <c r="GW4" s="44" t="str">
        <f t="shared" si="117"/>
        <v>"cl_RED",</v>
      </c>
      <c r="GX4" s="44" t="str">
        <f t="shared" si="118"/>
        <v>"cl_YEL",</v>
      </c>
      <c r="GY4" s="44" t="str">
        <f t="shared" si="119"/>
        <v/>
      </c>
      <c r="GZ4" s="44" t="str">
        <f t="shared" si="120"/>
        <v/>
      </c>
      <c r="HA4" s="44" t="str">
        <f t="shared" si="121"/>
        <v/>
      </c>
      <c r="HB4" s="44" t="str">
        <f t="shared" si="122"/>
        <v>"cl_WHI",</v>
      </c>
      <c r="HC4" s="44" t="str">
        <f t="shared" si="123"/>
        <v>["cl_BLA","cl_BLU","cl_GRE","cl_RED","cl_YEL","cl_WHI"]</v>
      </c>
      <c r="HE4" s="64"/>
      <c r="HF4" s="65" t="str">
        <f t="shared" si="124"/>
        <v>{couname:"[AUS] Queensland",year:"1876",region:"rgn_Oceania",Colors:["cl_BLA","cl_BLU","cl_GRE","cl_RED","cl_YEL","cl_WHI"],Items:["5+Colo","lets10","startQ","with_q","year18","smallc","NoBand","Crosse","Circle","Bird","Canton","Crowns","myrBLU","unjack","NoStar"],Flag:"https://upload.wikimedia.org/wikipedia/commons/thumb/0/04/Flag_of_Queensland.svg/640px-Flag_of_Queensland.svg.png",HDFlag:"https://upload.wikimedia.org/wikipedia/commons/thumb/0/04/Flag_of_Queensland.svg/2560px-Flag_of_Queensland.svg.png",type:"State", describe: "\nThe flag contains the Union Jack and the blue background like Australia. The badge contains a Maltese Cross with a Saint Edward's Crown in the center of the cross. ", isnew:".", links: "https://en.wikipedia.org/wiki/Flag_of_Queensland"},</v>
      </c>
      <c r="HG4" s="66" t="str">
        <f t="shared" si="125"/>
        <v>{couname:"[AUS] Queensland",year:"1876",region:"rgn_Oceania",Colors:["cl_BLA","cl_BLU","cl_GRE","cl_RED","cl_YEL","cl_WHI"],Items:["5+Colo","lets10","startQ","with_q","year18","smallc","NoBand","Crosse","Circle","Bird","Canton","Crowns","myrBLU","unjack","NoStar"],Flag:"https://upload.wikimedia.org/wikipedia/commons/thumb/0/04/Flag_of_Queensland.svg/640px-Flag_of_Queensland.svg.png",HDFlag:"https://upload.wikimedia.org/wikipedia/commons/thumb/0/04/Flag_of_Queensland.svg/2560px-Flag_of_Queensland.svg.png",type:"State", describe: "\nThe flag contains the Union Jack and the blue background like Australia. The badge contains a Maltese Cross with a Saint Edward's Crown in the center of the cross. ", links: "https://en.wikipedia.org/wiki/Flag_of_Queensland"},</v>
      </c>
      <c r="HH4" s="44" t="str">
        <f t="shared" si="126"/>
        <v>"\nThe flag contains the Union Jack and the blue background like Australia. The badge contains a Maltese Cross with a Saint Edward's Crown in the center of the cross. "</v>
      </c>
      <c r="HI4" s="44" t="str">
        <f t="shared" si="127"/>
        <v>"\nThe flag contains the Union Jack and the blue background like Australia. The badge contains a Maltese Cross with a Saint Edward's Crown in the center of the cross. "</v>
      </c>
      <c r="HJ4" s="44" t="str">
        <f t="shared" si="128"/>
        <v>"1876"</v>
      </c>
      <c r="HL4" s="44" t="str">
        <f t="shared" si="129"/>
        <v>"https://en.wikipedia.org/wiki/Flag_of_Queensland"</v>
      </c>
      <c r="HM4" s="65" t="str">
        <f t="shared" si="130"/>
        <v>{"couname":"[AUS] Queensland","year":"1876","region":"rgn_Oceania","Colors":["cl_BLA","cl_BLU","cl_GRE","cl_RED","cl_YEL","cl_WHI"],"Items":["5+Colo","lets10","startQ","with_q","year18","smallc","NoBand","Crosse","Circle","Bird","Canton","Crowns","myrBLU","unjack","NoStar"],"Flag":"https://upload.wikimedia.org/wikipedia/commons/thumb/0/04/Flag_of_Queensland.svg/640px-Flag_of_Queensland.svg.png","HDFlag":"https://upload.wikimedia.org/wikipedia/commons/thumb/0/04/Flag_of_Queensland.svg/2560px-Flag_of_Queensland.svg.png","type":"State", "describe": "\nThe flag contains the Union Jack and the blue background like Australia. The badge contains a Maltese Cross with a Saint Edward's Crown in the center of the cross. ", "isnew": ".", "links": "https://en.wikipedia.org/wiki/Flag_of_Queensland"},</v>
      </c>
      <c r="HN4" s="67" t="str">
        <f t="shared" si="131"/>
        <v>{"couname":"[AUS] Queensland","year":"1876","region":"rgn_Oceania","Colors":["cl_BLA","cl_BLU","cl_GRE","cl_RED","cl_YEL","cl_WHI"],"Items":["5+Colo","lets10","startQ","with_q","year18","smallc","NoBand","Crosse","Circle","Bird","Canton","Crowns","myrBLU","unjack","NoStar"],"Flag":"https://upload.wikimedia.org/wikipedia/commons/thumb/0/04/Flag_of_Queensland.svg/640px-Flag_of_Queensland.svg.png","HDFlag":"https://upload.wikimedia.org/wikipedia/commons/thumb/0/04/Flag_of_Queensland.svg/2560px-Flag_of_Queensland.svg.png","type":"State", "describe": "\nThe flag contains the Union Jack and the blue background like Australia. The badge contains a Maltese Cross with a Saint Edward's Crown in the center of the cross. ", "isnew": ".", "links": "https://en.wikipedia.org/wiki/Flag_of_Queensland"},</v>
      </c>
      <c r="HO4" s="71">
        <v>45576</v>
      </c>
      <c r="HP4" s="44" t="str" cm="1">
        <f t="array" ref="HP4">IF(_xlfn.TEXTJOIN(", ", TRUE, IF(ISNUMBER(SEARCH("BLA", BL4:BT4)), COLUMN(BL4:BT4) - COLUMN(BL4) + 1, ""))&lt;&gt;"","BLA","")</f>
        <v>BLA</v>
      </c>
      <c r="HQ4" s="44" t="str" cm="1">
        <f t="array" ref="HQ4">IF(_xlfn.TEXTJOIN(", ", TRUE, IF(ISNUMBER(SEARCH("BLU", BL4:BT4)), COLUMN(BL4:BT4) - COLUMN(BL4) + 1, ""))&lt;&gt;"","BLU","")</f>
        <v>BLU</v>
      </c>
      <c r="HR4" s="44" t="str" cm="1">
        <f t="array" ref="HR4">IF(_xlfn.TEXTJOIN(", ", TRUE, IF(ISNUMBER(SEARCH("GRE", BL4:BT4)), COLUMN(BL4:BT4) - COLUMN(BL4) + 1, ""))&lt;&gt;"","GRE","")</f>
        <v>GRE</v>
      </c>
      <c r="HS4" s="44" t="str" cm="1">
        <f t="array" ref="HS4">IF(_xlfn.TEXTJOIN(", ", TRUE, IF(ISNUMBER(SEARCH("RED", BL4:BT4)), COLUMN(BL4:BT4) - COLUMN(BL4) + 1, ""))&lt;&gt;"","RED","")</f>
        <v>RED</v>
      </c>
      <c r="HT4" s="44" t="str" cm="1">
        <f t="array" ref="HT4">IF(_xlfn.TEXTJOIN(", ", TRUE, IF(ISNUMBER(SEARCH("YEL", BL4:BT4)), COLUMN(BL4:BT4) - COLUMN(BL4) + 1, ""))&lt;&gt;"","YEL","")</f>
        <v>YEL</v>
      </c>
      <c r="HU4" s="44" t="str" cm="1">
        <f t="array" ref="HU4">IF(_xlfn.TEXTJOIN(", ", TRUE, IF(ISNUMBER(SEARCH("ORA", BL4:BT4)), COLUMN(BL4:BT4) - COLUMN(BL4) + 1, ""))&lt;&gt;"","ORA","")</f>
        <v/>
      </c>
      <c r="HV4" s="44" t="str" cm="1">
        <f t="array" ref="HV4">IF(_xlfn.TEXTJOIN(", ", TRUE, IF(ISNUMBER(SEARCH("BRO", BL4:BT4)), COLUMN(BL4:BT4) - COLUMN(BL4) + 1, ""))&lt;&gt;"","BRO","")</f>
        <v/>
      </c>
      <c r="HW4" s="44" t="str" cm="1">
        <f t="array" ref="HW4">IF(_xlfn.TEXTJOIN(", ", TRUE, IF(ISNUMBER(SEARCH("PUR", BL4:BT4)), COLUMN(BL4:BT4) - COLUMN(BL4) + 1, ""))&lt;&gt;"","PUR","")</f>
        <v/>
      </c>
      <c r="HX4" s="44" t="str" cm="1">
        <f t="array" ref="HX4">IF(_xlfn.TEXTJOIN(", ", TRUE, IF(ISNUMBER(SEARCH("WHI", BL4:BT4)), COLUMN(BL4:BT4) - COLUMN(BL4) + 1, ""))&lt;&gt;"","WHI","")</f>
        <v>WHI</v>
      </c>
      <c r="HY4" s="72"/>
      <c r="HZ4" s="72"/>
      <c r="IA4" s="5" t="s">
        <v>166</v>
      </c>
      <c r="IB4" s="5"/>
      <c r="IC4" s="68"/>
      <c r="ID4" s="68"/>
      <c r="IE4" s="68"/>
      <c r="IF4" s="68"/>
      <c r="IG4" s="68"/>
      <c r="IH4" s="68"/>
      <c r="II4" s="68"/>
      <c r="IJ4" s="68"/>
      <c r="IK4" s="68"/>
      <c r="IL4" s="44">
        <f t="shared" si="132"/>
        <v>0</v>
      </c>
      <c r="IM4" s="42">
        <f t="shared" si="133"/>
        <v>-6</v>
      </c>
      <c r="IN4" s="69" t="str">
        <f t="shared" si="134"/>
        <v>http://mkweb.bcgsc.ca/color-summarizer/?url=https://upload.wikimedia.org/wikipedia/commons/thumb/0/04/Flag_of_Queensland.svg/640px-Flag_of_Queensland.svg.png&amp;precision=low&amp;num_clusters=6&amp;text=1</v>
      </c>
      <c r="IO4" s="44" t="str">
        <f t="shared" si="135"/>
        <v>"black"</v>
      </c>
      <c r="IP4" s="44" t="str">
        <f t="shared" si="136"/>
        <v>"blue"</v>
      </c>
      <c r="IQ4" s="44" t="str">
        <f t="shared" si="137"/>
        <v>"green"</v>
      </c>
      <c r="IR4" s="44" t="str">
        <f t="shared" si="138"/>
        <v>"red"</v>
      </c>
      <c r="IS4" s="44" t="str">
        <f t="shared" si="139"/>
        <v>"yellow"</v>
      </c>
      <c r="IT4" s="44" t="str">
        <f t="shared" si="140"/>
        <v/>
      </c>
      <c r="IU4" s="44" t="str">
        <f t="shared" si="141"/>
        <v/>
      </c>
      <c r="IV4" s="44" t="str">
        <f t="shared" si="142"/>
        <v/>
      </c>
      <c r="IW4" s="44" t="str">
        <f t="shared" si="143"/>
        <v>"white"</v>
      </c>
      <c r="IX4" s="44" t="str">
        <f t="shared" si="144"/>
        <v>{"url":"http://mkweb.bcgsc.ca/color-summarizer/?url=https://upload.wikimedia.org/wikipedia/commons/thumb/0/04/Flag_of_Queensland.svg/640px-Flag_of_Queensland.svg.png&amp;precision=low&amp;num_clusters=6&amp;text=1","name":"[AUS] Queensland"},</v>
      </c>
      <c r="IY4" s="44">
        <v>297</v>
      </c>
    </row>
    <row r="5" spans="1:259" s="44" customFormat="1" ht="38.4" customHeight="1" thickBot="1" x14ac:dyDescent="0.35">
      <c r="A5" s="80" t="s">
        <v>383</v>
      </c>
      <c r="B5" s="78" t="e" vm="6">
        <v>#VALUE!</v>
      </c>
      <c r="C5" s="39">
        <v>2</v>
      </c>
      <c r="D5" s="70" t="s">
        <v>384</v>
      </c>
      <c r="E5" s="40" t="s">
        <v>385</v>
      </c>
      <c r="F5" s="41" t="s">
        <v>165</v>
      </c>
      <c r="G5" s="42">
        <f t="shared" si="0"/>
        <v>1</v>
      </c>
      <c r="H5" s="43"/>
      <c r="I5" s="59" t="s">
        <v>386</v>
      </c>
      <c r="J5" s="44" t="str">
        <f>""</f>
        <v/>
      </c>
      <c r="K5" s="45"/>
      <c r="L5" s="46"/>
      <c r="M5" s="46"/>
      <c r="N5" s="47" t="s">
        <v>177</v>
      </c>
      <c r="O5" s="74">
        <v>1904</v>
      </c>
      <c r="P5" s="48" t="s">
        <v>387</v>
      </c>
      <c r="Q5" s="73">
        <v>2</v>
      </c>
      <c r="R5" s="49" t="s">
        <v>177</v>
      </c>
      <c r="S5" s="50">
        <v>0</v>
      </c>
      <c r="T5" s="51" t="s">
        <v>166</v>
      </c>
      <c r="U5" s="52" t="s">
        <v>167</v>
      </c>
      <c r="V5" s="52" t="s">
        <v>166</v>
      </c>
      <c r="W5" s="52" t="s">
        <v>166</v>
      </c>
      <c r="X5" s="52" t="s">
        <v>167</v>
      </c>
      <c r="Y5" s="52" t="s">
        <v>167</v>
      </c>
      <c r="Z5" s="52" t="s">
        <v>166</v>
      </c>
      <c r="AA5" s="52" t="s">
        <v>166</v>
      </c>
      <c r="AB5" s="52" t="s">
        <v>166</v>
      </c>
      <c r="AC5" s="52" t="s">
        <v>166</v>
      </c>
      <c r="AD5" s="52" t="s">
        <v>166</v>
      </c>
      <c r="AE5" s="52" t="s">
        <v>166</v>
      </c>
      <c r="AF5" s="53" t="s">
        <v>166</v>
      </c>
      <c r="AG5" s="53" t="s">
        <v>166</v>
      </c>
      <c r="AH5" s="53" t="s">
        <v>166</v>
      </c>
      <c r="AI5" s="53" t="s">
        <v>167</v>
      </c>
      <c r="AJ5" s="53" t="s">
        <v>166</v>
      </c>
      <c r="AK5" s="53" t="s">
        <v>166</v>
      </c>
      <c r="AL5" s="53" t="s">
        <v>166</v>
      </c>
      <c r="AM5" s="53" t="s">
        <v>166</v>
      </c>
      <c r="AN5" s="53" t="s">
        <v>166</v>
      </c>
      <c r="AO5" s="53" t="s">
        <v>166</v>
      </c>
      <c r="AP5" s="53" t="s">
        <v>166</v>
      </c>
      <c r="AQ5" s="53" t="s">
        <v>166</v>
      </c>
      <c r="AR5" s="53" t="s">
        <v>166</v>
      </c>
      <c r="AS5" s="53" t="s">
        <v>166</v>
      </c>
      <c r="AT5" s="54">
        <v>0</v>
      </c>
      <c r="AU5" s="53" t="s">
        <v>377</v>
      </c>
      <c r="AV5" s="53" t="str">
        <f t="shared" si="1"/>
        <v>[AUS]State[AUS] South Australia</v>
      </c>
      <c r="AW5" s="53" t="str">
        <f t="shared" si="2"/>
        <v>2[AUS] South Australia</v>
      </c>
      <c r="AX5" s="55"/>
      <c r="AY5" s="55"/>
      <c r="AZ5" s="56" t="s">
        <v>231</v>
      </c>
      <c r="BA5" s="56"/>
      <c r="BB5" s="56"/>
      <c r="BC5" s="57"/>
      <c r="BD5" s="58" t="s">
        <v>154</v>
      </c>
      <c r="BE5" s="59"/>
      <c r="BF5" s="58" t="s">
        <v>231</v>
      </c>
      <c r="BG5" s="58" t="s">
        <v>231</v>
      </c>
      <c r="BH5" s="58" t="s">
        <v>231</v>
      </c>
      <c r="BI5" s="58"/>
      <c r="BJ5" s="58"/>
      <c r="BK5" s="59"/>
      <c r="BL5" s="58" t="s">
        <v>153</v>
      </c>
      <c r="BM5" s="58" t="s">
        <v>154</v>
      </c>
      <c r="BN5" s="58" t="s">
        <v>155</v>
      </c>
      <c r="BO5" s="58" t="s">
        <v>156</v>
      </c>
      <c r="BP5" s="58" t="s">
        <v>157</v>
      </c>
      <c r="BQ5" s="58" t="s">
        <v>231</v>
      </c>
      <c r="BR5" s="58" t="s">
        <v>231</v>
      </c>
      <c r="BS5" s="58" t="s">
        <v>231</v>
      </c>
      <c r="BT5" s="58" t="s">
        <v>161</v>
      </c>
      <c r="BU5" s="60" t="s">
        <v>167</v>
      </c>
      <c r="BV5" s="61"/>
      <c r="BW5" s="61">
        <v>0</v>
      </c>
      <c r="BX5" s="59"/>
      <c r="CB5" s="5"/>
      <c r="CC5" s="5"/>
      <c r="CD5" s="62">
        <v>0</v>
      </c>
      <c r="CE5" s="62">
        <v>0</v>
      </c>
      <c r="CF5" s="62" t="e">
        <v>#REF!</v>
      </c>
      <c r="CG5" s="75" cm="1">
        <f t="array" ref="CG5">SUMPRODUCT(--(LEN(TRIM(BL5:BT5))&gt;0))</f>
        <v>6</v>
      </c>
      <c r="CH5" s="53" t="str">
        <f t="shared" si="3"/>
        <v>n</v>
      </c>
      <c r="CI5" s="53" t="str">
        <f t="shared" si="4"/>
        <v>n</v>
      </c>
      <c r="CJ5" s="53" t="str">
        <f t="shared" si="5"/>
        <v>n</v>
      </c>
      <c r="CK5" s="53" t="str">
        <f t="shared" si="6"/>
        <v>y</v>
      </c>
      <c r="CL5" s="53" t="str">
        <f t="shared" si="7"/>
        <v>y</v>
      </c>
      <c r="CM5" s="53" t="str">
        <f t="shared" si="8"/>
        <v>n</v>
      </c>
      <c r="CN5" s="53" t="str">
        <f t="shared" si="9"/>
        <v>n</v>
      </c>
      <c r="CO5" s="53" t="str">
        <f t="shared" si="10"/>
        <v>n</v>
      </c>
      <c r="CP5" s="53" t="str">
        <f t="shared" si="11"/>
        <v>y</v>
      </c>
      <c r="CQ5" s="53" t="str">
        <f t="shared" si="12"/>
        <v>n</v>
      </c>
      <c r="CR5" s="53" t="str">
        <f t="shared" si="13"/>
        <v>n</v>
      </c>
      <c r="CS5" s="53" t="str">
        <f t="shared" si="14"/>
        <v>n</v>
      </c>
      <c r="CT5" s="38" t="str">
        <f t="shared" si="15"/>
        <v>"[AUS] South Australia"</v>
      </c>
      <c r="CU5" s="63" t="str">
        <f t="shared" si="16"/>
        <v>"rgn_Oceania"</v>
      </c>
      <c r="CV5" s="44" t="str">
        <f t="shared" si="17"/>
        <v>"https://upload.wikimedia.org/wikipedia/commons/thumb/f/fd/Flag_of_South_Australia.svg/640px-Flag_of_South_Australia.svg.png"</v>
      </c>
      <c r="CW5" s="44" t="str">
        <f t="shared" si="18"/>
        <v/>
      </c>
      <c r="CX5" s="44" t="str">
        <f t="shared" si="19"/>
        <v/>
      </c>
      <c r="CY5" s="44" t="str">
        <f t="shared" si="20"/>
        <v/>
      </c>
      <c r="CZ5" s="44" t="str">
        <f t="shared" si="21"/>
        <v>"5+Colo",</v>
      </c>
      <c r="DA5" s="44" t="str">
        <f t="shared" si="22"/>
        <v>"words2",</v>
      </c>
      <c r="DB5" s="44" t="str">
        <f t="shared" si="23"/>
        <v/>
      </c>
      <c r="DC5" s="44" t="str">
        <f t="shared" si="24"/>
        <v>"exact2",</v>
      </c>
      <c r="DD5" s="44" t="str">
        <f t="shared" si="25"/>
        <v>"lets14",</v>
      </c>
      <c r="DE5" s="44" t="str">
        <f t="shared" si="26"/>
        <v>"startS",</v>
      </c>
      <c r="DF5" s="44" t="str">
        <f t="shared" si="27"/>
        <v/>
      </c>
      <c r="DG5" s="44" t="str">
        <f t="shared" si="28"/>
        <v/>
      </c>
      <c r="DH5" s="44" t="str">
        <f t="shared" si="29"/>
        <v/>
      </c>
      <c r="DI5" s="44" t="str">
        <f t="shared" si="30"/>
        <v/>
      </c>
      <c r="DJ5" s="44" t="str">
        <f t="shared" si="31"/>
        <v/>
      </c>
      <c r="DK5" s="44" t="str">
        <f t="shared" si="32"/>
        <v/>
      </c>
      <c r="DL5" s="44" t="str">
        <f t="shared" si="33"/>
        <v/>
      </c>
      <c r="DM5" s="44" t="str" cm="1">
        <f t="array" ref="DM5">IF(CG5=3,CHAR(34) &amp; _xlfn.TEXTJOIN("", TRUE, RIGHT(HP5:HX5, 2)) &amp; CHAR(34) &amp; ",", "")</f>
        <v/>
      </c>
      <c r="DN5" s="44" t="str">
        <f t="shared" si="34"/>
        <v/>
      </c>
      <c r="DO5" s="44" t="str">
        <f t="shared" si="35"/>
        <v>"year19",</v>
      </c>
      <c r="DP5" s="5" t="str">
        <f t="shared" si="36"/>
        <v/>
      </c>
      <c r="DQ5" s="5" t="str">
        <f t="shared" si="37"/>
        <v/>
      </c>
      <c r="DR5" s="5" t="str">
        <f t="shared" si="38"/>
        <v/>
      </c>
      <c r="DS5" s="5" t="str">
        <f t="shared" si="39"/>
        <v/>
      </c>
      <c r="DT5" s="5" t="str">
        <f t="shared" si="40"/>
        <v/>
      </c>
      <c r="DU5" s="5" t="str">
        <f t="shared" si="41"/>
        <v/>
      </c>
      <c r="DV5" s="44" t="str">
        <f t="shared" si="42"/>
        <v>"smallc",</v>
      </c>
      <c r="DW5" s="44" t="str">
        <f t="shared" si="43"/>
        <v>"NoBand",</v>
      </c>
      <c r="DX5" s="44" t="str">
        <f t="shared" si="44"/>
        <v/>
      </c>
      <c r="DY5" s="44" t="str">
        <f t="shared" si="45"/>
        <v/>
      </c>
      <c r="DZ5" s="44" t="str">
        <f t="shared" si="46"/>
        <v/>
      </c>
      <c r="EA5" s="44" t="str">
        <f t="shared" si="47"/>
        <v/>
      </c>
      <c r="EB5" s="44" t="str">
        <f t="shared" si="48"/>
        <v>"Crosse",</v>
      </c>
      <c r="EC5" s="44" t="str">
        <f t="shared" si="49"/>
        <v/>
      </c>
      <c r="ED5" s="44" t="str">
        <f t="shared" si="50"/>
        <v/>
      </c>
      <c r="EE5" s="44" t="str">
        <f t="shared" si="51"/>
        <v>"Circle",</v>
      </c>
      <c r="EF5" s="44" t="str">
        <f t="shared" si="52"/>
        <v>"Animal",</v>
      </c>
      <c r="EG5" s="44" t="str">
        <f t="shared" si="53"/>
        <v/>
      </c>
      <c r="EH5" s="44" t="str">
        <f t="shared" si="54"/>
        <v/>
      </c>
      <c r="EI5" s="44" t="str">
        <f t="shared" si="55"/>
        <v/>
      </c>
      <c r="EJ5" s="44" t="str">
        <f t="shared" si="56"/>
        <v/>
      </c>
      <c r="EK5" s="44" t="str">
        <f t="shared" si="57"/>
        <v/>
      </c>
      <c r="EL5" s="44" t="str">
        <f t="shared" si="58"/>
        <v/>
      </c>
      <c r="EM5" s="44" t="str">
        <f t="shared" si="59"/>
        <v/>
      </c>
      <c r="EN5" s="44" t="str">
        <f t="shared" si="60"/>
        <v/>
      </c>
      <c r="EO5" s="44" t="str">
        <f t="shared" si="61"/>
        <v/>
      </c>
      <c r="EP5" s="44" t="str">
        <f t="shared" si="62"/>
        <v>"Canton",</v>
      </c>
      <c r="EQ5" s="44" t="str">
        <f t="shared" si="63"/>
        <v/>
      </c>
      <c r="ER5" s="44" t="str">
        <f t="shared" si="64"/>
        <v/>
      </c>
      <c r="ES5" s="44" t="str">
        <f t="shared" si="65"/>
        <v/>
      </c>
      <c r="ET5" s="44" t="str">
        <f t="shared" si="66"/>
        <v/>
      </c>
      <c r="EU5" s="44" t="str">
        <f t="shared" si="67"/>
        <v/>
      </c>
      <c r="EV5" s="44" t="str">
        <f t="shared" si="68"/>
        <v/>
      </c>
      <c r="EW5" s="44" t="str">
        <f t="shared" si="69"/>
        <v/>
      </c>
      <c r="EX5" s="44" t="str">
        <f t="shared" si="70"/>
        <v/>
      </c>
      <c r="EY5" s="44" t="str">
        <f t="shared" si="71"/>
        <v/>
      </c>
      <c r="EZ5" s="44" t="str">
        <f t="shared" si="72"/>
        <v/>
      </c>
      <c r="FA5" s="44" t="str">
        <f t="shared" si="73"/>
        <v/>
      </c>
      <c r="FB5" s="44" t="str">
        <f t="shared" si="74"/>
        <v/>
      </c>
      <c r="FC5" s="44" t="str">
        <f t="shared" si="75"/>
        <v/>
      </c>
      <c r="FD5" s="44" t="str">
        <f t="shared" si="76"/>
        <v/>
      </c>
      <c r="FE5" s="44" t="str">
        <f t="shared" si="77"/>
        <v/>
      </c>
      <c r="FF5" s="44" t="str">
        <f t="shared" si="78"/>
        <v/>
      </c>
      <c r="FG5" s="44" t="str">
        <f t="shared" si="79"/>
        <v/>
      </c>
      <c r="FH5" s="44" t="str">
        <f t="shared" si="80"/>
        <v/>
      </c>
      <c r="FI5" s="44" t="str">
        <f t="shared" si="81"/>
        <v/>
      </c>
      <c r="FJ5" s="44" t="str">
        <f t="shared" si="82"/>
        <v/>
      </c>
      <c r="FK5" s="44" t="str">
        <f t="shared" si="83"/>
        <v/>
      </c>
      <c r="FL5" s="44" t="str">
        <f t="shared" si="84"/>
        <v/>
      </c>
      <c r="FM5" s="44" t="str">
        <f t="shared" si="85"/>
        <v/>
      </c>
      <c r="FN5" s="44" t="str">
        <f t="shared" si="86"/>
        <v/>
      </c>
      <c r="FO5" s="44" t="str">
        <f t="shared" si="87"/>
        <v/>
      </c>
      <c r="FP5" s="44" t="str">
        <f t="shared" si="88"/>
        <v/>
      </c>
      <c r="FQ5" s="44" t="str">
        <f t="shared" si="89"/>
        <v/>
      </c>
      <c r="FR5" s="44" t="str">
        <f t="shared" si="90"/>
        <v/>
      </c>
      <c r="FS5" s="44" t="str">
        <f t="shared" si="91"/>
        <v/>
      </c>
      <c r="FT5" s="44" t="str">
        <f t="shared" si="92"/>
        <v>"myrBLU",</v>
      </c>
      <c r="FU5" s="44" t="str">
        <f t="shared" si="93"/>
        <v/>
      </c>
      <c r="FV5" s="44" t="str">
        <f t="shared" si="94"/>
        <v/>
      </c>
      <c r="FW5" s="44" t="str">
        <f t="shared" si="95"/>
        <v/>
      </c>
      <c r="FX5" s="44" t="str">
        <f t="shared" si="96"/>
        <v/>
      </c>
      <c r="FY5" s="44" t="str">
        <f t="shared" si="97"/>
        <v/>
      </c>
      <c r="FZ5" s="44" t="str">
        <f t="shared" si="98"/>
        <v/>
      </c>
      <c r="GA5" s="44" t="str">
        <f t="shared" si="99"/>
        <v/>
      </c>
      <c r="GB5" s="44" t="str">
        <f t="shared" si="100"/>
        <v/>
      </c>
      <c r="GC5" s="44" t="str">
        <f t="shared" si="101"/>
        <v/>
      </c>
      <c r="GD5" s="44" t="str">
        <f t="shared" si="102"/>
        <v/>
      </c>
      <c r="GE5" s="44" t="str">
        <f t="shared" si="103"/>
        <v/>
      </c>
      <c r="GF5" s="44" t="str">
        <f t="shared" si="145"/>
        <v/>
      </c>
      <c r="GG5" s="44" t="str">
        <f t="shared" si="104"/>
        <v>"unjack",</v>
      </c>
      <c r="GH5" s="44" t="str">
        <f t="shared" si="105"/>
        <v/>
      </c>
      <c r="GI5" s="44" t="str">
        <f t="shared" si="106"/>
        <v/>
      </c>
      <c r="GJ5" s="44" t="str">
        <f t="shared" si="107"/>
        <v>"NoStar",</v>
      </c>
      <c r="GK5" s="44" t="str">
        <f t="shared" si="108"/>
        <v/>
      </c>
      <c r="GL5" s="44" t="str">
        <f t="shared" si="109"/>
        <v/>
      </c>
      <c r="GM5" s="44" t="str">
        <f t="shared" si="110"/>
        <v/>
      </c>
      <c r="GN5" s="44" t="str">
        <f t="shared" si="111"/>
        <v/>
      </c>
      <c r="GP5" s="44" t="str">
        <f t="shared" si="112"/>
        <v>"State"</v>
      </c>
      <c r="GS5" s="44" t="str">
        <f t="shared" si="113"/>
        <v>["5+Colo","words2","exact2","lets14","startS","year19","smallc","NoBand","Crosse","Circle","Animal","Canton","myrBLU","unjack","NoStar"]</v>
      </c>
      <c r="GT5" s="44" t="str">
        <f t="shared" si="114"/>
        <v>"cl_BLA",</v>
      </c>
      <c r="GU5" s="44" t="str">
        <f t="shared" si="115"/>
        <v>"cl_BLU",</v>
      </c>
      <c r="GV5" s="44" t="str">
        <f t="shared" si="116"/>
        <v>"cl_GRE",</v>
      </c>
      <c r="GW5" s="44" t="str">
        <f t="shared" si="117"/>
        <v>"cl_RED",</v>
      </c>
      <c r="GX5" s="44" t="str">
        <f t="shared" si="118"/>
        <v>"cl_YEL",</v>
      </c>
      <c r="GY5" s="44" t="str">
        <f t="shared" si="119"/>
        <v/>
      </c>
      <c r="GZ5" s="44" t="str">
        <f t="shared" si="120"/>
        <v/>
      </c>
      <c r="HA5" s="44" t="str">
        <f t="shared" si="121"/>
        <v/>
      </c>
      <c r="HB5" s="44" t="str">
        <f t="shared" si="122"/>
        <v>"cl_WHI",</v>
      </c>
      <c r="HC5" s="44" t="str">
        <f t="shared" si="123"/>
        <v>["cl_BLA","cl_BLU","cl_GRE","cl_RED","cl_YEL","cl_WHI"]</v>
      </c>
      <c r="HE5" s="64"/>
      <c r="HF5" s="65" t="str">
        <f t="shared" si="124"/>
        <v>{couname:"[AUS] South Australia",year:"1904",region:"rgn_Oceania",Colors:["cl_BLA","cl_BLU","cl_GRE","cl_RED","cl_YEL","cl_WHI"],Items:["5+Colo","words2","exact2","lets14","startS","year19","smallc","NoBand","Crosse","Circle","Animal","Canton","myrBLU","unjack","NoStar"],Flag:"https://upload.wikimedia.org/wikipedia/commons/thumb/f/fd/Flag_of_South_Australia.svg/640px-Flag_of_South_Australia.svg.png",HDFlag:"https://upload.wikimedia.org/wikipedia/commons/thumb/f/fd/Flag_of_South_Australia.svg/2560px-Flag_of_South_Australia.svg.png",type:"State", describe: "\nThe flag contains the British Blue Ensign and the state badge. The badge contains a piping shrike. ", isnew:".", links: "https://en.wikipedia.org/wiki/Flag_of_South_Australia"},</v>
      </c>
      <c r="HG5" s="66" t="str">
        <f t="shared" si="125"/>
        <v>{couname:"[AUS] South Australia",year:"1904",region:"rgn_Oceania",Colors:["cl_BLA","cl_BLU","cl_GRE","cl_RED","cl_YEL","cl_WHI"],Items:["5+Colo","words2","exact2","lets14","startS","year19","smallc","NoBand","Crosse","Circle","Animal","Canton","myrBLU","unjack","NoStar"],Flag:"https://upload.wikimedia.org/wikipedia/commons/thumb/f/fd/Flag_of_South_Australia.svg/640px-Flag_of_South_Australia.svg.png",HDFlag:"https://upload.wikimedia.org/wikipedia/commons/thumb/f/fd/Flag_of_South_Australia.svg/2560px-Flag_of_South_Australia.svg.png",type:"State", describe: "\nThe flag contains the British Blue Ensign and the state badge. The badge contains a piping shrike. ", links: "https://en.wikipedia.org/wiki/Flag_of_South_Australia"},</v>
      </c>
      <c r="HH5" s="44" t="str">
        <f t="shared" si="126"/>
        <v>"\nThe flag contains the British Blue Ensign and the state badge. The badge contains a piping shrike. "</v>
      </c>
      <c r="HI5" s="44" t="str">
        <f t="shared" si="127"/>
        <v>"\nThe flag contains the British Blue Ensign and the state badge. The badge contains a piping shrike. "</v>
      </c>
      <c r="HJ5" s="44" t="str">
        <f t="shared" si="128"/>
        <v>"1904"</v>
      </c>
      <c r="HL5" s="44" t="str">
        <f t="shared" si="129"/>
        <v>"https://en.wikipedia.org/wiki/Flag_of_South_Australia"</v>
      </c>
      <c r="HM5" s="65" t="str">
        <f t="shared" si="130"/>
        <v>{"couname":"[AUS] South Australia","year":"1904","region":"rgn_Oceania","Colors":["cl_BLA","cl_BLU","cl_GRE","cl_RED","cl_YEL","cl_WHI"],"Items":["5+Colo","words2","exact2","lets14","startS","year19","smallc","NoBand","Crosse","Circle","Animal","Canton","myrBLU","unjack","NoStar"],"Flag":"https://upload.wikimedia.org/wikipedia/commons/thumb/f/fd/Flag_of_South_Australia.svg/640px-Flag_of_South_Australia.svg.png","HDFlag":"https://upload.wikimedia.org/wikipedia/commons/thumb/f/fd/Flag_of_South_Australia.svg/2560px-Flag_of_South_Australia.svg.png","type":"State", "describe": "\nThe flag contains the British Blue Ensign and the state badge. The badge contains a piping shrike. ", "isnew": ".", "links": "https://en.wikipedia.org/wiki/Flag_of_South_Australia"},</v>
      </c>
      <c r="HN5" s="67" t="str">
        <f t="shared" si="131"/>
        <v>{"couname":"[AUS] South Australia","year":"1904","region":"rgn_Oceania","Colors":["cl_BLA","cl_BLU","cl_GRE","cl_RED","cl_YEL","cl_WHI"],"Items":["5+Colo","words2","exact2","lets14","startS","year19","smallc","NoBand","Crosse","Circle","Animal","Canton","myrBLU","unjack","NoStar"],"Flag":"https://upload.wikimedia.org/wikipedia/commons/thumb/f/fd/Flag_of_South_Australia.svg/640px-Flag_of_South_Australia.svg.png","HDFlag":"https://upload.wikimedia.org/wikipedia/commons/thumb/f/fd/Flag_of_South_Australia.svg/2560px-Flag_of_South_Australia.svg.png","type":"State", "describe": "\nThe flag contains the British Blue Ensign and the state badge. The badge contains a piping shrike. ", "isnew": ".", "links": "https://en.wikipedia.org/wiki/Flag_of_South_Australia"},</v>
      </c>
      <c r="HO5" s="71">
        <v>45576</v>
      </c>
      <c r="HP5" s="44" t="str" cm="1">
        <f t="array" ref="HP5">IF(_xlfn.TEXTJOIN(", ", TRUE, IF(ISNUMBER(SEARCH("BLA", BL5:BT5)), COLUMN(BL5:BT5) - COLUMN(BL5) + 1, ""))&lt;&gt;"","BLA","")</f>
        <v>BLA</v>
      </c>
      <c r="HQ5" s="44" t="str" cm="1">
        <f t="array" ref="HQ5">IF(_xlfn.TEXTJOIN(", ", TRUE, IF(ISNUMBER(SEARCH("BLU", BL5:BT5)), COLUMN(BL5:BT5) - COLUMN(BL5) + 1, ""))&lt;&gt;"","BLU","")</f>
        <v>BLU</v>
      </c>
      <c r="HR5" s="44" t="str" cm="1">
        <f t="array" ref="HR5">IF(_xlfn.TEXTJOIN(", ", TRUE, IF(ISNUMBER(SEARCH("GRE", BL5:BT5)), COLUMN(BL5:BT5) - COLUMN(BL5) + 1, ""))&lt;&gt;"","GRE","")</f>
        <v>GRE</v>
      </c>
      <c r="HS5" s="44" t="str" cm="1">
        <f t="array" ref="HS5">IF(_xlfn.TEXTJOIN(", ", TRUE, IF(ISNUMBER(SEARCH("RED", BL5:BT5)), COLUMN(BL5:BT5) - COLUMN(BL5) + 1, ""))&lt;&gt;"","RED","")</f>
        <v>RED</v>
      </c>
      <c r="HT5" s="44" t="str" cm="1">
        <f t="array" ref="HT5">IF(_xlfn.TEXTJOIN(", ", TRUE, IF(ISNUMBER(SEARCH("YEL", BL5:BT5)), COLUMN(BL5:BT5) - COLUMN(BL5) + 1, ""))&lt;&gt;"","YEL","")</f>
        <v>YEL</v>
      </c>
      <c r="HU5" s="44" t="str" cm="1">
        <f t="array" ref="HU5">IF(_xlfn.TEXTJOIN(", ", TRUE, IF(ISNUMBER(SEARCH("ORA", BL5:BT5)), COLUMN(BL5:BT5) - COLUMN(BL5) + 1, ""))&lt;&gt;"","ORA","")</f>
        <v/>
      </c>
      <c r="HV5" s="44" t="str" cm="1">
        <f t="array" ref="HV5">IF(_xlfn.TEXTJOIN(", ", TRUE, IF(ISNUMBER(SEARCH("BRO", BL5:BT5)), COLUMN(BL5:BT5) - COLUMN(BL5) + 1, ""))&lt;&gt;"","BRO","")</f>
        <v/>
      </c>
      <c r="HW5" s="44" t="str" cm="1">
        <f t="array" ref="HW5">IF(_xlfn.TEXTJOIN(", ", TRUE, IF(ISNUMBER(SEARCH("PUR", BL5:BT5)), COLUMN(BL5:BT5) - COLUMN(BL5) + 1, ""))&lt;&gt;"","PUR","")</f>
        <v/>
      </c>
      <c r="HX5" s="44" t="str" cm="1">
        <f t="array" ref="HX5">IF(_xlfn.TEXTJOIN(", ", TRUE, IF(ISNUMBER(SEARCH("WHI", BL5:BT5)), COLUMN(BL5:BT5) - COLUMN(BL5) + 1, ""))&lt;&gt;"","WHI","")</f>
        <v>WHI</v>
      </c>
      <c r="HY5" s="72"/>
      <c r="HZ5" s="72"/>
      <c r="IA5" s="5" t="s">
        <v>166</v>
      </c>
      <c r="IB5" s="5"/>
      <c r="IC5" s="68"/>
      <c r="ID5" s="68"/>
      <c r="IE5" s="68"/>
      <c r="IF5" s="68"/>
      <c r="IG5" s="68"/>
      <c r="IH5" s="68"/>
      <c r="II5" s="68"/>
      <c r="IJ5" s="68"/>
      <c r="IK5" s="68"/>
      <c r="IL5" s="44">
        <f t="shared" si="132"/>
        <v>0</v>
      </c>
      <c r="IM5" s="42">
        <f t="shared" si="133"/>
        <v>-6</v>
      </c>
      <c r="IN5" s="69" t="str">
        <f t="shared" si="134"/>
        <v>http://mkweb.bcgsc.ca/color-summarizer/?url=https://upload.wikimedia.org/wikipedia/commons/thumb/f/fd/Flag_of_South_Australia.svg/640px-Flag_of_South_Australia.svg.png&amp;precision=low&amp;num_clusters=6&amp;text=1</v>
      </c>
      <c r="IO5" s="44" t="str">
        <f t="shared" si="135"/>
        <v>"black"</v>
      </c>
      <c r="IP5" s="44" t="str">
        <f t="shared" si="136"/>
        <v>"blue"</v>
      </c>
      <c r="IQ5" s="44" t="str">
        <f t="shared" si="137"/>
        <v>"green"</v>
      </c>
      <c r="IR5" s="44" t="str">
        <f t="shared" si="138"/>
        <v>"red"</v>
      </c>
      <c r="IS5" s="44" t="str">
        <f t="shared" si="139"/>
        <v>"yellow"</v>
      </c>
      <c r="IT5" s="44" t="str">
        <f t="shared" si="140"/>
        <v/>
      </c>
      <c r="IU5" s="44" t="str">
        <f t="shared" si="141"/>
        <v/>
      </c>
      <c r="IV5" s="44" t="str">
        <f t="shared" si="142"/>
        <v/>
      </c>
      <c r="IW5" s="44" t="str">
        <f t="shared" si="143"/>
        <v>"white"</v>
      </c>
      <c r="IX5" s="44" t="str">
        <f t="shared" si="144"/>
        <v>{"url":"http://mkweb.bcgsc.ca/color-summarizer/?url=https://upload.wikimedia.org/wikipedia/commons/thumb/f/fd/Flag_of_South_Australia.svg/640px-Flag_of_South_Australia.svg.png&amp;precision=low&amp;num_clusters=6&amp;text=1","name":"[AUS] South Australia"},</v>
      </c>
      <c r="IY5" s="44">
        <v>298</v>
      </c>
    </row>
    <row r="6" spans="1:259" s="44" customFormat="1" ht="38.4" customHeight="1" thickBot="1" x14ac:dyDescent="0.35">
      <c r="A6" s="80" t="s">
        <v>388</v>
      </c>
      <c r="B6" s="78" t="e" vm="7">
        <v>#VALUE!</v>
      </c>
      <c r="C6" s="39">
        <v>2</v>
      </c>
      <c r="D6" s="70" t="s">
        <v>389</v>
      </c>
      <c r="E6" s="40" t="s">
        <v>390</v>
      </c>
      <c r="F6" s="41" t="s">
        <v>165</v>
      </c>
      <c r="G6" s="42">
        <f t="shared" si="0"/>
        <v>1</v>
      </c>
      <c r="H6" s="43"/>
      <c r="I6" s="59" t="s">
        <v>391</v>
      </c>
      <c r="J6" s="44" t="str">
        <f>""</f>
        <v/>
      </c>
      <c r="K6" s="45"/>
      <c r="L6" s="46"/>
      <c r="M6" s="46"/>
      <c r="N6" s="47" t="s">
        <v>177</v>
      </c>
      <c r="O6" s="74">
        <v>1876</v>
      </c>
      <c r="P6" s="48" t="s">
        <v>392</v>
      </c>
      <c r="Q6" s="73">
        <v>1</v>
      </c>
      <c r="R6" s="49" t="s">
        <v>177</v>
      </c>
      <c r="S6" s="50">
        <v>0</v>
      </c>
      <c r="T6" s="51" t="s">
        <v>166</v>
      </c>
      <c r="U6" s="52" t="s">
        <v>167</v>
      </c>
      <c r="V6" s="52" t="s">
        <v>166</v>
      </c>
      <c r="W6" s="52" t="s">
        <v>166</v>
      </c>
      <c r="X6" s="52" t="s">
        <v>167</v>
      </c>
      <c r="Y6" s="52" t="s">
        <v>167</v>
      </c>
      <c r="Z6" s="52" t="s">
        <v>166</v>
      </c>
      <c r="AA6" s="52" t="s">
        <v>166</v>
      </c>
      <c r="AB6" s="52" t="s">
        <v>166</v>
      </c>
      <c r="AC6" s="52" t="s">
        <v>166</v>
      </c>
      <c r="AD6" s="52" t="s">
        <v>166</v>
      </c>
      <c r="AE6" s="52" t="s">
        <v>166</v>
      </c>
      <c r="AF6" s="53" t="s">
        <v>166</v>
      </c>
      <c r="AG6" s="53" t="s">
        <v>166</v>
      </c>
      <c r="AH6" s="53" t="s">
        <v>166</v>
      </c>
      <c r="AI6" s="53" t="s">
        <v>167</v>
      </c>
      <c r="AJ6" s="53" t="s">
        <v>166</v>
      </c>
      <c r="AK6" s="53" t="s">
        <v>166</v>
      </c>
      <c r="AL6" s="53" t="s">
        <v>166</v>
      </c>
      <c r="AM6" s="53" t="s">
        <v>166</v>
      </c>
      <c r="AN6" s="53" t="s">
        <v>166</v>
      </c>
      <c r="AO6" s="53" t="s">
        <v>166</v>
      </c>
      <c r="AP6" s="53" t="s">
        <v>166</v>
      </c>
      <c r="AQ6" s="53" t="s">
        <v>166</v>
      </c>
      <c r="AR6" s="53" t="s">
        <v>166</v>
      </c>
      <c r="AS6" s="53" t="s">
        <v>166</v>
      </c>
      <c r="AT6" s="54">
        <v>0</v>
      </c>
      <c r="AU6" s="53" t="s">
        <v>377</v>
      </c>
      <c r="AV6" s="53" t="str">
        <f t="shared" si="1"/>
        <v>[AUS]State[AUS] Tasmania</v>
      </c>
      <c r="AW6" s="53" t="str">
        <f t="shared" si="2"/>
        <v>2[AUS] Tasmania</v>
      </c>
      <c r="AX6" s="55"/>
      <c r="AY6" s="55"/>
      <c r="AZ6" s="56" t="s">
        <v>231</v>
      </c>
      <c r="BA6" s="56"/>
      <c r="BB6" s="56"/>
      <c r="BC6" s="57"/>
      <c r="BD6" s="58" t="s">
        <v>154</v>
      </c>
      <c r="BE6" s="59"/>
      <c r="BF6" s="58" t="s">
        <v>231</v>
      </c>
      <c r="BG6" s="58" t="s">
        <v>231</v>
      </c>
      <c r="BH6" s="58" t="s">
        <v>231</v>
      </c>
      <c r="BI6" s="58"/>
      <c r="BJ6" s="58"/>
      <c r="BK6" s="59"/>
      <c r="BL6" s="58" t="s">
        <v>153</v>
      </c>
      <c r="BM6" s="58" t="s">
        <v>154</v>
      </c>
      <c r="BN6" s="58" t="s">
        <v>231</v>
      </c>
      <c r="BO6" s="58" t="s">
        <v>156</v>
      </c>
      <c r="BP6" s="58" t="s">
        <v>231</v>
      </c>
      <c r="BQ6" s="58" t="s">
        <v>231</v>
      </c>
      <c r="BR6" s="58" t="s">
        <v>231</v>
      </c>
      <c r="BS6" s="58" t="s">
        <v>231</v>
      </c>
      <c r="BT6" s="58" t="s">
        <v>161</v>
      </c>
      <c r="BU6" s="60" t="s">
        <v>167</v>
      </c>
      <c r="BV6" s="61"/>
      <c r="BW6" s="61">
        <v>0</v>
      </c>
      <c r="BX6" s="59"/>
      <c r="CB6" s="5"/>
      <c r="CC6" s="5"/>
      <c r="CD6" s="62">
        <v>0</v>
      </c>
      <c r="CE6" s="62">
        <v>0</v>
      </c>
      <c r="CF6" s="62" t="e">
        <v>#REF!</v>
      </c>
      <c r="CG6" s="75" cm="1">
        <f t="array" ref="CG6">SUMPRODUCT(--(LEN(TRIM(BL6:BT6))&gt;0))</f>
        <v>4</v>
      </c>
      <c r="CH6" s="53" t="str">
        <f t="shared" si="3"/>
        <v>n</v>
      </c>
      <c r="CI6" s="53" t="str">
        <f t="shared" si="4"/>
        <v>n</v>
      </c>
      <c r="CJ6" s="53" t="str">
        <f t="shared" si="5"/>
        <v>y</v>
      </c>
      <c r="CK6" s="53" t="str">
        <f t="shared" si="6"/>
        <v>n</v>
      </c>
      <c r="CL6" s="53" t="str">
        <f t="shared" si="7"/>
        <v>y</v>
      </c>
      <c r="CM6" s="53" t="str">
        <f t="shared" si="8"/>
        <v>n</v>
      </c>
      <c r="CN6" s="53" t="str">
        <f t="shared" si="9"/>
        <v>n</v>
      </c>
      <c r="CO6" s="53" t="str">
        <f t="shared" si="10"/>
        <v>n</v>
      </c>
      <c r="CP6" s="53" t="str">
        <f t="shared" si="11"/>
        <v>y</v>
      </c>
      <c r="CQ6" s="53" t="str">
        <f t="shared" si="12"/>
        <v>n</v>
      </c>
      <c r="CR6" s="53" t="str">
        <f t="shared" si="13"/>
        <v>n</v>
      </c>
      <c r="CS6" s="53" t="str">
        <f t="shared" si="14"/>
        <v>n</v>
      </c>
      <c r="CT6" s="38" t="str">
        <f t="shared" si="15"/>
        <v>"[AUS] Tasmania"</v>
      </c>
      <c r="CU6" s="63" t="str">
        <f t="shared" si="16"/>
        <v>"rgn_Oceania"</v>
      </c>
      <c r="CV6" s="44" t="str">
        <f t="shared" si="17"/>
        <v>"https://upload.wikimedia.org/wikipedia/commons/thumb/4/46/Flag_of_Tasmania.svg/640px-Flag_of_Tasmania.svg.png"</v>
      </c>
      <c r="CW6" s="44" t="str">
        <f t="shared" si="18"/>
        <v/>
      </c>
      <c r="CX6" s="44" t="str">
        <f t="shared" si="19"/>
        <v/>
      </c>
      <c r="CY6" s="44" t="str">
        <f t="shared" si="20"/>
        <v>"4Color",</v>
      </c>
      <c r="CZ6" s="44" t="str">
        <f t="shared" si="21"/>
        <v/>
      </c>
      <c r="DA6" s="44" t="str">
        <f t="shared" si="22"/>
        <v/>
      </c>
      <c r="DB6" s="44" t="str">
        <f t="shared" si="23"/>
        <v/>
      </c>
      <c r="DC6" s="44" t="str">
        <f t="shared" si="24"/>
        <v/>
      </c>
      <c r="DD6" s="44" t="str">
        <f t="shared" si="25"/>
        <v>"lets08",</v>
      </c>
      <c r="DE6" s="44" t="str">
        <f t="shared" si="26"/>
        <v>"startT",</v>
      </c>
      <c r="DF6" s="44" t="str">
        <f t="shared" si="27"/>
        <v/>
      </c>
      <c r="DG6" s="44" t="str">
        <f t="shared" si="28"/>
        <v/>
      </c>
      <c r="DH6" s="44" t="str">
        <f t="shared" si="29"/>
        <v/>
      </c>
      <c r="DI6" s="44" t="str">
        <f t="shared" si="30"/>
        <v/>
      </c>
      <c r="DJ6" s="44" t="str">
        <f t="shared" si="31"/>
        <v/>
      </c>
      <c r="DK6" s="44" t="str">
        <f t="shared" si="32"/>
        <v/>
      </c>
      <c r="DL6" s="44" t="str">
        <f t="shared" si="33"/>
        <v/>
      </c>
      <c r="DM6" s="44" t="str" cm="1">
        <f t="array" ref="DM6">IF(CG6=3,CHAR(34) &amp; _xlfn.TEXTJOIN("", TRUE, RIGHT(HP6:HX6, 2)) &amp; CHAR(34) &amp; ",", "")</f>
        <v/>
      </c>
      <c r="DN6" s="44" t="str">
        <f t="shared" si="34"/>
        <v>"year18",</v>
      </c>
      <c r="DO6" s="44" t="str">
        <f t="shared" si="35"/>
        <v/>
      </c>
      <c r="DP6" s="5" t="str">
        <f t="shared" si="36"/>
        <v/>
      </c>
      <c r="DQ6" s="5" t="str">
        <f t="shared" si="37"/>
        <v/>
      </c>
      <c r="DR6" s="5" t="str">
        <f t="shared" si="38"/>
        <v/>
      </c>
      <c r="DS6" s="5" t="str">
        <f t="shared" si="39"/>
        <v/>
      </c>
      <c r="DT6" s="5" t="str">
        <f t="shared" si="40"/>
        <v/>
      </c>
      <c r="DU6" s="5" t="str">
        <f t="shared" si="41"/>
        <v/>
      </c>
      <c r="DV6" s="44" t="str">
        <f t="shared" si="42"/>
        <v>"smallc",</v>
      </c>
      <c r="DW6" s="44" t="str">
        <f t="shared" si="43"/>
        <v>"NoBand",</v>
      </c>
      <c r="DX6" s="44" t="str">
        <f t="shared" si="44"/>
        <v/>
      </c>
      <c r="DY6" s="44" t="str">
        <f t="shared" si="45"/>
        <v/>
      </c>
      <c r="DZ6" s="44" t="str">
        <f t="shared" si="46"/>
        <v/>
      </c>
      <c r="EA6" s="44" t="str">
        <f t="shared" si="47"/>
        <v/>
      </c>
      <c r="EB6" s="44" t="str">
        <f t="shared" si="48"/>
        <v>"Crosse",</v>
      </c>
      <c r="EC6" s="44" t="str">
        <f t="shared" si="49"/>
        <v/>
      </c>
      <c r="ED6" s="44" t="str">
        <f t="shared" si="50"/>
        <v/>
      </c>
      <c r="EE6" s="44" t="str">
        <f t="shared" si="51"/>
        <v>"Circle",</v>
      </c>
      <c r="EF6" s="44" t="str">
        <f t="shared" si="52"/>
        <v>"Animal",</v>
      </c>
      <c r="EG6" s="44" t="str">
        <f t="shared" si="53"/>
        <v/>
      </c>
      <c r="EH6" s="44" t="str">
        <f t="shared" si="54"/>
        <v/>
      </c>
      <c r="EI6" s="44" t="str">
        <f t="shared" si="55"/>
        <v/>
      </c>
      <c r="EJ6" s="44" t="str">
        <f t="shared" si="56"/>
        <v/>
      </c>
      <c r="EK6" s="44" t="str">
        <f t="shared" si="57"/>
        <v/>
      </c>
      <c r="EL6" s="44" t="str">
        <f t="shared" si="58"/>
        <v/>
      </c>
      <c r="EM6" s="44" t="str">
        <f t="shared" si="59"/>
        <v/>
      </c>
      <c r="EN6" s="44" t="str">
        <f t="shared" si="60"/>
        <v/>
      </c>
      <c r="EO6" s="44" t="str">
        <f t="shared" si="61"/>
        <v/>
      </c>
      <c r="EP6" s="44" t="str">
        <f t="shared" si="62"/>
        <v>"Canton",</v>
      </c>
      <c r="EQ6" s="44" t="str">
        <f t="shared" si="63"/>
        <v/>
      </c>
      <c r="ER6" s="44" t="str">
        <f t="shared" si="64"/>
        <v/>
      </c>
      <c r="ES6" s="44" t="str">
        <f t="shared" si="65"/>
        <v/>
      </c>
      <c r="ET6" s="44" t="str">
        <f t="shared" si="66"/>
        <v/>
      </c>
      <c r="EU6" s="44" t="str">
        <f t="shared" si="67"/>
        <v/>
      </c>
      <c r="EV6" s="44" t="str">
        <f t="shared" si="68"/>
        <v/>
      </c>
      <c r="EW6" s="44" t="str">
        <f t="shared" si="69"/>
        <v/>
      </c>
      <c r="EX6" s="44" t="str">
        <f t="shared" si="70"/>
        <v/>
      </c>
      <c r="EY6" s="44" t="str">
        <f t="shared" si="71"/>
        <v/>
      </c>
      <c r="EZ6" s="44" t="str">
        <f t="shared" si="72"/>
        <v/>
      </c>
      <c r="FA6" s="44" t="str">
        <f t="shared" si="73"/>
        <v/>
      </c>
      <c r="FB6" s="44" t="str">
        <f t="shared" si="74"/>
        <v/>
      </c>
      <c r="FC6" s="44" t="str">
        <f t="shared" si="75"/>
        <v/>
      </c>
      <c r="FD6" s="44" t="str">
        <f t="shared" si="76"/>
        <v/>
      </c>
      <c r="FE6" s="44" t="str">
        <f t="shared" si="77"/>
        <v/>
      </c>
      <c r="FF6" s="44" t="str">
        <f t="shared" si="78"/>
        <v/>
      </c>
      <c r="FG6" s="44" t="str">
        <f t="shared" si="79"/>
        <v/>
      </c>
      <c r="FH6" s="44" t="str">
        <f t="shared" si="80"/>
        <v>"NO_GRE",</v>
      </c>
      <c r="FI6" s="44" t="str">
        <f t="shared" si="81"/>
        <v>"NO_YEL",</v>
      </c>
      <c r="FJ6" s="44" t="str">
        <f t="shared" si="82"/>
        <v/>
      </c>
      <c r="FK6" s="44" t="str">
        <f t="shared" si="83"/>
        <v/>
      </c>
      <c r="FL6" s="44" t="str">
        <f t="shared" si="84"/>
        <v/>
      </c>
      <c r="FM6" s="44" t="str">
        <f t="shared" si="85"/>
        <v/>
      </c>
      <c r="FN6" s="44" t="str">
        <f t="shared" si="86"/>
        <v/>
      </c>
      <c r="FO6" s="44" t="str">
        <f t="shared" si="87"/>
        <v/>
      </c>
      <c r="FP6" s="44" t="str">
        <f t="shared" si="88"/>
        <v/>
      </c>
      <c r="FQ6" s="44" t="str">
        <f t="shared" si="89"/>
        <v/>
      </c>
      <c r="FR6" s="44" t="str">
        <f t="shared" si="90"/>
        <v/>
      </c>
      <c r="FS6" s="44" t="str">
        <f t="shared" si="91"/>
        <v/>
      </c>
      <c r="FT6" s="44" t="str">
        <f t="shared" si="92"/>
        <v>"myrBLU",</v>
      </c>
      <c r="FU6" s="44" t="str">
        <f t="shared" si="93"/>
        <v/>
      </c>
      <c r="FV6" s="44" t="str">
        <f t="shared" si="94"/>
        <v/>
      </c>
      <c r="FW6" s="44" t="str">
        <f t="shared" si="95"/>
        <v/>
      </c>
      <c r="FX6" s="44" t="str">
        <f t="shared" si="96"/>
        <v/>
      </c>
      <c r="FY6" s="44" t="str">
        <f t="shared" si="97"/>
        <v/>
      </c>
      <c r="FZ6" s="44" t="str">
        <f t="shared" si="98"/>
        <v/>
      </c>
      <c r="GA6" s="44" t="str">
        <f t="shared" si="99"/>
        <v/>
      </c>
      <c r="GB6" s="44" t="str">
        <f t="shared" si="100"/>
        <v/>
      </c>
      <c r="GC6" s="44" t="str">
        <f t="shared" si="101"/>
        <v/>
      </c>
      <c r="GD6" s="44" t="str">
        <f t="shared" si="102"/>
        <v/>
      </c>
      <c r="GE6" s="44" t="str">
        <f t="shared" si="103"/>
        <v/>
      </c>
      <c r="GF6" s="44" t="str">
        <f t="shared" si="145"/>
        <v/>
      </c>
      <c r="GG6" s="44" t="str">
        <f t="shared" si="104"/>
        <v>"unjack",</v>
      </c>
      <c r="GH6" s="44" t="str">
        <f t="shared" si="105"/>
        <v/>
      </c>
      <c r="GI6" s="44" t="str">
        <f t="shared" si="106"/>
        <v/>
      </c>
      <c r="GJ6" s="44" t="str">
        <f t="shared" si="107"/>
        <v>"NoStar",</v>
      </c>
      <c r="GK6" s="44" t="str">
        <f t="shared" si="108"/>
        <v/>
      </c>
      <c r="GL6" s="44" t="str">
        <f t="shared" si="109"/>
        <v/>
      </c>
      <c r="GM6" s="44" t="str">
        <f t="shared" si="110"/>
        <v/>
      </c>
      <c r="GN6" s="44" t="str">
        <f t="shared" si="111"/>
        <v/>
      </c>
      <c r="GP6" s="44" t="str">
        <f t="shared" si="112"/>
        <v>"State"</v>
      </c>
      <c r="GS6" s="44" t="str">
        <f t="shared" si="113"/>
        <v>["4Color","lets08","startT","year18","smallc","NoBand","Crosse","Circle","Animal","Canton","NO_GRE","NO_YEL","myrBLU","unjack","NoStar"]</v>
      </c>
      <c r="GT6" s="44" t="str">
        <f t="shared" si="114"/>
        <v>"cl_BLA",</v>
      </c>
      <c r="GU6" s="44" t="str">
        <f t="shared" si="115"/>
        <v>"cl_BLU",</v>
      </c>
      <c r="GV6" s="44" t="str">
        <f t="shared" si="116"/>
        <v/>
      </c>
      <c r="GW6" s="44" t="str">
        <f t="shared" si="117"/>
        <v>"cl_RED",</v>
      </c>
      <c r="GX6" s="44" t="str">
        <f t="shared" si="118"/>
        <v/>
      </c>
      <c r="GY6" s="44" t="str">
        <f t="shared" si="119"/>
        <v/>
      </c>
      <c r="GZ6" s="44" t="str">
        <f t="shared" si="120"/>
        <v/>
      </c>
      <c r="HA6" s="44" t="str">
        <f t="shared" si="121"/>
        <v/>
      </c>
      <c r="HB6" s="44" t="str">
        <f t="shared" si="122"/>
        <v>"cl_WHI",</v>
      </c>
      <c r="HC6" s="44" t="str">
        <f t="shared" si="123"/>
        <v>["cl_BLA","cl_BLU","cl_RED","cl_WHI"]</v>
      </c>
      <c r="HE6" s="64"/>
      <c r="HF6" s="65" t="str">
        <f t="shared" si="124"/>
        <v>{couname:"[AUS] Tasmania",year:"1876",region:"rgn_Oceania",Colors:["cl_BLA","cl_BLU","cl_RED","cl_WHI"],Items:["4Color","lets08","startT","year18","smallc","NoBand","Crosse","Circle","Animal","Canton","NO_GRE","NO_YEL","myrBLU","unjack","NoStar"],Flag:"https://upload.wikimedia.org/wikipedia/commons/thumb/4/46/Flag_of_Tasmania.svg/640px-Flag_of_Tasmania.svg.png",HDFlag:"https://upload.wikimedia.org/wikipedia/commons/thumb/4/46/Flag_of_Tasmania.svg/2560px-Flag_of_Tasmania.svg.png",type:"State", describe: "\nThe flag has the Union Jack and the blue background like Australia. The badge contains a red lion. The red lion is assumed to be a reference to Great Britian", isnew:".", links: "https://en.wikipedia.org/wiki/Flag_of_Tasmania"},</v>
      </c>
      <c r="HG6" s="66" t="str">
        <f t="shared" si="125"/>
        <v>{couname:"[AUS] Tasmania",year:"1876",region:"rgn_Oceania",Colors:["cl_BLA","cl_BLU","cl_RED","cl_WHI"],Items:["4Color","lets08","startT","year18","smallc","NoBand","Crosse","Circle","Animal","Canton","NO_GRE","NO_YEL","myrBLU","unjack","NoStar"],Flag:"https://upload.wikimedia.org/wikipedia/commons/thumb/4/46/Flag_of_Tasmania.svg/640px-Flag_of_Tasmania.svg.png",HDFlag:"https://upload.wikimedia.org/wikipedia/commons/thumb/4/46/Flag_of_Tasmania.svg/2560px-Flag_of_Tasmania.svg.png",type:"State", describe: "\nThe flag has the Union Jack and the blue background like Australia. The badge contains a red lion. The red lion is assumed to be a reference to Great Britian", links: "https://en.wikipedia.org/wiki/Flag_of_Tasmania"},</v>
      </c>
      <c r="HH6" s="44" t="str">
        <f t="shared" si="126"/>
        <v>"\nThe flag has the Union Jack and the blue background like Australia. The badge contains a red lion. The red lion is assumed to be a reference to Great Britian"</v>
      </c>
      <c r="HI6" s="44" t="str">
        <f t="shared" si="127"/>
        <v>"\nThe flag has the Union Jack and the blue background like Australia. The badge contains a red lion. The red lion is assumed to be a reference to Great Britian"</v>
      </c>
      <c r="HJ6" s="44" t="str">
        <f t="shared" si="128"/>
        <v>"1876"</v>
      </c>
      <c r="HL6" s="44" t="str">
        <f t="shared" si="129"/>
        <v>"https://en.wikipedia.org/wiki/Flag_of_Tasmania"</v>
      </c>
      <c r="HM6" s="65" t="str">
        <f t="shared" si="130"/>
        <v>{"couname":"[AUS] Tasmania","year":"1876","region":"rgn_Oceania","Colors":["cl_BLA","cl_BLU","cl_RED","cl_WHI"],"Items":["4Color","lets08","startT","year18","smallc","NoBand","Crosse","Circle","Animal","Canton","NO_GRE","NO_YEL","myrBLU","unjack","NoStar"],"Flag":"https://upload.wikimedia.org/wikipedia/commons/thumb/4/46/Flag_of_Tasmania.svg/640px-Flag_of_Tasmania.svg.png","HDFlag":"https://upload.wikimedia.org/wikipedia/commons/thumb/4/46/Flag_of_Tasmania.svg/2560px-Flag_of_Tasmania.svg.png","type":"State", "describe": "\nThe flag has the Union Jack and the blue background like Australia. The badge contains a red lion. The red lion is assumed to be a reference to Great Britian", "isnew": ".", "links": "https://en.wikipedia.org/wiki/Flag_of_Tasmania"},</v>
      </c>
      <c r="HN6" s="67" t="str">
        <f t="shared" si="131"/>
        <v>{"couname":"[AUS] Tasmania","year":"1876","region":"rgn_Oceania","Colors":["cl_BLA","cl_BLU","cl_RED","cl_WHI"],"Items":["4Color","lets08","startT","year18","smallc","NoBand","Crosse","Circle","Animal","Canton","NO_GRE","NO_YEL","myrBLU","unjack","NoStar"],"Flag":"https://upload.wikimedia.org/wikipedia/commons/thumb/4/46/Flag_of_Tasmania.svg/640px-Flag_of_Tasmania.svg.png","HDFlag":"https://upload.wikimedia.org/wikipedia/commons/thumb/4/46/Flag_of_Tasmania.svg/2560px-Flag_of_Tasmania.svg.png","type":"State", "describe": "\nThe flag has the Union Jack and the blue background like Australia. The badge contains a red lion. The red lion is assumed to be a reference to Great Britian", "isnew": ".", "links": "https://en.wikipedia.org/wiki/Flag_of_Tasmania"},</v>
      </c>
      <c r="HO6" s="71">
        <v>45576</v>
      </c>
      <c r="HP6" s="44" t="str" cm="1">
        <f t="array" ref="HP6">IF(_xlfn.TEXTJOIN(", ", TRUE, IF(ISNUMBER(SEARCH("BLA", BL6:BT6)), COLUMN(BL6:BT6) - COLUMN(BL6) + 1, ""))&lt;&gt;"","BLA","")</f>
        <v>BLA</v>
      </c>
      <c r="HQ6" s="44" t="str" cm="1">
        <f t="array" ref="HQ6">IF(_xlfn.TEXTJOIN(", ", TRUE, IF(ISNUMBER(SEARCH("BLU", BL6:BT6)), COLUMN(BL6:BT6) - COLUMN(BL6) + 1, ""))&lt;&gt;"","BLU","")</f>
        <v>BLU</v>
      </c>
      <c r="HR6" s="44" t="str" cm="1">
        <f t="array" ref="HR6">IF(_xlfn.TEXTJOIN(", ", TRUE, IF(ISNUMBER(SEARCH("GRE", BL6:BT6)), COLUMN(BL6:BT6) - COLUMN(BL6) + 1, ""))&lt;&gt;"","GRE","")</f>
        <v/>
      </c>
      <c r="HS6" s="44" t="str" cm="1">
        <f t="array" ref="HS6">IF(_xlfn.TEXTJOIN(", ", TRUE, IF(ISNUMBER(SEARCH("RED", BL6:BT6)), COLUMN(BL6:BT6) - COLUMN(BL6) + 1, ""))&lt;&gt;"","RED","")</f>
        <v>RED</v>
      </c>
      <c r="HT6" s="44" t="str" cm="1">
        <f t="array" ref="HT6">IF(_xlfn.TEXTJOIN(", ", TRUE, IF(ISNUMBER(SEARCH("YEL", BL6:BT6)), COLUMN(BL6:BT6) - COLUMN(BL6) + 1, ""))&lt;&gt;"","YEL","")</f>
        <v/>
      </c>
      <c r="HU6" s="44" t="str" cm="1">
        <f t="array" ref="HU6">IF(_xlfn.TEXTJOIN(", ", TRUE, IF(ISNUMBER(SEARCH("ORA", BL6:BT6)), COLUMN(BL6:BT6) - COLUMN(BL6) + 1, ""))&lt;&gt;"","ORA","")</f>
        <v/>
      </c>
      <c r="HV6" s="44" t="str" cm="1">
        <f t="array" ref="HV6">IF(_xlfn.TEXTJOIN(", ", TRUE, IF(ISNUMBER(SEARCH("BRO", BL6:BT6)), COLUMN(BL6:BT6) - COLUMN(BL6) + 1, ""))&lt;&gt;"","BRO","")</f>
        <v/>
      </c>
      <c r="HW6" s="44" t="str" cm="1">
        <f t="array" ref="HW6">IF(_xlfn.TEXTJOIN(", ", TRUE, IF(ISNUMBER(SEARCH("PUR", BL6:BT6)), COLUMN(BL6:BT6) - COLUMN(BL6) + 1, ""))&lt;&gt;"","PUR","")</f>
        <v/>
      </c>
      <c r="HX6" s="44" t="str" cm="1">
        <f t="array" ref="HX6">IF(_xlfn.TEXTJOIN(", ", TRUE, IF(ISNUMBER(SEARCH("WHI", BL6:BT6)), COLUMN(BL6:BT6) - COLUMN(BL6) + 1, ""))&lt;&gt;"","WHI","")</f>
        <v>WHI</v>
      </c>
      <c r="HY6" s="72"/>
      <c r="HZ6" s="72"/>
      <c r="IA6" s="5" t="s">
        <v>166</v>
      </c>
      <c r="IB6" s="5"/>
      <c r="IC6" s="68"/>
      <c r="ID6" s="68"/>
      <c r="IE6" s="68"/>
      <c r="IF6" s="68"/>
      <c r="IG6" s="68"/>
      <c r="IH6" s="68"/>
      <c r="II6" s="68"/>
      <c r="IJ6" s="68"/>
      <c r="IK6" s="68"/>
      <c r="IL6" s="44">
        <f t="shared" si="132"/>
        <v>0</v>
      </c>
      <c r="IM6" s="42">
        <f t="shared" si="133"/>
        <v>-4</v>
      </c>
      <c r="IN6" s="69" t="str">
        <f t="shared" si="134"/>
        <v>http://mkweb.bcgsc.ca/color-summarizer/?url=https://upload.wikimedia.org/wikipedia/commons/thumb/4/46/Flag_of_Tasmania.svg/640px-Flag_of_Tasmania.svg.png&amp;precision=low&amp;num_clusters=4&amp;text=1</v>
      </c>
      <c r="IO6" s="44" t="str">
        <f t="shared" si="135"/>
        <v>"black"</v>
      </c>
      <c r="IP6" s="44" t="str">
        <f t="shared" si="136"/>
        <v>"blue"</v>
      </c>
      <c r="IQ6" s="44" t="str">
        <f t="shared" si="137"/>
        <v/>
      </c>
      <c r="IR6" s="44" t="str">
        <f t="shared" si="138"/>
        <v>"red"</v>
      </c>
      <c r="IS6" s="44" t="str">
        <f t="shared" si="139"/>
        <v/>
      </c>
      <c r="IT6" s="44" t="str">
        <f t="shared" si="140"/>
        <v/>
      </c>
      <c r="IU6" s="44" t="str">
        <f t="shared" si="141"/>
        <v/>
      </c>
      <c r="IV6" s="44" t="str">
        <f t="shared" si="142"/>
        <v/>
      </c>
      <c r="IW6" s="44" t="str">
        <f t="shared" si="143"/>
        <v>"white"</v>
      </c>
      <c r="IX6" s="44" t="str">
        <f t="shared" si="144"/>
        <v>{"url":"http://mkweb.bcgsc.ca/color-summarizer/?url=https://upload.wikimedia.org/wikipedia/commons/thumb/4/46/Flag_of_Tasmania.svg/640px-Flag_of_Tasmania.svg.png&amp;precision=low&amp;num_clusters=4&amp;text=1","name":"[AUS] Tasmania"},</v>
      </c>
      <c r="IY6" s="44">
        <v>299</v>
      </c>
    </row>
    <row r="7" spans="1:259" s="44" customFormat="1" ht="38.4" customHeight="1" thickBot="1" x14ac:dyDescent="0.35">
      <c r="A7" s="80" t="s">
        <v>393</v>
      </c>
      <c r="B7" s="78" t="e" vm="8">
        <v>#VALUE!</v>
      </c>
      <c r="C7" s="39">
        <v>2</v>
      </c>
      <c r="D7" s="70" t="s">
        <v>394</v>
      </c>
      <c r="E7" s="40" t="s">
        <v>395</v>
      </c>
      <c r="F7" s="41" t="s">
        <v>165</v>
      </c>
      <c r="G7" s="42">
        <f t="shared" si="0"/>
        <v>1</v>
      </c>
      <c r="H7" s="43"/>
      <c r="I7" s="59" t="s">
        <v>396</v>
      </c>
      <c r="J7" s="44" t="str">
        <f>""</f>
        <v/>
      </c>
      <c r="K7" s="45"/>
      <c r="L7" s="46"/>
      <c r="M7" s="46"/>
      <c r="N7" s="47" t="s">
        <v>177</v>
      </c>
      <c r="O7" s="74">
        <v>1870</v>
      </c>
      <c r="P7" s="48" t="s">
        <v>397</v>
      </c>
      <c r="Q7" s="73">
        <v>1</v>
      </c>
      <c r="R7" s="49" t="s">
        <v>177</v>
      </c>
      <c r="S7" s="50">
        <v>0</v>
      </c>
      <c r="T7" s="51" t="s">
        <v>166</v>
      </c>
      <c r="U7" s="52" t="s">
        <v>167</v>
      </c>
      <c r="V7" s="52" t="s">
        <v>166</v>
      </c>
      <c r="W7" s="52" t="s">
        <v>166</v>
      </c>
      <c r="X7" s="52" t="s">
        <v>166</v>
      </c>
      <c r="Y7" s="52" t="s">
        <v>166</v>
      </c>
      <c r="Z7" s="52" t="s">
        <v>167</v>
      </c>
      <c r="AA7" s="52" t="s">
        <v>166</v>
      </c>
      <c r="AB7" s="52" t="s">
        <v>166</v>
      </c>
      <c r="AC7" s="52" t="s">
        <v>166</v>
      </c>
      <c r="AD7" s="52" t="s">
        <v>166</v>
      </c>
      <c r="AE7" s="52" t="s">
        <v>166</v>
      </c>
      <c r="AF7" s="53" t="s">
        <v>166</v>
      </c>
      <c r="AG7" s="53" t="s">
        <v>166</v>
      </c>
      <c r="AH7" s="53" t="s">
        <v>166</v>
      </c>
      <c r="AI7" s="53" t="s">
        <v>167</v>
      </c>
      <c r="AJ7" s="53" t="s">
        <v>166</v>
      </c>
      <c r="AK7" s="53" t="s">
        <v>166</v>
      </c>
      <c r="AL7" s="53" t="s">
        <v>166</v>
      </c>
      <c r="AM7" s="53" t="s">
        <v>166</v>
      </c>
      <c r="AN7" s="53" t="s">
        <v>166</v>
      </c>
      <c r="AO7" s="53" t="s">
        <v>166</v>
      </c>
      <c r="AP7" s="53" t="s">
        <v>166</v>
      </c>
      <c r="AQ7" s="53" t="s">
        <v>167</v>
      </c>
      <c r="AR7" s="53" t="s">
        <v>166</v>
      </c>
      <c r="AS7" s="53" t="s">
        <v>166</v>
      </c>
      <c r="AT7" s="54">
        <v>5</v>
      </c>
      <c r="AU7" s="53" t="s">
        <v>377</v>
      </c>
      <c r="AV7" s="53" t="str">
        <f t="shared" si="1"/>
        <v>[AUS]State[AUS] Victoria</v>
      </c>
      <c r="AW7" s="53" t="str">
        <f t="shared" si="2"/>
        <v>2[AUS] Victoria</v>
      </c>
      <c r="AX7" s="55"/>
      <c r="AY7" s="55"/>
      <c r="AZ7" s="56" t="s">
        <v>161</v>
      </c>
      <c r="BA7" s="56"/>
      <c r="BB7" s="56"/>
      <c r="BC7" s="57"/>
      <c r="BD7" s="58" t="s">
        <v>154</v>
      </c>
      <c r="BE7" s="59"/>
      <c r="BF7" s="58" t="s">
        <v>231</v>
      </c>
      <c r="BG7" s="58" t="s">
        <v>231</v>
      </c>
      <c r="BH7" s="58" t="s">
        <v>231</v>
      </c>
      <c r="BI7" s="58"/>
      <c r="BJ7" s="58"/>
      <c r="BK7" s="59"/>
      <c r="BL7" s="58" t="s">
        <v>153</v>
      </c>
      <c r="BM7" s="58" t="s">
        <v>154</v>
      </c>
      <c r="BN7" s="58" t="s">
        <v>155</v>
      </c>
      <c r="BO7" s="58" t="s">
        <v>156</v>
      </c>
      <c r="BP7" s="58" t="s">
        <v>157</v>
      </c>
      <c r="BQ7" s="58" t="s">
        <v>231</v>
      </c>
      <c r="BR7" s="58" t="s">
        <v>231</v>
      </c>
      <c r="BS7" s="58" t="s">
        <v>231</v>
      </c>
      <c r="BT7" s="58" t="s">
        <v>161</v>
      </c>
      <c r="BU7" s="60" t="s">
        <v>167</v>
      </c>
      <c r="BV7" s="61"/>
      <c r="BW7" s="61">
        <v>0</v>
      </c>
      <c r="BX7" s="59"/>
      <c r="CB7" s="5"/>
      <c r="CC7" s="5"/>
      <c r="CD7" s="62">
        <v>1</v>
      </c>
      <c r="CE7" s="62">
        <v>0</v>
      </c>
      <c r="CF7" s="62" t="e">
        <v>#REF!</v>
      </c>
      <c r="CG7" s="75" cm="1">
        <f t="array" ref="CG7">SUMPRODUCT(--(LEN(TRIM(BL7:BT7))&gt;0))</f>
        <v>6</v>
      </c>
      <c r="CH7" s="53" t="str">
        <f t="shared" si="3"/>
        <v>n</v>
      </c>
      <c r="CI7" s="53" t="str">
        <f t="shared" si="4"/>
        <v>n</v>
      </c>
      <c r="CJ7" s="53" t="str">
        <f t="shared" si="5"/>
        <v>n</v>
      </c>
      <c r="CK7" s="53" t="str">
        <f t="shared" si="6"/>
        <v>y</v>
      </c>
      <c r="CL7" s="53" t="str">
        <f t="shared" si="7"/>
        <v>y</v>
      </c>
      <c r="CM7" s="53" t="str">
        <f t="shared" si="8"/>
        <v>n</v>
      </c>
      <c r="CN7" s="53" t="str">
        <f t="shared" si="9"/>
        <v>n</v>
      </c>
      <c r="CO7" s="53" t="str">
        <f t="shared" si="10"/>
        <v>n</v>
      </c>
      <c r="CP7" s="53" t="str">
        <f t="shared" si="11"/>
        <v>n</v>
      </c>
      <c r="CQ7" s="53" t="str">
        <f t="shared" si="12"/>
        <v>n</v>
      </c>
      <c r="CR7" s="53" t="str">
        <f t="shared" si="13"/>
        <v>n</v>
      </c>
      <c r="CS7" s="53" t="str">
        <f t="shared" si="14"/>
        <v>y</v>
      </c>
      <c r="CT7" s="38" t="str">
        <f t="shared" si="15"/>
        <v>"[AUS] Victoria"</v>
      </c>
      <c r="CU7" s="63" t="str">
        <f t="shared" si="16"/>
        <v>"rgn_Oceania"</v>
      </c>
      <c r="CV7" s="44" t="str">
        <f t="shared" si="17"/>
        <v>"https://upload.wikimedia.org/wikipedia/commons/thumb/0/08/Flag_of_Victoria_%28Australia%29.svg/640px-Flag_of_Victoria_%28Australia%29.svg.png"</v>
      </c>
      <c r="CW7" s="44" t="str">
        <f t="shared" si="18"/>
        <v/>
      </c>
      <c r="CX7" s="44" t="str">
        <f t="shared" si="19"/>
        <v/>
      </c>
      <c r="CY7" s="44" t="str">
        <f t="shared" si="20"/>
        <v/>
      </c>
      <c r="CZ7" s="44" t="str">
        <f t="shared" si="21"/>
        <v>"5+Colo",</v>
      </c>
      <c r="DA7" s="44" t="str">
        <f t="shared" si="22"/>
        <v/>
      </c>
      <c r="DB7" s="44" t="str">
        <f t="shared" si="23"/>
        <v/>
      </c>
      <c r="DC7" s="44" t="str">
        <f t="shared" si="24"/>
        <v/>
      </c>
      <c r="DD7" s="44" t="str">
        <f t="shared" si="25"/>
        <v>"lets08",</v>
      </c>
      <c r="DE7" s="44" t="str">
        <f t="shared" si="26"/>
        <v>"startV",</v>
      </c>
      <c r="DF7" s="44" t="str">
        <f t="shared" si="27"/>
        <v/>
      </c>
      <c r="DG7" s="44" t="str">
        <f t="shared" si="28"/>
        <v/>
      </c>
      <c r="DH7" s="44" t="str">
        <f t="shared" si="29"/>
        <v>"with_v",</v>
      </c>
      <c r="DI7" s="44" t="str">
        <f t="shared" si="30"/>
        <v/>
      </c>
      <c r="DJ7" s="44" t="str">
        <f t="shared" si="31"/>
        <v/>
      </c>
      <c r="DK7" s="44" t="str">
        <f t="shared" si="32"/>
        <v/>
      </c>
      <c r="DL7" s="44" t="str">
        <f t="shared" si="33"/>
        <v/>
      </c>
      <c r="DM7" s="44" t="str" cm="1">
        <f t="array" ref="DM7">IF(CG7=3,CHAR(34) &amp; _xlfn.TEXTJOIN("", TRUE, RIGHT(HP7:HX7, 2)) &amp; CHAR(34) &amp; ",", "")</f>
        <v/>
      </c>
      <c r="DN7" s="44" t="str">
        <f t="shared" si="34"/>
        <v>"year18",</v>
      </c>
      <c r="DO7" s="44" t="str">
        <f t="shared" si="35"/>
        <v/>
      </c>
      <c r="DP7" s="5" t="str">
        <f t="shared" si="36"/>
        <v/>
      </c>
      <c r="DQ7" s="5" t="str">
        <f t="shared" si="37"/>
        <v/>
      </c>
      <c r="DR7" s="5" t="str">
        <f t="shared" si="38"/>
        <v/>
      </c>
      <c r="DS7" s="5" t="str">
        <f t="shared" si="39"/>
        <v/>
      </c>
      <c r="DT7" s="5" t="str">
        <f t="shared" si="40"/>
        <v/>
      </c>
      <c r="DU7" s="5" t="str">
        <f t="shared" si="41"/>
        <v/>
      </c>
      <c r="DV7" s="44" t="str">
        <f t="shared" si="42"/>
        <v>"smallc",</v>
      </c>
      <c r="DW7" s="44" t="str">
        <f t="shared" si="43"/>
        <v>"NoBand",</v>
      </c>
      <c r="DX7" s="44" t="str">
        <f t="shared" si="44"/>
        <v/>
      </c>
      <c r="DY7" s="44" t="str">
        <f t="shared" si="45"/>
        <v/>
      </c>
      <c r="DZ7" s="44" t="str">
        <f t="shared" si="46"/>
        <v/>
      </c>
      <c r="EA7" s="44" t="str">
        <f t="shared" si="47"/>
        <v/>
      </c>
      <c r="EB7" s="44" t="str">
        <f t="shared" si="48"/>
        <v>"Crosse",</v>
      </c>
      <c r="EC7" s="44" t="str">
        <f t="shared" si="49"/>
        <v/>
      </c>
      <c r="ED7" s="44" t="str">
        <f t="shared" si="50"/>
        <v/>
      </c>
      <c r="EE7" s="44" t="str">
        <f t="shared" si="51"/>
        <v/>
      </c>
      <c r="EF7" s="44" t="str">
        <f t="shared" si="52"/>
        <v/>
      </c>
      <c r="EG7" s="44" t="str">
        <f t="shared" si="53"/>
        <v>"Bird",</v>
      </c>
      <c r="EH7" s="44" t="str">
        <f t="shared" si="54"/>
        <v/>
      </c>
      <c r="EI7" s="44" t="str">
        <f t="shared" si="55"/>
        <v/>
      </c>
      <c r="EJ7" s="44" t="str">
        <f t="shared" si="56"/>
        <v/>
      </c>
      <c r="EK7" s="44" t="str">
        <f t="shared" si="57"/>
        <v/>
      </c>
      <c r="EL7" s="44" t="str">
        <f t="shared" si="58"/>
        <v/>
      </c>
      <c r="EM7" s="44" t="str">
        <f t="shared" si="59"/>
        <v/>
      </c>
      <c r="EN7" s="44" t="str">
        <f t="shared" si="60"/>
        <v/>
      </c>
      <c r="EO7" s="44" t="str">
        <f t="shared" si="61"/>
        <v/>
      </c>
      <c r="EP7" s="44" t="str">
        <f t="shared" si="62"/>
        <v>"Canton",</v>
      </c>
      <c r="EQ7" s="44" t="str">
        <f t="shared" si="63"/>
        <v/>
      </c>
      <c r="ER7" s="44" t="str">
        <f t="shared" si="64"/>
        <v/>
      </c>
      <c r="ES7" s="44" t="str">
        <f t="shared" si="65"/>
        <v/>
      </c>
      <c r="ET7" s="44" t="str">
        <f t="shared" si="66"/>
        <v/>
      </c>
      <c r="EU7" s="44" t="str">
        <f t="shared" si="67"/>
        <v/>
      </c>
      <c r="EV7" s="44" t="str">
        <f t="shared" si="68"/>
        <v/>
      </c>
      <c r="EW7" s="44" t="str">
        <f t="shared" si="69"/>
        <v/>
      </c>
      <c r="EX7" s="44" t="str">
        <f t="shared" si="70"/>
        <v>"Crowns",</v>
      </c>
      <c r="EY7" s="44" t="str">
        <f t="shared" si="71"/>
        <v/>
      </c>
      <c r="EZ7" s="44" t="str">
        <f t="shared" si="72"/>
        <v/>
      </c>
      <c r="FA7" s="44" t="str">
        <f t="shared" si="73"/>
        <v>"staWHI",</v>
      </c>
      <c r="FB7" s="44" t="str">
        <f t="shared" si="74"/>
        <v/>
      </c>
      <c r="FC7" s="44" t="str">
        <f t="shared" si="75"/>
        <v/>
      </c>
      <c r="FD7" s="44" t="str">
        <f t="shared" si="76"/>
        <v/>
      </c>
      <c r="FE7" s="44" t="str">
        <f t="shared" si="77"/>
        <v/>
      </c>
      <c r="FF7" s="44" t="str">
        <f t="shared" si="78"/>
        <v/>
      </c>
      <c r="FG7" s="44" t="str">
        <f t="shared" si="79"/>
        <v/>
      </c>
      <c r="FH7" s="44" t="str">
        <f t="shared" si="80"/>
        <v/>
      </c>
      <c r="FI7" s="44" t="str">
        <f t="shared" si="81"/>
        <v/>
      </c>
      <c r="FJ7" s="44" t="str">
        <f t="shared" si="82"/>
        <v/>
      </c>
      <c r="FK7" s="44" t="str">
        <f t="shared" si="83"/>
        <v/>
      </c>
      <c r="FL7" s="44" t="str">
        <f t="shared" si="84"/>
        <v/>
      </c>
      <c r="FM7" s="44" t="str">
        <f t="shared" si="85"/>
        <v/>
      </c>
      <c r="FN7" s="44" t="str">
        <f t="shared" si="86"/>
        <v/>
      </c>
      <c r="FO7" s="44" t="str">
        <f t="shared" si="87"/>
        <v/>
      </c>
      <c r="FP7" s="44" t="str">
        <f t="shared" si="88"/>
        <v/>
      </c>
      <c r="FQ7" s="44" t="str">
        <f t="shared" si="89"/>
        <v/>
      </c>
      <c r="FR7" s="44" t="str">
        <f t="shared" si="90"/>
        <v/>
      </c>
      <c r="FS7" s="44" t="str">
        <f t="shared" si="91"/>
        <v/>
      </c>
      <c r="FT7" s="44" t="str">
        <f t="shared" si="92"/>
        <v>"myrBLU",</v>
      </c>
      <c r="FU7" s="44" t="str">
        <f t="shared" si="93"/>
        <v/>
      </c>
      <c r="FV7" s="44" t="str">
        <f t="shared" si="94"/>
        <v/>
      </c>
      <c r="FW7" s="44" t="str">
        <f t="shared" si="95"/>
        <v/>
      </c>
      <c r="FX7" s="44" t="str">
        <f t="shared" si="96"/>
        <v/>
      </c>
      <c r="FY7" s="44" t="str">
        <f t="shared" si="97"/>
        <v/>
      </c>
      <c r="FZ7" s="44" t="str">
        <f t="shared" si="98"/>
        <v/>
      </c>
      <c r="GA7" s="44" t="str">
        <f t="shared" si="99"/>
        <v/>
      </c>
      <c r="GB7" s="44" t="str">
        <f t="shared" si="100"/>
        <v/>
      </c>
      <c r="GC7" s="44" t="str">
        <f t="shared" si="101"/>
        <v/>
      </c>
      <c r="GD7" s="44" t="str">
        <f t="shared" si="102"/>
        <v/>
      </c>
      <c r="GE7" s="44" t="str">
        <f t="shared" si="103"/>
        <v/>
      </c>
      <c r="GF7" s="44" t="str">
        <f t="shared" si="145"/>
        <v/>
      </c>
      <c r="GG7" s="44" t="str">
        <f t="shared" si="104"/>
        <v>"unjack",</v>
      </c>
      <c r="GH7" s="44" t="str">
        <f t="shared" si="105"/>
        <v>"southc",</v>
      </c>
      <c r="GI7" s="44" t="str">
        <f t="shared" si="106"/>
        <v/>
      </c>
      <c r="GJ7" s="44" t="str">
        <f t="shared" si="107"/>
        <v/>
      </c>
      <c r="GK7" s="44" t="str">
        <f t="shared" si="108"/>
        <v>"HasSta",</v>
      </c>
      <c r="GL7" s="44" t="str">
        <f t="shared" si="109"/>
        <v/>
      </c>
      <c r="GM7" s="44" t="str">
        <f t="shared" si="110"/>
        <v/>
      </c>
      <c r="GN7" s="44" t="str">
        <f t="shared" si="111"/>
        <v>"3+Star",</v>
      </c>
      <c r="GP7" s="44" t="str">
        <f t="shared" si="112"/>
        <v>"State"</v>
      </c>
      <c r="GS7" s="44" t="str">
        <f t="shared" si="113"/>
        <v>["5+Colo","lets08","startV","with_v","year18","smallc","NoBand","Crosse","Bird","Canton","Crowns","staWHI","myrBLU","unjack","southc","HasSta","3+Star"]</v>
      </c>
      <c r="GT7" s="44" t="str">
        <f t="shared" si="114"/>
        <v>"cl_BLA",</v>
      </c>
      <c r="GU7" s="44" t="str">
        <f t="shared" si="115"/>
        <v>"cl_BLU",</v>
      </c>
      <c r="GV7" s="44" t="str">
        <f t="shared" si="116"/>
        <v>"cl_GRE",</v>
      </c>
      <c r="GW7" s="44" t="str">
        <f t="shared" si="117"/>
        <v>"cl_RED",</v>
      </c>
      <c r="GX7" s="44" t="str">
        <f t="shared" si="118"/>
        <v>"cl_YEL",</v>
      </c>
      <c r="GY7" s="44" t="str">
        <f t="shared" si="119"/>
        <v/>
      </c>
      <c r="GZ7" s="44" t="str">
        <f t="shared" si="120"/>
        <v/>
      </c>
      <c r="HA7" s="44" t="str">
        <f t="shared" si="121"/>
        <v/>
      </c>
      <c r="HB7" s="44" t="str">
        <f t="shared" si="122"/>
        <v>"cl_WHI",</v>
      </c>
      <c r="HC7" s="44" t="str">
        <f t="shared" si="123"/>
        <v>["cl_BLA","cl_BLU","cl_GRE","cl_RED","cl_YEL","cl_WHI"]</v>
      </c>
      <c r="HE7" s="64"/>
      <c r="HF7" s="65" t="str">
        <f t="shared" si="124"/>
        <v>{couname:"[AUS] Victoria",year:"1870",region:"rgn_Oceania",Colors:["cl_BLA","cl_BLU","cl_GRE","cl_RED","cl_YEL","cl_WHI"],Items:["5+Colo","lets08","startV","with_v","year18","smallc","NoBand","Crosse","Bird","Canton","Crowns","staWHI","myrBLU","unjack","southc","HasSta","3+Star"],Flag:"https://upload.wikimedia.org/wikipedia/commons/thumb/0/08/Flag_of_Victoria_%28Australia%29.svg/640px-Flag_of_Victoria_%28Australia%29.svg.png",HDFlag:"https://upload.wikimedia.org/wikipedia/commons/thumb/0/08/Flag_of_Victoria_%28Australia%29.svg/2560px-Flag_of_Victoria_%28Australia%29.svg.png",type:"State", describe: "\nThe flag contains the Union Jack and the blue background like Australia's flag. The flag contains a Southern cross and a St Edward's Crown. It is the only Australia state flag that doesn't have the badge on a disk.", isnew:".", links: "https://en.wikipedia.org/wiki/Flag_of_Victoria_(state)"},</v>
      </c>
      <c r="HG7" s="66" t="str">
        <f t="shared" si="125"/>
        <v>{couname:"[AUS] Victoria",year:"1870",region:"rgn_Oceania",Colors:["cl_BLA","cl_BLU","cl_GRE","cl_RED","cl_YEL","cl_WHI"],Items:["5+Colo","lets08","startV","with_v","year18","smallc","NoBand","Crosse","Bird","Canton","Crowns","staWHI","myrBLU","unjack","southc","HasSta","3+Star"],Flag:"https://upload.wikimedia.org/wikipedia/commons/thumb/0/08/Flag_of_Victoria_%28Australia%29.svg/640px-Flag_of_Victoria_%28Australia%29.svg.png",HDFlag:"https://upload.wikimedia.org/wikipedia/commons/thumb/0/08/Flag_of_Victoria_%28Australia%29.svg/2560px-Flag_of_Victoria_%28Australia%29.svg.png",type:"State", describe: "\nThe flag contains the Union Jack and the blue background like Australia's flag. The flag contains a Southern cross and a St Edward's Crown. It is the only Australia state flag that doesn't have the badge on a disk.", links: "https://en.wikipedia.org/wiki/Flag_of_Victoria_(state)"},</v>
      </c>
      <c r="HH7" s="44" t="str">
        <f t="shared" si="126"/>
        <v>"\nThe flag contains the Union Jack and the blue background like Australia's flag. The flag contains a Southern cross and a St Edward's Crown. It is the only Australia state flag that doesn't have the badge on a disk."</v>
      </c>
      <c r="HI7" s="44" t="str">
        <f t="shared" si="127"/>
        <v>"\nThe flag contains the Union Jack and the blue background like Australia's flag. The flag contains a Southern cross and a St Edward's Crown. It is the only Australia state flag that doesn't have the badge on a disk."</v>
      </c>
      <c r="HJ7" s="44" t="str">
        <f t="shared" si="128"/>
        <v>"1870"</v>
      </c>
      <c r="HL7" s="44" t="str">
        <f t="shared" si="129"/>
        <v>"https://en.wikipedia.org/wiki/Flag_of_Victoria_(state)"</v>
      </c>
      <c r="HM7" s="65" t="str">
        <f t="shared" si="130"/>
        <v>{"couname":"[AUS] Victoria","year":"1870","region":"rgn_Oceania","Colors":["cl_BLA","cl_BLU","cl_GRE","cl_RED","cl_YEL","cl_WHI"],"Items":["5+Colo","lets08","startV","with_v","year18","smallc","NoBand","Crosse","Bird","Canton","Crowns","staWHI","myrBLU","unjack","southc","HasSta","3+Star"],"Flag":"https://upload.wikimedia.org/wikipedia/commons/thumb/0/08/Flag_of_Victoria_%28Australia%29.svg/640px-Flag_of_Victoria_%28Australia%29.svg.png","HDFlag":"https://upload.wikimedia.org/wikipedia/commons/thumb/0/08/Flag_of_Victoria_%28Australia%29.svg/2560px-Flag_of_Victoria_%28Australia%29.svg.png","type":"State", "describe": "\nThe flag contains the Union Jack and the blue background like Australia's flag. The flag contains a Southern cross and a St Edward's Crown. It is the only Australia state flag that doesn't have the badge on a disk.", "isnew": ".", "links": "https://en.wikipedia.org/wiki/Flag_of_Victoria_(state)"},</v>
      </c>
      <c r="HN7" s="67" t="str">
        <f t="shared" si="131"/>
        <v>{"couname":"[AUS] Victoria","year":"1870","region":"rgn_Oceania","Colors":["cl_BLA","cl_BLU","cl_GRE","cl_RED","cl_YEL","cl_WHI"],"Items":["5+Colo","lets08","startV","with_v","year18","smallc","NoBand","Crosse","Bird","Canton","Crowns","staWHI","myrBLU","unjack","southc","HasSta","3+Star"],"Flag":"https://upload.wikimedia.org/wikipedia/commons/thumb/0/08/Flag_of_Victoria_%28Australia%29.svg/640px-Flag_of_Victoria_%28Australia%29.svg.png","HDFlag":"https://upload.wikimedia.org/wikipedia/commons/thumb/0/08/Flag_of_Victoria_%28Australia%29.svg/2560px-Flag_of_Victoria_%28Australia%29.svg.png","type":"State", "describe": "\nThe flag contains the Union Jack and the blue background like Australia's flag. The flag contains a Southern cross and a St Edward's Crown. It is the only Australia state flag that doesn't have the badge on a disk.", "isnew": ".", "links": "https://en.wikipedia.org/wiki/Flag_of_Victoria_(state)"},</v>
      </c>
      <c r="HO7" s="71">
        <v>45576</v>
      </c>
      <c r="HP7" s="44" t="str" cm="1">
        <f t="array" ref="HP7">IF(_xlfn.TEXTJOIN(", ", TRUE, IF(ISNUMBER(SEARCH("BLA", BL7:BT7)), COLUMN(BL7:BT7) - COLUMN(BL7) + 1, ""))&lt;&gt;"","BLA","")</f>
        <v>BLA</v>
      </c>
      <c r="HQ7" s="44" t="str" cm="1">
        <f t="array" ref="HQ7">IF(_xlfn.TEXTJOIN(", ", TRUE, IF(ISNUMBER(SEARCH("BLU", BL7:BT7)), COLUMN(BL7:BT7) - COLUMN(BL7) + 1, ""))&lt;&gt;"","BLU","")</f>
        <v>BLU</v>
      </c>
      <c r="HR7" s="44" t="str" cm="1">
        <f t="array" ref="HR7">IF(_xlfn.TEXTJOIN(", ", TRUE, IF(ISNUMBER(SEARCH("GRE", BL7:BT7)), COLUMN(BL7:BT7) - COLUMN(BL7) + 1, ""))&lt;&gt;"","GRE","")</f>
        <v>GRE</v>
      </c>
      <c r="HS7" s="44" t="str" cm="1">
        <f t="array" ref="HS7">IF(_xlfn.TEXTJOIN(", ", TRUE, IF(ISNUMBER(SEARCH("RED", BL7:BT7)), COLUMN(BL7:BT7) - COLUMN(BL7) + 1, ""))&lt;&gt;"","RED","")</f>
        <v>RED</v>
      </c>
      <c r="HT7" s="44" t="str" cm="1">
        <f t="array" ref="HT7">IF(_xlfn.TEXTJOIN(", ", TRUE, IF(ISNUMBER(SEARCH("YEL", BL7:BT7)), COLUMN(BL7:BT7) - COLUMN(BL7) + 1, ""))&lt;&gt;"","YEL","")</f>
        <v>YEL</v>
      </c>
      <c r="HU7" s="44" t="str" cm="1">
        <f t="array" ref="HU7">IF(_xlfn.TEXTJOIN(", ", TRUE, IF(ISNUMBER(SEARCH("ORA", BL7:BT7)), COLUMN(BL7:BT7) - COLUMN(BL7) + 1, ""))&lt;&gt;"","ORA","")</f>
        <v/>
      </c>
      <c r="HV7" s="44" t="str" cm="1">
        <f t="array" ref="HV7">IF(_xlfn.TEXTJOIN(", ", TRUE, IF(ISNUMBER(SEARCH("BRO", BL7:BT7)), COLUMN(BL7:BT7) - COLUMN(BL7) + 1, ""))&lt;&gt;"","BRO","")</f>
        <v/>
      </c>
      <c r="HW7" s="44" t="str" cm="1">
        <f t="array" ref="HW7">IF(_xlfn.TEXTJOIN(", ", TRUE, IF(ISNUMBER(SEARCH("PUR", BL7:BT7)), COLUMN(BL7:BT7) - COLUMN(BL7) + 1, ""))&lt;&gt;"","PUR","")</f>
        <v/>
      </c>
      <c r="HX7" s="44" t="str" cm="1">
        <f t="array" ref="HX7">IF(_xlfn.TEXTJOIN(", ", TRUE, IF(ISNUMBER(SEARCH("WHI", BL7:BT7)), COLUMN(BL7:BT7) - COLUMN(BL7) + 1, ""))&lt;&gt;"","WHI","")</f>
        <v>WHI</v>
      </c>
      <c r="HY7" s="72"/>
      <c r="HZ7" s="72"/>
      <c r="IA7" s="5" t="s">
        <v>166</v>
      </c>
      <c r="IB7" s="5"/>
      <c r="IC7" s="68"/>
      <c r="ID7" s="68"/>
      <c r="IE7" s="68"/>
      <c r="IF7" s="68"/>
      <c r="IG7" s="68"/>
      <c r="IH7" s="68"/>
      <c r="II7" s="68"/>
      <c r="IJ7" s="68"/>
      <c r="IK7" s="68"/>
      <c r="IL7" s="44">
        <f t="shared" si="132"/>
        <v>0</v>
      </c>
      <c r="IM7" s="42">
        <f t="shared" si="133"/>
        <v>-6</v>
      </c>
      <c r="IN7" s="69" t="str">
        <f t="shared" si="134"/>
        <v>http://mkweb.bcgsc.ca/color-summarizer/?url=https://upload.wikimedia.org/wikipedia/commons/thumb/0/08/Flag_of_Victoria_%28Australia%29.svg/640px-Flag_of_Victoria_%28Australia%29.svg.png&amp;precision=low&amp;num_clusters=6&amp;text=1</v>
      </c>
      <c r="IO7" s="44" t="str">
        <f t="shared" si="135"/>
        <v>"black"</v>
      </c>
      <c r="IP7" s="44" t="str">
        <f t="shared" si="136"/>
        <v>"blue"</v>
      </c>
      <c r="IQ7" s="44" t="str">
        <f t="shared" si="137"/>
        <v>"green"</v>
      </c>
      <c r="IR7" s="44" t="str">
        <f t="shared" si="138"/>
        <v>"red"</v>
      </c>
      <c r="IS7" s="44" t="str">
        <f t="shared" si="139"/>
        <v>"yellow"</v>
      </c>
      <c r="IT7" s="44" t="str">
        <f t="shared" si="140"/>
        <v/>
      </c>
      <c r="IU7" s="44" t="str">
        <f t="shared" si="141"/>
        <v/>
      </c>
      <c r="IV7" s="44" t="str">
        <f t="shared" si="142"/>
        <v/>
      </c>
      <c r="IW7" s="44" t="str">
        <f t="shared" si="143"/>
        <v>"white"</v>
      </c>
      <c r="IX7" s="44" t="str">
        <f t="shared" si="144"/>
        <v>{"url":"http://mkweb.bcgsc.ca/color-summarizer/?url=https://upload.wikimedia.org/wikipedia/commons/thumb/0/08/Flag_of_Victoria_%28Australia%29.svg/640px-Flag_of_Victoria_%28Australia%29.svg.png&amp;precision=low&amp;num_clusters=6&amp;text=1","name":"[AUS] Victoria"},</v>
      </c>
      <c r="IY7" s="44">
        <v>300</v>
      </c>
    </row>
    <row r="8" spans="1:259" s="44" customFormat="1" ht="38.4" customHeight="1" thickBot="1" x14ac:dyDescent="0.35">
      <c r="A8" s="80" t="s">
        <v>398</v>
      </c>
      <c r="B8" s="78" t="e" vm="9">
        <v>#VALUE!</v>
      </c>
      <c r="C8" s="39">
        <v>2</v>
      </c>
      <c r="D8" s="70" t="s">
        <v>399</v>
      </c>
      <c r="E8" s="40" t="s">
        <v>400</v>
      </c>
      <c r="F8" s="41" t="s">
        <v>165</v>
      </c>
      <c r="G8" s="42">
        <f t="shared" si="0"/>
        <v>1</v>
      </c>
      <c r="H8" s="43"/>
      <c r="I8" s="59" t="s">
        <v>401</v>
      </c>
      <c r="J8" s="44" t="str">
        <f>""</f>
        <v/>
      </c>
      <c r="K8" s="45"/>
      <c r="L8" s="46"/>
      <c r="M8" s="46"/>
      <c r="N8" s="47" t="s">
        <v>177</v>
      </c>
      <c r="O8" s="74">
        <v>1953</v>
      </c>
      <c r="P8" s="48" t="s">
        <v>402</v>
      </c>
      <c r="Q8" s="73">
        <v>2</v>
      </c>
      <c r="R8" s="49" t="s">
        <v>177</v>
      </c>
      <c r="S8" s="50">
        <v>0</v>
      </c>
      <c r="T8" s="51" t="s">
        <v>166</v>
      </c>
      <c r="U8" s="52" t="s">
        <v>167</v>
      </c>
      <c r="V8" s="52" t="s">
        <v>166</v>
      </c>
      <c r="W8" s="52" t="s">
        <v>166</v>
      </c>
      <c r="X8" s="52" t="s">
        <v>167</v>
      </c>
      <c r="Y8" s="52" t="s">
        <v>167</v>
      </c>
      <c r="Z8" s="52" t="s">
        <v>166</v>
      </c>
      <c r="AA8" s="52" t="s">
        <v>166</v>
      </c>
      <c r="AB8" s="52" t="s">
        <v>166</v>
      </c>
      <c r="AC8" s="52" t="s">
        <v>166</v>
      </c>
      <c r="AD8" s="52" t="s">
        <v>166</v>
      </c>
      <c r="AE8" s="52" t="s">
        <v>166</v>
      </c>
      <c r="AF8" s="53" t="s">
        <v>166</v>
      </c>
      <c r="AG8" s="53" t="s">
        <v>166</v>
      </c>
      <c r="AH8" s="53" t="s">
        <v>166</v>
      </c>
      <c r="AI8" s="53" t="s">
        <v>167</v>
      </c>
      <c r="AJ8" s="53" t="s">
        <v>166</v>
      </c>
      <c r="AK8" s="53" t="s">
        <v>166</v>
      </c>
      <c r="AL8" s="53" t="s">
        <v>166</v>
      </c>
      <c r="AM8" s="53" t="s">
        <v>166</v>
      </c>
      <c r="AN8" s="53" t="s">
        <v>166</v>
      </c>
      <c r="AO8" s="53" t="s">
        <v>166</v>
      </c>
      <c r="AP8" s="53" t="s">
        <v>166</v>
      </c>
      <c r="AQ8" s="53" t="s">
        <v>166</v>
      </c>
      <c r="AR8" s="53" t="s">
        <v>166</v>
      </c>
      <c r="AS8" s="53" t="s">
        <v>166</v>
      </c>
      <c r="AT8" s="54">
        <v>0</v>
      </c>
      <c r="AU8" s="53" t="s">
        <v>377</v>
      </c>
      <c r="AV8" s="53" t="str">
        <f t="shared" si="1"/>
        <v>[AUS]State[AUS] Western Australia</v>
      </c>
      <c r="AW8" s="53" t="str">
        <f t="shared" si="2"/>
        <v>2[AUS] Western Australia</v>
      </c>
      <c r="AX8" s="55"/>
      <c r="AY8" s="55"/>
      <c r="AZ8" s="56" t="s">
        <v>231</v>
      </c>
      <c r="BA8" s="56"/>
      <c r="BB8" s="56"/>
      <c r="BC8" s="57"/>
      <c r="BD8" s="58" t="s">
        <v>154</v>
      </c>
      <c r="BE8" s="59"/>
      <c r="BF8" s="58" t="s">
        <v>231</v>
      </c>
      <c r="BG8" s="58" t="s">
        <v>231</v>
      </c>
      <c r="BH8" s="58" t="s">
        <v>231</v>
      </c>
      <c r="BI8" s="58"/>
      <c r="BJ8" s="58"/>
      <c r="BK8" s="59"/>
      <c r="BL8" s="58" t="s">
        <v>153</v>
      </c>
      <c r="BM8" s="58" t="s">
        <v>154</v>
      </c>
      <c r="BN8" s="58" t="s">
        <v>231</v>
      </c>
      <c r="BO8" s="58" t="s">
        <v>156</v>
      </c>
      <c r="BP8" s="58" t="s">
        <v>157</v>
      </c>
      <c r="BQ8" s="58" t="s">
        <v>231</v>
      </c>
      <c r="BR8" s="58" t="s">
        <v>231</v>
      </c>
      <c r="BS8" s="58" t="s">
        <v>231</v>
      </c>
      <c r="BT8" s="58" t="s">
        <v>161</v>
      </c>
      <c r="BU8" s="60" t="s">
        <v>167</v>
      </c>
      <c r="BV8" s="61"/>
      <c r="BW8" s="61">
        <v>0</v>
      </c>
      <c r="BX8" s="59"/>
      <c r="CB8" s="5"/>
      <c r="CC8" s="5"/>
      <c r="CD8" s="62">
        <v>0</v>
      </c>
      <c r="CE8" s="62">
        <v>0</v>
      </c>
      <c r="CF8" s="62" t="e">
        <v>#REF!</v>
      </c>
      <c r="CG8" s="75" cm="1">
        <f t="array" ref="CG8">SUMPRODUCT(--(LEN(TRIM(BL8:BT8))&gt;0))</f>
        <v>5</v>
      </c>
      <c r="CH8" s="53" t="str">
        <f t="shared" si="3"/>
        <v>n</v>
      </c>
      <c r="CI8" s="53" t="str">
        <f t="shared" si="4"/>
        <v>n</v>
      </c>
      <c r="CJ8" s="53" t="str">
        <f t="shared" si="5"/>
        <v>n</v>
      </c>
      <c r="CK8" s="53" t="str">
        <f t="shared" si="6"/>
        <v>y</v>
      </c>
      <c r="CL8" s="53" t="str">
        <f t="shared" si="7"/>
        <v>y</v>
      </c>
      <c r="CM8" s="53" t="str">
        <f t="shared" si="8"/>
        <v>n</v>
      </c>
      <c r="CN8" s="53" t="str">
        <f t="shared" si="9"/>
        <v>n</v>
      </c>
      <c r="CO8" s="53" t="str">
        <f t="shared" si="10"/>
        <v>n</v>
      </c>
      <c r="CP8" s="53" t="str">
        <f t="shared" si="11"/>
        <v>y</v>
      </c>
      <c r="CQ8" s="53" t="str">
        <f t="shared" si="12"/>
        <v>n</v>
      </c>
      <c r="CR8" s="53" t="str">
        <f t="shared" si="13"/>
        <v>n</v>
      </c>
      <c r="CS8" s="53" t="str">
        <f t="shared" si="14"/>
        <v>n</v>
      </c>
      <c r="CT8" s="38" t="str">
        <f t="shared" si="15"/>
        <v>"[AUS] Western Australia"</v>
      </c>
      <c r="CU8" s="63" t="str">
        <f t="shared" si="16"/>
        <v>"rgn_Oceania"</v>
      </c>
      <c r="CV8" s="44" t="str">
        <f t="shared" si="17"/>
        <v>"https://upload.wikimedia.org/wikipedia/commons/thumb/a/a5/Flag_of_Western_Australia.svg/640px-Flag_of_Western_Australia.svg.png"</v>
      </c>
      <c r="CW8" s="44" t="str">
        <f t="shared" si="18"/>
        <v/>
      </c>
      <c r="CX8" s="44" t="str">
        <f t="shared" si="19"/>
        <v/>
      </c>
      <c r="CY8" s="44" t="str">
        <f t="shared" si="20"/>
        <v/>
      </c>
      <c r="CZ8" s="44" t="str">
        <f t="shared" si="21"/>
        <v>"5+Colo",</v>
      </c>
      <c r="DA8" s="44" t="str">
        <f t="shared" si="22"/>
        <v>"words2",</v>
      </c>
      <c r="DB8" s="44" t="str">
        <f t="shared" si="23"/>
        <v/>
      </c>
      <c r="DC8" s="44" t="str">
        <f t="shared" si="24"/>
        <v>"exact2",</v>
      </c>
      <c r="DD8" s="44" t="str">
        <f t="shared" si="25"/>
        <v>"lets16",</v>
      </c>
      <c r="DE8" s="44" t="str">
        <f t="shared" si="26"/>
        <v>"startW",</v>
      </c>
      <c r="DF8" s="44" t="str">
        <f t="shared" si="27"/>
        <v/>
      </c>
      <c r="DG8" s="44" t="str">
        <f t="shared" si="28"/>
        <v/>
      </c>
      <c r="DH8" s="44" t="str">
        <f t="shared" si="29"/>
        <v/>
      </c>
      <c r="DI8" s="44" t="str">
        <f t="shared" si="30"/>
        <v>"with_w",</v>
      </c>
      <c r="DJ8" s="44" t="str">
        <f t="shared" si="31"/>
        <v/>
      </c>
      <c r="DK8" s="44" t="str">
        <f t="shared" si="32"/>
        <v/>
      </c>
      <c r="DL8" s="44" t="str">
        <f t="shared" si="33"/>
        <v/>
      </c>
      <c r="DM8" s="44" t="str" cm="1">
        <f t="array" ref="DM8">IF(CG8=3,CHAR(34) &amp; _xlfn.TEXTJOIN("", TRUE, RIGHT(HP8:HX8, 2)) &amp; CHAR(34) &amp; ",", "")</f>
        <v/>
      </c>
      <c r="DN8" s="44" t="str">
        <f t="shared" si="34"/>
        <v/>
      </c>
      <c r="DO8" s="44" t="str">
        <f t="shared" si="35"/>
        <v>"year19",</v>
      </c>
      <c r="DP8" s="5" t="str">
        <f t="shared" si="36"/>
        <v/>
      </c>
      <c r="DQ8" s="5" t="str">
        <f t="shared" si="37"/>
        <v/>
      </c>
      <c r="DR8" s="5" t="str">
        <f t="shared" si="38"/>
        <v/>
      </c>
      <c r="DS8" s="5" t="str">
        <f t="shared" si="39"/>
        <v/>
      </c>
      <c r="DT8" s="5" t="str">
        <f t="shared" si="40"/>
        <v/>
      </c>
      <c r="DU8" s="5" t="str">
        <f t="shared" si="41"/>
        <v/>
      </c>
      <c r="DV8" s="44" t="str">
        <f t="shared" si="42"/>
        <v>"smallc",</v>
      </c>
      <c r="DW8" s="44" t="str">
        <f t="shared" si="43"/>
        <v>"NoBand",</v>
      </c>
      <c r="DX8" s="44" t="str">
        <f t="shared" si="44"/>
        <v/>
      </c>
      <c r="DY8" s="44" t="str">
        <f t="shared" si="45"/>
        <v/>
      </c>
      <c r="DZ8" s="44" t="str">
        <f t="shared" si="46"/>
        <v/>
      </c>
      <c r="EA8" s="44" t="str">
        <f t="shared" si="47"/>
        <v/>
      </c>
      <c r="EB8" s="44" t="str">
        <f t="shared" si="48"/>
        <v>"Crosse",</v>
      </c>
      <c r="EC8" s="44" t="str">
        <f t="shared" si="49"/>
        <v/>
      </c>
      <c r="ED8" s="44" t="str">
        <f t="shared" si="50"/>
        <v/>
      </c>
      <c r="EE8" s="44" t="str">
        <f t="shared" si="51"/>
        <v>"Circle",</v>
      </c>
      <c r="EF8" s="44" t="str">
        <f t="shared" si="52"/>
        <v>"Animal",</v>
      </c>
      <c r="EG8" s="44" t="str">
        <f t="shared" si="53"/>
        <v/>
      </c>
      <c r="EH8" s="44" t="str">
        <f t="shared" si="54"/>
        <v/>
      </c>
      <c r="EI8" s="44" t="str">
        <f t="shared" si="55"/>
        <v/>
      </c>
      <c r="EJ8" s="44" t="str">
        <f t="shared" si="56"/>
        <v/>
      </c>
      <c r="EK8" s="44" t="str">
        <f t="shared" si="57"/>
        <v/>
      </c>
      <c r="EL8" s="44" t="str">
        <f t="shared" si="58"/>
        <v/>
      </c>
      <c r="EM8" s="44" t="str">
        <f t="shared" si="59"/>
        <v/>
      </c>
      <c r="EN8" s="44" t="str">
        <f t="shared" si="60"/>
        <v/>
      </c>
      <c r="EO8" s="44" t="str">
        <f t="shared" si="61"/>
        <v/>
      </c>
      <c r="EP8" s="44" t="str">
        <f t="shared" si="62"/>
        <v>"Canton",</v>
      </c>
      <c r="EQ8" s="44" t="str">
        <f t="shared" si="63"/>
        <v/>
      </c>
      <c r="ER8" s="44" t="str">
        <f t="shared" si="64"/>
        <v/>
      </c>
      <c r="ES8" s="44" t="str">
        <f t="shared" si="65"/>
        <v/>
      </c>
      <c r="ET8" s="44" t="str">
        <f t="shared" si="66"/>
        <v/>
      </c>
      <c r="EU8" s="44" t="str">
        <f t="shared" si="67"/>
        <v/>
      </c>
      <c r="EV8" s="44" t="str">
        <f t="shared" si="68"/>
        <v/>
      </c>
      <c r="EW8" s="44" t="str">
        <f t="shared" si="69"/>
        <v/>
      </c>
      <c r="EX8" s="44" t="str">
        <f t="shared" si="70"/>
        <v/>
      </c>
      <c r="EY8" s="44" t="str">
        <f t="shared" si="71"/>
        <v/>
      </c>
      <c r="EZ8" s="44" t="str">
        <f t="shared" si="72"/>
        <v/>
      </c>
      <c r="FA8" s="44" t="str">
        <f t="shared" si="73"/>
        <v/>
      </c>
      <c r="FB8" s="44" t="str">
        <f t="shared" si="74"/>
        <v/>
      </c>
      <c r="FC8" s="44" t="str">
        <f t="shared" si="75"/>
        <v/>
      </c>
      <c r="FD8" s="44" t="str">
        <f t="shared" si="76"/>
        <v/>
      </c>
      <c r="FE8" s="44" t="str">
        <f t="shared" si="77"/>
        <v/>
      </c>
      <c r="FF8" s="44" t="str">
        <f t="shared" si="78"/>
        <v/>
      </c>
      <c r="FG8" s="44" t="str">
        <f t="shared" si="79"/>
        <v/>
      </c>
      <c r="FH8" s="44" t="str">
        <f t="shared" si="80"/>
        <v>"NO_GRE",</v>
      </c>
      <c r="FI8" s="44" t="str">
        <f t="shared" si="81"/>
        <v/>
      </c>
      <c r="FJ8" s="44" t="str">
        <f t="shared" si="82"/>
        <v/>
      </c>
      <c r="FK8" s="44" t="str">
        <f t="shared" si="83"/>
        <v/>
      </c>
      <c r="FL8" s="44" t="str">
        <f t="shared" si="84"/>
        <v/>
      </c>
      <c r="FM8" s="44" t="str">
        <f t="shared" si="85"/>
        <v/>
      </c>
      <c r="FN8" s="44" t="str">
        <f t="shared" si="86"/>
        <v/>
      </c>
      <c r="FO8" s="44" t="str">
        <f t="shared" si="87"/>
        <v/>
      </c>
      <c r="FP8" s="44" t="str">
        <f t="shared" si="88"/>
        <v/>
      </c>
      <c r="FQ8" s="44" t="str">
        <f t="shared" si="89"/>
        <v/>
      </c>
      <c r="FR8" s="44" t="str">
        <f t="shared" si="90"/>
        <v/>
      </c>
      <c r="FS8" s="44" t="str">
        <f t="shared" si="91"/>
        <v/>
      </c>
      <c r="FT8" s="44" t="str">
        <f t="shared" si="92"/>
        <v>"myrBLU",</v>
      </c>
      <c r="FU8" s="44" t="str">
        <f t="shared" si="93"/>
        <v/>
      </c>
      <c r="FV8" s="44" t="str">
        <f t="shared" si="94"/>
        <v/>
      </c>
      <c r="FW8" s="44" t="str">
        <f t="shared" si="95"/>
        <v/>
      </c>
      <c r="FX8" s="44" t="str">
        <f t="shared" si="96"/>
        <v/>
      </c>
      <c r="FY8" s="44" t="str">
        <f t="shared" si="97"/>
        <v/>
      </c>
      <c r="FZ8" s="44" t="str">
        <f t="shared" si="98"/>
        <v/>
      </c>
      <c r="GA8" s="44" t="str">
        <f t="shared" si="99"/>
        <v/>
      </c>
      <c r="GB8" s="44" t="str">
        <f t="shared" si="100"/>
        <v/>
      </c>
      <c r="GC8" s="44" t="str">
        <f t="shared" si="101"/>
        <v/>
      </c>
      <c r="GD8" s="44" t="str">
        <f t="shared" si="102"/>
        <v/>
      </c>
      <c r="GE8" s="44" t="str">
        <f t="shared" si="103"/>
        <v/>
      </c>
      <c r="GF8" s="44" t="str">
        <f t="shared" si="145"/>
        <v/>
      </c>
      <c r="GG8" s="44" t="str">
        <f t="shared" si="104"/>
        <v>"unjack",</v>
      </c>
      <c r="GH8" s="44" t="str">
        <f t="shared" si="105"/>
        <v/>
      </c>
      <c r="GI8" s="44" t="str">
        <f t="shared" si="106"/>
        <v/>
      </c>
      <c r="GJ8" s="44" t="str">
        <f t="shared" si="107"/>
        <v>"NoStar",</v>
      </c>
      <c r="GK8" s="44" t="str">
        <f t="shared" si="108"/>
        <v/>
      </c>
      <c r="GL8" s="44" t="str">
        <f t="shared" si="109"/>
        <v/>
      </c>
      <c r="GM8" s="44" t="str">
        <f t="shared" si="110"/>
        <v/>
      </c>
      <c r="GN8" s="44" t="str">
        <f t="shared" si="111"/>
        <v/>
      </c>
      <c r="GP8" s="44" t="str">
        <f t="shared" si="112"/>
        <v>"State"</v>
      </c>
      <c r="GS8" s="44" t="str">
        <f t="shared" si="113"/>
        <v>["5+Colo","words2","exact2","lets16","startW","with_w","year19","smallc","NoBand","Crosse","Circle","Animal","Canton","NO_GRE","myrBLU","unjack","NoStar"]</v>
      </c>
      <c r="GT8" s="44" t="str">
        <f t="shared" si="114"/>
        <v>"cl_BLA",</v>
      </c>
      <c r="GU8" s="44" t="str">
        <f t="shared" si="115"/>
        <v>"cl_BLU",</v>
      </c>
      <c r="GV8" s="44" t="str">
        <f t="shared" si="116"/>
        <v/>
      </c>
      <c r="GW8" s="44" t="str">
        <f t="shared" si="117"/>
        <v>"cl_RED",</v>
      </c>
      <c r="GX8" s="44" t="str">
        <f t="shared" si="118"/>
        <v>"cl_YEL",</v>
      </c>
      <c r="GY8" s="44" t="str">
        <f t="shared" si="119"/>
        <v/>
      </c>
      <c r="GZ8" s="44" t="str">
        <f t="shared" si="120"/>
        <v/>
      </c>
      <c r="HA8" s="44" t="str">
        <f t="shared" si="121"/>
        <v/>
      </c>
      <c r="HB8" s="44" t="str">
        <f t="shared" si="122"/>
        <v>"cl_WHI",</v>
      </c>
      <c r="HC8" s="44" t="str">
        <f t="shared" si="123"/>
        <v>["cl_BLA","cl_BLU","cl_RED","cl_YEL","cl_WHI"]</v>
      </c>
      <c r="HE8" s="64"/>
      <c r="HF8" s="65" t="str">
        <f t="shared" si="124"/>
        <v>{couname:"[AUS] Western Australia",year:"1953",region:"rgn_Oceania",Colors:["cl_BLA","cl_BLU","cl_RED","cl_YEL","cl_WHI"],Items:["5+Colo","words2","exact2","lets16","startW","with_w","year19","smallc","NoBand","Crosse","Circle","Animal","Canton","NO_GRE","myrBLU","unjack","NoStar"],Flag:"https://upload.wikimedia.org/wikipedia/commons/thumb/a/a5/Flag_of_Western_Australia.svg/640px-Flag_of_Western_Australia.svg.png",HDFlag:"https://upload.wikimedia.org/wikipedia/commons/thumb/a/a5/Flag_of_Western_Australia.svg/2560px-Flag_of_Western_Australia.svg.png",type:"State", describe: "\nThe flag has the Union jack and the blue background like the Australian flag. The swan is the native animal of Western Australia.", isnew:".", links: "https://en.wikipedia.org/wiki/Flag_of_Western_Australia"},</v>
      </c>
      <c r="HG8" s="66" t="str">
        <f t="shared" si="125"/>
        <v>{couname:"[AUS] Western Australia",year:"1953",region:"rgn_Oceania",Colors:["cl_BLA","cl_BLU","cl_RED","cl_YEL","cl_WHI"],Items:["5+Colo","words2","exact2","lets16","startW","with_w","year19","smallc","NoBand","Crosse","Circle","Animal","Canton","NO_GRE","myrBLU","unjack","NoStar"],Flag:"https://upload.wikimedia.org/wikipedia/commons/thumb/a/a5/Flag_of_Western_Australia.svg/640px-Flag_of_Western_Australia.svg.png",HDFlag:"https://upload.wikimedia.org/wikipedia/commons/thumb/a/a5/Flag_of_Western_Australia.svg/2560px-Flag_of_Western_Australia.svg.png",type:"State", describe: "\nThe flag has the Union jack and the blue background like the Australian flag. The swan is the native animal of Western Australia.", links: "https://en.wikipedia.org/wiki/Flag_of_Western_Australia"},</v>
      </c>
      <c r="HH8" s="44" t="str">
        <f t="shared" si="126"/>
        <v>"\nThe flag has the Union jack and the blue background like the Australian flag. The swan is the native animal of Western Australia."</v>
      </c>
      <c r="HI8" s="44" t="str">
        <f t="shared" si="127"/>
        <v>"\nThe flag has the Union jack and the blue background like the Australian flag. The swan is the native animal of Western Australia."</v>
      </c>
      <c r="HJ8" s="44" t="str">
        <f t="shared" si="128"/>
        <v>"1953"</v>
      </c>
      <c r="HL8" s="44" t="str">
        <f t="shared" si="129"/>
        <v>"https://en.wikipedia.org/wiki/Flag_of_Western_Australia"</v>
      </c>
      <c r="HM8" s="65" t="str">
        <f t="shared" si="130"/>
        <v>{"couname":"[AUS] Western Australia","year":"1953","region":"rgn_Oceania","Colors":["cl_BLA","cl_BLU","cl_RED","cl_YEL","cl_WHI"],"Items":["5+Colo","words2","exact2","lets16","startW","with_w","year19","smallc","NoBand","Crosse","Circle","Animal","Canton","NO_GRE","myrBLU","unjack","NoStar"],"Flag":"https://upload.wikimedia.org/wikipedia/commons/thumb/a/a5/Flag_of_Western_Australia.svg/640px-Flag_of_Western_Australia.svg.png","HDFlag":"https://upload.wikimedia.org/wikipedia/commons/thumb/a/a5/Flag_of_Western_Australia.svg/2560px-Flag_of_Western_Australia.svg.png","type":"State", "describe": "\nThe flag has the Union jack and the blue background like the Australian flag. The swan is the native animal of Western Australia.", "isnew": ".", "links": "https://en.wikipedia.org/wiki/Flag_of_Western_Australia"},</v>
      </c>
      <c r="HN8" s="67" t="str">
        <f t="shared" si="131"/>
        <v>{"couname":"[AUS] Western Australia","year":"1953","region":"rgn_Oceania","Colors":["cl_BLA","cl_BLU","cl_RED","cl_YEL","cl_WHI"],"Items":["5+Colo","words2","exact2","lets16","startW","with_w","year19","smallc","NoBand","Crosse","Circle","Animal","Canton","NO_GRE","myrBLU","unjack","NoStar"],"Flag":"https://upload.wikimedia.org/wikipedia/commons/thumb/a/a5/Flag_of_Western_Australia.svg/640px-Flag_of_Western_Australia.svg.png","HDFlag":"https://upload.wikimedia.org/wikipedia/commons/thumb/a/a5/Flag_of_Western_Australia.svg/2560px-Flag_of_Western_Australia.svg.png","type":"State", "describe": "\nThe flag has the Union jack and the blue background like the Australian flag. The swan is the native animal of Western Australia.", "isnew": ".", "links": "https://en.wikipedia.org/wiki/Flag_of_Western_Australia"},</v>
      </c>
      <c r="HO8" s="71">
        <v>45576</v>
      </c>
      <c r="HP8" s="44" t="str" cm="1">
        <f t="array" ref="HP8">IF(_xlfn.TEXTJOIN(", ", TRUE, IF(ISNUMBER(SEARCH("BLA", BL8:BT8)), COLUMN(BL8:BT8) - COLUMN(BL8) + 1, ""))&lt;&gt;"","BLA","")</f>
        <v>BLA</v>
      </c>
      <c r="HQ8" s="44" t="str" cm="1">
        <f t="array" ref="HQ8">IF(_xlfn.TEXTJOIN(", ", TRUE, IF(ISNUMBER(SEARCH("BLU", BL8:BT8)), COLUMN(BL8:BT8) - COLUMN(BL8) + 1, ""))&lt;&gt;"","BLU","")</f>
        <v>BLU</v>
      </c>
      <c r="HR8" s="44" t="str" cm="1">
        <f t="array" ref="HR8">IF(_xlfn.TEXTJOIN(", ", TRUE, IF(ISNUMBER(SEARCH("GRE", BL8:BT8)), COLUMN(BL8:BT8) - COLUMN(BL8) + 1, ""))&lt;&gt;"","GRE","")</f>
        <v/>
      </c>
      <c r="HS8" s="44" t="str" cm="1">
        <f t="array" ref="HS8">IF(_xlfn.TEXTJOIN(", ", TRUE, IF(ISNUMBER(SEARCH("RED", BL8:BT8)), COLUMN(BL8:BT8) - COLUMN(BL8) + 1, ""))&lt;&gt;"","RED","")</f>
        <v>RED</v>
      </c>
      <c r="HT8" s="44" t="str" cm="1">
        <f t="array" ref="HT8">IF(_xlfn.TEXTJOIN(", ", TRUE, IF(ISNUMBER(SEARCH("YEL", BL8:BT8)), COLUMN(BL8:BT8) - COLUMN(BL8) + 1, ""))&lt;&gt;"","YEL","")</f>
        <v>YEL</v>
      </c>
      <c r="HU8" s="44" t="str" cm="1">
        <f t="array" ref="HU8">IF(_xlfn.TEXTJOIN(", ", TRUE, IF(ISNUMBER(SEARCH("ORA", BL8:BT8)), COLUMN(BL8:BT8) - COLUMN(BL8) + 1, ""))&lt;&gt;"","ORA","")</f>
        <v/>
      </c>
      <c r="HV8" s="44" t="str" cm="1">
        <f t="array" ref="HV8">IF(_xlfn.TEXTJOIN(", ", TRUE, IF(ISNUMBER(SEARCH("BRO", BL8:BT8)), COLUMN(BL8:BT8) - COLUMN(BL8) + 1, ""))&lt;&gt;"","BRO","")</f>
        <v/>
      </c>
      <c r="HW8" s="44" t="str" cm="1">
        <f t="array" ref="HW8">IF(_xlfn.TEXTJOIN(", ", TRUE, IF(ISNUMBER(SEARCH("PUR", BL8:BT8)), COLUMN(BL8:BT8) - COLUMN(BL8) + 1, ""))&lt;&gt;"","PUR","")</f>
        <v/>
      </c>
      <c r="HX8" s="44" t="str" cm="1">
        <f t="array" ref="HX8">IF(_xlfn.TEXTJOIN(", ", TRUE, IF(ISNUMBER(SEARCH("WHI", BL8:BT8)), COLUMN(BL8:BT8) - COLUMN(BL8) + 1, ""))&lt;&gt;"","WHI","")</f>
        <v>WHI</v>
      </c>
      <c r="HY8" s="72"/>
      <c r="HZ8" s="72"/>
      <c r="IA8" s="5" t="s">
        <v>166</v>
      </c>
      <c r="IB8" s="5"/>
      <c r="IC8" s="68"/>
      <c r="ID8" s="68"/>
      <c r="IE8" s="68"/>
      <c r="IF8" s="68"/>
      <c r="IG8" s="68"/>
      <c r="IH8" s="68"/>
      <c r="II8" s="68"/>
      <c r="IJ8" s="68"/>
      <c r="IK8" s="68"/>
      <c r="IL8" s="44">
        <f t="shared" si="132"/>
        <v>0</v>
      </c>
      <c r="IM8" s="42">
        <f t="shared" si="133"/>
        <v>-5</v>
      </c>
      <c r="IN8" s="69" t="str">
        <f t="shared" si="134"/>
        <v>http://mkweb.bcgsc.ca/color-summarizer/?url=https://upload.wikimedia.org/wikipedia/commons/thumb/a/a5/Flag_of_Western_Australia.svg/640px-Flag_of_Western_Australia.svg.png&amp;precision=low&amp;num_clusters=5&amp;text=1</v>
      </c>
      <c r="IO8" s="44" t="str">
        <f t="shared" si="135"/>
        <v>"black"</v>
      </c>
      <c r="IP8" s="44" t="str">
        <f t="shared" si="136"/>
        <v>"blue"</v>
      </c>
      <c r="IQ8" s="44" t="str">
        <f t="shared" si="137"/>
        <v/>
      </c>
      <c r="IR8" s="44" t="str">
        <f t="shared" si="138"/>
        <v>"red"</v>
      </c>
      <c r="IS8" s="44" t="str">
        <f t="shared" si="139"/>
        <v>"yellow"</v>
      </c>
      <c r="IT8" s="44" t="str">
        <f t="shared" si="140"/>
        <v/>
      </c>
      <c r="IU8" s="44" t="str">
        <f t="shared" si="141"/>
        <v/>
      </c>
      <c r="IV8" s="44" t="str">
        <f t="shared" si="142"/>
        <v/>
      </c>
      <c r="IW8" s="44" t="str">
        <f t="shared" si="143"/>
        <v>"white"</v>
      </c>
      <c r="IX8" s="44" t="str">
        <f t="shared" si="144"/>
        <v>{"url":"http://mkweb.bcgsc.ca/color-summarizer/?url=https://upload.wikimedia.org/wikipedia/commons/thumb/a/a5/Flag_of_Western_Australia.svg/640px-Flag_of_Western_Australia.svg.png&amp;precision=low&amp;num_clusters=5&amp;text=1","name":"[AUS] Western Australia"},</v>
      </c>
      <c r="IY8" s="44">
        <v>301</v>
      </c>
    </row>
    <row r="9" spans="1:259" s="44" customFormat="1" ht="38.4" customHeight="1" thickBot="1" x14ac:dyDescent="0.35">
      <c r="A9" s="87" t="s">
        <v>361</v>
      </c>
      <c r="B9" s="78" t="e" vm="10">
        <v>#VALUE!</v>
      </c>
      <c r="C9" s="39" t="s">
        <v>818</v>
      </c>
      <c r="D9" s="70" t="s">
        <v>362</v>
      </c>
      <c r="E9" s="40" t="s">
        <v>363</v>
      </c>
      <c r="F9" s="41" t="s">
        <v>165</v>
      </c>
      <c r="G9" s="42">
        <f t="shared" si="0"/>
        <v>1</v>
      </c>
      <c r="H9" s="43"/>
      <c r="I9" s="59" t="s">
        <v>364</v>
      </c>
      <c r="J9" s="44" t="str">
        <f>""</f>
        <v/>
      </c>
      <c r="K9" s="45"/>
      <c r="L9" s="46"/>
      <c r="M9" s="46"/>
      <c r="N9" s="47" t="s">
        <v>177</v>
      </c>
      <c r="O9" s="74">
        <v>1993</v>
      </c>
      <c r="P9" s="48" t="s">
        <v>365</v>
      </c>
      <c r="Q9" s="73">
        <v>3</v>
      </c>
      <c r="R9" s="49" t="s">
        <v>177</v>
      </c>
      <c r="S9" s="50">
        <v>2</v>
      </c>
      <c r="T9" s="51" t="s">
        <v>166</v>
      </c>
      <c r="U9" s="52" t="s">
        <v>167</v>
      </c>
      <c r="V9" s="52" t="s">
        <v>166</v>
      </c>
      <c r="W9" s="52" t="s">
        <v>167</v>
      </c>
      <c r="X9" s="52" t="s">
        <v>166</v>
      </c>
      <c r="Y9" s="52" t="s">
        <v>167</v>
      </c>
      <c r="Z9" s="52" t="s">
        <v>167</v>
      </c>
      <c r="AA9" s="52" t="s">
        <v>167</v>
      </c>
      <c r="AB9" s="52" t="s">
        <v>166</v>
      </c>
      <c r="AC9" s="52" t="s">
        <v>167</v>
      </c>
      <c r="AD9" s="52" t="s">
        <v>166</v>
      </c>
      <c r="AE9" s="52" t="s">
        <v>166</v>
      </c>
      <c r="AF9" s="53" t="s">
        <v>166</v>
      </c>
      <c r="AG9" s="53" t="s">
        <v>166</v>
      </c>
      <c r="AH9" s="53" t="s">
        <v>166</v>
      </c>
      <c r="AI9" s="53" t="s">
        <v>166</v>
      </c>
      <c r="AJ9" s="53" t="s">
        <v>166</v>
      </c>
      <c r="AK9" s="53" t="s">
        <v>166</v>
      </c>
      <c r="AL9" s="53" t="s">
        <v>166</v>
      </c>
      <c r="AM9" s="53" t="s">
        <v>166</v>
      </c>
      <c r="AN9" s="53" t="s">
        <v>166</v>
      </c>
      <c r="AO9" s="53" t="s">
        <v>167</v>
      </c>
      <c r="AP9" s="53" t="s">
        <v>166</v>
      </c>
      <c r="AQ9" s="53" t="s">
        <v>167</v>
      </c>
      <c r="AR9" s="53" t="s">
        <v>166</v>
      </c>
      <c r="AS9" s="53" t="s">
        <v>166</v>
      </c>
      <c r="AT9" s="54">
        <v>5</v>
      </c>
      <c r="AU9" s="53" t="s">
        <v>366</v>
      </c>
      <c r="AV9" s="53" t="str">
        <f t="shared" si="1"/>
        <v>[AUS]Internal Territory[AUS] Australian Capital Territory</v>
      </c>
      <c r="AW9" s="53" t="str">
        <f t="shared" si="2"/>
        <v>2b[AUS] Australian Capital Territory</v>
      </c>
      <c r="AX9" s="55"/>
      <c r="AY9" s="55"/>
      <c r="AZ9" s="56" t="s">
        <v>161</v>
      </c>
      <c r="BA9" s="56"/>
      <c r="BB9" s="56"/>
      <c r="BC9" s="57"/>
      <c r="BD9" s="58" t="s">
        <v>157</v>
      </c>
      <c r="BE9" s="59"/>
      <c r="BF9" s="58" t="s">
        <v>154</v>
      </c>
      <c r="BG9" s="58" t="s">
        <v>231</v>
      </c>
      <c r="BH9" s="58" t="s">
        <v>157</v>
      </c>
      <c r="BI9" s="58"/>
      <c r="BJ9" s="58"/>
      <c r="BK9" s="59"/>
      <c r="BL9" s="58" t="s">
        <v>231</v>
      </c>
      <c r="BM9" s="58" t="s">
        <v>154</v>
      </c>
      <c r="BN9" s="58" t="s">
        <v>231</v>
      </c>
      <c r="BO9" s="58" t="s">
        <v>231</v>
      </c>
      <c r="BP9" s="58" t="s">
        <v>157</v>
      </c>
      <c r="BQ9" s="58" t="s">
        <v>231</v>
      </c>
      <c r="BR9" s="58" t="s">
        <v>231</v>
      </c>
      <c r="BS9" s="58" t="s">
        <v>231</v>
      </c>
      <c r="BT9" s="58" t="s">
        <v>161</v>
      </c>
      <c r="BU9" s="60"/>
      <c r="BV9" s="61"/>
      <c r="BW9" s="61">
        <v>0</v>
      </c>
      <c r="BX9" s="59"/>
      <c r="CB9" s="5"/>
      <c r="CC9" s="5"/>
      <c r="CD9" s="62">
        <v>1</v>
      </c>
      <c r="CE9" s="62">
        <v>0</v>
      </c>
      <c r="CF9" s="62" t="e">
        <v>#REF!</v>
      </c>
      <c r="CG9" s="75" cm="1">
        <f t="array" ref="CG9">SUMPRODUCT(--(LEN(TRIM(BL9:BT9))&gt;0))</f>
        <v>3</v>
      </c>
      <c r="CH9" s="53" t="str">
        <f t="shared" si="3"/>
        <v>n</v>
      </c>
      <c r="CI9" s="53" t="str">
        <f t="shared" si="4"/>
        <v>y</v>
      </c>
      <c r="CJ9" s="53" t="str">
        <f t="shared" si="5"/>
        <v>n</v>
      </c>
      <c r="CK9" s="53" t="str">
        <f t="shared" si="6"/>
        <v>n</v>
      </c>
      <c r="CL9" s="53" t="str">
        <f t="shared" si="7"/>
        <v>n</v>
      </c>
      <c r="CM9" s="53" t="str">
        <f t="shared" si="8"/>
        <v>y</v>
      </c>
      <c r="CN9" s="53" t="str">
        <f t="shared" si="9"/>
        <v>n</v>
      </c>
      <c r="CO9" s="53" t="str">
        <f t="shared" si="10"/>
        <v>n</v>
      </c>
      <c r="CP9" s="53" t="str">
        <f t="shared" si="11"/>
        <v>n</v>
      </c>
      <c r="CQ9" s="53" t="str">
        <f t="shared" si="12"/>
        <v>n</v>
      </c>
      <c r="CR9" s="53" t="str">
        <f t="shared" si="13"/>
        <v>n</v>
      </c>
      <c r="CS9" s="53" t="str">
        <f t="shared" si="14"/>
        <v>y</v>
      </c>
      <c r="CT9" s="38" t="str">
        <f t="shared" si="15"/>
        <v>"[AUS] Australian Capital Territory"</v>
      </c>
      <c r="CU9" s="63" t="str">
        <f t="shared" si="16"/>
        <v>"rgn_Oceania"</v>
      </c>
      <c r="CV9" s="44" t="str">
        <f t="shared" si="17"/>
        <v>"https://upload.wikimedia.org/wikipedia/commons/thumb/8/8c/Flag_of_the_Australian_Capital_Territory.svg/320px-Flag_of_the_Australian_Capital_Territory.svg.png"</v>
      </c>
      <c r="CW9" s="44" t="str">
        <f t="shared" si="18"/>
        <v/>
      </c>
      <c r="CX9" s="44" t="str">
        <f t="shared" si="19"/>
        <v>"3Color",</v>
      </c>
      <c r="CY9" s="44" t="str">
        <f t="shared" si="20"/>
        <v/>
      </c>
      <c r="CZ9" s="44" t="str">
        <f t="shared" si="21"/>
        <v/>
      </c>
      <c r="DA9" s="44" t="str">
        <f t="shared" si="22"/>
        <v>"words2",</v>
      </c>
      <c r="DB9" s="44" t="str">
        <f t="shared" si="23"/>
        <v>"words3",</v>
      </c>
      <c r="DC9" s="44" t="str">
        <f t="shared" si="24"/>
        <v/>
      </c>
      <c r="DD9" s="44" t="str">
        <f t="shared" si="25"/>
        <v>"lets26",</v>
      </c>
      <c r="DE9" s="44" t="str">
        <f t="shared" si="26"/>
        <v>"startA",</v>
      </c>
      <c r="DF9" s="44" t="str">
        <f t="shared" si="27"/>
        <v/>
      </c>
      <c r="DG9" s="44" t="str">
        <f t="shared" si="28"/>
        <v/>
      </c>
      <c r="DH9" s="44" t="str">
        <f t="shared" si="29"/>
        <v/>
      </c>
      <c r="DI9" s="44" t="str">
        <f t="shared" si="30"/>
        <v/>
      </c>
      <c r="DJ9" s="44" t="str">
        <f t="shared" si="31"/>
        <v>"with_y",</v>
      </c>
      <c r="DK9" s="44" t="str">
        <f t="shared" si="32"/>
        <v/>
      </c>
      <c r="DL9" s="44" t="str">
        <f t="shared" si="33"/>
        <v/>
      </c>
      <c r="DM9" s="44" t="str" cm="1">
        <f t="array" ref="DM9">IF(CG9=3,CHAR(34) &amp; _xlfn.TEXTJOIN("", TRUE, RIGHT(HP9:HX9, 2)) &amp; CHAR(34) &amp; ",", "")</f>
        <v>"LUELHI",</v>
      </c>
      <c r="DN9" s="44" t="str">
        <f t="shared" si="34"/>
        <v/>
      </c>
      <c r="DO9" s="44" t="str">
        <f t="shared" si="35"/>
        <v>"year19",</v>
      </c>
      <c r="DP9" s="5" t="str">
        <f t="shared" si="36"/>
        <v/>
      </c>
      <c r="DQ9" s="5" t="str">
        <f t="shared" si="37"/>
        <v/>
      </c>
      <c r="DR9" s="5" t="str">
        <f t="shared" si="38"/>
        <v/>
      </c>
      <c r="DS9" s="5" t="str">
        <f t="shared" si="39"/>
        <v>"allver",</v>
      </c>
      <c r="DT9" s="5" t="str">
        <f t="shared" si="40"/>
        <v/>
      </c>
      <c r="DU9" s="5" t="str">
        <f t="shared" si="41"/>
        <v/>
      </c>
      <c r="DV9" s="44" t="str">
        <f t="shared" si="42"/>
        <v>"smallc",</v>
      </c>
      <c r="DW9" s="44" t="str">
        <f t="shared" si="43"/>
        <v/>
      </c>
      <c r="DX9" s="44" t="str">
        <f t="shared" si="44"/>
        <v>"2Bands",</v>
      </c>
      <c r="DY9" s="44" t="str">
        <f t="shared" si="45"/>
        <v/>
      </c>
      <c r="DZ9" s="44" t="str">
        <f t="shared" si="46"/>
        <v/>
      </c>
      <c r="EA9" s="44" t="str">
        <f t="shared" si="47"/>
        <v/>
      </c>
      <c r="EB9" s="44" t="str">
        <f t="shared" si="48"/>
        <v>"Crosse",</v>
      </c>
      <c r="EC9" s="44" t="str">
        <f t="shared" si="49"/>
        <v/>
      </c>
      <c r="ED9" s="44" t="str">
        <f t="shared" si="50"/>
        <v>"Vertic",</v>
      </c>
      <c r="EE9" s="44" t="str">
        <f t="shared" si="51"/>
        <v/>
      </c>
      <c r="EF9" s="44" t="str">
        <f t="shared" si="52"/>
        <v>"Animal",</v>
      </c>
      <c r="EG9" s="44" t="str">
        <f t="shared" si="53"/>
        <v>"Bird",</v>
      </c>
      <c r="EH9" s="44" t="str">
        <f t="shared" si="54"/>
        <v>"Plants",</v>
      </c>
      <c r="EI9" s="44" t="str">
        <f t="shared" si="55"/>
        <v/>
      </c>
      <c r="EJ9" s="44" t="str">
        <f t="shared" si="56"/>
        <v>"Weapon",</v>
      </c>
      <c r="EK9" s="44" t="str">
        <f t="shared" si="57"/>
        <v/>
      </c>
      <c r="EL9" s="44" t="str">
        <f t="shared" si="58"/>
        <v/>
      </c>
      <c r="EM9" s="44" t="str">
        <f t="shared" si="59"/>
        <v/>
      </c>
      <c r="EN9" s="44" t="str">
        <f t="shared" si="60"/>
        <v/>
      </c>
      <c r="EO9" s="44" t="str">
        <f t="shared" si="61"/>
        <v/>
      </c>
      <c r="EP9" s="44" t="str">
        <f t="shared" si="62"/>
        <v/>
      </c>
      <c r="EQ9" s="44" t="str">
        <f t="shared" si="63"/>
        <v/>
      </c>
      <c r="ER9" s="44" t="str">
        <f t="shared" si="64"/>
        <v/>
      </c>
      <c r="ES9" s="44" t="str">
        <f t="shared" si="65"/>
        <v/>
      </c>
      <c r="ET9" s="44" t="str">
        <f t="shared" si="66"/>
        <v/>
      </c>
      <c r="EU9" s="44" t="str">
        <f t="shared" si="67"/>
        <v/>
      </c>
      <c r="EV9" s="44" t="str">
        <f t="shared" si="68"/>
        <v>"Builds",</v>
      </c>
      <c r="EW9" s="44" t="str">
        <f t="shared" si="69"/>
        <v/>
      </c>
      <c r="EX9" s="44" t="str">
        <f t="shared" si="70"/>
        <v>"Crowns",</v>
      </c>
      <c r="EY9" s="44" t="str">
        <f t="shared" si="71"/>
        <v/>
      </c>
      <c r="EZ9" s="44" t="str">
        <f t="shared" si="72"/>
        <v/>
      </c>
      <c r="FA9" s="44" t="str">
        <f t="shared" si="73"/>
        <v>"staWHI",</v>
      </c>
      <c r="FB9" s="44" t="str">
        <f t="shared" si="74"/>
        <v/>
      </c>
      <c r="FC9" s="44" t="str">
        <f t="shared" si="75"/>
        <v/>
      </c>
      <c r="FD9" s="44" t="str">
        <f t="shared" si="76"/>
        <v/>
      </c>
      <c r="FE9" s="44" t="str">
        <f t="shared" si="77"/>
        <v/>
      </c>
      <c r="FF9" s="44" t="str">
        <f t="shared" si="78"/>
        <v/>
      </c>
      <c r="FG9" s="44" t="str">
        <f t="shared" si="79"/>
        <v>"NO_RED",</v>
      </c>
      <c r="FH9" s="44" t="str">
        <f t="shared" si="80"/>
        <v>"NO_GRE",</v>
      </c>
      <c r="FI9" s="44" t="str">
        <f t="shared" si="81"/>
        <v/>
      </c>
      <c r="FJ9" s="44" t="str">
        <f t="shared" si="82"/>
        <v>"NO_BLA",</v>
      </c>
      <c r="FK9" s="44" t="str">
        <f t="shared" si="83"/>
        <v/>
      </c>
      <c r="FL9" s="44" t="str">
        <f t="shared" si="84"/>
        <v/>
      </c>
      <c r="FM9" s="44" t="str">
        <f t="shared" si="85"/>
        <v/>
      </c>
      <c r="FN9" s="44" t="str">
        <f t="shared" si="86"/>
        <v/>
      </c>
      <c r="FO9" s="44" t="str">
        <f t="shared" si="87"/>
        <v/>
      </c>
      <c r="FP9" s="44" t="str">
        <f t="shared" si="88"/>
        <v/>
      </c>
      <c r="FQ9" s="44" t="str">
        <f t="shared" si="89"/>
        <v>"001BLU",</v>
      </c>
      <c r="FR9" s="44" t="str">
        <f t="shared" si="90"/>
        <v/>
      </c>
      <c r="FS9" s="44" t="str">
        <f t="shared" si="91"/>
        <v>"003YEL",</v>
      </c>
      <c r="FT9" s="44" t="str">
        <f t="shared" si="92"/>
        <v>"myrYEL",</v>
      </c>
      <c r="FU9" s="44" t="str">
        <f t="shared" si="93"/>
        <v/>
      </c>
      <c r="FV9" s="44" t="str">
        <f t="shared" si="94"/>
        <v/>
      </c>
      <c r="FW9" s="44" t="str">
        <f t="shared" si="95"/>
        <v/>
      </c>
      <c r="FX9" s="44" t="str">
        <f t="shared" si="96"/>
        <v/>
      </c>
      <c r="FY9" s="44" t="str">
        <f t="shared" si="97"/>
        <v/>
      </c>
      <c r="FZ9" s="44" t="str">
        <f t="shared" si="98"/>
        <v/>
      </c>
      <c r="GA9" s="44" t="str">
        <f t="shared" si="99"/>
        <v/>
      </c>
      <c r="GB9" s="44" t="str">
        <f t="shared" si="100"/>
        <v/>
      </c>
      <c r="GC9" s="44" t="str">
        <f t="shared" si="101"/>
        <v/>
      </c>
      <c r="GD9" s="44" t="str">
        <f t="shared" si="102"/>
        <v/>
      </c>
      <c r="GE9" s="44" t="str">
        <f t="shared" si="103"/>
        <v/>
      </c>
      <c r="GF9" s="44" t="str">
        <f t="shared" si="145"/>
        <v/>
      </c>
      <c r="GG9" s="44" t="str">
        <f t="shared" si="104"/>
        <v/>
      </c>
      <c r="GH9" s="44" t="str">
        <f t="shared" si="105"/>
        <v>"southc",</v>
      </c>
      <c r="GI9" s="44" t="str">
        <f t="shared" si="106"/>
        <v/>
      </c>
      <c r="GJ9" s="44" t="str">
        <f t="shared" si="107"/>
        <v/>
      </c>
      <c r="GK9" s="44" t="str">
        <f t="shared" si="108"/>
        <v>"HasSta",</v>
      </c>
      <c r="GL9" s="44" t="str">
        <f t="shared" si="109"/>
        <v/>
      </c>
      <c r="GM9" s="44" t="str">
        <f t="shared" si="110"/>
        <v/>
      </c>
      <c r="GN9" s="44" t="str">
        <f t="shared" si="111"/>
        <v>"3+Star",</v>
      </c>
      <c r="GP9" s="44" t="str">
        <f t="shared" si="112"/>
        <v>"Internal Territory"</v>
      </c>
      <c r="GS9" s="44" t="str">
        <f t="shared" si="113"/>
        <v>["3Color","words2","words3","lets26","startA","with_y","LUELHI","year19","allver","smallc","2Bands","Crosse","Vertic","Animal","Bird","Plants","Weapon","Builds","Crowns","staWHI","NO_RED","NO_GRE","NO_BLA","001BLU","003YEL","myrYEL","southc","HasSta","3+Star"]</v>
      </c>
      <c r="GT9" s="44" t="str">
        <f t="shared" si="114"/>
        <v/>
      </c>
      <c r="GU9" s="44" t="str">
        <f t="shared" si="115"/>
        <v>"cl_BLU",</v>
      </c>
      <c r="GV9" s="44" t="str">
        <f t="shared" si="116"/>
        <v/>
      </c>
      <c r="GW9" s="44" t="str">
        <f t="shared" si="117"/>
        <v/>
      </c>
      <c r="GX9" s="44" t="str">
        <f t="shared" si="118"/>
        <v>"cl_YEL",</v>
      </c>
      <c r="GY9" s="44" t="str">
        <f t="shared" si="119"/>
        <v/>
      </c>
      <c r="GZ9" s="44" t="str">
        <f t="shared" si="120"/>
        <v/>
      </c>
      <c r="HA9" s="44" t="str">
        <f t="shared" si="121"/>
        <v/>
      </c>
      <c r="HB9" s="44" t="str">
        <f t="shared" si="122"/>
        <v>"cl_WHI",</v>
      </c>
      <c r="HC9" s="44" t="str">
        <f t="shared" si="123"/>
        <v>["cl_BLU","cl_YEL","cl_WHI"]</v>
      </c>
      <c r="HE9" s="64"/>
      <c r="HF9" s="65" t="str">
        <f t="shared" si="124"/>
        <v>{couname:"[AUS] Australian Capital Territory",year:"1993",region:"rgn_Oceania",Colors:["cl_BLU","cl_YEL","cl_WHI"],Items:["3Color","words2","words3","lets26","startA","with_y","LUELHI","year19","allver","smallc","2Bands","Crosse","Vertic","Animal","Bird","Plants","Weapon","Builds","Crowns","staWHI","NO_RED","NO_GRE","NO_BLA","001BLU","003YEL","myrYEL","southc","HasSta","3+Star"],Flag:"https://upload.wikimedia.org/wikipedia/commons/thumb/8/8c/Flag_of_the_Australian_Capital_Territory.svg/320px-Flag_of_the_Australian_Capital_Territory.svg.png",HDFlag:"https://upload.wikimedia.org/wikipedia/commons/thumb/8/8c/Flag_of_the_Australian_Capital_Territory.svg/2560px-Flag_of_the_Australian_Capital_Territory.svg.png",type:"Internal Territory", describe: "\nThe flag uses the Canberra city colours of blue and gold (which also happen to be the heraldic colours of Australia). The Southern Cross appears as five white stars on a blue panel at the hoist, whilst in the centre of the goldfield in the fly is the modified Coat of arms of the city of Canberra. The flag was designed by Ivo Ostyn.", isnew:".", links: "https://en.wikipedia.org/wiki/Flag_of_the_Australian_Capital_Territory"},</v>
      </c>
      <c r="HG9" s="66" t="str">
        <f t="shared" si="125"/>
        <v>{couname:"[AUS] Australian Capital Territory",year:"1993",region:"rgn_Oceania",Colors:["cl_BLU","cl_YEL","cl_WHI"],Items:["3Color","words2","words3","lets26","startA","with_y","LUELHI","year19","allver","smallc","2Bands","Crosse","Vertic","Animal","Bird","Plants","Weapon","Builds","Crowns","staWHI","NO_RED","NO_GRE","NO_BLA","001BLU","003YEL","myrYEL","southc","HasSta","3+Star"],Flag:"https://upload.wikimedia.org/wikipedia/commons/thumb/8/8c/Flag_of_the_Australian_Capital_Territory.svg/320px-Flag_of_the_Australian_Capital_Territory.svg.png",HDFlag:"https://upload.wikimedia.org/wikipedia/commons/thumb/8/8c/Flag_of_the_Australian_Capital_Territory.svg/2560px-Flag_of_the_Australian_Capital_Territory.svg.png",type:"Internal Territory", describe: "\nThe flag uses the Canberra city colours of blue and gold (which also happen to be the heraldic colours of Australia). The Southern Cross appears as five white stars on a blue panel at the hoist, whilst in the centre of the goldfield in the fly is the modified Coat of arms of the city of Canberra. The flag was designed by Ivo Ostyn.", links: "https://en.wikipedia.org/wiki/Flag_of_the_Australian_Capital_Territory"},</v>
      </c>
      <c r="HH9" s="44" t="str">
        <f t="shared" si="126"/>
        <v>"\nThe flag uses the Canberra city colours of blue and gold (which also happen to be the heraldic colours of Australia). The Southern Cross appears as five white stars on a blue panel at the hoist, whilst in the centre of the goldfield in the fly is the modified Coat of arms of the city of Canberra. The flag was designed by Ivo Ostyn."</v>
      </c>
      <c r="HI9" s="44" t="str">
        <f t="shared" si="127"/>
        <v>"\nThe flag uses the Canberra city colours of blue and gold (which also happen to be the heraldic colours of Australia). The Southern Cross appears as five white stars on a blue panel at the hoist, whilst in the centre of the goldfield in the fly is the modified Coat of arms of the city of Canberra. The flag was designed by Ivo Ostyn."</v>
      </c>
      <c r="HJ9" s="44" t="str">
        <f t="shared" si="128"/>
        <v>"1993"</v>
      </c>
      <c r="HL9" s="44" t="str">
        <f t="shared" si="129"/>
        <v>"https://en.wikipedia.org/wiki/Flag_of_the_Australian_Capital_Territory"</v>
      </c>
      <c r="HM9" s="65" t="str">
        <f t="shared" si="130"/>
        <v>{"couname":"[AUS] Australian Capital Territory","year":"1993","region":"rgn_Oceania","Colors":["cl_BLU","cl_YEL","cl_WHI"],"Items":["3Color","words2","words3","lets26","startA","with_y","LUELHI","year19","allver","smallc","2Bands","Crosse","Vertic","Animal","Bird","Plants","Weapon","Builds","Crowns","staWHI","NO_RED","NO_GRE","NO_BLA","001BLU","003YEL","myrYEL","southc","HasSta","3+Star"],"Flag":"https://upload.wikimedia.org/wikipedia/commons/thumb/8/8c/Flag_of_the_Australian_Capital_Territory.svg/320px-Flag_of_the_Australian_Capital_Territory.svg.png","HDFlag":"https://upload.wikimedia.org/wikipedia/commons/thumb/8/8c/Flag_of_the_Australian_Capital_Territory.svg/2560px-Flag_of_the_Australian_Capital_Territory.svg.png","type":"Internal Territory", "describe": "\nThe flag uses the Canberra city colours of blue and gold (which also happen to be the heraldic colours of Australia). The Southern Cross appears as five white stars on a blue panel at the hoist, whilst in the centre of the goldfield in the fly is the modified Coat of arms of the city of Canberra. The flag was designed by Ivo Ostyn.", "isnew": ".", "links": "https://en.wikipedia.org/wiki/Flag_of_the_Australian_Capital_Territory"},</v>
      </c>
      <c r="HN9" s="67" t="str">
        <f t="shared" si="131"/>
        <v>{"couname":"[AUS] Australian Capital Territory","year":"1993","region":"rgn_Oceania","Colors":["cl_BLU","cl_YEL","cl_WHI"],"Items":["3Color","words2","words3","lets26","startA","with_y","LUELHI","year19","allver","smallc","2Bands","Crosse","Vertic","Animal","Bird","Plants","Weapon","Builds","Crowns","staWHI","NO_RED","NO_GRE","NO_BLA","001BLU","003YEL","myrYEL","southc","HasSta","3+Star"],"Flag":"https://upload.wikimedia.org/wikipedia/commons/thumb/8/8c/Flag_of_the_Australian_Capital_Territory.svg/320px-Flag_of_the_Australian_Capital_Territory.svg.png","HDFlag":"https://upload.wikimedia.org/wikipedia/commons/thumb/8/8c/Flag_of_the_Australian_Capital_Territory.svg/2560px-Flag_of_the_Australian_Capital_Territory.svg.png","type":"Internal Territory", "describe": "\nThe flag uses the Canberra city colours of blue and gold (which also happen to be the heraldic colours of Australia). The Southern Cross appears as five white stars on a blue panel at the hoist, whilst in the centre of the goldfield in the fly is the modified Coat of arms of the city of Canberra. The flag was designed by Ivo Ostyn.", "isnew": ".", "links": "https://en.wikipedia.org/wiki/Flag_of_the_Australian_Capital_Territory"},</v>
      </c>
      <c r="HO9" s="71">
        <v>45576</v>
      </c>
      <c r="HP9" s="44" t="str" cm="1">
        <f t="array" ref="HP9">IF(_xlfn.TEXTJOIN(", ", TRUE, IF(ISNUMBER(SEARCH("BLA", BL9:BT9)), COLUMN(BL9:BT9) - COLUMN(BL9) + 1, ""))&lt;&gt;"","BLA","")</f>
        <v/>
      </c>
      <c r="HQ9" s="44" t="str" cm="1">
        <f t="array" ref="HQ9">IF(_xlfn.TEXTJOIN(", ", TRUE, IF(ISNUMBER(SEARCH("BLU", BL9:BT9)), COLUMN(BL9:BT9) - COLUMN(BL9) + 1, ""))&lt;&gt;"","BLU","")</f>
        <v>BLU</v>
      </c>
      <c r="HR9" s="44" t="str" cm="1">
        <f t="array" ref="HR9">IF(_xlfn.TEXTJOIN(", ", TRUE, IF(ISNUMBER(SEARCH("GRE", BL9:BT9)), COLUMN(BL9:BT9) - COLUMN(BL9) + 1, ""))&lt;&gt;"","GRE","")</f>
        <v/>
      </c>
      <c r="HS9" s="44" t="str" cm="1">
        <f t="array" ref="HS9">IF(_xlfn.TEXTJOIN(", ", TRUE, IF(ISNUMBER(SEARCH("RED", BL9:BT9)), COLUMN(BL9:BT9) - COLUMN(BL9) + 1, ""))&lt;&gt;"","RED","")</f>
        <v/>
      </c>
      <c r="HT9" s="44" t="str" cm="1">
        <f t="array" ref="HT9">IF(_xlfn.TEXTJOIN(", ", TRUE, IF(ISNUMBER(SEARCH("YEL", BL9:BT9)), COLUMN(BL9:BT9) - COLUMN(BL9) + 1, ""))&lt;&gt;"","YEL","")</f>
        <v>YEL</v>
      </c>
      <c r="HU9" s="44" t="str" cm="1">
        <f t="array" ref="HU9">IF(_xlfn.TEXTJOIN(", ", TRUE, IF(ISNUMBER(SEARCH("ORA", BL9:BT9)), COLUMN(BL9:BT9) - COLUMN(BL9) + 1, ""))&lt;&gt;"","ORA","")</f>
        <v/>
      </c>
      <c r="HV9" s="44" t="str" cm="1">
        <f t="array" ref="HV9">IF(_xlfn.TEXTJOIN(", ", TRUE, IF(ISNUMBER(SEARCH("BRO", BL9:BT9)), COLUMN(BL9:BT9) - COLUMN(BL9) + 1, ""))&lt;&gt;"","BRO","")</f>
        <v/>
      </c>
      <c r="HW9" s="44" t="str" cm="1">
        <f t="array" ref="HW9">IF(_xlfn.TEXTJOIN(", ", TRUE, IF(ISNUMBER(SEARCH("PUR", BL9:BT9)), COLUMN(BL9:BT9) - COLUMN(BL9) + 1, ""))&lt;&gt;"","PUR","")</f>
        <v/>
      </c>
      <c r="HX9" s="44" t="str" cm="1">
        <f t="array" ref="HX9">IF(_xlfn.TEXTJOIN(", ", TRUE, IF(ISNUMBER(SEARCH("WHI", BL9:BT9)), COLUMN(BL9:BT9) - COLUMN(BL9) + 1, ""))&lt;&gt;"","WHI","")</f>
        <v>WHI</v>
      </c>
      <c r="HY9" s="72"/>
      <c r="HZ9" s="72"/>
      <c r="IA9" s="5" t="s">
        <v>166</v>
      </c>
      <c r="IB9" s="5"/>
      <c r="IC9" s="68"/>
      <c r="ID9" s="68"/>
      <c r="IE9" s="68"/>
      <c r="IF9" s="68"/>
      <c r="IG9" s="68"/>
      <c r="IH9" s="68"/>
      <c r="II9" s="68"/>
      <c r="IJ9" s="68"/>
      <c r="IK9" s="68"/>
      <c r="IL9" s="44">
        <f t="shared" si="132"/>
        <v>0</v>
      </c>
      <c r="IM9" s="42">
        <f t="shared" si="133"/>
        <v>-3</v>
      </c>
      <c r="IN9" s="69" t="str">
        <f t="shared" si="134"/>
        <v>http://mkweb.bcgsc.ca/color-summarizer/?url=https://upload.wikimedia.org/wikipedia/commons/thumb/8/8c/Flag_of_the_Australian_Capital_Territory.svg/320px-Flag_of_the_Australian_Capital_Territory.svg.png&amp;precision=low&amp;num_clusters=3&amp;text=1</v>
      </c>
      <c r="IO9" s="44" t="str">
        <f t="shared" si="135"/>
        <v/>
      </c>
      <c r="IP9" s="44" t="str">
        <f t="shared" si="136"/>
        <v>"blue"</v>
      </c>
      <c r="IQ9" s="44" t="str">
        <f t="shared" si="137"/>
        <v/>
      </c>
      <c r="IR9" s="44" t="str">
        <f t="shared" si="138"/>
        <v/>
      </c>
      <c r="IS9" s="44" t="str">
        <f t="shared" si="139"/>
        <v>"yellow"</v>
      </c>
      <c r="IT9" s="44" t="str">
        <f t="shared" si="140"/>
        <v/>
      </c>
      <c r="IU9" s="44" t="str">
        <f t="shared" si="141"/>
        <v/>
      </c>
      <c r="IV9" s="44" t="str">
        <f t="shared" si="142"/>
        <v/>
      </c>
      <c r="IW9" s="44" t="str">
        <f t="shared" si="143"/>
        <v>"white"</v>
      </c>
      <c r="IX9" s="44" t="str">
        <f t="shared" si="144"/>
        <v>{"url":"http://mkweb.bcgsc.ca/color-summarizer/?url=https://upload.wikimedia.org/wikipedia/commons/thumb/8/8c/Flag_of_the_Australian_Capital_Territory.svg/320px-Flag_of_the_Australian_Capital_Territory.svg.png&amp;precision=low&amp;num_clusters=3&amp;text=1","name":"[AUS] Australian Capital Territory"},</v>
      </c>
      <c r="IY9" s="44">
        <v>294</v>
      </c>
    </row>
    <row r="10" spans="1:259" s="44" customFormat="1" ht="38.4" customHeight="1" thickBot="1" x14ac:dyDescent="0.35">
      <c r="A10" s="87" t="s">
        <v>367</v>
      </c>
      <c r="B10" s="78" t="e" vm="11">
        <v>#VALUE!</v>
      </c>
      <c r="C10" s="39" t="s">
        <v>818</v>
      </c>
      <c r="D10" s="70" t="s">
        <v>368</v>
      </c>
      <c r="E10" s="40" t="s">
        <v>369</v>
      </c>
      <c r="F10" s="41" t="s">
        <v>165</v>
      </c>
      <c r="G10" s="42">
        <f t="shared" si="0"/>
        <v>1</v>
      </c>
      <c r="H10" s="43"/>
      <c r="I10" s="59" t="s">
        <v>370</v>
      </c>
      <c r="J10" s="44" t="str">
        <f>""</f>
        <v/>
      </c>
      <c r="K10" s="45"/>
      <c r="L10" s="46"/>
      <c r="M10" s="46"/>
      <c r="N10" s="47" t="s">
        <v>177</v>
      </c>
      <c r="O10" s="74">
        <v>1978</v>
      </c>
      <c r="P10" s="48" t="s">
        <v>371</v>
      </c>
      <c r="Q10" s="73">
        <v>2</v>
      </c>
      <c r="R10" s="49" t="s">
        <v>177</v>
      </c>
      <c r="S10" s="50">
        <v>2</v>
      </c>
      <c r="T10" s="51" t="s">
        <v>166</v>
      </c>
      <c r="U10" s="52" t="s">
        <v>166</v>
      </c>
      <c r="V10" s="52" t="s">
        <v>166</v>
      </c>
      <c r="W10" s="52" t="s">
        <v>167</v>
      </c>
      <c r="X10" s="52" t="s">
        <v>166</v>
      </c>
      <c r="Y10" s="52" t="s">
        <v>166</v>
      </c>
      <c r="Z10" s="52" t="s">
        <v>166</v>
      </c>
      <c r="AA10" s="52" t="s">
        <v>167</v>
      </c>
      <c r="AB10" s="52" t="s">
        <v>166</v>
      </c>
      <c r="AC10" s="52" t="s">
        <v>166</v>
      </c>
      <c r="AD10" s="52" t="s">
        <v>166</v>
      </c>
      <c r="AE10" s="52" t="s">
        <v>166</v>
      </c>
      <c r="AF10" s="53" t="s">
        <v>166</v>
      </c>
      <c r="AG10" s="53" t="s">
        <v>166</v>
      </c>
      <c r="AH10" s="53" t="s">
        <v>166</v>
      </c>
      <c r="AI10" s="53" t="s">
        <v>166</v>
      </c>
      <c r="AJ10" s="53" t="s">
        <v>166</v>
      </c>
      <c r="AK10" s="53" t="s">
        <v>166</v>
      </c>
      <c r="AL10" s="53" t="s">
        <v>166</v>
      </c>
      <c r="AM10" s="53" t="s">
        <v>166</v>
      </c>
      <c r="AN10" s="53" t="s">
        <v>166</v>
      </c>
      <c r="AO10" s="53" t="s">
        <v>166</v>
      </c>
      <c r="AP10" s="53" t="s">
        <v>166</v>
      </c>
      <c r="AQ10" s="53" t="s">
        <v>166</v>
      </c>
      <c r="AR10" s="53" t="s">
        <v>166</v>
      </c>
      <c r="AS10" s="53" t="s">
        <v>166</v>
      </c>
      <c r="AT10" s="54">
        <v>5</v>
      </c>
      <c r="AU10" s="53" t="s">
        <v>366</v>
      </c>
      <c r="AV10" s="53" t="str">
        <f t="shared" si="1"/>
        <v>[AUS]Internal Territory[AUS] Northern Territory</v>
      </c>
      <c r="AW10" s="53" t="str">
        <f t="shared" si="2"/>
        <v>2b[AUS] Northern Territory</v>
      </c>
      <c r="AX10" s="55"/>
      <c r="AY10" s="55"/>
      <c r="AZ10" s="56" t="s">
        <v>161</v>
      </c>
      <c r="BA10" s="56"/>
      <c r="BB10" s="56"/>
      <c r="BC10" s="57"/>
      <c r="BD10" s="58" t="s">
        <v>159</v>
      </c>
      <c r="BE10" s="59"/>
      <c r="BF10" s="58" t="s">
        <v>153</v>
      </c>
      <c r="BG10" s="58" t="s">
        <v>231</v>
      </c>
      <c r="BH10" s="58" t="s">
        <v>159</v>
      </c>
      <c r="BI10" s="58"/>
      <c r="BJ10" s="58"/>
      <c r="BK10" s="59"/>
      <c r="BL10" s="58" t="s">
        <v>153</v>
      </c>
      <c r="BM10" s="58" t="s">
        <v>231</v>
      </c>
      <c r="BN10" s="58" t="s">
        <v>231</v>
      </c>
      <c r="BO10" s="58" t="s">
        <v>231</v>
      </c>
      <c r="BP10" s="58" t="s">
        <v>231</v>
      </c>
      <c r="BQ10" s="58" t="s">
        <v>231</v>
      </c>
      <c r="BR10" s="58" t="s">
        <v>159</v>
      </c>
      <c r="BS10" s="58" t="s">
        <v>231</v>
      </c>
      <c r="BT10" s="58" t="s">
        <v>161</v>
      </c>
      <c r="BU10" s="60"/>
      <c r="BV10" s="61"/>
      <c r="BW10" s="61">
        <v>0</v>
      </c>
      <c r="BX10" s="59"/>
      <c r="CB10" s="5"/>
      <c r="CC10" s="5"/>
      <c r="CD10" s="62">
        <v>1</v>
      </c>
      <c r="CE10" s="62">
        <v>0</v>
      </c>
      <c r="CF10" s="62" t="e">
        <v>#REF!</v>
      </c>
      <c r="CG10" s="75" cm="1">
        <f t="array" ref="CG10">SUMPRODUCT(--(LEN(TRIM(BL10:BT10))&gt;0))</f>
        <v>3</v>
      </c>
      <c r="CH10" s="53" t="str">
        <f t="shared" si="3"/>
        <v>n</v>
      </c>
      <c r="CI10" s="53" t="str">
        <f t="shared" si="4"/>
        <v>y</v>
      </c>
      <c r="CJ10" s="53" t="str">
        <f t="shared" si="5"/>
        <v>n</v>
      </c>
      <c r="CK10" s="53" t="str">
        <f t="shared" si="6"/>
        <v>n</v>
      </c>
      <c r="CL10" s="53" t="str">
        <f t="shared" si="7"/>
        <v>n</v>
      </c>
      <c r="CM10" s="53" t="str">
        <f t="shared" si="8"/>
        <v>y</v>
      </c>
      <c r="CN10" s="53" t="str">
        <f t="shared" si="9"/>
        <v>n</v>
      </c>
      <c r="CO10" s="53" t="str">
        <f t="shared" si="10"/>
        <v>n</v>
      </c>
      <c r="CP10" s="53" t="str">
        <f t="shared" si="11"/>
        <v>n</v>
      </c>
      <c r="CQ10" s="53" t="str">
        <f t="shared" si="12"/>
        <v>n</v>
      </c>
      <c r="CR10" s="53" t="str">
        <f t="shared" si="13"/>
        <v>n</v>
      </c>
      <c r="CS10" s="53" t="str">
        <f t="shared" si="14"/>
        <v>y</v>
      </c>
      <c r="CT10" s="38" t="str">
        <f t="shared" si="15"/>
        <v>"[AUS] Northern Territory"</v>
      </c>
      <c r="CU10" s="63" t="str">
        <f t="shared" si="16"/>
        <v>"rgn_Oceania"</v>
      </c>
      <c r="CV10" s="44" t="str">
        <f t="shared" si="17"/>
        <v>"https://upload.wikimedia.org/wikipedia/commons/thumb/b/b7/Flag_of_the_Northern_Territory.svg/640px-Flag_of_the_Northern_Territory.svg.png"</v>
      </c>
      <c r="CW10" s="44" t="str">
        <f t="shared" si="18"/>
        <v/>
      </c>
      <c r="CX10" s="44" t="str">
        <f t="shared" si="19"/>
        <v>"3Color",</v>
      </c>
      <c r="CY10" s="44" t="str">
        <f t="shared" si="20"/>
        <v/>
      </c>
      <c r="CZ10" s="44" t="str">
        <f t="shared" si="21"/>
        <v/>
      </c>
      <c r="DA10" s="44" t="str">
        <f t="shared" si="22"/>
        <v>"words2",</v>
      </c>
      <c r="DB10" s="44" t="str">
        <f t="shared" si="23"/>
        <v/>
      </c>
      <c r="DC10" s="44" t="str">
        <f t="shared" si="24"/>
        <v>"exact2",</v>
      </c>
      <c r="DD10" s="44" t="str">
        <f t="shared" si="25"/>
        <v>"lets17",</v>
      </c>
      <c r="DE10" s="44" t="str">
        <f t="shared" si="26"/>
        <v>"startN",</v>
      </c>
      <c r="DF10" s="44" t="str">
        <f t="shared" si="27"/>
        <v/>
      </c>
      <c r="DG10" s="44" t="str">
        <f t="shared" si="28"/>
        <v/>
      </c>
      <c r="DH10" s="44" t="str">
        <f t="shared" si="29"/>
        <v/>
      </c>
      <c r="DI10" s="44" t="str">
        <f t="shared" si="30"/>
        <v/>
      </c>
      <c r="DJ10" s="44" t="str">
        <f t="shared" si="31"/>
        <v>"with_y",</v>
      </c>
      <c r="DK10" s="44" t="str">
        <f t="shared" si="32"/>
        <v/>
      </c>
      <c r="DL10" s="44" t="str">
        <f t="shared" si="33"/>
        <v/>
      </c>
      <c r="DM10" s="44" t="str" cm="1">
        <f t="array" ref="DM10">IF(CG10=3,CHAR(34) &amp; _xlfn.TEXTJOIN("", TRUE, RIGHT(HP10:HX10, 2)) &amp; CHAR(34) &amp; ",", "")</f>
        <v>"LAROHI",</v>
      </c>
      <c r="DN10" s="44" t="str">
        <f t="shared" si="34"/>
        <v/>
      </c>
      <c r="DO10" s="44" t="str">
        <f t="shared" si="35"/>
        <v>"year19",</v>
      </c>
      <c r="DP10" s="5" t="str">
        <f t="shared" si="36"/>
        <v/>
      </c>
      <c r="DQ10" s="5" t="str">
        <f t="shared" si="37"/>
        <v/>
      </c>
      <c r="DR10" s="5" t="str">
        <f t="shared" si="38"/>
        <v/>
      </c>
      <c r="DS10" s="5" t="str">
        <f t="shared" si="39"/>
        <v>"allver",</v>
      </c>
      <c r="DT10" s="5" t="str">
        <f t="shared" si="40"/>
        <v/>
      </c>
      <c r="DU10" s="5" t="str">
        <f t="shared" si="41"/>
        <v/>
      </c>
      <c r="DV10" s="44" t="str">
        <f t="shared" si="42"/>
        <v/>
      </c>
      <c r="DW10" s="44" t="str">
        <f t="shared" si="43"/>
        <v/>
      </c>
      <c r="DX10" s="44" t="str">
        <f t="shared" si="44"/>
        <v>"2Bands",</v>
      </c>
      <c r="DY10" s="44" t="str">
        <f t="shared" si="45"/>
        <v/>
      </c>
      <c r="DZ10" s="44" t="str">
        <f t="shared" si="46"/>
        <v/>
      </c>
      <c r="EA10" s="44" t="str">
        <f t="shared" si="47"/>
        <v/>
      </c>
      <c r="EB10" s="44" t="str">
        <f t="shared" si="48"/>
        <v/>
      </c>
      <c r="EC10" s="44" t="str">
        <f t="shared" si="49"/>
        <v/>
      </c>
      <c r="ED10" s="44" t="str">
        <f t="shared" si="50"/>
        <v>"Vertic",</v>
      </c>
      <c r="EE10" s="44" t="str">
        <f t="shared" si="51"/>
        <v/>
      </c>
      <c r="EF10" s="44" t="str">
        <f t="shared" si="52"/>
        <v/>
      </c>
      <c r="EG10" s="44" t="str">
        <f t="shared" si="53"/>
        <v/>
      </c>
      <c r="EH10" s="44" t="str">
        <f t="shared" si="54"/>
        <v>"Plants",</v>
      </c>
      <c r="EI10" s="44" t="str">
        <f t="shared" si="55"/>
        <v/>
      </c>
      <c r="EJ10" s="44" t="str">
        <f t="shared" si="56"/>
        <v/>
      </c>
      <c r="EK10" s="44" t="str">
        <f t="shared" si="57"/>
        <v/>
      </c>
      <c r="EL10" s="44" t="str">
        <f t="shared" si="58"/>
        <v/>
      </c>
      <c r="EM10" s="44" t="str">
        <f t="shared" si="59"/>
        <v/>
      </c>
      <c r="EN10" s="44" t="str">
        <f t="shared" si="60"/>
        <v/>
      </c>
      <c r="EO10" s="44" t="str">
        <f t="shared" si="61"/>
        <v/>
      </c>
      <c r="EP10" s="44" t="str">
        <f t="shared" si="62"/>
        <v/>
      </c>
      <c r="EQ10" s="44" t="str">
        <f t="shared" si="63"/>
        <v/>
      </c>
      <c r="ER10" s="44" t="str">
        <f t="shared" si="64"/>
        <v/>
      </c>
      <c r="ES10" s="44" t="str">
        <f t="shared" si="65"/>
        <v/>
      </c>
      <c r="ET10" s="44" t="str">
        <f t="shared" si="66"/>
        <v/>
      </c>
      <c r="EU10" s="44" t="str">
        <f t="shared" si="67"/>
        <v/>
      </c>
      <c r="EV10" s="44" t="str">
        <f t="shared" si="68"/>
        <v/>
      </c>
      <c r="EW10" s="44" t="str">
        <f t="shared" si="69"/>
        <v/>
      </c>
      <c r="EX10" s="44" t="str">
        <f t="shared" si="70"/>
        <v/>
      </c>
      <c r="EY10" s="44" t="str">
        <f t="shared" si="71"/>
        <v/>
      </c>
      <c r="EZ10" s="44" t="str">
        <f t="shared" si="72"/>
        <v/>
      </c>
      <c r="FA10" s="44" t="str">
        <f t="shared" si="73"/>
        <v>"staWHI",</v>
      </c>
      <c r="FB10" s="44" t="str">
        <f t="shared" si="74"/>
        <v/>
      </c>
      <c r="FC10" s="44" t="str">
        <f t="shared" si="75"/>
        <v/>
      </c>
      <c r="FD10" s="44" t="str">
        <f t="shared" si="76"/>
        <v/>
      </c>
      <c r="FE10" s="44" t="str">
        <f t="shared" si="77"/>
        <v>"NO_BLU",</v>
      </c>
      <c r="FF10" s="44" t="str">
        <f t="shared" si="78"/>
        <v/>
      </c>
      <c r="FG10" s="44" t="str">
        <f t="shared" si="79"/>
        <v>"NO_RED",</v>
      </c>
      <c r="FH10" s="44" t="str">
        <f t="shared" si="80"/>
        <v>"NO_GRE",</v>
      </c>
      <c r="FI10" s="44" t="str">
        <f t="shared" si="81"/>
        <v>"NO_YEL",</v>
      </c>
      <c r="FJ10" s="44" t="str">
        <f t="shared" si="82"/>
        <v/>
      </c>
      <c r="FK10" s="44" t="str">
        <f t="shared" si="83"/>
        <v/>
      </c>
      <c r="FL10" s="44" t="str">
        <f t="shared" si="84"/>
        <v/>
      </c>
      <c r="FM10" s="44" t="str">
        <f t="shared" si="85"/>
        <v/>
      </c>
      <c r="FN10" s="44" t="str">
        <f t="shared" si="86"/>
        <v/>
      </c>
      <c r="FO10" s="44" t="str">
        <f t="shared" si="87"/>
        <v>"BLRENO",</v>
      </c>
      <c r="FP10" s="44" t="str">
        <f t="shared" si="88"/>
        <v/>
      </c>
      <c r="FQ10" s="44" t="str">
        <f t="shared" si="89"/>
        <v>"001BLA",</v>
      </c>
      <c r="FR10" s="44" t="str">
        <f t="shared" si="90"/>
        <v/>
      </c>
      <c r="FS10" s="44" t="str">
        <f t="shared" si="91"/>
        <v>"003BRO",</v>
      </c>
      <c r="FT10" s="44" t="str">
        <f t="shared" si="92"/>
        <v>"myrBRO",</v>
      </c>
      <c r="FU10" s="44" t="str">
        <f t="shared" si="93"/>
        <v/>
      </c>
      <c r="FV10" s="44" t="str">
        <f t="shared" si="94"/>
        <v/>
      </c>
      <c r="FW10" s="44" t="str">
        <f t="shared" si="95"/>
        <v/>
      </c>
      <c r="FX10" s="44" t="str">
        <f t="shared" si="96"/>
        <v/>
      </c>
      <c r="FY10" s="44" t="str">
        <f t="shared" si="97"/>
        <v/>
      </c>
      <c r="FZ10" s="44" t="str">
        <f t="shared" si="98"/>
        <v/>
      </c>
      <c r="GA10" s="44" t="str">
        <f t="shared" si="99"/>
        <v/>
      </c>
      <c r="GB10" s="44" t="str">
        <f t="shared" si="100"/>
        <v/>
      </c>
      <c r="GC10" s="44" t="str">
        <f t="shared" si="101"/>
        <v/>
      </c>
      <c r="GD10" s="44" t="str">
        <f t="shared" si="102"/>
        <v/>
      </c>
      <c r="GE10" s="44" t="str">
        <f t="shared" si="103"/>
        <v/>
      </c>
      <c r="GF10" s="44" t="str">
        <f t="shared" si="145"/>
        <v/>
      </c>
      <c r="GG10" s="44" t="str">
        <f t="shared" si="104"/>
        <v/>
      </c>
      <c r="GH10" s="44" t="str">
        <f t="shared" si="105"/>
        <v>"southc",</v>
      </c>
      <c r="GI10" s="44" t="str">
        <f t="shared" si="106"/>
        <v/>
      </c>
      <c r="GJ10" s="44" t="str">
        <f t="shared" si="107"/>
        <v/>
      </c>
      <c r="GK10" s="44" t="str">
        <f t="shared" si="108"/>
        <v>"HasSta",</v>
      </c>
      <c r="GL10" s="44" t="str">
        <f t="shared" si="109"/>
        <v/>
      </c>
      <c r="GM10" s="44" t="str">
        <f t="shared" si="110"/>
        <v/>
      </c>
      <c r="GN10" s="44" t="str">
        <f t="shared" si="111"/>
        <v>"3+Star",</v>
      </c>
      <c r="GP10" s="44" t="str">
        <f t="shared" si="112"/>
        <v>"Internal Territory"</v>
      </c>
      <c r="GS10" s="44" t="str">
        <f t="shared" si="113"/>
        <v>["3Color","words2","exact2","lets17","startN","with_y","LAROHI","year19","allver","2Bands","Vertic","Plants","staWHI","NO_BLU","NO_RED","NO_GRE","NO_YEL","BLRENO","001BLA","003BRO","myrBRO","southc","HasSta","3+Star"]</v>
      </c>
      <c r="GT10" s="44" t="str">
        <f t="shared" si="114"/>
        <v>"cl_BLA",</v>
      </c>
      <c r="GU10" s="44" t="str">
        <f t="shared" si="115"/>
        <v/>
      </c>
      <c r="GV10" s="44" t="str">
        <f t="shared" si="116"/>
        <v/>
      </c>
      <c r="GW10" s="44" t="str">
        <f t="shared" si="117"/>
        <v/>
      </c>
      <c r="GX10" s="44" t="str">
        <f t="shared" si="118"/>
        <v/>
      </c>
      <c r="GY10" s="44" t="str">
        <f t="shared" si="119"/>
        <v/>
      </c>
      <c r="GZ10" s="44" t="str">
        <f t="shared" si="120"/>
        <v>"cl_BRO",</v>
      </c>
      <c r="HA10" s="44" t="str">
        <f t="shared" si="121"/>
        <v/>
      </c>
      <c r="HB10" s="44" t="str">
        <f t="shared" si="122"/>
        <v>"cl_WHI",</v>
      </c>
      <c r="HC10" s="44" t="str">
        <f t="shared" si="123"/>
        <v>["cl_BLA","cl_BRO","cl_WHI"]</v>
      </c>
      <c r="HE10" s="64"/>
      <c r="HF10" s="65" t="str">
        <f t="shared" si="124"/>
        <v>{couname:"[AUS] Northern Territory",year:"1978",region:"rgn_Oceania",Colors:["cl_BLA","cl_BRO","cl_WHI"],Items:["3Color","words2","exact2","lets17","startN","with_y","LAROHI","year19","allver","2Bands","Vertic","Plants","staWHI","NO_BLU","NO_RED","NO_GRE","NO_YEL","BLRENO","001BLA","003BRO","myrBRO","southc","HasSta","3+Star"],Flag:"https://upload.wikimedia.org/wikipedia/commons/thumb/b/b7/Flag_of_the_Northern_Territory.svg/640px-Flag_of_the_Northern_Territory.svg.png",HDFlag:"https://upload.wikimedia.org/wikipedia/commons/thumb/b/b7/Flag_of_the_Northern_Territory.svg/2560px-Flag_of_the_Northern_Territory.svg.png",type:"Internal Territory", describe: "\nThe flag's colours consist of the official Territorian colours of black, white and ochre (making it the only flag among Australia's states and territories not to feature the colour blue). The Southern Cross appears as five white stars on a black panel at the hoist. In the fly of the flag is a stylised Sturt's Desert Rose, the territory's floral emblem since 1961, with seven white petals and a black seven-pointed core. The seven white petals represent the six Australian States and the Northern Territory.", isnew:".", links: "https://en.wikipedia.org/wiki/Flag_of_the_Northern_Territory"},</v>
      </c>
      <c r="HG10" s="66" t="str">
        <f t="shared" si="125"/>
        <v>{couname:"[AUS] Northern Territory",year:"1978",region:"rgn_Oceania",Colors:["cl_BLA","cl_BRO","cl_WHI"],Items:["3Color","words2","exact2","lets17","startN","with_y","LAROHI","year19","allver","2Bands","Vertic","Plants","staWHI","NO_BLU","NO_RED","NO_GRE","NO_YEL","BLRENO","001BLA","003BRO","myrBRO","southc","HasSta","3+Star"],Flag:"https://upload.wikimedia.org/wikipedia/commons/thumb/b/b7/Flag_of_the_Northern_Territory.svg/640px-Flag_of_the_Northern_Territory.svg.png",HDFlag:"https://upload.wikimedia.org/wikipedia/commons/thumb/b/b7/Flag_of_the_Northern_Territory.svg/2560px-Flag_of_the_Northern_Territory.svg.png",type:"Internal Territory", describe: "\nThe flag's colours consist of the official Territorian colours of black, white and ochre (making it the only flag among Australia's states and territories not to feature the colour blue). The Southern Cross appears as five white stars on a black panel at the hoist. In the fly of the flag is a stylised Sturt's Desert Rose, the territory's floral emblem since 1961, with seven white petals and a black seven-pointed core. The seven white petals represent the six Australian States and the Northern Territory.", links: "https://en.wikipedia.org/wiki/Flag_of_the_Northern_Territory"},</v>
      </c>
      <c r="HH10" s="44" t="str">
        <f t="shared" si="126"/>
        <v>"\nThe flag's colours consist of the official Territorian colours of black, white and ochre (making it the only flag among Australia's states and territories not to feature the colour blue). The Southern Cross appears as five white stars on a black panel at the hoist. In the fly of the flag is a stylised Sturt's Desert Rose, the territory's floral emblem since 1961, with seven white petals and a black seven-pointed core. The seven white petals represent the six Australian States and the Northern Territory."</v>
      </c>
      <c r="HI10" s="44" t="str">
        <f t="shared" si="127"/>
        <v>"\nThe flag's colours consist of the official Territorian colours of black, white and ochre (making it the only flag among Australia's states and territories not to feature the colour blue). The Southern Cross appears as five white stars on a black panel at the hoist. In the fly of the flag is a stylised Sturt's Desert Rose, the territory's floral emblem since 1961, with seven white petals and a black seven-pointed core. The seven white petals represent the six Australian States and the Northern Territory."</v>
      </c>
      <c r="HJ10" s="44" t="str">
        <f t="shared" si="128"/>
        <v>"1978"</v>
      </c>
      <c r="HL10" s="44" t="str">
        <f t="shared" si="129"/>
        <v>"https://en.wikipedia.org/wiki/Flag_of_the_Northern_Territory"</v>
      </c>
      <c r="HM10" s="65" t="str">
        <f t="shared" si="130"/>
        <v>{"couname":"[AUS] Northern Territory","year":"1978","region":"rgn_Oceania","Colors":["cl_BLA","cl_BRO","cl_WHI"],"Items":["3Color","words2","exact2","lets17","startN","with_y","LAROHI","year19","allver","2Bands","Vertic","Plants","staWHI","NO_BLU","NO_RED","NO_GRE","NO_YEL","BLRENO","001BLA","003BRO","myrBRO","southc","HasSta","3+Star"],"Flag":"https://upload.wikimedia.org/wikipedia/commons/thumb/b/b7/Flag_of_the_Northern_Territory.svg/640px-Flag_of_the_Northern_Territory.svg.png","HDFlag":"https://upload.wikimedia.org/wikipedia/commons/thumb/b/b7/Flag_of_the_Northern_Territory.svg/2560px-Flag_of_the_Northern_Territory.svg.png","type":"Internal Territory", "describe": "\nThe flag's colours consist of the official Territorian colours of black, white and ochre (making it the only flag among Australia's states and territories not to feature the colour blue). The Southern Cross appears as five white stars on a black panel at the hoist. In the fly of the flag is a stylised Sturt's Desert Rose, the territory's floral emblem since 1961, with seven white petals and a black seven-pointed core. The seven white petals represent the six Australian States and the Northern Territory.", "isnew": ".", "links": "https://en.wikipedia.org/wiki/Flag_of_the_Northern_Territory"},</v>
      </c>
      <c r="HN10" s="67" t="str">
        <f t="shared" si="131"/>
        <v>{"couname":"[AUS] Northern Territory","year":"1978","region":"rgn_Oceania","Colors":["cl_BLA","cl_BRO","cl_WHI"],"Items":["3Color","words2","exact2","lets17","startN","with_y","LAROHI","year19","allver","2Bands","Vertic","Plants","staWHI","NO_BLU","NO_RED","NO_GRE","NO_YEL","BLRENO","001BLA","003BRO","myrBRO","southc","HasSta","3+Star"],"Flag":"https://upload.wikimedia.org/wikipedia/commons/thumb/b/b7/Flag_of_the_Northern_Territory.svg/640px-Flag_of_the_Northern_Territory.svg.png","HDFlag":"https://upload.wikimedia.org/wikipedia/commons/thumb/b/b7/Flag_of_the_Northern_Territory.svg/2560px-Flag_of_the_Northern_Territory.svg.png","type":"Internal Territory", "describe": "\nThe flag's colours consist of the official Territorian colours of black, white and ochre (making it the only flag among Australia's states and territories not to feature the colour blue). The Southern Cross appears as five white stars on a black panel at the hoist. In the fly of the flag is a stylised Sturt's Desert Rose, the territory's floral emblem since 1961, with seven white petals and a black seven-pointed core. The seven white petals represent the six Australian States and the Northern Territory.", "isnew": ".", "links": "https://en.wikipedia.org/wiki/Flag_of_the_Northern_Territory"},</v>
      </c>
      <c r="HO10" s="71">
        <v>45576</v>
      </c>
      <c r="HP10" s="44" t="str" cm="1">
        <f t="array" ref="HP10">IF(_xlfn.TEXTJOIN(", ", TRUE, IF(ISNUMBER(SEARCH("BLA", BL10:BT10)), COLUMN(BL10:BT10) - COLUMN(BL10) + 1, ""))&lt;&gt;"","BLA","")</f>
        <v>BLA</v>
      </c>
      <c r="HQ10" s="44" t="str" cm="1">
        <f t="array" ref="HQ10">IF(_xlfn.TEXTJOIN(", ", TRUE, IF(ISNUMBER(SEARCH("BLU", BL10:BT10)), COLUMN(BL10:BT10) - COLUMN(BL10) + 1, ""))&lt;&gt;"","BLU","")</f>
        <v/>
      </c>
      <c r="HR10" s="44" t="str" cm="1">
        <f t="array" ref="HR10">IF(_xlfn.TEXTJOIN(", ", TRUE, IF(ISNUMBER(SEARCH("GRE", BL10:BT10)), COLUMN(BL10:BT10) - COLUMN(BL10) + 1, ""))&lt;&gt;"","GRE","")</f>
        <v/>
      </c>
      <c r="HS10" s="44" t="str" cm="1">
        <f t="array" ref="HS10">IF(_xlfn.TEXTJOIN(", ", TRUE, IF(ISNUMBER(SEARCH("RED", BL10:BT10)), COLUMN(BL10:BT10) - COLUMN(BL10) + 1, ""))&lt;&gt;"","RED","")</f>
        <v/>
      </c>
      <c r="HT10" s="44" t="str" cm="1">
        <f t="array" ref="HT10">IF(_xlfn.TEXTJOIN(", ", TRUE, IF(ISNUMBER(SEARCH("YEL", BL10:BT10)), COLUMN(BL10:BT10) - COLUMN(BL10) + 1, ""))&lt;&gt;"","YEL","")</f>
        <v/>
      </c>
      <c r="HU10" s="44" t="str" cm="1">
        <f t="array" ref="HU10">IF(_xlfn.TEXTJOIN(", ", TRUE, IF(ISNUMBER(SEARCH("ORA", BL10:BT10)), COLUMN(BL10:BT10) - COLUMN(BL10) + 1, ""))&lt;&gt;"","ORA","")</f>
        <v/>
      </c>
      <c r="HV10" s="44" t="str" cm="1">
        <f t="array" ref="HV10">IF(_xlfn.TEXTJOIN(", ", TRUE, IF(ISNUMBER(SEARCH("BRO", BL10:BT10)), COLUMN(BL10:BT10) - COLUMN(BL10) + 1, ""))&lt;&gt;"","BRO","")</f>
        <v>BRO</v>
      </c>
      <c r="HW10" s="44" t="str" cm="1">
        <f t="array" ref="HW10">IF(_xlfn.TEXTJOIN(", ", TRUE, IF(ISNUMBER(SEARCH("PUR", BL10:BT10)), COLUMN(BL10:BT10) - COLUMN(BL10) + 1, ""))&lt;&gt;"","PUR","")</f>
        <v/>
      </c>
      <c r="HX10" s="44" t="str" cm="1">
        <f t="array" ref="HX10">IF(_xlfn.TEXTJOIN(", ", TRUE, IF(ISNUMBER(SEARCH("WHI", BL10:BT10)), COLUMN(BL10:BT10) - COLUMN(BL10) + 1, ""))&lt;&gt;"","WHI","")</f>
        <v>WHI</v>
      </c>
      <c r="HY10" s="72"/>
      <c r="HZ10" s="72"/>
      <c r="IA10" s="5"/>
      <c r="IB10" s="5"/>
      <c r="IC10" s="68"/>
      <c r="ID10" s="68"/>
      <c r="IE10" s="68"/>
      <c r="IF10" s="68"/>
      <c r="IG10" s="68"/>
      <c r="IH10" s="68"/>
      <c r="II10" s="68"/>
      <c r="IJ10" s="68"/>
      <c r="IK10" s="68"/>
      <c r="IL10" s="44">
        <f t="shared" si="132"/>
        <v>0</v>
      </c>
      <c r="IM10" s="42">
        <f t="shared" si="133"/>
        <v>-3</v>
      </c>
      <c r="IN10" s="69" t="str">
        <f t="shared" si="134"/>
        <v>http://mkweb.bcgsc.ca/color-summarizer/?url=https://upload.wikimedia.org/wikipedia/commons/thumb/b/b7/Flag_of_the_Northern_Territory.svg/640px-Flag_of_the_Northern_Territory.svg.png&amp;precision=low&amp;num_clusters=3&amp;text=1</v>
      </c>
      <c r="IO10" s="44" t="str">
        <f t="shared" si="135"/>
        <v>"black"</v>
      </c>
      <c r="IP10" s="44" t="str">
        <f t="shared" si="136"/>
        <v/>
      </c>
      <c r="IQ10" s="44" t="str">
        <f t="shared" si="137"/>
        <v/>
      </c>
      <c r="IR10" s="44" t="str">
        <f t="shared" si="138"/>
        <v/>
      </c>
      <c r="IS10" s="44" t="str">
        <f t="shared" si="139"/>
        <v/>
      </c>
      <c r="IT10" s="44" t="str">
        <f t="shared" si="140"/>
        <v/>
      </c>
      <c r="IU10" s="44" t="str">
        <f t="shared" si="141"/>
        <v>"brown"</v>
      </c>
      <c r="IV10" s="44" t="str">
        <f t="shared" si="142"/>
        <v/>
      </c>
      <c r="IW10" s="44" t="str">
        <f t="shared" si="143"/>
        <v>"white"</v>
      </c>
      <c r="IX10" s="44" t="str">
        <f t="shared" si="144"/>
        <v>{"url":"http://mkweb.bcgsc.ca/color-summarizer/?url=https://upload.wikimedia.org/wikipedia/commons/thumb/b/b7/Flag_of_the_Northern_Territory.svg/640px-Flag_of_the_Northern_Territory.svg.png&amp;precision=low&amp;num_clusters=3&amp;text=1","name":"[AUS] Northern Territory"},</v>
      </c>
      <c r="IY10" s="44">
        <v>295</v>
      </c>
    </row>
    <row r="11" spans="1:259" s="44" customFormat="1" ht="38.4" customHeight="1" thickBot="1" x14ac:dyDescent="0.35">
      <c r="A11" s="81" t="s">
        <v>557</v>
      </c>
      <c r="B11" s="78" t="e" vm="12">
        <v>#VALUE!</v>
      </c>
      <c r="C11" s="39">
        <v>3</v>
      </c>
      <c r="D11" s="70" t="s">
        <v>558</v>
      </c>
      <c r="E11" s="40" t="s">
        <v>559</v>
      </c>
      <c r="F11" s="41" t="s">
        <v>165</v>
      </c>
      <c r="G11" s="42">
        <f t="shared" si="0"/>
        <v>1</v>
      </c>
      <c r="H11" s="43" t="s">
        <v>372</v>
      </c>
      <c r="I11" s="59" t="s">
        <v>560</v>
      </c>
      <c r="J11" s="44" t="str">
        <f>""</f>
        <v/>
      </c>
      <c r="K11" s="45"/>
      <c r="L11" s="46"/>
      <c r="M11" s="46"/>
      <c r="N11" s="47" t="s">
        <v>177</v>
      </c>
      <c r="O11" s="74">
        <v>1908</v>
      </c>
      <c r="P11" s="48" t="s">
        <v>561</v>
      </c>
      <c r="Q11" s="73">
        <v>1</v>
      </c>
      <c r="R11" s="49" t="s">
        <v>177</v>
      </c>
      <c r="S11" s="50">
        <v>3</v>
      </c>
      <c r="T11" s="51" t="s">
        <v>166</v>
      </c>
      <c r="U11" s="52" t="s">
        <v>167</v>
      </c>
      <c r="V11" s="52" t="s">
        <v>167</v>
      </c>
      <c r="W11" s="52" t="s">
        <v>166</v>
      </c>
      <c r="X11" s="52" t="s">
        <v>167</v>
      </c>
      <c r="Y11" s="52" t="s">
        <v>167</v>
      </c>
      <c r="Z11" s="52" t="s">
        <v>166</v>
      </c>
      <c r="AA11" s="52" t="s">
        <v>167</v>
      </c>
      <c r="AB11" s="52" t="s">
        <v>166</v>
      </c>
      <c r="AC11" s="52" t="s">
        <v>166</v>
      </c>
      <c r="AD11" s="52" t="s">
        <v>166</v>
      </c>
      <c r="AE11" s="52" t="s">
        <v>167</v>
      </c>
      <c r="AF11" s="53" t="s">
        <v>166</v>
      </c>
      <c r="AG11" s="53" t="s">
        <v>167</v>
      </c>
      <c r="AH11" s="53" t="s">
        <v>166</v>
      </c>
      <c r="AI11" s="53" t="s">
        <v>166</v>
      </c>
      <c r="AJ11" s="53" t="s">
        <v>166</v>
      </c>
      <c r="AK11" s="53" t="s">
        <v>166</v>
      </c>
      <c r="AL11" s="53" t="s">
        <v>166</v>
      </c>
      <c r="AM11" s="53" t="s">
        <v>167</v>
      </c>
      <c r="AN11" s="53" t="s">
        <v>166</v>
      </c>
      <c r="AO11" s="53" t="s">
        <v>166</v>
      </c>
      <c r="AP11" s="53" t="s">
        <v>167</v>
      </c>
      <c r="AQ11" s="53" t="s">
        <v>166</v>
      </c>
      <c r="AR11" s="53" t="s">
        <v>166</v>
      </c>
      <c r="AS11" s="53" t="s">
        <v>166</v>
      </c>
      <c r="AT11" s="54">
        <v>2</v>
      </c>
      <c r="AU11" s="53" t="s">
        <v>360</v>
      </c>
      <c r="AV11" s="53" t="str">
        <f t="shared" si="1"/>
        <v>[AUS]City[AUS] Sydney</v>
      </c>
      <c r="AW11" s="53" t="str">
        <f t="shared" si="2"/>
        <v>3[AUS] New South Wales[AUS] Sydney</v>
      </c>
      <c r="AX11" s="55"/>
      <c r="AY11" s="55"/>
      <c r="AZ11" s="56" t="s">
        <v>157</v>
      </c>
      <c r="BA11" s="56"/>
      <c r="BB11" s="56"/>
      <c r="BC11" s="57"/>
      <c r="BD11" s="58" t="s">
        <v>169</v>
      </c>
      <c r="BE11" s="59"/>
      <c r="BF11" s="58" t="s">
        <v>161</v>
      </c>
      <c r="BG11" s="58" t="s">
        <v>157</v>
      </c>
      <c r="BH11" s="58" t="s">
        <v>154</v>
      </c>
      <c r="BI11" s="58"/>
      <c r="BJ11" s="58"/>
      <c r="BK11" s="59"/>
      <c r="BL11" s="58" t="s">
        <v>153</v>
      </c>
      <c r="BM11" s="58" t="s">
        <v>154</v>
      </c>
      <c r="BN11" s="58" t="s">
        <v>231</v>
      </c>
      <c r="BO11" s="58" t="s">
        <v>156</v>
      </c>
      <c r="BP11" s="58" t="s">
        <v>157</v>
      </c>
      <c r="BQ11" s="58" t="s">
        <v>231</v>
      </c>
      <c r="BR11" s="58" t="s">
        <v>231</v>
      </c>
      <c r="BS11" s="58" t="s">
        <v>231</v>
      </c>
      <c r="BT11" s="58" t="s">
        <v>161</v>
      </c>
      <c r="BU11" s="60"/>
      <c r="BV11" s="61"/>
      <c r="BW11" s="61">
        <v>0</v>
      </c>
      <c r="BX11" s="59"/>
      <c r="CB11" s="5"/>
      <c r="CC11" s="5"/>
      <c r="CD11" s="62">
        <v>0</v>
      </c>
      <c r="CE11" s="62">
        <v>0</v>
      </c>
      <c r="CF11" s="62" t="e">
        <v>#REF!</v>
      </c>
      <c r="CG11" s="75" cm="1">
        <f t="array" ref="CG11">SUMPRODUCT(--(LEN(TRIM(BL11:BT11))&gt;0))</f>
        <v>5</v>
      </c>
      <c r="CH11" s="53" t="str">
        <f t="shared" si="3"/>
        <v>n</v>
      </c>
      <c r="CI11" s="53" t="str">
        <f t="shared" si="4"/>
        <v>n</v>
      </c>
      <c r="CJ11" s="53" t="str">
        <f t="shared" si="5"/>
        <v>n</v>
      </c>
      <c r="CK11" s="53" t="str">
        <f t="shared" si="6"/>
        <v>y</v>
      </c>
      <c r="CL11" s="53" t="str">
        <f t="shared" si="7"/>
        <v>n</v>
      </c>
      <c r="CM11" s="53" t="str">
        <f t="shared" si="8"/>
        <v>n</v>
      </c>
      <c r="CN11" s="53" t="str">
        <f t="shared" si="9"/>
        <v>y</v>
      </c>
      <c r="CO11" s="53" t="str">
        <f t="shared" si="10"/>
        <v>n</v>
      </c>
      <c r="CP11" s="53" t="str">
        <f t="shared" si="11"/>
        <v>n</v>
      </c>
      <c r="CQ11" s="53" t="str">
        <f t="shared" si="12"/>
        <v>n</v>
      </c>
      <c r="CR11" s="53" t="str">
        <f t="shared" si="13"/>
        <v>y</v>
      </c>
      <c r="CS11" s="53" t="str">
        <f t="shared" si="14"/>
        <v>n</v>
      </c>
      <c r="CT11" s="38" t="str">
        <f t="shared" si="15"/>
        <v>"[AUS] Sydney"</v>
      </c>
      <c r="CU11" s="63" t="str">
        <f t="shared" si="16"/>
        <v>"rgn_Oceania"</v>
      </c>
      <c r="CV11" s="44" t="str">
        <f t="shared" si="17"/>
        <v>"https://upload.wikimedia.org/wikipedia/commons/thumb/8/84/City_of_Sydney_Flag.svg/640px-City_of_Sydney_Flag.svg.png"</v>
      </c>
      <c r="CW11" s="44" t="str">
        <f t="shared" si="18"/>
        <v/>
      </c>
      <c r="CX11" s="44" t="str">
        <f t="shared" si="19"/>
        <v/>
      </c>
      <c r="CY11" s="44" t="str">
        <f t="shared" si="20"/>
        <v/>
      </c>
      <c r="CZ11" s="44" t="str">
        <f t="shared" si="21"/>
        <v>"5+Colo",</v>
      </c>
      <c r="DA11" s="44" t="str">
        <f t="shared" si="22"/>
        <v/>
      </c>
      <c r="DB11" s="44" t="str">
        <f t="shared" si="23"/>
        <v/>
      </c>
      <c r="DC11" s="44" t="str">
        <f t="shared" si="24"/>
        <v/>
      </c>
      <c r="DD11" s="44" t="str">
        <f t="shared" si="25"/>
        <v>"lets06",</v>
      </c>
      <c r="DE11" s="44" t="str">
        <f t="shared" si="26"/>
        <v>"startS",</v>
      </c>
      <c r="DF11" s="44" t="str">
        <f t="shared" si="27"/>
        <v/>
      </c>
      <c r="DG11" s="44" t="str">
        <f t="shared" si="28"/>
        <v/>
      </c>
      <c r="DH11" s="44" t="str">
        <f t="shared" si="29"/>
        <v/>
      </c>
      <c r="DI11" s="44" t="str">
        <f t="shared" si="30"/>
        <v/>
      </c>
      <c r="DJ11" s="44" t="str">
        <f t="shared" si="31"/>
        <v>"with_y",</v>
      </c>
      <c r="DK11" s="44" t="str">
        <f t="shared" si="32"/>
        <v/>
      </c>
      <c r="DL11" s="44" t="str">
        <f t="shared" si="33"/>
        <v/>
      </c>
      <c r="DM11" s="44" t="str" cm="1">
        <f t="array" ref="DM11">IF(CG11=3,CHAR(34) &amp; _xlfn.TEXTJOIN("", TRUE, RIGHT(HP11:HX11, 2)) &amp; CHAR(34) &amp; ",", "")</f>
        <v/>
      </c>
      <c r="DN11" s="44" t="str">
        <f t="shared" si="34"/>
        <v/>
      </c>
      <c r="DO11" s="44" t="str">
        <f t="shared" si="35"/>
        <v>"year19",</v>
      </c>
      <c r="DP11" s="5" t="str">
        <f t="shared" si="36"/>
        <v/>
      </c>
      <c r="DQ11" s="5" t="str">
        <f t="shared" si="37"/>
        <v/>
      </c>
      <c r="DR11" s="5" t="str">
        <f t="shared" si="38"/>
        <v/>
      </c>
      <c r="DS11" s="5" t="str">
        <f t="shared" si="39"/>
        <v/>
      </c>
      <c r="DT11" s="5" t="str">
        <f t="shared" si="40"/>
        <v>"allhor",</v>
      </c>
      <c r="DU11" s="5" t="str">
        <f t="shared" si="41"/>
        <v/>
      </c>
      <c r="DV11" s="44" t="str">
        <f t="shared" si="42"/>
        <v>"smallc",</v>
      </c>
      <c r="DW11" s="44" t="str">
        <f t="shared" si="43"/>
        <v/>
      </c>
      <c r="DX11" s="44" t="str">
        <f t="shared" si="44"/>
        <v/>
      </c>
      <c r="DY11" s="44" t="str">
        <f t="shared" si="45"/>
        <v>"3Bands",</v>
      </c>
      <c r="DZ11" s="44" t="str">
        <f t="shared" si="46"/>
        <v/>
      </c>
      <c r="EA11" s="44" t="str">
        <f t="shared" si="47"/>
        <v/>
      </c>
      <c r="EB11" s="44" t="str">
        <f t="shared" si="48"/>
        <v>"Crosse",</v>
      </c>
      <c r="EC11" s="44" t="str">
        <f t="shared" si="49"/>
        <v>"Horizo",</v>
      </c>
      <c r="ED11" s="44" t="str">
        <f t="shared" si="50"/>
        <v/>
      </c>
      <c r="EE11" s="44" t="str">
        <f t="shared" si="51"/>
        <v>"Circle",</v>
      </c>
      <c r="EF11" s="44" t="str">
        <f t="shared" si="52"/>
        <v>"Animal",</v>
      </c>
      <c r="EG11" s="44" t="str">
        <f t="shared" si="53"/>
        <v/>
      </c>
      <c r="EH11" s="44" t="str">
        <f t="shared" si="54"/>
        <v>"Plants",</v>
      </c>
      <c r="EI11" s="44" t="str">
        <f t="shared" si="55"/>
        <v/>
      </c>
      <c r="EJ11" s="44" t="str">
        <f t="shared" si="56"/>
        <v/>
      </c>
      <c r="EK11" s="44" t="str">
        <f t="shared" si="57"/>
        <v/>
      </c>
      <c r="EL11" s="44" t="str">
        <f t="shared" si="58"/>
        <v>"IsMoon",</v>
      </c>
      <c r="EM11" s="44" t="str">
        <f t="shared" si="59"/>
        <v/>
      </c>
      <c r="EN11" s="44" t="str">
        <f t="shared" si="60"/>
        <v>"Unequa",</v>
      </c>
      <c r="EO11" s="44" t="str">
        <f t="shared" si="61"/>
        <v/>
      </c>
      <c r="EP11" s="44" t="str">
        <f t="shared" si="62"/>
        <v/>
      </c>
      <c r="EQ11" s="44" t="str">
        <f t="shared" si="63"/>
        <v/>
      </c>
      <c r="ER11" s="44" t="str">
        <f t="shared" si="64"/>
        <v/>
      </c>
      <c r="ES11" s="44" t="str">
        <f t="shared" si="65"/>
        <v/>
      </c>
      <c r="ET11" s="44" t="str">
        <f t="shared" si="66"/>
        <v>"Geogrh",</v>
      </c>
      <c r="EU11" s="44" t="str">
        <f t="shared" si="67"/>
        <v/>
      </c>
      <c r="EV11" s="44" t="str">
        <f t="shared" si="68"/>
        <v/>
      </c>
      <c r="EW11" s="44" t="str">
        <f t="shared" si="69"/>
        <v>"Ships!",</v>
      </c>
      <c r="EX11" s="44" t="str">
        <f t="shared" si="70"/>
        <v/>
      </c>
      <c r="EY11" s="44" t="str">
        <f t="shared" si="71"/>
        <v/>
      </c>
      <c r="EZ11" s="44" t="str">
        <f t="shared" si="72"/>
        <v/>
      </c>
      <c r="FA11" s="44" t="str">
        <f t="shared" si="73"/>
        <v>"staYEL",</v>
      </c>
      <c r="FB11" s="44" t="str">
        <f t="shared" si="74"/>
        <v/>
      </c>
      <c r="FC11" s="44" t="str">
        <f t="shared" si="75"/>
        <v/>
      </c>
      <c r="FD11" s="44" t="str">
        <f t="shared" si="76"/>
        <v/>
      </c>
      <c r="FE11" s="44" t="str">
        <f t="shared" si="77"/>
        <v/>
      </c>
      <c r="FF11" s="44" t="str">
        <f t="shared" si="78"/>
        <v/>
      </c>
      <c r="FG11" s="44" t="str">
        <f t="shared" si="79"/>
        <v/>
      </c>
      <c r="FH11" s="44" t="str">
        <f t="shared" si="80"/>
        <v>"NO_GRE",</v>
      </c>
      <c r="FI11" s="44" t="str">
        <f t="shared" si="81"/>
        <v/>
      </c>
      <c r="FJ11" s="44" t="str">
        <f t="shared" si="82"/>
        <v/>
      </c>
      <c r="FK11" s="44" t="str">
        <f t="shared" si="83"/>
        <v/>
      </c>
      <c r="FL11" s="44" t="str">
        <f t="shared" si="84"/>
        <v/>
      </c>
      <c r="FM11" s="44" t="str">
        <f t="shared" si="85"/>
        <v/>
      </c>
      <c r="FN11" s="44" t="str">
        <f t="shared" si="86"/>
        <v/>
      </c>
      <c r="FO11" s="44" t="str">
        <f t="shared" si="87"/>
        <v/>
      </c>
      <c r="FP11" s="44" t="str">
        <f t="shared" si="88"/>
        <v/>
      </c>
      <c r="FQ11" s="44" t="str">
        <f t="shared" si="89"/>
        <v>"001WHI",</v>
      </c>
      <c r="FR11" s="44" t="str">
        <f t="shared" si="90"/>
        <v>"002YEL",</v>
      </c>
      <c r="FS11" s="44" t="str">
        <f t="shared" si="91"/>
        <v>"003BLU",</v>
      </c>
      <c r="FT11" s="44" t="str">
        <f t="shared" si="92"/>
        <v>"myrEQ",</v>
      </c>
      <c r="FU11" s="44" t="str">
        <f t="shared" si="93"/>
        <v/>
      </c>
      <c r="FV11" s="44" t="str">
        <f t="shared" si="94"/>
        <v/>
      </c>
      <c r="FW11" s="44" t="str">
        <f t="shared" si="95"/>
        <v/>
      </c>
      <c r="FX11" s="44" t="str">
        <f t="shared" si="96"/>
        <v/>
      </c>
      <c r="FY11" s="44" t="str">
        <f t="shared" si="97"/>
        <v/>
      </c>
      <c r="FZ11" s="44" t="str">
        <f t="shared" si="98"/>
        <v/>
      </c>
      <c r="GA11" s="44" t="str">
        <f t="shared" si="99"/>
        <v/>
      </c>
      <c r="GB11" s="44" t="str">
        <f t="shared" si="100"/>
        <v/>
      </c>
      <c r="GC11" s="44" t="str">
        <f t="shared" si="101"/>
        <v/>
      </c>
      <c r="GD11" s="44" t="str">
        <f t="shared" si="102"/>
        <v/>
      </c>
      <c r="GE11" s="44" t="str">
        <f t="shared" si="103"/>
        <v/>
      </c>
      <c r="GF11" s="44" t="str">
        <f t="shared" si="145"/>
        <v/>
      </c>
      <c r="GG11" s="44" t="str">
        <f t="shared" si="104"/>
        <v/>
      </c>
      <c r="GH11" s="44" t="str">
        <f t="shared" si="105"/>
        <v/>
      </c>
      <c r="GI11" s="44" t="str">
        <f t="shared" si="106"/>
        <v/>
      </c>
      <c r="GJ11" s="44" t="str">
        <f t="shared" si="107"/>
        <v/>
      </c>
      <c r="GK11" s="44" t="str">
        <f t="shared" si="108"/>
        <v>"HasSta",</v>
      </c>
      <c r="GL11" s="44" t="str">
        <f t="shared" si="109"/>
        <v/>
      </c>
      <c r="GM11" s="44" t="str">
        <f t="shared" si="110"/>
        <v>"2Stars",</v>
      </c>
      <c r="GN11" s="44" t="str">
        <f t="shared" si="111"/>
        <v/>
      </c>
      <c r="GP11" s="44" t="str">
        <f t="shared" si="112"/>
        <v>"City"</v>
      </c>
      <c r="GS11" s="44" t="str">
        <f t="shared" si="113"/>
        <v>["5+Colo","lets06","startS","with_y","year19","allhor","smallc","3Bands","Crosse","Horizo","Circle","Animal","Plants","IsMoon","Unequa","Geogrh","Ships!","staYEL","NO_GRE","001WHI","002YEL","003BLU","myrEQ","HasSta","2Stars"]</v>
      </c>
      <c r="GT11" s="44" t="str">
        <f t="shared" si="114"/>
        <v>"cl_BLA",</v>
      </c>
      <c r="GU11" s="44" t="str">
        <f t="shared" si="115"/>
        <v>"cl_BLU",</v>
      </c>
      <c r="GV11" s="44" t="str">
        <f t="shared" si="116"/>
        <v/>
      </c>
      <c r="GW11" s="44" t="str">
        <f t="shared" si="117"/>
        <v>"cl_RED",</v>
      </c>
      <c r="GX11" s="44" t="str">
        <f t="shared" si="118"/>
        <v>"cl_YEL",</v>
      </c>
      <c r="GY11" s="44" t="str">
        <f t="shared" si="119"/>
        <v/>
      </c>
      <c r="GZ11" s="44" t="str">
        <f t="shared" si="120"/>
        <v/>
      </c>
      <c r="HA11" s="44" t="str">
        <f t="shared" si="121"/>
        <v/>
      </c>
      <c r="HB11" s="44" t="str">
        <f t="shared" si="122"/>
        <v>"cl_WHI",</v>
      </c>
      <c r="HC11" s="44" t="str">
        <f t="shared" si="123"/>
        <v>["cl_BLA","cl_BLU","cl_RED","cl_YEL","cl_WHI"]</v>
      </c>
      <c r="HE11" s="64"/>
      <c r="HF11" s="65" t="str">
        <f t="shared" si="124"/>
        <v>{couname:"[AUS] Sydney",year:"1908",region:"rgn_Oceania",Colors:["cl_BLA","cl_BLU","cl_RED","cl_YEL","cl_WHI"],Items:["5+Colo","lets06","startS","with_y","year19","allhor","smallc","3Bands","Crosse","Horizo","Circle","Animal","Plants","IsMoon","Unequa","Geogrh","Ships!","staYEL","NO_GRE","001WHI","002YEL","003BLU","myrEQ","HasSta","2Stars"],Flag:"https://upload.wikimedia.org/wikipedia/commons/thumb/8/84/City_of_Sydney_Flag.svg/640px-City_of_Sydney_Flag.svg.png",HDFlag:"https://upload.wikimedia.org/wikipedia/commons/thumb/8/84/City_of_Sydney_Flag.svg/2560px-City_of_Sydney_Flag.svg.png",type:"City", describe: "\nHorizontal triband of three colours, featuring the coat of arms of Thomas Townshend, Viscount Sydney, James Cook, and Thomas Hughes", isnew:".", links: "https://en.wikipedia.org/wiki/Flag_of_the_City_of_Sydney"},</v>
      </c>
      <c r="HG11" s="66" t="str">
        <f t="shared" si="125"/>
        <v>{couname:"[AUS] Sydney",year:"1908",region:"rgn_Oceania",Colors:["cl_BLA","cl_BLU","cl_RED","cl_YEL","cl_WHI"],Items:["5+Colo","lets06","startS","with_y","year19","allhor","smallc","3Bands","Crosse","Horizo","Circle","Animal","Plants","IsMoon","Unequa","Geogrh","Ships!","staYEL","NO_GRE","001WHI","002YEL","003BLU","myrEQ","HasSta","2Stars"],Flag:"https://upload.wikimedia.org/wikipedia/commons/thumb/8/84/City_of_Sydney_Flag.svg/640px-City_of_Sydney_Flag.svg.png",HDFlag:"https://upload.wikimedia.org/wikipedia/commons/thumb/8/84/City_of_Sydney_Flag.svg/2560px-City_of_Sydney_Flag.svg.png",type:"City", describe: "\nHorizontal triband of three colours, featuring the coat of arms of Thomas Townshend, Viscount Sydney, James Cook, and Thomas Hughes", links: "https://en.wikipedia.org/wiki/Flag_of_the_City_of_Sydney"},</v>
      </c>
      <c r="HH11" s="44" t="str">
        <f t="shared" si="126"/>
        <v>"\nHorizontal triband of three colours, featuring the coat of arms of Thomas Townshend, Viscount Sydney, James Cook, and Thomas Hughes"</v>
      </c>
      <c r="HI11" s="44" t="str">
        <f t="shared" si="127"/>
        <v>"\nHorizontal triband of three colours, featuring the coat of arms of Thomas Townshend, Viscount Sydney, James Cook, and Thomas Hughes"</v>
      </c>
      <c r="HJ11" s="44" t="str">
        <f t="shared" si="128"/>
        <v>"1908"</v>
      </c>
      <c r="HL11" s="44" t="str">
        <f t="shared" si="129"/>
        <v>"https://en.wikipedia.org/wiki/Flag_of_the_City_of_Sydney"</v>
      </c>
      <c r="HM11" s="65" t="str">
        <f t="shared" si="130"/>
        <v>{"couname":"[AUS] Sydney","subtype":"[AUS] New South Wales","year":"1908","region":"rgn_Oceania","Colors":["cl_BLA","cl_BLU","cl_RED","cl_YEL","cl_WHI"],"Items":["5+Colo","lets06","startS","with_y","year19","allhor","smallc","3Bands","Crosse","Horizo","Circle","Animal","Plants","IsMoon","Unequa","Geogrh","Ships!","staYEL","NO_GRE","001WHI","002YEL","003BLU","myrEQ","HasSta","2Stars"],"Flag":"https://upload.wikimedia.org/wikipedia/commons/thumb/8/84/City_of_Sydney_Flag.svg/640px-City_of_Sydney_Flag.svg.png","HDFlag":"https://upload.wikimedia.org/wikipedia/commons/thumb/8/84/City_of_Sydney_Flag.svg/2560px-City_of_Sydney_Flag.svg.png","type":"City", "describe": "\nHorizontal triband of three colours, featuring the coat of arms of Thomas Townshend, Viscount Sydney, James Cook, and Thomas Hughes", "isnew": ".", "links": "https://en.wikipedia.org/wiki/Flag_of_the_City_of_Sydney"},</v>
      </c>
      <c r="HN11" s="67" t="str">
        <f t="shared" si="131"/>
        <v>{"couname":"[AUS] Sydney","subtype":"[AUS] New South Wales","year":"1908","region":"rgn_Oceania","Colors":["cl_BLA","cl_BLU","cl_RED","cl_YEL","cl_WHI"],"Items":["5+Colo","lets06","startS","with_y","year19","allhor","smallc","3Bands","Crosse","Horizo","Circle","Animal","Plants","IsMoon","Unequa","Geogrh","Ships!","staYEL","NO_GRE","001WHI","002YEL","003BLU","myrEQ","HasSta","2Stars"],"Flag":"https://upload.wikimedia.org/wikipedia/commons/thumb/8/84/City_of_Sydney_Flag.svg/640px-City_of_Sydney_Flag.svg.png","HDFlag":"https://upload.wikimedia.org/wikipedia/commons/thumb/8/84/City_of_Sydney_Flag.svg/2560px-City_of_Sydney_Flag.svg.png","type":"City", "describe": "\nHorizontal triband of three colours, featuring the coat of arms of Thomas Townshend, Viscount Sydney, James Cook, and Thomas Hughes", "isnew": ".", "links": "https://en.wikipedia.org/wiki/Flag_of_the_City_of_Sydney"},</v>
      </c>
      <c r="HO11" s="71">
        <v>45576</v>
      </c>
      <c r="HP11" s="44" t="str" cm="1">
        <f t="array" ref="HP11">IF(_xlfn.TEXTJOIN(", ", TRUE, IF(ISNUMBER(SEARCH("BLA", BL11:BT11)), COLUMN(BL11:BT11) - COLUMN(BL11) + 1, ""))&lt;&gt;"","BLA","")</f>
        <v>BLA</v>
      </c>
      <c r="HQ11" s="44" t="str" cm="1">
        <f t="array" ref="HQ11">IF(_xlfn.TEXTJOIN(", ", TRUE, IF(ISNUMBER(SEARCH("BLU", BL11:BT11)), COLUMN(BL11:BT11) - COLUMN(BL11) + 1, ""))&lt;&gt;"","BLU","")</f>
        <v>BLU</v>
      </c>
      <c r="HR11" s="44" t="str" cm="1">
        <f t="array" ref="HR11">IF(_xlfn.TEXTJOIN(", ", TRUE, IF(ISNUMBER(SEARCH("GRE", BL11:BT11)), COLUMN(BL11:BT11) - COLUMN(BL11) + 1, ""))&lt;&gt;"","GRE","")</f>
        <v/>
      </c>
      <c r="HS11" s="44" t="str" cm="1">
        <f t="array" ref="HS11">IF(_xlfn.TEXTJOIN(", ", TRUE, IF(ISNUMBER(SEARCH("RED", BL11:BT11)), COLUMN(BL11:BT11) - COLUMN(BL11) + 1, ""))&lt;&gt;"","RED","")</f>
        <v>RED</v>
      </c>
      <c r="HT11" s="44" t="str" cm="1">
        <f t="array" ref="HT11">IF(_xlfn.TEXTJOIN(", ", TRUE, IF(ISNUMBER(SEARCH("YEL", BL11:BT11)), COLUMN(BL11:BT11) - COLUMN(BL11) + 1, ""))&lt;&gt;"","YEL","")</f>
        <v>YEL</v>
      </c>
      <c r="HU11" s="44" t="str" cm="1">
        <f t="array" ref="HU11">IF(_xlfn.TEXTJOIN(", ", TRUE, IF(ISNUMBER(SEARCH("ORA", BL11:BT11)), COLUMN(BL11:BT11) - COLUMN(BL11) + 1, ""))&lt;&gt;"","ORA","")</f>
        <v/>
      </c>
      <c r="HV11" s="44" t="str" cm="1">
        <f t="array" ref="HV11">IF(_xlfn.TEXTJOIN(", ", TRUE, IF(ISNUMBER(SEARCH("BRO", BL11:BT11)), COLUMN(BL11:BT11) - COLUMN(BL11) + 1, ""))&lt;&gt;"","BRO","")</f>
        <v/>
      </c>
      <c r="HW11" s="44" t="str" cm="1">
        <f t="array" ref="HW11">IF(_xlfn.TEXTJOIN(", ", TRUE, IF(ISNUMBER(SEARCH("PUR", BL11:BT11)), COLUMN(BL11:BT11) - COLUMN(BL11) + 1, ""))&lt;&gt;"","PUR","")</f>
        <v/>
      </c>
      <c r="HX11" s="44" t="str" cm="1">
        <f t="array" ref="HX11">IF(_xlfn.TEXTJOIN(", ", TRUE, IF(ISNUMBER(SEARCH("WHI", BL11:BT11)), COLUMN(BL11:BT11) - COLUMN(BL11) + 1, ""))&lt;&gt;"","WHI","")</f>
        <v>WHI</v>
      </c>
      <c r="HY11" s="72"/>
      <c r="HZ11" s="72"/>
      <c r="IA11" s="5" t="s">
        <v>166</v>
      </c>
      <c r="IB11" s="5"/>
      <c r="IC11" s="68"/>
      <c r="ID11" s="68"/>
      <c r="IE11" s="68"/>
      <c r="IF11" s="68"/>
      <c r="IG11" s="68"/>
      <c r="IH11" s="68"/>
      <c r="II11" s="68"/>
      <c r="IJ11" s="68"/>
      <c r="IK11" s="68"/>
      <c r="IL11" s="44">
        <f t="shared" si="132"/>
        <v>0</v>
      </c>
      <c r="IM11" s="42">
        <f t="shared" si="133"/>
        <v>-5</v>
      </c>
      <c r="IN11" s="69" t="str">
        <f t="shared" si="134"/>
        <v>http://mkweb.bcgsc.ca/color-summarizer/?url=https://upload.wikimedia.org/wikipedia/commons/thumb/8/84/City_of_Sydney_Flag.svg/640px-City_of_Sydney_Flag.svg.png&amp;precision=low&amp;num_clusters=5&amp;text=1</v>
      </c>
      <c r="IO11" s="44" t="str">
        <f t="shared" si="135"/>
        <v>"black"</v>
      </c>
      <c r="IP11" s="44" t="str">
        <f t="shared" si="136"/>
        <v>"blue"</v>
      </c>
      <c r="IQ11" s="44" t="str">
        <f t="shared" si="137"/>
        <v/>
      </c>
      <c r="IR11" s="44" t="str">
        <f t="shared" si="138"/>
        <v>"red"</v>
      </c>
      <c r="IS11" s="44" t="str">
        <f t="shared" si="139"/>
        <v>"yellow"</v>
      </c>
      <c r="IT11" s="44" t="str">
        <f t="shared" si="140"/>
        <v/>
      </c>
      <c r="IU11" s="44" t="str">
        <f t="shared" si="141"/>
        <v/>
      </c>
      <c r="IV11" s="44" t="str">
        <f t="shared" si="142"/>
        <v/>
      </c>
      <c r="IW11" s="44" t="str">
        <f t="shared" si="143"/>
        <v>"white"</v>
      </c>
      <c r="IX11" s="44" t="str">
        <f t="shared" si="144"/>
        <v>{"url":"http://mkweb.bcgsc.ca/color-summarizer/?url=https://upload.wikimedia.org/wikipedia/commons/thumb/8/84/City_of_Sydney_Flag.svg/640px-City_of_Sydney_Flag.svg.png&amp;precision=low&amp;num_clusters=5&amp;text=1","name":"[AUS] Sydney"},</v>
      </c>
      <c r="IY11" s="44">
        <v>948</v>
      </c>
    </row>
    <row r="12" spans="1:259" s="44" customFormat="1" ht="38.4" customHeight="1" thickBot="1" x14ac:dyDescent="0.35">
      <c r="A12" s="81" t="s">
        <v>538</v>
      </c>
      <c r="B12" s="78" t="e" vm="13">
        <v>#VALUE!</v>
      </c>
      <c r="C12" s="39">
        <v>3</v>
      </c>
      <c r="D12" s="70" t="s">
        <v>539</v>
      </c>
      <c r="E12" s="40" t="s">
        <v>540</v>
      </c>
      <c r="F12" s="41" t="s">
        <v>165</v>
      </c>
      <c r="G12" s="42">
        <f t="shared" si="0"/>
        <v>1</v>
      </c>
      <c r="H12" s="43" t="s">
        <v>367</v>
      </c>
      <c r="I12" s="59" t="s">
        <v>541</v>
      </c>
      <c r="J12" s="44" t="str">
        <f>""</f>
        <v/>
      </c>
      <c r="K12" s="45"/>
      <c r="L12" s="46"/>
      <c r="M12" s="46"/>
      <c r="N12" s="47" t="s">
        <v>177</v>
      </c>
      <c r="O12" s="74" t="s">
        <v>408</v>
      </c>
      <c r="P12" s="48" t="s">
        <v>542</v>
      </c>
      <c r="Q12" s="73">
        <v>1</v>
      </c>
      <c r="R12" s="49" t="s">
        <v>177</v>
      </c>
      <c r="S12" s="50">
        <v>3</v>
      </c>
      <c r="T12" s="51" t="s">
        <v>166</v>
      </c>
      <c r="U12" s="52" t="s">
        <v>166</v>
      </c>
      <c r="V12" s="52" t="s">
        <v>166</v>
      </c>
      <c r="W12" s="52" t="s">
        <v>167</v>
      </c>
      <c r="X12" s="52" t="s">
        <v>167</v>
      </c>
      <c r="Y12" s="52" t="s">
        <v>166</v>
      </c>
      <c r="Z12" s="52" t="s">
        <v>167</v>
      </c>
      <c r="AA12" s="52" t="s">
        <v>167</v>
      </c>
      <c r="AB12" s="52" t="s">
        <v>167</v>
      </c>
      <c r="AC12" s="52" t="s">
        <v>167</v>
      </c>
      <c r="AD12" s="52" t="s">
        <v>167</v>
      </c>
      <c r="AE12" s="52" t="s">
        <v>166</v>
      </c>
      <c r="AF12" s="53" t="s">
        <v>166</v>
      </c>
      <c r="AG12" s="53" t="s">
        <v>166</v>
      </c>
      <c r="AH12" s="53" t="s">
        <v>167</v>
      </c>
      <c r="AI12" s="53" t="s">
        <v>166</v>
      </c>
      <c r="AJ12" s="53" t="s">
        <v>166</v>
      </c>
      <c r="AK12" s="53" t="s">
        <v>166</v>
      </c>
      <c r="AL12" s="53" t="s">
        <v>166</v>
      </c>
      <c r="AM12" s="53" t="s">
        <v>167</v>
      </c>
      <c r="AN12" s="53" t="s">
        <v>167</v>
      </c>
      <c r="AO12" s="53" t="s">
        <v>167</v>
      </c>
      <c r="AP12" s="53" t="s">
        <v>167</v>
      </c>
      <c r="AQ12" s="53" t="s">
        <v>167</v>
      </c>
      <c r="AR12" s="53" t="s">
        <v>166</v>
      </c>
      <c r="AS12" s="53" t="s">
        <v>166</v>
      </c>
      <c r="AT12" s="54">
        <v>1</v>
      </c>
      <c r="AU12" s="53" t="s">
        <v>360</v>
      </c>
      <c r="AV12" s="53" t="str">
        <f t="shared" si="1"/>
        <v>[AUS]City[AUS] Darwin</v>
      </c>
      <c r="AW12" s="53" t="str">
        <f t="shared" si="2"/>
        <v>3[AUS] Northern Territory[AUS] Darwin</v>
      </c>
      <c r="AX12" s="55"/>
      <c r="AY12" s="55"/>
      <c r="AZ12" s="56" t="s">
        <v>157</v>
      </c>
      <c r="BA12" s="56"/>
      <c r="BB12" s="56"/>
      <c r="BC12" s="57"/>
      <c r="BD12" s="58" t="s">
        <v>156</v>
      </c>
      <c r="BE12" s="59"/>
      <c r="BF12" s="58" t="s">
        <v>155</v>
      </c>
      <c r="BG12" s="58" t="s">
        <v>157</v>
      </c>
      <c r="BH12" s="58" t="s">
        <v>156</v>
      </c>
      <c r="BI12" s="58"/>
      <c r="BJ12" s="58"/>
      <c r="BK12" s="59"/>
      <c r="BL12" s="58" t="s">
        <v>153</v>
      </c>
      <c r="BM12" s="58" t="s">
        <v>154</v>
      </c>
      <c r="BN12" s="58" t="s">
        <v>155</v>
      </c>
      <c r="BO12" s="58" t="s">
        <v>156</v>
      </c>
      <c r="BP12" s="58" t="s">
        <v>157</v>
      </c>
      <c r="BQ12" s="58" t="s">
        <v>158</v>
      </c>
      <c r="BR12" s="58" t="s">
        <v>159</v>
      </c>
      <c r="BS12" s="58" t="s">
        <v>231</v>
      </c>
      <c r="BT12" s="58" t="s">
        <v>161</v>
      </c>
      <c r="BU12" s="60"/>
      <c r="BV12" s="61"/>
      <c r="BW12" s="61">
        <v>0</v>
      </c>
      <c r="BX12" s="59"/>
      <c r="CB12" s="5"/>
      <c r="CC12" s="5"/>
      <c r="CD12" s="62">
        <v>0</v>
      </c>
      <c r="CE12" s="62">
        <v>0</v>
      </c>
      <c r="CF12" s="62" t="e">
        <v>#REF!</v>
      </c>
      <c r="CG12" s="75" cm="1">
        <f t="array" ref="CG12">SUMPRODUCT(--(LEN(TRIM(BL12:BT12))&gt;0))</f>
        <v>8</v>
      </c>
      <c r="CH12" s="53" t="str">
        <f t="shared" si="3"/>
        <v>n</v>
      </c>
      <c r="CI12" s="53" t="str">
        <f t="shared" si="4"/>
        <v>n</v>
      </c>
      <c r="CJ12" s="53" t="str">
        <f t="shared" si="5"/>
        <v>n</v>
      </c>
      <c r="CK12" s="53" t="str">
        <f t="shared" si="6"/>
        <v>y</v>
      </c>
      <c r="CL12" s="53" t="str">
        <f t="shared" si="7"/>
        <v>n</v>
      </c>
      <c r="CM12" s="53" t="str">
        <f t="shared" si="8"/>
        <v>n</v>
      </c>
      <c r="CN12" s="53" t="str">
        <f t="shared" si="9"/>
        <v>y</v>
      </c>
      <c r="CO12" s="53" t="str">
        <f t="shared" si="10"/>
        <v>n</v>
      </c>
      <c r="CP12" s="53" t="str">
        <f t="shared" si="11"/>
        <v>n</v>
      </c>
      <c r="CQ12" s="53" t="str">
        <f t="shared" si="12"/>
        <v>y</v>
      </c>
      <c r="CR12" s="53" t="str">
        <f t="shared" si="13"/>
        <v>n</v>
      </c>
      <c r="CS12" s="53" t="str">
        <f t="shared" si="14"/>
        <v>n</v>
      </c>
      <c r="CT12" s="38" t="str">
        <f t="shared" si="15"/>
        <v>"[AUS] Darwin"</v>
      </c>
      <c r="CU12" s="63" t="str">
        <f t="shared" si="16"/>
        <v>"rgn_Oceania"</v>
      </c>
      <c r="CV12" s="44" t="str">
        <f t="shared" si="17"/>
        <v>"https://upload.wikimedia.org/wikipedia/commons/thumb/d/df/Flag_of_Darwin.svg/640px-Flag_of_Darwin.svg.png"</v>
      </c>
      <c r="CW12" s="44" t="str">
        <f t="shared" si="18"/>
        <v/>
      </c>
      <c r="CX12" s="44" t="str">
        <f t="shared" si="19"/>
        <v/>
      </c>
      <c r="CY12" s="44" t="str">
        <f t="shared" si="20"/>
        <v/>
      </c>
      <c r="CZ12" s="44" t="str">
        <f t="shared" si="21"/>
        <v>"5+Colo",</v>
      </c>
      <c r="DA12" s="44" t="str">
        <f t="shared" si="22"/>
        <v/>
      </c>
      <c r="DB12" s="44" t="str">
        <f t="shared" si="23"/>
        <v/>
      </c>
      <c r="DC12" s="44" t="str">
        <f t="shared" si="24"/>
        <v/>
      </c>
      <c r="DD12" s="44" t="str">
        <f t="shared" si="25"/>
        <v>"lets06",</v>
      </c>
      <c r="DE12" s="44" t="str">
        <f t="shared" si="26"/>
        <v>"startD",</v>
      </c>
      <c r="DF12" s="44" t="str">
        <f t="shared" si="27"/>
        <v/>
      </c>
      <c r="DG12" s="44" t="str">
        <f t="shared" si="28"/>
        <v/>
      </c>
      <c r="DH12" s="44" t="str">
        <f t="shared" si="29"/>
        <v/>
      </c>
      <c r="DI12" s="44" t="str">
        <f t="shared" si="30"/>
        <v>"with_w",</v>
      </c>
      <c r="DJ12" s="44" t="str">
        <f t="shared" si="31"/>
        <v/>
      </c>
      <c r="DK12" s="44" t="str">
        <f t="shared" si="32"/>
        <v/>
      </c>
      <c r="DL12" s="44" t="str">
        <f t="shared" si="33"/>
        <v/>
      </c>
      <c r="DM12" s="44" t="str" cm="1">
        <f t="array" ref="DM12">IF(CG12=3,CHAR(34) &amp; _xlfn.TEXTJOIN("", TRUE, RIGHT(HP12:HX12, 2)) &amp; CHAR(34) &amp; ",", "")</f>
        <v/>
      </c>
      <c r="DN12" s="44" t="str">
        <f t="shared" si="34"/>
        <v/>
      </c>
      <c r="DO12" s="44" t="str">
        <f t="shared" si="35"/>
        <v/>
      </c>
      <c r="DP12" s="5" t="str">
        <f t="shared" si="36"/>
        <v>"year00",</v>
      </c>
      <c r="DQ12" s="5" t="str">
        <f t="shared" si="37"/>
        <v/>
      </c>
      <c r="DR12" s="5" t="str">
        <f t="shared" si="38"/>
        <v/>
      </c>
      <c r="DS12" s="5" t="str">
        <f t="shared" si="39"/>
        <v>"allver",</v>
      </c>
      <c r="DT12" s="5" t="str">
        <f t="shared" si="40"/>
        <v/>
      </c>
      <c r="DU12" s="5" t="str">
        <f t="shared" si="41"/>
        <v/>
      </c>
      <c r="DV12" s="44" t="str">
        <f t="shared" si="42"/>
        <v/>
      </c>
      <c r="DW12" s="44" t="str">
        <f t="shared" si="43"/>
        <v/>
      </c>
      <c r="DX12" s="44" t="str">
        <f t="shared" si="44"/>
        <v/>
      </c>
      <c r="DY12" s="44" t="str">
        <f t="shared" si="45"/>
        <v>"3Bands",</v>
      </c>
      <c r="DZ12" s="44" t="str">
        <f t="shared" si="46"/>
        <v/>
      </c>
      <c r="EA12" s="44" t="str">
        <f t="shared" si="47"/>
        <v/>
      </c>
      <c r="EB12" s="44" t="str">
        <f t="shared" si="48"/>
        <v/>
      </c>
      <c r="EC12" s="44" t="str">
        <f t="shared" si="49"/>
        <v/>
      </c>
      <c r="ED12" s="44" t="str">
        <f t="shared" si="50"/>
        <v>"Vertic",</v>
      </c>
      <c r="EE12" s="44" t="str">
        <f t="shared" si="51"/>
        <v>"Circle",</v>
      </c>
      <c r="EF12" s="44" t="str">
        <f t="shared" si="52"/>
        <v/>
      </c>
      <c r="EG12" s="44" t="str">
        <f t="shared" si="53"/>
        <v>"Bird",</v>
      </c>
      <c r="EH12" s="44" t="str">
        <f t="shared" si="54"/>
        <v>"Plants",</v>
      </c>
      <c r="EI12" s="44" t="str">
        <f t="shared" si="55"/>
        <v>"Texted",</v>
      </c>
      <c r="EJ12" s="44" t="str">
        <f t="shared" si="56"/>
        <v>"Weapon",</v>
      </c>
      <c r="EK12" s="44" t="str">
        <f t="shared" si="57"/>
        <v>"HasSun",</v>
      </c>
      <c r="EL12" s="44" t="str">
        <f t="shared" si="58"/>
        <v/>
      </c>
      <c r="EM12" s="44" t="str">
        <f t="shared" si="59"/>
        <v/>
      </c>
      <c r="EN12" s="44" t="str">
        <f t="shared" si="60"/>
        <v/>
      </c>
      <c r="EO12" s="44" t="str">
        <f t="shared" si="61"/>
        <v>"Center",</v>
      </c>
      <c r="EP12" s="44" t="str">
        <f t="shared" si="62"/>
        <v/>
      </c>
      <c r="EQ12" s="44" t="str">
        <f t="shared" si="63"/>
        <v/>
      </c>
      <c r="ER12" s="44" t="str">
        <f t="shared" si="64"/>
        <v/>
      </c>
      <c r="ES12" s="44" t="str">
        <f t="shared" si="65"/>
        <v/>
      </c>
      <c r="ET12" s="44" t="str">
        <f t="shared" si="66"/>
        <v>"Geogrh",</v>
      </c>
      <c r="EU12" s="44" t="str">
        <f t="shared" si="67"/>
        <v>"Humans",</v>
      </c>
      <c r="EV12" s="44" t="str">
        <f t="shared" si="68"/>
        <v>"Builds",</v>
      </c>
      <c r="EW12" s="44" t="str">
        <f t="shared" si="69"/>
        <v>"Ships!",</v>
      </c>
      <c r="EX12" s="44" t="str">
        <f t="shared" si="70"/>
        <v>"Crowns",</v>
      </c>
      <c r="EY12" s="44" t="str">
        <f t="shared" si="71"/>
        <v/>
      </c>
      <c r="EZ12" s="44" t="str">
        <f t="shared" si="72"/>
        <v/>
      </c>
      <c r="FA12" s="44" t="str">
        <f t="shared" si="73"/>
        <v>"staYEL",</v>
      </c>
      <c r="FB12" s="44" t="str">
        <f t="shared" si="74"/>
        <v/>
      </c>
      <c r="FC12" s="44" t="str">
        <f t="shared" si="75"/>
        <v/>
      </c>
      <c r="FD12" s="44" t="str">
        <f t="shared" si="76"/>
        <v/>
      </c>
      <c r="FE12" s="44" t="str">
        <f t="shared" si="77"/>
        <v/>
      </c>
      <c r="FF12" s="44" t="str">
        <f t="shared" si="78"/>
        <v/>
      </c>
      <c r="FG12" s="44" t="str">
        <f t="shared" si="79"/>
        <v/>
      </c>
      <c r="FH12" s="44" t="str">
        <f t="shared" si="80"/>
        <v/>
      </c>
      <c r="FI12" s="44" t="str">
        <f t="shared" si="81"/>
        <v/>
      </c>
      <c r="FJ12" s="44" t="str">
        <f t="shared" si="82"/>
        <v/>
      </c>
      <c r="FK12" s="44" t="str">
        <f t="shared" si="83"/>
        <v/>
      </c>
      <c r="FL12" s="44" t="str">
        <f t="shared" si="84"/>
        <v/>
      </c>
      <c r="FM12" s="44" t="str">
        <f t="shared" si="85"/>
        <v/>
      </c>
      <c r="FN12" s="44" t="str">
        <f t="shared" si="86"/>
        <v/>
      </c>
      <c r="FO12" s="44" t="str">
        <f t="shared" si="87"/>
        <v/>
      </c>
      <c r="FP12" s="44" t="str">
        <f t="shared" si="88"/>
        <v/>
      </c>
      <c r="FQ12" s="44" t="str">
        <f t="shared" si="89"/>
        <v>"001GRE",</v>
      </c>
      <c r="FR12" s="44" t="str">
        <f t="shared" si="90"/>
        <v>"002YEL",</v>
      </c>
      <c r="FS12" s="44" t="str">
        <f t="shared" si="91"/>
        <v>"003RED",</v>
      </c>
      <c r="FT12" s="44" t="str">
        <f t="shared" si="92"/>
        <v>"myrRED",</v>
      </c>
      <c r="FU12" s="44" t="str">
        <f t="shared" si="93"/>
        <v/>
      </c>
      <c r="FV12" s="44" t="str">
        <f t="shared" si="94"/>
        <v/>
      </c>
      <c r="FW12" s="44" t="str">
        <f t="shared" si="95"/>
        <v/>
      </c>
      <c r="FX12" s="44" t="str">
        <f t="shared" si="96"/>
        <v/>
      </c>
      <c r="FY12" s="44" t="str">
        <f t="shared" si="97"/>
        <v/>
      </c>
      <c r="FZ12" s="44" t="str">
        <f t="shared" si="98"/>
        <v/>
      </c>
      <c r="GA12" s="44" t="str">
        <f t="shared" si="99"/>
        <v/>
      </c>
      <c r="GB12" s="44" t="str">
        <f t="shared" si="100"/>
        <v/>
      </c>
      <c r="GC12" s="44" t="str">
        <f t="shared" si="101"/>
        <v/>
      </c>
      <c r="GD12" s="44" t="str">
        <f t="shared" si="102"/>
        <v/>
      </c>
      <c r="GE12" s="44" t="str">
        <f t="shared" si="103"/>
        <v/>
      </c>
      <c r="GF12" s="44" t="str">
        <f t="shared" si="145"/>
        <v/>
      </c>
      <c r="GG12" s="44" t="str">
        <f t="shared" si="104"/>
        <v/>
      </c>
      <c r="GH12" s="44" t="str">
        <f t="shared" si="105"/>
        <v/>
      </c>
      <c r="GI12" s="44" t="str">
        <f t="shared" si="106"/>
        <v/>
      </c>
      <c r="GJ12" s="44" t="str">
        <f t="shared" si="107"/>
        <v/>
      </c>
      <c r="GK12" s="44" t="str">
        <f t="shared" si="108"/>
        <v>"HasSta",</v>
      </c>
      <c r="GL12" s="44" t="str">
        <f t="shared" si="109"/>
        <v>"1Stars",</v>
      </c>
      <c r="GM12" s="44" t="str">
        <f t="shared" si="110"/>
        <v/>
      </c>
      <c r="GN12" s="44" t="str">
        <f t="shared" si="111"/>
        <v/>
      </c>
      <c r="GP12" s="44" t="str">
        <f t="shared" si="112"/>
        <v>"City"</v>
      </c>
      <c r="GS12" s="44" t="str">
        <f t="shared" si="113"/>
        <v>["5+Colo","lets06","startD","with_w","year00","allver","3Bands","Vertic","Circle","Bird","Plants","Texted","Weapon","HasSun","Center","Geogrh","Humans","Builds","Ships!","Crowns","staYEL","001GRE","002YEL","003RED","myrRED","HasSta","1Stars"]</v>
      </c>
      <c r="GT12" s="44" t="str">
        <f t="shared" si="114"/>
        <v>"cl_BLA",</v>
      </c>
      <c r="GU12" s="44" t="str">
        <f t="shared" si="115"/>
        <v>"cl_BLU",</v>
      </c>
      <c r="GV12" s="44" t="str">
        <f t="shared" si="116"/>
        <v>"cl_GRE",</v>
      </c>
      <c r="GW12" s="44" t="str">
        <f t="shared" si="117"/>
        <v>"cl_RED",</v>
      </c>
      <c r="GX12" s="44" t="str">
        <f t="shared" si="118"/>
        <v>"cl_YEL",</v>
      </c>
      <c r="GY12" s="44" t="str">
        <f t="shared" si="119"/>
        <v>"cl_ORA",</v>
      </c>
      <c r="GZ12" s="44" t="str">
        <f t="shared" si="120"/>
        <v>"cl_BRO",</v>
      </c>
      <c r="HA12" s="44" t="str">
        <f t="shared" si="121"/>
        <v/>
      </c>
      <c r="HB12" s="44" t="str">
        <f t="shared" si="122"/>
        <v>"cl_WHI",</v>
      </c>
      <c r="HC12" s="44" t="str">
        <f t="shared" si="123"/>
        <v>["cl_BLA","cl_BLU","cl_GRE","cl_RED","cl_YEL","cl_ORA","cl_BRO","cl_WHI"]</v>
      </c>
      <c r="HE12" s="64"/>
      <c r="HF12" s="65" t="str">
        <f t="shared" si="124"/>
        <v>{couname:"[AUS] Darwin",year:"2009",region:"rgn_Oceania",Colors:["cl_BLA","cl_BLU","cl_GRE","cl_RED","cl_YEL","cl_ORA","cl_BRO","cl_WHI"],Items:["5+Colo","lets06","startD","with_w","year00","allver","3Bands","Vertic","Circle","Bird","Plants","Texted","Weapon","HasSun","Center","Geogrh","Humans","Builds","Ships!","Crowns","staYEL","001GRE","002YEL","003RED","myrRED","HasSta","1Stars"],Flag:"https://upload.wikimedia.org/wikipedia/commons/thumb/d/df/Flag_of_Darwin.svg/640px-Flag_of_Darwin.svg.png",HDFlag:"https://upload.wikimedia.org/wikipedia/commons/thumb/d/df/Flag_of_Darwin.svg/2560px-Flag_of_Darwin.svg.png",type:"City", describe: "\nGreen, yellow, red tricolour with coat of arms. According to council policy, Darwin maintains both the coat of arms flag and a logo flag.", isnew:".", links: "https://en.wikipedia.org/wiki/Darwin,_Northern_Territory"},</v>
      </c>
      <c r="HG12" s="66" t="str">
        <f t="shared" si="125"/>
        <v>{couname:"[AUS] Darwin",year:"2009",region:"rgn_Oceania",Colors:["cl_BLA","cl_BLU","cl_GRE","cl_RED","cl_YEL","cl_ORA","cl_BRO","cl_WHI"],Items:["5+Colo","lets06","startD","with_w","year00","allver","3Bands","Vertic","Circle","Bird","Plants","Texted","Weapon","HasSun","Center","Geogrh","Humans","Builds","Ships!","Crowns","staYEL","001GRE","002YEL","003RED","myrRED","HasSta","1Stars"],Flag:"https://upload.wikimedia.org/wikipedia/commons/thumb/d/df/Flag_of_Darwin.svg/640px-Flag_of_Darwin.svg.png",HDFlag:"https://upload.wikimedia.org/wikipedia/commons/thumb/d/df/Flag_of_Darwin.svg/2560px-Flag_of_Darwin.svg.png",type:"City", describe: "\nGreen, yellow, red tricolour with coat of arms. According to council policy, Darwin maintains both the coat of arms flag and a logo flag.", links: "https://en.wikipedia.org/wiki/Darwin,_Northern_Territory"},</v>
      </c>
      <c r="HH12" s="44" t="str">
        <f t="shared" si="126"/>
        <v>"\nGreen, yellow, red tricolour with coat of arms. According to council policy, Darwin maintains both the coat of arms flag and a logo flag."</v>
      </c>
      <c r="HI12" s="44" t="str">
        <f t="shared" si="127"/>
        <v>"\nGreen, yellow, red tricolour with coat of arms. According to council policy, Darwin maintains both the coat of arms flag and a logo flag."</v>
      </c>
      <c r="HJ12" s="44" t="str">
        <f t="shared" si="128"/>
        <v>"2009"</v>
      </c>
      <c r="HL12" s="44" t="str">
        <f t="shared" si="129"/>
        <v>"https://en.wikipedia.org/wiki/Darwin,_Northern_Territory"</v>
      </c>
      <c r="HM12" s="65" t="str">
        <f t="shared" si="130"/>
        <v>{"couname":"[AUS] Darwin","subtype":"[AUS] Northern Territory","year":"2009","region":"rgn_Oceania","Colors":["cl_BLA","cl_BLU","cl_GRE","cl_RED","cl_YEL","cl_ORA","cl_BRO","cl_WHI"],"Items":["5+Colo","lets06","startD","with_w","year00","allver","3Bands","Vertic","Circle","Bird","Plants","Texted","Weapon","HasSun","Center","Geogrh","Humans","Builds","Ships!","Crowns","staYEL","001GRE","002YEL","003RED","myrRED","HasSta","1Stars"],"Flag":"https://upload.wikimedia.org/wikipedia/commons/thumb/d/df/Flag_of_Darwin.svg/640px-Flag_of_Darwin.svg.png","HDFlag":"https://upload.wikimedia.org/wikipedia/commons/thumb/d/df/Flag_of_Darwin.svg/2560px-Flag_of_Darwin.svg.png","type":"City", "describe": "\nGreen, yellow, red tricolour with coat of arms. According to council policy, Darwin maintains both the coat of arms flag and a logo flag.", "isnew": ".", "links": "https://en.wikipedia.org/wiki/Darwin,_Northern_Territory"},</v>
      </c>
      <c r="HN12" s="67" t="str">
        <f t="shared" si="131"/>
        <v>{"couname":"[AUS] Darwin","subtype":"[AUS] Northern Territory","year":"2009","region":"rgn_Oceania","Colors":["cl_BLA","cl_BLU","cl_GRE","cl_RED","cl_YEL","cl_ORA","cl_BRO","cl_WHI"],"Items":["5+Colo","lets06","startD","with_w","year00","allver","3Bands","Vertic","Circle","Bird","Plants","Texted","Weapon","HasSun","Center","Geogrh","Humans","Builds","Ships!","Crowns","staYEL","001GRE","002YEL","003RED","myrRED","HasSta","1Stars"],"Flag":"https://upload.wikimedia.org/wikipedia/commons/thumb/d/df/Flag_of_Darwin.svg/640px-Flag_of_Darwin.svg.png","HDFlag":"https://upload.wikimedia.org/wikipedia/commons/thumb/d/df/Flag_of_Darwin.svg/2560px-Flag_of_Darwin.svg.png","type":"City", "describe": "\nGreen, yellow, red tricolour with coat of arms. According to council policy, Darwin maintains both the coat of arms flag and a logo flag.", "isnew": ".", "links": "https://en.wikipedia.org/wiki/Darwin,_Northern_Territory"},</v>
      </c>
      <c r="HO12" s="71">
        <v>45576</v>
      </c>
      <c r="HP12" s="44" t="str" cm="1">
        <f t="array" ref="HP12">IF(_xlfn.TEXTJOIN(", ", TRUE, IF(ISNUMBER(SEARCH("BLA", BL12:BT12)), COLUMN(BL12:BT12) - COLUMN(BL12) + 1, ""))&lt;&gt;"","BLA","")</f>
        <v>BLA</v>
      </c>
      <c r="HQ12" s="44" t="str" cm="1">
        <f t="array" ref="HQ12">IF(_xlfn.TEXTJOIN(", ", TRUE, IF(ISNUMBER(SEARCH("BLU", BL12:BT12)), COLUMN(BL12:BT12) - COLUMN(BL12) + 1, ""))&lt;&gt;"","BLU","")</f>
        <v>BLU</v>
      </c>
      <c r="HR12" s="44" t="str" cm="1">
        <f t="array" ref="HR12">IF(_xlfn.TEXTJOIN(", ", TRUE, IF(ISNUMBER(SEARCH("GRE", BL12:BT12)), COLUMN(BL12:BT12) - COLUMN(BL12) + 1, ""))&lt;&gt;"","GRE","")</f>
        <v>GRE</v>
      </c>
      <c r="HS12" s="44" t="str" cm="1">
        <f t="array" ref="HS12">IF(_xlfn.TEXTJOIN(", ", TRUE, IF(ISNUMBER(SEARCH("RED", BL12:BT12)), COLUMN(BL12:BT12) - COLUMN(BL12) + 1, ""))&lt;&gt;"","RED","")</f>
        <v>RED</v>
      </c>
      <c r="HT12" s="44" t="str" cm="1">
        <f t="array" ref="HT12">IF(_xlfn.TEXTJOIN(", ", TRUE, IF(ISNUMBER(SEARCH("YEL", BL12:BT12)), COLUMN(BL12:BT12) - COLUMN(BL12) + 1, ""))&lt;&gt;"","YEL","")</f>
        <v>YEL</v>
      </c>
      <c r="HU12" s="44" t="str" cm="1">
        <f t="array" ref="HU12">IF(_xlfn.TEXTJOIN(", ", TRUE, IF(ISNUMBER(SEARCH("ORA", BL12:BT12)), COLUMN(BL12:BT12) - COLUMN(BL12) + 1, ""))&lt;&gt;"","ORA","")</f>
        <v>ORA</v>
      </c>
      <c r="HV12" s="44" t="str" cm="1">
        <f t="array" ref="HV12">IF(_xlfn.TEXTJOIN(", ", TRUE, IF(ISNUMBER(SEARCH("BRO", BL12:BT12)), COLUMN(BL12:BT12) - COLUMN(BL12) + 1, ""))&lt;&gt;"","BRO","")</f>
        <v>BRO</v>
      </c>
      <c r="HW12" s="44" t="str" cm="1">
        <f t="array" ref="HW12">IF(_xlfn.TEXTJOIN(", ", TRUE, IF(ISNUMBER(SEARCH("PUR", BL12:BT12)), COLUMN(BL12:BT12) - COLUMN(BL12) + 1, ""))&lt;&gt;"","PUR","")</f>
        <v/>
      </c>
      <c r="HX12" s="44" t="str" cm="1">
        <f t="array" ref="HX12">IF(_xlfn.TEXTJOIN(", ", TRUE, IF(ISNUMBER(SEARCH("WHI", BL12:BT12)), COLUMN(BL12:BT12) - COLUMN(BL12) + 1, ""))&lt;&gt;"","WHI","")</f>
        <v>WHI</v>
      </c>
      <c r="HY12" s="72"/>
      <c r="HZ12" s="72"/>
      <c r="IA12" s="5"/>
      <c r="IB12" s="5"/>
      <c r="IC12" s="68"/>
      <c r="ID12" s="68"/>
      <c r="IE12" s="68"/>
      <c r="IF12" s="68"/>
      <c r="IG12" s="68"/>
      <c r="IH12" s="68"/>
      <c r="II12" s="68"/>
      <c r="IJ12" s="68"/>
      <c r="IK12" s="68"/>
      <c r="IL12" s="44">
        <f t="shared" si="132"/>
        <v>0</v>
      </c>
      <c r="IM12" s="42">
        <f t="shared" si="133"/>
        <v>-8</v>
      </c>
      <c r="IN12" s="69" t="str">
        <f t="shared" si="134"/>
        <v>http://mkweb.bcgsc.ca/color-summarizer/?url=https://upload.wikimedia.org/wikipedia/commons/thumb/d/df/Flag_of_Darwin.svg/640px-Flag_of_Darwin.svg.png&amp;precision=low&amp;num_clusters=8&amp;text=1</v>
      </c>
      <c r="IO12" s="44" t="str">
        <f t="shared" si="135"/>
        <v>"black"</v>
      </c>
      <c r="IP12" s="44" t="str">
        <f t="shared" si="136"/>
        <v>"blue"</v>
      </c>
      <c r="IQ12" s="44" t="str">
        <f t="shared" si="137"/>
        <v>"green"</v>
      </c>
      <c r="IR12" s="44" t="str">
        <f t="shared" si="138"/>
        <v>"red"</v>
      </c>
      <c r="IS12" s="44" t="str">
        <f t="shared" si="139"/>
        <v>"yellow"</v>
      </c>
      <c r="IT12" s="44" t="str">
        <f t="shared" si="140"/>
        <v>"orange"</v>
      </c>
      <c r="IU12" s="44" t="str">
        <f t="shared" si="141"/>
        <v>"brown"</v>
      </c>
      <c r="IV12" s="44" t="str">
        <f t="shared" si="142"/>
        <v/>
      </c>
      <c r="IW12" s="44" t="str">
        <f t="shared" si="143"/>
        <v>"white"</v>
      </c>
      <c r="IX12" s="44" t="str">
        <f t="shared" si="144"/>
        <v>{"url":"http://mkweb.bcgsc.ca/color-summarizer/?url=https://upload.wikimedia.org/wikipedia/commons/thumb/d/df/Flag_of_Darwin.svg/640px-Flag_of_Darwin.svg.png&amp;precision=low&amp;num_clusters=8&amp;text=1","name":"[AUS] Darwin"},</v>
      </c>
      <c r="IY12" s="44">
        <v>944</v>
      </c>
    </row>
    <row r="13" spans="1:259" s="44" customFormat="1" ht="38.4" customHeight="1" thickBot="1" x14ac:dyDescent="0.35">
      <c r="A13" s="81" t="s">
        <v>817</v>
      </c>
      <c r="B13" s="78" t="e" vm="14">
        <v>#VALUE!</v>
      </c>
      <c r="C13" s="39">
        <v>3</v>
      </c>
      <c r="D13" s="70" t="s">
        <v>573</v>
      </c>
      <c r="E13" s="40" t="s">
        <v>574</v>
      </c>
      <c r="F13" s="41" t="s">
        <v>165</v>
      </c>
      <c r="G13" s="42">
        <f t="shared" si="0"/>
        <v>1</v>
      </c>
      <c r="H13" s="43" t="s">
        <v>819</v>
      </c>
      <c r="I13" s="59" t="s">
        <v>575</v>
      </c>
      <c r="J13" s="44" t="str">
        <f>""</f>
        <v/>
      </c>
      <c r="K13" s="45"/>
      <c r="L13" s="46"/>
      <c r="M13" s="46"/>
      <c r="N13" s="47" t="s">
        <v>177</v>
      </c>
      <c r="O13" s="74" t="s">
        <v>214</v>
      </c>
      <c r="P13" s="48" t="s">
        <v>576</v>
      </c>
      <c r="Q13" s="73">
        <v>1</v>
      </c>
      <c r="R13" s="49" t="s">
        <v>177</v>
      </c>
      <c r="S13" s="50">
        <v>2</v>
      </c>
      <c r="T13" s="51" t="s">
        <v>166</v>
      </c>
      <c r="U13" s="52" t="s">
        <v>166</v>
      </c>
      <c r="V13" s="52" t="s">
        <v>167</v>
      </c>
      <c r="W13" s="52" t="s">
        <v>166</v>
      </c>
      <c r="X13" s="52" t="s">
        <v>167</v>
      </c>
      <c r="Y13" s="52" t="s">
        <v>166</v>
      </c>
      <c r="Z13" s="52" t="s">
        <v>166</v>
      </c>
      <c r="AA13" s="52" t="s">
        <v>166</v>
      </c>
      <c r="AB13" s="52" t="s">
        <v>166</v>
      </c>
      <c r="AC13" s="52" t="s">
        <v>166</v>
      </c>
      <c r="AD13" s="52" t="s">
        <v>167</v>
      </c>
      <c r="AE13" s="52" t="s">
        <v>166</v>
      </c>
      <c r="AF13" s="53" t="s">
        <v>166</v>
      </c>
      <c r="AG13" s="53" t="s">
        <v>166</v>
      </c>
      <c r="AH13" s="53" t="s">
        <v>167</v>
      </c>
      <c r="AI13" s="53" t="s">
        <v>166</v>
      </c>
      <c r="AJ13" s="53" t="s">
        <v>166</v>
      </c>
      <c r="AK13" s="53" t="s">
        <v>166</v>
      </c>
      <c r="AL13" s="53" t="s">
        <v>166</v>
      </c>
      <c r="AM13" s="53" t="s">
        <v>166</v>
      </c>
      <c r="AN13" s="53" t="s">
        <v>166</v>
      </c>
      <c r="AO13" s="53" t="s">
        <v>166</v>
      </c>
      <c r="AP13" s="53" t="s">
        <v>166</v>
      </c>
      <c r="AQ13" s="53" t="s">
        <v>166</v>
      </c>
      <c r="AR13" s="53" t="s">
        <v>166</v>
      </c>
      <c r="AS13" s="53" t="s">
        <v>166</v>
      </c>
      <c r="AT13" s="54">
        <v>0</v>
      </c>
      <c r="AU13" s="53" t="s">
        <v>350</v>
      </c>
      <c r="AV13" s="53" t="str">
        <f t="shared" si="1"/>
        <v>[AUS]People[AUS] Aboriginal People</v>
      </c>
      <c r="AW13" s="53" t="str">
        <f t="shared" si="2"/>
        <v>3[AUS] Other[AUS] Aboriginal People</v>
      </c>
      <c r="AX13" s="55"/>
      <c r="AY13" s="55"/>
      <c r="AZ13" s="56"/>
      <c r="BA13" s="56"/>
      <c r="BB13" s="56"/>
      <c r="BC13" s="57"/>
      <c r="BD13" s="58" t="s">
        <v>169</v>
      </c>
      <c r="BE13" s="59"/>
      <c r="BF13" s="58" t="s">
        <v>153</v>
      </c>
      <c r="BG13" s="58"/>
      <c r="BH13" s="58" t="s">
        <v>156</v>
      </c>
      <c r="BI13" s="58"/>
      <c r="BJ13" s="58"/>
      <c r="BK13" s="59"/>
      <c r="BL13" s="58" t="s">
        <v>153</v>
      </c>
      <c r="BM13" s="58" t="s">
        <v>156</v>
      </c>
      <c r="BN13" s="58" t="s">
        <v>157</v>
      </c>
      <c r="BO13" s="58"/>
      <c r="BP13" s="58"/>
      <c r="BQ13" s="58"/>
      <c r="BR13" s="58"/>
      <c r="BS13" s="58"/>
      <c r="BT13" s="58"/>
      <c r="BU13" s="60"/>
      <c r="BV13" s="61"/>
      <c r="BW13" s="61">
        <v>0</v>
      </c>
      <c r="BX13" s="59"/>
      <c r="CB13" s="5"/>
      <c r="CC13" s="5"/>
      <c r="CD13" s="62">
        <v>0</v>
      </c>
      <c r="CE13" s="62">
        <v>0</v>
      </c>
      <c r="CF13" s="62" t="e">
        <v>#REF!</v>
      </c>
      <c r="CG13" s="75" cm="1">
        <f t="array" ref="CG13">SUMPRODUCT(--(LEN(TRIM(BL13:BT13))&gt;0))</f>
        <v>3</v>
      </c>
      <c r="CH13" s="53" t="str">
        <f t="shared" si="3"/>
        <v>n</v>
      </c>
      <c r="CI13" s="53" t="str">
        <f t="shared" si="4"/>
        <v>y</v>
      </c>
      <c r="CJ13" s="53" t="str">
        <f t="shared" si="5"/>
        <v>n</v>
      </c>
      <c r="CK13" s="53" t="str">
        <f t="shared" si="6"/>
        <v>n</v>
      </c>
      <c r="CL13" s="53" t="str">
        <f t="shared" si="7"/>
        <v>n</v>
      </c>
      <c r="CM13" s="53" t="str">
        <f t="shared" si="8"/>
        <v>y</v>
      </c>
      <c r="CN13" s="53" t="str">
        <f t="shared" si="9"/>
        <v>n</v>
      </c>
      <c r="CO13" s="53" t="str">
        <f t="shared" si="10"/>
        <v>n</v>
      </c>
      <c r="CP13" s="53" t="str">
        <f t="shared" si="11"/>
        <v>y</v>
      </c>
      <c r="CQ13" s="53" t="str">
        <f t="shared" si="12"/>
        <v>n</v>
      </c>
      <c r="CR13" s="53" t="str">
        <f t="shared" si="13"/>
        <v>n</v>
      </c>
      <c r="CS13" s="53" t="str">
        <f t="shared" si="14"/>
        <v>n</v>
      </c>
      <c r="CT13" s="38" t="str">
        <f t="shared" si="15"/>
        <v>"[AUS] Aboriginal People"</v>
      </c>
      <c r="CU13" s="63" t="str">
        <f t="shared" si="16"/>
        <v>"rgn_Oceania"</v>
      </c>
      <c r="CV13" s="44" t="str">
        <f t="shared" si="17"/>
        <v>"https://upload.wikimedia.org/wikipedia/commons/thumb/3/3f/Australian_Aboriginal_Flag.svg/640px-Australian_Aboriginal_Flag.svg.png"</v>
      </c>
      <c r="CW13" s="44" t="str">
        <f t="shared" si="18"/>
        <v/>
      </c>
      <c r="CX13" s="44" t="str">
        <f t="shared" si="19"/>
        <v>"3Color",</v>
      </c>
      <c r="CY13" s="44" t="str">
        <f t="shared" si="20"/>
        <v/>
      </c>
      <c r="CZ13" s="44" t="str">
        <f t="shared" si="21"/>
        <v/>
      </c>
      <c r="DA13" s="44" t="str">
        <f t="shared" si="22"/>
        <v/>
      </c>
      <c r="DB13" s="44" t="str">
        <f t="shared" si="23"/>
        <v/>
      </c>
      <c r="DC13" s="44" t="str">
        <f t="shared" si="24"/>
        <v/>
      </c>
      <c r="DD13" s="44" t="str">
        <f t="shared" si="25"/>
        <v>"lets16",</v>
      </c>
      <c r="DE13" s="44" t="str">
        <f t="shared" si="26"/>
        <v>"startA",</v>
      </c>
      <c r="DF13" s="44" t="str">
        <f t="shared" si="27"/>
        <v/>
      </c>
      <c r="DG13" s="44" t="str">
        <f t="shared" si="28"/>
        <v/>
      </c>
      <c r="DH13" s="44" t="str">
        <f t="shared" si="29"/>
        <v/>
      </c>
      <c r="DI13" s="44" t="str">
        <f t="shared" si="30"/>
        <v/>
      </c>
      <c r="DJ13" s="44" t="str">
        <f t="shared" si="31"/>
        <v/>
      </c>
      <c r="DK13" s="44" t="str">
        <f t="shared" si="32"/>
        <v/>
      </c>
      <c r="DL13" s="44" t="str">
        <f t="shared" si="33"/>
        <v/>
      </c>
      <c r="DM13" s="44" t="str" cm="1">
        <f t="array" ref="DM13">IF(CG13=3,CHAR(34) &amp; _xlfn.TEXTJOIN("", TRUE, RIGHT(HP13:HX13, 2)) &amp; CHAR(34) &amp; ",", "")</f>
        <v>"LAEDEL",</v>
      </c>
      <c r="DN13" s="44" t="str">
        <f t="shared" si="34"/>
        <v/>
      </c>
      <c r="DO13" s="44" t="str">
        <f t="shared" si="35"/>
        <v>"year19",</v>
      </c>
      <c r="DP13" s="5" t="str">
        <f t="shared" si="36"/>
        <v/>
      </c>
      <c r="DQ13" s="5" t="str">
        <f t="shared" si="37"/>
        <v/>
      </c>
      <c r="DR13" s="5" t="str">
        <f t="shared" si="38"/>
        <v/>
      </c>
      <c r="DS13" s="5" t="str">
        <f t="shared" si="39"/>
        <v/>
      </c>
      <c r="DT13" s="5" t="str">
        <f t="shared" si="40"/>
        <v>"allhor",</v>
      </c>
      <c r="DU13" s="5" t="str">
        <f t="shared" si="41"/>
        <v/>
      </c>
      <c r="DV13" s="44" t="str">
        <f t="shared" si="42"/>
        <v/>
      </c>
      <c r="DW13" s="44" t="str">
        <f t="shared" si="43"/>
        <v/>
      </c>
      <c r="DX13" s="44" t="str">
        <f t="shared" si="44"/>
        <v>"2Bands",</v>
      </c>
      <c r="DY13" s="44" t="str">
        <f t="shared" si="45"/>
        <v/>
      </c>
      <c r="DZ13" s="44" t="str">
        <f t="shared" si="46"/>
        <v/>
      </c>
      <c r="EA13" s="44" t="str">
        <f t="shared" si="47"/>
        <v/>
      </c>
      <c r="EB13" s="44" t="str">
        <f t="shared" si="48"/>
        <v/>
      </c>
      <c r="EC13" s="44" t="str">
        <f t="shared" si="49"/>
        <v>"Horizo",</v>
      </c>
      <c r="ED13" s="44" t="str">
        <f t="shared" si="50"/>
        <v/>
      </c>
      <c r="EE13" s="44" t="str">
        <f t="shared" si="51"/>
        <v>"Circle",</v>
      </c>
      <c r="EF13" s="44" t="str">
        <f t="shared" si="52"/>
        <v/>
      </c>
      <c r="EG13" s="44" t="str">
        <f t="shared" si="53"/>
        <v/>
      </c>
      <c r="EH13" s="44" t="str">
        <f t="shared" si="54"/>
        <v/>
      </c>
      <c r="EI13" s="44" t="str">
        <f t="shared" si="55"/>
        <v/>
      </c>
      <c r="EJ13" s="44" t="str">
        <f t="shared" si="56"/>
        <v/>
      </c>
      <c r="EK13" s="44" t="str">
        <f t="shared" si="57"/>
        <v>"HasSun",</v>
      </c>
      <c r="EL13" s="44" t="str">
        <f t="shared" si="58"/>
        <v/>
      </c>
      <c r="EM13" s="44" t="str">
        <f t="shared" si="59"/>
        <v/>
      </c>
      <c r="EN13" s="44" t="str">
        <f t="shared" si="60"/>
        <v/>
      </c>
      <c r="EO13" s="44" t="str">
        <f t="shared" si="61"/>
        <v>"Center",</v>
      </c>
      <c r="EP13" s="44" t="str">
        <f t="shared" si="62"/>
        <v/>
      </c>
      <c r="EQ13" s="44" t="str">
        <f t="shared" si="63"/>
        <v/>
      </c>
      <c r="ER13" s="44" t="str">
        <f t="shared" si="64"/>
        <v/>
      </c>
      <c r="ES13" s="44" t="str">
        <f t="shared" si="65"/>
        <v/>
      </c>
      <c r="ET13" s="44" t="str">
        <f t="shared" si="66"/>
        <v/>
      </c>
      <c r="EU13" s="44" t="str">
        <f t="shared" si="67"/>
        <v/>
      </c>
      <c r="EV13" s="44" t="str">
        <f t="shared" si="68"/>
        <v/>
      </c>
      <c r="EW13" s="44" t="str">
        <f t="shared" si="69"/>
        <v/>
      </c>
      <c r="EX13" s="44" t="str">
        <f t="shared" si="70"/>
        <v/>
      </c>
      <c r="EY13" s="44" t="str">
        <f t="shared" si="71"/>
        <v/>
      </c>
      <c r="EZ13" s="44" t="str">
        <f t="shared" si="72"/>
        <v/>
      </c>
      <c r="FA13" s="44" t="str">
        <f t="shared" si="73"/>
        <v/>
      </c>
      <c r="FB13" s="44" t="str">
        <f t="shared" si="74"/>
        <v/>
      </c>
      <c r="FC13" s="44" t="str">
        <f t="shared" si="75"/>
        <v/>
      </c>
      <c r="FD13" s="44" t="str">
        <f t="shared" si="76"/>
        <v/>
      </c>
      <c r="FE13" s="44" t="str">
        <f t="shared" si="77"/>
        <v>"NO_BLU",</v>
      </c>
      <c r="FF13" s="44" t="str">
        <f t="shared" si="78"/>
        <v>"NO_WHI",</v>
      </c>
      <c r="FG13" s="44" t="str">
        <f t="shared" si="79"/>
        <v/>
      </c>
      <c r="FH13" s="44" t="str">
        <f t="shared" si="80"/>
        <v>"NO_GRE",</v>
      </c>
      <c r="FI13" s="44" t="str">
        <f t="shared" si="81"/>
        <v/>
      </c>
      <c r="FJ13" s="44" t="str">
        <f t="shared" si="82"/>
        <v/>
      </c>
      <c r="FK13" s="44" t="str">
        <f t="shared" si="83"/>
        <v>"WHGRNO",</v>
      </c>
      <c r="FL13" s="44" t="str">
        <f t="shared" si="84"/>
        <v/>
      </c>
      <c r="FM13" s="44" t="str">
        <f t="shared" si="85"/>
        <v/>
      </c>
      <c r="FN13" s="44" t="str">
        <f t="shared" si="86"/>
        <v>"BLWHNO",</v>
      </c>
      <c r="FO13" s="44" t="str">
        <f t="shared" si="87"/>
        <v/>
      </c>
      <c r="FP13" s="44" t="str">
        <f t="shared" si="88"/>
        <v>"WHRENO",</v>
      </c>
      <c r="FQ13" s="44" t="str">
        <f t="shared" si="89"/>
        <v>"001BLA",</v>
      </c>
      <c r="FR13" s="44" t="str">
        <f t="shared" si="90"/>
        <v/>
      </c>
      <c r="FS13" s="44" t="str">
        <f t="shared" si="91"/>
        <v>"003RED",</v>
      </c>
      <c r="FT13" s="44" t="str">
        <f t="shared" si="92"/>
        <v>"myrEQ",</v>
      </c>
      <c r="FU13" s="44" t="str">
        <f t="shared" si="93"/>
        <v/>
      </c>
      <c r="FV13" s="44" t="str">
        <f t="shared" si="94"/>
        <v/>
      </c>
      <c r="FW13" s="44" t="str">
        <f t="shared" si="95"/>
        <v/>
      </c>
      <c r="FX13" s="44" t="str">
        <f t="shared" si="96"/>
        <v/>
      </c>
      <c r="FY13" s="44" t="str">
        <f t="shared" si="97"/>
        <v/>
      </c>
      <c r="FZ13" s="44" t="str">
        <f t="shared" si="98"/>
        <v/>
      </c>
      <c r="GA13" s="44" t="str">
        <f t="shared" si="99"/>
        <v/>
      </c>
      <c r="GB13" s="44" t="str">
        <f t="shared" si="100"/>
        <v/>
      </c>
      <c r="GC13" s="44" t="str">
        <f t="shared" si="101"/>
        <v/>
      </c>
      <c r="GD13" s="44" t="str">
        <f t="shared" si="102"/>
        <v/>
      </c>
      <c r="GE13" s="44" t="str">
        <f t="shared" si="103"/>
        <v/>
      </c>
      <c r="GF13" s="44" t="str">
        <f>IFERROR(IF(SEARCH("Histor",AU13)&gt;0,CHAR(34)&amp;"histor"&amp;CHAR(34)&amp;",",""),"")</f>
        <v/>
      </c>
      <c r="GG13" s="44" t="str">
        <f t="shared" si="104"/>
        <v/>
      </c>
      <c r="GH13" s="44" t="str">
        <f t="shared" si="105"/>
        <v/>
      </c>
      <c r="GI13" s="44" t="str">
        <f t="shared" si="106"/>
        <v/>
      </c>
      <c r="GJ13" s="44" t="str">
        <f t="shared" si="107"/>
        <v>"NoStar",</v>
      </c>
      <c r="GK13" s="44" t="str">
        <f t="shared" si="108"/>
        <v/>
      </c>
      <c r="GL13" s="44" t="str">
        <f t="shared" si="109"/>
        <v/>
      </c>
      <c r="GM13" s="44" t="str">
        <f t="shared" si="110"/>
        <v/>
      </c>
      <c r="GN13" s="44" t="str">
        <f t="shared" si="111"/>
        <v/>
      </c>
      <c r="GP13" s="44" t="str">
        <f t="shared" si="112"/>
        <v>"People"</v>
      </c>
      <c r="GS13" s="44" t="str">
        <f t="shared" si="113"/>
        <v>["3Color","lets16","startA","LAEDEL","year19","allhor","2Bands","Horizo","Circle","HasSun","Center","NO_BLU","NO_WHI","NO_GRE","WHGRNO","BLWHNO","WHRENO","001BLA","003RED","myrEQ","NoStar"]</v>
      </c>
      <c r="GT13" s="44" t="str">
        <f t="shared" si="114"/>
        <v>"cl_BLA",</v>
      </c>
      <c r="GU13" s="44" t="str">
        <f t="shared" si="115"/>
        <v>"cl_RED",</v>
      </c>
      <c r="GV13" s="44" t="str">
        <f t="shared" si="116"/>
        <v>"cl_YEL",</v>
      </c>
      <c r="GW13" s="44" t="str">
        <f t="shared" si="117"/>
        <v/>
      </c>
      <c r="GX13" s="44" t="str">
        <f t="shared" si="118"/>
        <v/>
      </c>
      <c r="GY13" s="44" t="str">
        <f t="shared" si="119"/>
        <v/>
      </c>
      <c r="GZ13" s="44" t="str">
        <f t="shared" si="120"/>
        <v/>
      </c>
      <c r="HA13" s="44" t="str">
        <f t="shared" si="121"/>
        <v/>
      </c>
      <c r="HB13" s="44" t="str">
        <f t="shared" si="122"/>
        <v/>
      </c>
      <c r="HC13" s="44" t="str">
        <f t="shared" si="123"/>
        <v>["cl_BLA","cl_RED","cl_YEL"]</v>
      </c>
      <c r="HE13" s="64"/>
      <c r="HF13" s="65" t="str">
        <f t="shared" si="124"/>
        <v>{couname:"[AUS] Aboriginal People",year:"1995 ",region:"rgn_Oceania",Colors:["cl_BLA","cl_RED","cl_YEL"],Items:["3Color","lets16","startA","LAEDEL","year19","allhor","2Bands","Horizo","Circle","HasSun","Center","NO_BLU","NO_WHI","NO_GRE","WHGRNO","BLWHNO","WHRENO","001BLA","003RED","myrEQ","NoStar"],Flag:"https://upload.wikimedia.org/wikipedia/commons/thumb/3/3f/Australian_Aboriginal_Flag.svg/640px-Australian_Aboriginal_Flag.svg.png",HDFlag:"https://upload.wikimedia.org/wikipedia/commons/thumb/3/3f/Australian_Aboriginal_Flag.svg/2560px-Australian_Aboriginal_Flag.svg.png",type:"People", describe: "\nThe black represented black consciousness, black awareness, black power and being proud of blackness. The other colours of yellow (sun) and red (earth) were sourced from the predominant colours used to decorate pukamani poles. ", isnew:".", links: "https://en.wikipedia.org/wiki/Australian_Aboriginal_flag"},</v>
      </c>
      <c r="HG13" s="66" t="str">
        <f t="shared" si="125"/>
        <v>{couname:"[AUS] Aboriginal People",year:"1995 ",region:"rgn_Oceania",Colors:["cl_BLA","cl_RED","cl_YEL"],Items:["3Color","lets16","startA","LAEDEL","year19","allhor","2Bands","Horizo","Circle","HasSun","Center","NO_BLU","NO_WHI","NO_GRE","WHGRNO","BLWHNO","WHRENO","001BLA","003RED","myrEQ","NoStar"],Flag:"https://upload.wikimedia.org/wikipedia/commons/thumb/3/3f/Australian_Aboriginal_Flag.svg/640px-Australian_Aboriginal_Flag.svg.png",HDFlag:"https://upload.wikimedia.org/wikipedia/commons/thumb/3/3f/Australian_Aboriginal_Flag.svg/2560px-Australian_Aboriginal_Flag.svg.png",type:"People", describe: "\nThe black represented black consciousness, black awareness, black power and being proud of blackness. The other colours of yellow (sun) and red (earth) were sourced from the predominant colours used to decorate pukamani poles. ", links: "https://en.wikipedia.org/wiki/Australian_Aboriginal_flag"},</v>
      </c>
      <c r="HH13" s="44" t="str">
        <f t="shared" si="126"/>
        <v>"\nThe black represented black consciousness, black awareness, black power and being proud of blackness. The other colours of yellow (sun) and red (earth) were sourced from the predominant colours used to decorate pukamani poles. "</v>
      </c>
      <c r="HI13" s="44" t="str">
        <f t="shared" si="127"/>
        <v>"\nThe black represented black consciousness, black awareness, black power and being proud of blackness. The other colours of yellow (sun) and red (earth) were sourced from the predominant colours used to decorate pukamani poles. "</v>
      </c>
      <c r="HJ13" s="44" t="str">
        <f t="shared" si="128"/>
        <v>"1995 "</v>
      </c>
      <c r="HL13" s="44" t="str">
        <f t="shared" si="129"/>
        <v>"https://en.wikipedia.org/wiki/Australian_Aboriginal_flag"</v>
      </c>
      <c r="HM13" s="65" t="str">
        <f t="shared" si="130"/>
        <v>{"couname":"[AUS] Aboriginal People","subtype":"[AUS] Other","year":"1995 ","region":"rgn_Oceania","Colors":["cl_BLA","cl_RED","cl_YEL"],"Items":["3Color","lets16","startA","LAEDEL","year19","allhor","2Bands","Horizo","Circle","HasSun","Center","NO_BLU","NO_WHI","NO_GRE","WHGRNO","BLWHNO","WHRENO","001BLA","003RED","myrEQ","NoStar"],"Flag":"https://upload.wikimedia.org/wikipedia/commons/thumb/3/3f/Australian_Aboriginal_Flag.svg/640px-Australian_Aboriginal_Flag.svg.png","HDFlag":"https://upload.wikimedia.org/wikipedia/commons/thumb/3/3f/Australian_Aboriginal_Flag.svg/2560px-Australian_Aboriginal_Flag.svg.png","type":"People", "describe": "\nThe black represented black consciousness, black awareness, black power and being proud of blackness. The other colours of yellow (sun) and red (earth) were sourced from the predominant colours used to decorate pukamani poles. ", "isnew": ".", "links": "https://en.wikipedia.org/wiki/Australian_Aboriginal_flag"},</v>
      </c>
      <c r="HN13" s="67" t="str">
        <f t="shared" si="131"/>
        <v>{"couname":"[AUS] Aboriginal People","subtype":"[AUS] Other","year":"1995 ","region":"rgn_Oceania","Colors":["cl_BLA","cl_RED","cl_YEL"],"Items":["3Color","lets16","startA","LAEDEL","year19","allhor","2Bands","Horizo","Circle","HasSun","Center","NO_BLU","NO_WHI","NO_GRE","WHGRNO","BLWHNO","WHRENO","001BLA","003RED","myrEQ","NoStar"],"Flag":"https://upload.wikimedia.org/wikipedia/commons/thumb/3/3f/Australian_Aboriginal_Flag.svg/640px-Australian_Aboriginal_Flag.svg.png","HDFlag":"https://upload.wikimedia.org/wikipedia/commons/thumb/3/3f/Australian_Aboriginal_Flag.svg/2560px-Australian_Aboriginal_Flag.svg.png","type":"People", "describe": "\nThe black represented black consciousness, black awareness, black power and being proud of blackness. The other colours of yellow (sun) and red (earth) were sourced from the predominant colours used to decorate pukamani poles. ", "isnew": ".", "links": "https://en.wikipedia.org/wiki/Australian_Aboriginal_flag"},</v>
      </c>
      <c r="HO13" s="71"/>
      <c r="HP13" s="44" t="str" cm="1">
        <f t="array" ref="HP13">IF(_xlfn.TEXTJOIN(", ", TRUE, IF(ISNUMBER(SEARCH("BLA", BL13:BT13)), COLUMN(BL13:BT13) - COLUMN(BL13) + 1, ""))&lt;&gt;"","BLA","")</f>
        <v>BLA</v>
      </c>
      <c r="HQ13" s="44" t="str" cm="1">
        <f t="array" ref="HQ13">IF(_xlfn.TEXTJOIN(", ", TRUE, IF(ISNUMBER(SEARCH("BLU", BL13:BT13)), COLUMN(BL13:BT13) - COLUMN(BL13) + 1, ""))&lt;&gt;"","BLU","")</f>
        <v/>
      </c>
      <c r="HR13" s="44" t="str" cm="1">
        <f t="array" ref="HR13">IF(_xlfn.TEXTJOIN(", ", TRUE, IF(ISNUMBER(SEARCH("GRE", BL13:BT13)), COLUMN(BL13:BT13) - COLUMN(BL13) + 1, ""))&lt;&gt;"","GRE","")</f>
        <v/>
      </c>
      <c r="HS13" s="44" t="str" cm="1">
        <f t="array" ref="HS13">IF(_xlfn.TEXTJOIN(", ", TRUE, IF(ISNUMBER(SEARCH("RED", BL13:BT13)), COLUMN(BL13:BT13) - COLUMN(BL13) + 1, ""))&lt;&gt;"","RED","")</f>
        <v>RED</v>
      </c>
      <c r="HT13" s="44" t="str" cm="1">
        <f t="array" ref="HT13">IF(_xlfn.TEXTJOIN(", ", TRUE, IF(ISNUMBER(SEARCH("YEL", BL13:BT13)), COLUMN(BL13:BT13) - COLUMN(BL13) + 1, ""))&lt;&gt;"","YEL","")</f>
        <v>YEL</v>
      </c>
      <c r="HU13" s="44" t="str" cm="1">
        <f t="array" ref="HU13">IF(_xlfn.TEXTJOIN(", ", TRUE, IF(ISNUMBER(SEARCH("ORA", BL13:BT13)), COLUMN(BL13:BT13) - COLUMN(BL13) + 1, ""))&lt;&gt;"","ORA","")</f>
        <v/>
      </c>
      <c r="HV13" s="44" t="str" cm="1">
        <f t="array" ref="HV13">IF(_xlfn.TEXTJOIN(", ", TRUE, IF(ISNUMBER(SEARCH("BRO", BL13:BT13)), COLUMN(BL13:BT13) - COLUMN(BL13) + 1, ""))&lt;&gt;"","BRO","")</f>
        <v/>
      </c>
      <c r="HW13" s="44" t="str" cm="1">
        <f t="array" ref="HW13">IF(_xlfn.TEXTJOIN(", ", TRUE, IF(ISNUMBER(SEARCH("PUR", BL13:BT13)), COLUMN(BL13:BT13) - COLUMN(BL13) + 1, ""))&lt;&gt;"","PUR","")</f>
        <v/>
      </c>
      <c r="HX13" s="44" t="str" cm="1">
        <f t="array" ref="HX13">IF(_xlfn.TEXTJOIN(", ", TRUE, IF(ISNUMBER(SEARCH("WHI", BL13:BT13)), COLUMN(BL13:BT13) - COLUMN(BL13) + 1, ""))&lt;&gt;"","WHI","")</f>
        <v/>
      </c>
      <c r="HY13" s="72"/>
      <c r="HZ13" s="72"/>
      <c r="IA13" s="5"/>
      <c r="IB13" s="5"/>
      <c r="IC13" s="68"/>
      <c r="ID13" s="68"/>
      <c r="IE13" s="68"/>
      <c r="IF13" s="68"/>
      <c r="IG13" s="68"/>
      <c r="IH13" s="68"/>
      <c r="II13" s="68"/>
      <c r="IJ13" s="68"/>
      <c r="IK13" s="68"/>
      <c r="IL13" s="44">
        <f t="shared" si="132"/>
        <v>0</v>
      </c>
      <c r="IM13" s="42">
        <f t="shared" si="133"/>
        <v>-3</v>
      </c>
      <c r="IN13" s="69" t="str">
        <f t="shared" si="134"/>
        <v>http://mkweb.bcgsc.ca/color-summarizer/?url=https://upload.wikimedia.org/wikipedia/commons/thumb/3/3f/Australian_Aboriginal_Flag.svg/640px-Australian_Aboriginal_Flag.svg.png&amp;precision=low&amp;num_clusters=3&amp;text=1</v>
      </c>
      <c r="IO13" s="44" t="str">
        <f t="shared" si="135"/>
        <v>"black"</v>
      </c>
      <c r="IP13" s="44" t="str">
        <f t="shared" si="136"/>
        <v/>
      </c>
      <c r="IQ13" s="44" t="str">
        <f t="shared" si="137"/>
        <v/>
      </c>
      <c r="IR13" s="44" t="str">
        <f t="shared" si="138"/>
        <v>"red"</v>
      </c>
      <c r="IS13" s="44" t="str">
        <f t="shared" si="139"/>
        <v>"yellow"</v>
      </c>
      <c r="IT13" s="44" t="str">
        <f t="shared" si="140"/>
        <v/>
      </c>
      <c r="IU13" s="44" t="str">
        <f t="shared" si="141"/>
        <v/>
      </c>
      <c r="IV13" s="44" t="str">
        <f t="shared" si="142"/>
        <v/>
      </c>
      <c r="IW13" s="44" t="str">
        <f t="shared" si="143"/>
        <v/>
      </c>
      <c r="IX13" s="44" t="str">
        <f t="shared" si="144"/>
        <v>{"url":"http://mkweb.bcgsc.ca/color-summarizer/?url=https://upload.wikimedia.org/wikipedia/commons/thumb/3/3f/Australian_Aboriginal_Flag.svg/640px-Australian_Aboriginal_Flag.svg.png&amp;precision=low&amp;num_clusters=3&amp;text=1","name":"[AUS] Aboriginal People"},</v>
      </c>
      <c r="IY13" s="44">
        <v>951</v>
      </c>
    </row>
    <row r="14" spans="1:259" s="44" customFormat="1" ht="38.4" customHeight="1" thickBot="1" x14ac:dyDescent="0.35">
      <c r="A14" s="81" t="s">
        <v>562</v>
      </c>
      <c r="B14" s="78" t="e" vm="15">
        <v>#VALUE!</v>
      </c>
      <c r="C14" s="39">
        <v>3</v>
      </c>
      <c r="D14" s="70" t="s">
        <v>563</v>
      </c>
      <c r="E14" s="40" t="s">
        <v>564</v>
      </c>
      <c r="F14" s="41" t="s">
        <v>165</v>
      </c>
      <c r="G14" s="42">
        <f t="shared" si="0"/>
        <v>1</v>
      </c>
      <c r="H14" s="43" t="s">
        <v>819</v>
      </c>
      <c r="I14" s="59" t="s">
        <v>565</v>
      </c>
      <c r="J14" s="44" t="str">
        <f>""</f>
        <v/>
      </c>
      <c r="K14" s="45"/>
      <c r="L14" s="46"/>
      <c r="M14" s="46"/>
      <c r="N14" s="47" t="s">
        <v>177</v>
      </c>
      <c r="O14" s="74" t="s">
        <v>566</v>
      </c>
      <c r="P14" s="48" t="s">
        <v>567</v>
      </c>
      <c r="Q14" s="73">
        <v>2</v>
      </c>
      <c r="R14" s="49" t="s">
        <v>177</v>
      </c>
      <c r="S14" s="50">
        <v>0</v>
      </c>
      <c r="T14" s="51" t="s">
        <v>166</v>
      </c>
      <c r="U14" s="52" t="s">
        <v>167</v>
      </c>
      <c r="V14" s="52" t="s">
        <v>167</v>
      </c>
      <c r="W14" s="52" t="s">
        <v>167</v>
      </c>
      <c r="X14" s="52" t="s">
        <v>166</v>
      </c>
      <c r="Y14" s="52" t="s">
        <v>166</v>
      </c>
      <c r="Z14" s="52" t="s">
        <v>166</v>
      </c>
      <c r="AA14" s="52" t="s">
        <v>166</v>
      </c>
      <c r="AB14" s="52" t="s">
        <v>166</v>
      </c>
      <c r="AC14" s="52" t="s">
        <v>166</v>
      </c>
      <c r="AD14" s="52" t="s">
        <v>166</v>
      </c>
      <c r="AE14" s="52" t="s">
        <v>166</v>
      </c>
      <c r="AF14" s="53" t="s">
        <v>166</v>
      </c>
      <c r="AG14" s="53" t="s">
        <v>166</v>
      </c>
      <c r="AH14" s="53" t="s">
        <v>167</v>
      </c>
      <c r="AI14" s="53" t="s">
        <v>166</v>
      </c>
      <c r="AJ14" s="53" t="s">
        <v>166</v>
      </c>
      <c r="AK14" s="53" t="s">
        <v>166</v>
      </c>
      <c r="AL14" s="53" t="s">
        <v>166</v>
      </c>
      <c r="AM14" s="53" t="s">
        <v>166</v>
      </c>
      <c r="AN14" s="53" t="s">
        <v>166</v>
      </c>
      <c r="AO14" s="53" t="s">
        <v>166</v>
      </c>
      <c r="AP14" s="53" t="s">
        <v>166</v>
      </c>
      <c r="AQ14" s="53" t="s">
        <v>166</v>
      </c>
      <c r="AR14" s="53" t="s">
        <v>167</v>
      </c>
      <c r="AS14" s="53" t="s">
        <v>166</v>
      </c>
      <c r="AT14" s="54">
        <v>5</v>
      </c>
      <c r="AU14" s="53" t="s">
        <v>349</v>
      </c>
      <c r="AV14" s="53" t="str">
        <f t="shared" si="1"/>
        <v>[AUS]Historical[AUS] Eureka Flag</v>
      </c>
      <c r="AW14" s="53" t="str">
        <f t="shared" si="2"/>
        <v>3[AUS] Other[AUS] Eureka Flag</v>
      </c>
      <c r="AX14" s="55"/>
      <c r="AY14" s="55"/>
      <c r="AZ14" s="56" t="s">
        <v>161</v>
      </c>
      <c r="BA14" s="56" t="s">
        <v>154</v>
      </c>
      <c r="BB14" s="56"/>
      <c r="BC14" s="57"/>
      <c r="BD14" s="58" t="s">
        <v>154</v>
      </c>
      <c r="BE14" s="59"/>
      <c r="BF14" s="58" t="s">
        <v>231</v>
      </c>
      <c r="BG14" s="58" t="s">
        <v>231</v>
      </c>
      <c r="BH14" s="58" t="s">
        <v>231</v>
      </c>
      <c r="BI14" s="58"/>
      <c r="BJ14" s="58"/>
      <c r="BK14" s="59"/>
      <c r="BL14" s="58" t="s">
        <v>231</v>
      </c>
      <c r="BM14" s="58" t="s">
        <v>154</v>
      </c>
      <c r="BN14" s="58" t="s">
        <v>231</v>
      </c>
      <c r="BO14" s="58" t="s">
        <v>231</v>
      </c>
      <c r="BP14" s="58" t="s">
        <v>231</v>
      </c>
      <c r="BQ14" s="58" t="s">
        <v>231</v>
      </c>
      <c r="BR14" s="58" t="s">
        <v>231</v>
      </c>
      <c r="BS14" s="58" t="s">
        <v>231</v>
      </c>
      <c r="BT14" s="58" t="s">
        <v>161</v>
      </c>
      <c r="BU14" s="60"/>
      <c r="BV14" s="61"/>
      <c r="BW14" s="61">
        <v>0</v>
      </c>
      <c r="BX14" s="59"/>
      <c r="CB14" s="5"/>
      <c r="CC14" s="5"/>
      <c r="CD14" s="62">
        <v>1</v>
      </c>
      <c r="CE14" s="62">
        <v>0</v>
      </c>
      <c r="CF14" s="62" t="e">
        <v>#REF!</v>
      </c>
      <c r="CG14" s="75" cm="1">
        <f t="array" ref="CG14">SUMPRODUCT(--(LEN(TRIM(BL14:BT14))&gt;0))</f>
        <v>2</v>
      </c>
      <c r="CH14" s="53" t="str">
        <f t="shared" si="3"/>
        <v>y</v>
      </c>
      <c r="CI14" s="53" t="str">
        <f t="shared" si="4"/>
        <v>n</v>
      </c>
      <c r="CJ14" s="53" t="str">
        <f t="shared" si="5"/>
        <v>n</v>
      </c>
      <c r="CK14" s="53" t="str">
        <f t="shared" si="6"/>
        <v>n</v>
      </c>
      <c r="CL14" s="53" t="str">
        <f t="shared" si="7"/>
        <v>y</v>
      </c>
      <c r="CM14" s="53" t="str">
        <f t="shared" si="8"/>
        <v>n</v>
      </c>
      <c r="CN14" s="53" t="str">
        <f t="shared" si="9"/>
        <v>n</v>
      </c>
      <c r="CO14" s="53" t="str">
        <f t="shared" si="10"/>
        <v>n</v>
      </c>
      <c r="CP14" s="53" t="str">
        <f t="shared" si="11"/>
        <v>n</v>
      </c>
      <c r="CQ14" s="53" t="str">
        <f t="shared" si="12"/>
        <v>n</v>
      </c>
      <c r="CR14" s="53" t="str">
        <f t="shared" si="13"/>
        <v>n</v>
      </c>
      <c r="CS14" s="53" t="str">
        <f t="shared" si="14"/>
        <v>y</v>
      </c>
      <c r="CT14" s="38" t="str">
        <f t="shared" si="15"/>
        <v>"[AUS] Eureka Flag"</v>
      </c>
      <c r="CU14" s="63" t="str">
        <f t="shared" si="16"/>
        <v>"rgn_Oceania"</v>
      </c>
      <c r="CV14" s="44" t="str">
        <f t="shared" si="17"/>
        <v>"https://upload.wikimedia.org/wikipedia/commons/thumb/8/84/Eureka_Flag.svg/640px-Eureka_Flag.svg.png"</v>
      </c>
      <c r="CW14" s="44" t="str">
        <f t="shared" si="18"/>
        <v>"2Color",</v>
      </c>
      <c r="CX14" s="44" t="str">
        <f t="shared" si="19"/>
        <v/>
      </c>
      <c r="CY14" s="44" t="str">
        <f t="shared" si="20"/>
        <v/>
      </c>
      <c r="CZ14" s="44" t="str">
        <f t="shared" si="21"/>
        <v/>
      </c>
      <c r="DA14" s="44" t="str">
        <f t="shared" si="22"/>
        <v>"words2",</v>
      </c>
      <c r="DB14" s="44" t="str">
        <f t="shared" si="23"/>
        <v/>
      </c>
      <c r="DC14" s="44" t="str">
        <f t="shared" si="24"/>
        <v>"exact2",</v>
      </c>
      <c r="DD14" s="44" t="str">
        <f t="shared" si="25"/>
        <v>"lets10",</v>
      </c>
      <c r="DE14" s="44" t="str">
        <f t="shared" si="26"/>
        <v>"startE",</v>
      </c>
      <c r="DF14" s="44" t="str">
        <f t="shared" si="27"/>
        <v/>
      </c>
      <c r="DG14" s="44" t="str">
        <f t="shared" si="28"/>
        <v/>
      </c>
      <c r="DH14" s="44" t="str">
        <f t="shared" si="29"/>
        <v/>
      </c>
      <c r="DI14" s="44" t="str">
        <f t="shared" si="30"/>
        <v/>
      </c>
      <c r="DJ14" s="44" t="str">
        <f t="shared" si="31"/>
        <v/>
      </c>
      <c r="DK14" s="44" t="str">
        <f t="shared" si="32"/>
        <v/>
      </c>
      <c r="DL14" s="44" t="str">
        <f t="shared" si="33"/>
        <v>"BLUWHI",</v>
      </c>
      <c r="DM14" s="44" t="str" cm="1">
        <f t="array" ref="DM14">IF(CG14=3,CHAR(34) &amp; _xlfn.TEXTJOIN("", TRUE, RIGHT(HP14:HX14, 2)) &amp; CHAR(34) &amp; ",", "")</f>
        <v/>
      </c>
      <c r="DN14" s="44" t="str">
        <f t="shared" si="34"/>
        <v>"year18",</v>
      </c>
      <c r="DO14" s="44" t="str">
        <f t="shared" si="35"/>
        <v/>
      </c>
      <c r="DP14" s="5" t="str">
        <f t="shared" si="36"/>
        <v/>
      </c>
      <c r="DQ14" s="5" t="str">
        <f t="shared" si="37"/>
        <v/>
      </c>
      <c r="DR14" s="5" t="str">
        <f t="shared" si="38"/>
        <v/>
      </c>
      <c r="DS14" s="5" t="str">
        <f t="shared" si="39"/>
        <v/>
      </c>
      <c r="DT14" s="5" t="str">
        <f t="shared" si="40"/>
        <v/>
      </c>
      <c r="DU14" s="5" t="str">
        <f t="shared" si="41"/>
        <v/>
      </c>
      <c r="DV14" s="44" t="str">
        <f t="shared" si="42"/>
        <v>"smallc",</v>
      </c>
      <c r="DW14" s="44" t="str">
        <f t="shared" si="43"/>
        <v>"NoBand",</v>
      </c>
      <c r="DX14" s="44" t="str">
        <f t="shared" si="44"/>
        <v/>
      </c>
      <c r="DY14" s="44" t="str">
        <f t="shared" si="45"/>
        <v/>
      </c>
      <c r="DZ14" s="44" t="str">
        <f t="shared" si="46"/>
        <v/>
      </c>
      <c r="EA14" s="44" t="str">
        <f t="shared" si="47"/>
        <v/>
      </c>
      <c r="EB14" s="44" t="str">
        <f t="shared" si="48"/>
        <v>"Crosse",</v>
      </c>
      <c r="EC14" s="44" t="str">
        <f t="shared" si="49"/>
        <v>"Horizo",</v>
      </c>
      <c r="ED14" s="44" t="str">
        <f t="shared" si="50"/>
        <v>"Vertic",</v>
      </c>
      <c r="EE14" s="44" t="str">
        <f t="shared" si="51"/>
        <v/>
      </c>
      <c r="EF14" s="44" t="str">
        <f t="shared" si="52"/>
        <v/>
      </c>
      <c r="EG14" s="44" t="str">
        <f t="shared" si="53"/>
        <v/>
      </c>
      <c r="EH14" s="44" t="str">
        <f t="shared" si="54"/>
        <v/>
      </c>
      <c r="EI14" s="44" t="str">
        <f t="shared" si="55"/>
        <v/>
      </c>
      <c r="EJ14" s="44" t="str">
        <f t="shared" si="56"/>
        <v/>
      </c>
      <c r="EK14" s="44" t="str">
        <f t="shared" si="57"/>
        <v/>
      </c>
      <c r="EL14" s="44" t="str">
        <f t="shared" si="58"/>
        <v/>
      </c>
      <c r="EM14" s="44" t="str">
        <f t="shared" si="59"/>
        <v/>
      </c>
      <c r="EN14" s="44" t="str">
        <f t="shared" si="60"/>
        <v/>
      </c>
      <c r="EO14" s="44" t="str">
        <f t="shared" si="61"/>
        <v>"Center",</v>
      </c>
      <c r="EP14" s="44" t="str">
        <f t="shared" si="62"/>
        <v/>
      </c>
      <c r="EQ14" s="44" t="str">
        <f t="shared" si="63"/>
        <v/>
      </c>
      <c r="ER14" s="44" t="str">
        <f t="shared" si="64"/>
        <v/>
      </c>
      <c r="ES14" s="44" t="str">
        <f t="shared" si="65"/>
        <v/>
      </c>
      <c r="ET14" s="44" t="str">
        <f t="shared" si="66"/>
        <v/>
      </c>
      <c r="EU14" s="44" t="str">
        <f t="shared" si="67"/>
        <v/>
      </c>
      <c r="EV14" s="44" t="str">
        <f t="shared" si="68"/>
        <v/>
      </c>
      <c r="EW14" s="44" t="str">
        <f t="shared" si="69"/>
        <v/>
      </c>
      <c r="EX14" s="44" t="str">
        <f t="shared" si="70"/>
        <v/>
      </c>
      <c r="EY14" s="44" t="str">
        <f t="shared" si="71"/>
        <v>"Rotate",</v>
      </c>
      <c r="EZ14" s="44" t="str">
        <f t="shared" si="72"/>
        <v/>
      </c>
      <c r="FA14" s="44" t="str">
        <f t="shared" si="73"/>
        <v>"staWHI",</v>
      </c>
      <c r="FB14" s="44" t="str">
        <f t="shared" si="74"/>
        <v>"staBLU",</v>
      </c>
      <c r="FC14" s="44" t="str">
        <f t="shared" si="75"/>
        <v/>
      </c>
      <c r="FD14" s="44" t="str">
        <f t="shared" si="76"/>
        <v/>
      </c>
      <c r="FE14" s="44" t="str">
        <f t="shared" si="77"/>
        <v/>
      </c>
      <c r="FF14" s="44" t="str">
        <f t="shared" si="78"/>
        <v/>
      </c>
      <c r="FG14" s="44" t="str">
        <f t="shared" si="79"/>
        <v>"NO_RED",</v>
      </c>
      <c r="FH14" s="44" t="str">
        <f t="shared" si="80"/>
        <v>"NO_GRE",</v>
      </c>
      <c r="FI14" s="44" t="str">
        <f t="shared" si="81"/>
        <v>"NO_YEL",</v>
      </c>
      <c r="FJ14" s="44" t="str">
        <f t="shared" si="82"/>
        <v>"NO_BLA",</v>
      </c>
      <c r="FK14" s="44" t="str">
        <f t="shared" si="83"/>
        <v/>
      </c>
      <c r="FL14" s="44" t="str">
        <f t="shared" si="84"/>
        <v/>
      </c>
      <c r="FM14" s="44" t="str">
        <f t="shared" si="85"/>
        <v/>
      </c>
      <c r="FN14" s="44" t="str">
        <f t="shared" si="86"/>
        <v/>
      </c>
      <c r="FO14" s="44" t="str">
        <f t="shared" si="87"/>
        <v/>
      </c>
      <c r="FP14" s="44" t="str">
        <f t="shared" si="88"/>
        <v/>
      </c>
      <c r="FQ14" s="44" t="str">
        <f t="shared" si="89"/>
        <v/>
      </c>
      <c r="FR14" s="44" t="str">
        <f t="shared" si="90"/>
        <v/>
      </c>
      <c r="FS14" s="44" t="str">
        <f t="shared" si="91"/>
        <v/>
      </c>
      <c r="FT14" s="44" t="str">
        <f t="shared" si="92"/>
        <v>"myrBLU",</v>
      </c>
      <c r="FU14" s="44" t="str">
        <f t="shared" si="93"/>
        <v/>
      </c>
      <c r="FV14" s="44" t="str">
        <f t="shared" si="94"/>
        <v/>
      </c>
      <c r="FW14" s="44" t="str">
        <f t="shared" si="95"/>
        <v/>
      </c>
      <c r="FX14" s="44" t="str">
        <f t="shared" si="96"/>
        <v/>
      </c>
      <c r="FY14" s="44" t="str">
        <f t="shared" si="97"/>
        <v/>
      </c>
      <c r="FZ14" s="44" t="str">
        <f t="shared" si="98"/>
        <v/>
      </c>
      <c r="GA14" s="44" t="str">
        <f t="shared" si="99"/>
        <v/>
      </c>
      <c r="GB14" s="44" t="str">
        <f t="shared" si="100"/>
        <v/>
      </c>
      <c r="GC14" s="44" t="str">
        <f t="shared" si="101"/>
        <v/>
      </c>
      <c r="GD14" s="44" t="str">
        <f t="shared" si="102"/>
        <v/>
      </c>
      <c r="GE14" s="44" t="str">
        <f t="shared" si="103"/>
        <v/>
      </c>
      <c r="GF14" s="44" t="str">
        <f>IFERROR(IF(SEARCH("Historical",AU14)&gt;0,CHAR(34)&amp;"histor"&amp;CHAR(34)&amp;",",""),"")</f>
        <v>"histor",</v>
      </c>
      <c r="GG14" s="44" t="str">
        <f t="shared" si="104"/>
        <v/>
      </c>
      <c r="GH14" s="44" t="str">
        <f t="shared" si="105"/>
        <v>"southc",</v>
      </c>
      <c r="GI14" s="44" t="str">
        <f t="shared" si="106"/>
        <v/>
      </c>
      <c r="GJ14" s="44" t="str">
        <f t="shared" si="107"/>
        <v/>
      </c>
      <c r="GK14" s="44" t="str">
        <f t="shared" si="108"/>
        <v>"HasSta",</v>
      </c>
      <c r="GL14" s="44" t="str">
        <f t="shared" si="109"/>
        <v/>
      </c>
      <c r="GM14" s="44" t="str">
        <f t="shared" si="110"/>
        <v/>
      </c>
      <c r="GN14" s="44" t="str">
        <f t="shared" si="111"/>
        <v>"3+Star",</v>
      </c>
      <c r="GP14" s="44" t="str">
        <f t="shared" si="112"/>
        <v>"Historical"</v>
      </c>
      <c r="GS14" s="44" t="str">
        <f t="shared" si="113"/>
        <v>["2Color","words2","exact2","lets10","startE","BLUWHI","year18","smallc","NoBand","Crosse","Horizo","Vertic","Center","Rotate","staWHI","staBLU","NO_RED","NO_GRE","NO_YEL","NO_BLA","myrBLU","histor","southc","HasSta","3+Star"]</v>
      </c>
      <c r="GT14" s="44" t="str">
        <f t="shared" si="114"/>
        <v/>
      </c>
      <c r="GU14" s="44" t="str">
        <f t="shared" si="115"/>
        <v>"cl_BLU",</v>
      </c>
      <c r="GV14" s="44" t="str">
        <f t="shared" si="116"/>
        <v/>
      </c>
      <c r="GW14" s="44" t="str">
        <f t="shared" si="117"/>
        <v/>
      </c>
      <c r="GX14" s="44" t="str">
        <f t="shared" si="118"/>
        <v/>
      </c>
      <c r="GY14" s="44" t="str">
        <f t="shared" si="119"/>
        <v/>
      </c>
      <c r="GZ14" s="44" t="str">
        <f t="shared" si="120"/>
        <v/>
      </c>
      <c r="HA14" s="44" t="str">
        <f t="shared" si="121"/>
        <v/>
      </c>
      <c r="HB14" s="44" t="str">
        <f t="shared" si="122"/>
        <v>"cl_WHI",</v>
      </c>
      <c r="HC14" s="44" t="str">
        <f t="shared" si="123"/>
        <v>["cl_BLU","cl_WHI"]</v>
      </c>
      <c r="HE14" s="64"/>
      <c r="HF14" s="65" t="str">
        <f t="shared" si="124"/>
        <v>{couname:"[AUS] Eureka Flag",year:"1854",region:"rgn_Oceania",Colors:["cl_BLU","cl_WHI"],Items:["2Color","words2","exact2","lets10","startE","BLUWHI","year18","smallc","NoBand","Crosse","Horizo","Vertic","Center","Rotate","staWHI","staBLU","NO_RED","NO_GRE","NO_YEL","NO_BLA","myrBLU","histor","southc","HasSta","3+Star"],Flag:"https://upload.wikimedia.org/wikipedia/commons/thumb/8/84/Eureka_Flag.svg/640px-Eureka_Flag.svg.png",HDFlag:"https://upload.wikimedia.org/wikipedia/commons/thumb/8/84/Eureka_Flag.svg/2560px-Eureka_Flag.svg.png",type:"Historical", describe: "\nThe battle flag of the Eureka Stockade featured the five stars of the constellation Crux Australis in white on a white cross and blue field", isnew:".", links: "https://en.wikipedia.org/wiki/Eureka_Flag"},</v>
      </c>
      <c r="HG14" s="66" t="str">
        <f t="shared" si="125"/>
        <v>{couname:"[AUS] Eureka Flag",year:"1854",region:"rgn_Oceania",Colors:["cl_BLU","cl_WHI"],Items:["2Color","words2","exact2","lets10","startE","BLUWHI","year18","smallc","NoBand","Crosse","Horizo","Vertic","Center","Rotate","staWHI","staBLU","NO_RED","NO_GRE","NO_YEL","NO_BLA","myrBLU","histor","southc","HasSta","3+Star"],Flag:"https://upload.wikimedia.org/wikipedia/commons/thumb/8/84/Eureka_Flag.svg/640px-Eureka_Flag.svg.png",HDFlag:"https://upload.wikimedia.org/wikipedia/commons/thumb/8/84/Eureka_Flag.svg/2560px-Eureka_Flag.svg.png",type:"Historical", describe: "\nThe battle flag of the Eureka Stockade featured the five stars of the constellation Crux Australis in white on a white cross and blue field", links: "https://en.wikipedia.org/wiki/Eureka_Flag"},</v>
      </c>
      <c r="HH14" s="44" t="str">
        <f t="shared" si="126"/>
        <v>"\nThe battle flag of the Eureka Stockade featured the five stars of the constellation Crux Australis in white on a white cross and blue field"</v>
      </c>
      <c r="HI14" s="44" t="str">
        <f t="shared" si="127"/>
        <v>"\nThe battle flag of the Eureka Stockade featured the five stars of the constellation Crux Australis in white on a white cross and blue field"</v>
      </c>
      <c r="HJ14" s="44" t="str">
        <f t="shared" si="128"/>
        <v>"1854"</v>
      </c>
      <c r="HL14" s="44" t="str">
        <f t="shared" si="129"/>
        <v>"https://en.wikipedia.org/wiki/Eureka_Flag"</v>
      </c>
      <c r="HM14" s="65" t="str">
        <f t="shared" si="130"/>
        <v>{"couname":"[AUS] Eureka Flag","subtype":"[AUS] Other","year":"1854","region":"rgn_Oceania","Colors":["cl_BLU","cl_WHI"],"Items":["2Color","words2","exact2","lets10","startE","BLUWHI","year18","smallc","NoBand","Crosse","Horizo","Vertic","Center","Rotate","staWHI","staBLU","NO_RED","NO_GRE","NO_YEL","NO_BLA","myrBLU","histor","southc","HasSta","3+Star"],"Flag":"https://upload.wikimedia.org/wikipedia/commons/thumb/8/84/Eureka_Flag.svg/640px-Eureka_Flag.svg.png","HDFlag":"https://upload.wikimedia.org/wikipedia/commons/thumb/8/84/Eureka_Flag.svg/2560px-Eureka_Flag.svg.png","type":"Historical", "describe": "\nThe battle flag of the Eureka Stockade featured the five stars of the constellation Crux Australis in white on a white cross and blue field", "isnew": ".", "links": "https://en.wikipedia.org/wiki/Eureka_Flag"},</v>
      </c>
      <c r="HN14" s="67" t="str">
        <f t="shared" si="131"/>
        <v>{"couname":"[AUS] Eureka Flag","subtype":"[AUS] Other","year":"1854","region":"rgn_Oceania","Colors":["cl_BLU","cl_WHI"],"Items":["2Color","words2","exact2","lets10","startE","BLUWHI","year18","smallc","NoBand","Crosse","Horizo","Vertic","Center","Rotate","staWHI","staBLU","NO_RED","NO_GRE","NO_YEL","NO_BLA","myrBLU","histor","southc","HasSta","3+Star"],"Flag":"https://upload.wikimedia.org/wikipedia/commons/thumb/8/84/Eureka_Flag.svg/640px-Eureka_Flag.svg.png","HDFlag":"https://upload.wikimedia.org/wikipedia/commons/thumb/8/84/Eureka_Flag.svg/2560px-Eureka_Flag.svg.png","type":"Historical", "describe": "\nThe battle flag of the Eureka Stockade featured the five stars of the constellation Crux Australis in white on a white cross and blue field", "isnew": ".", "links": "https://en.wikipedia.org/wiki/Eureka_Flag"},</v>
      </c>
      <c r="HO14" s="71">
        <v>45576</v>
      </c>
      <c r="HP14" s="44" t="str" cm="1">
        <f t="array" ref="HP14">IF(_xlfn.TEXTJOIN(", ", TRUE, IF(ISNUMBER(SEARCH("BLA", BL14:BT14)), COLUMN(BL14:BT14) - COLUMN(BL14) + 1, ""))&lt;&gt;"","BLA","")</f>
        <v/>
      </c>
      <c r="HQ14" s="44" t="str" cm="1">
        <f t="array" ref="HQ14">IF(_xlfn.TEXTJOIN(", ", TRUE, IF(ISNUMBER(SEARCH("BLU", BL14:BT14)), COLUMN(BL14:BT14) - COLUMN(BL14) + 1, ""))&lt;&gt;"","BLU","")</f>
        <v>BLU</v>
      </c>
      <c r="HR14" s="44" t="str" cm="1">
        <f t="array" ref="HR14">IF(_xlfn.TEXTJOIN(", ", TRUE, IF(ISNUMBER(SEARCH("GRE", BL14:BT14)), COLUMN(BL14:BT14) - COLUMN(BL14) + 1, ""))&lt;&gt;"","GRE","")</f>
        <v/>
      </c>
      <c r="HS14" s="44" t="str" cm="1">
        <f t="array" ref="HS14">IF(_xlfn.TEXTJOIN(", ", TRUE, IF(ISNUMBER(SEARCH("RED", BL14:BT14)), COLUMN(BL14:BT14) - COLUMN(BL14) + 1, ""))&lt;&gt;"","RED","")</f>
        <v/>
      </c>
      <c r="HT14" s="44" t="str" cm="1">
        <f t="array" ref="HT14">IF(_xlfn.TEXTJOIN(", ", TRUE, IF(ISNUMBER(SEARCH("YEL", BL14:BT14)), COLUMN(BL14:BT14) - COLUMN(BL14) + 1, ""))&lt;&gt;"","YEL","")</f>
        <v/>
      </c>
      <c r="HU14" s="44" t="str" cm="1">
        <f t="array" ref="HU14">IF(_xlfn.TEXTJOIN(", ", TRUE, IF(ISNUMBER(SEARCH("ORA", BL14:BT14)), COLUMN(BL14:BT14) - COLUMN(BL14) + 1, ""))&lt;&gt;"","ORA","")</f>
        <v/>
      </c>
      <c r="HV14" s="44" t="str" cm="1">
        <f t="array" ref="HV14">IF(_xlfn.TEXTJOIN(", ", TRUE, IF(ISNUMBER(SEARCH("BRO", BL14:BT14)), COLUMN(BL14:BT14) - COLUMN(BL14) + 1, ""))&lt;&gt;"","BRO","")</f>
        <v/>
      </c>
      <c r="HW14" s="44" t="str" cm="1">
        <f t="array" ref="HW14">IF(_xlfn.TEXTJOIN(", ", TRUE, IF(ISNUMBER(SEARCH("PUR", BL14:BT14)), COLUMN(BL14:BT14) - COLUMN(BL14) + 1, ""))&lt;&gt;"","PUR","")</f>
        <v/>
      </c>
      <c r="HX14" s="44" t="str" cm="1">
        <f t="array" ref="HX14">IF(_xlfn.TEXTJOIN(", ", TRUE, IF(ISNUMBER(SEARCH("WHI", BL14:BT14)), COLUMN(BL14:BT14) - COLUMN(BL14) + 1, ""))&lt;&gt;"","WHI","")</f>
        <v>WHI</v>
      </c>
      <c r="HY14" s="72"/>
      <c r="HZ14" s="72"/>
      <c r="IA14" s="5" t="s">
        <v>166</v>
      </c>
      <c r="IB14" s="5"/>
      <c r="IC14" s="68"/>
      <c r="ID14" s="68"/>
      <c r="IE14" s="68"/>
      <c r="IF14" s="68"/>
      <c r="IG14" s="68"/>
      <c r="IH14" s="68"/>
      <c r="II14" s="68"/>
      <c r="IJ14" s="68"/>
      <c r="IK14" s="68"/>
      <c r="IL14" s="44">
        <f t="shared" si="132"/>
        <v>0</v>
      </c>
      <c r="IM14" s="42">
        <f t="shared" si="133"/>
        <v>-2</v>
      </c>
      <c r="IN14" s="69" t="str">
        <f t="shared" si="134"/>
        <v>http://mkweb.bcgsc.ca/color-summarizer/?url=https://upload.wikimedia.org/wikipedia/commons/thumb/8/84/Eureka_Flag.svg/640px-Eureka_Flag.svg.png&amp;precision=low&amp;num_clusters=2&amp;text=1</v>
      </c>
      <c r="IO14" s="44" t="str">
        <f t="shared" si="135"/>
        <v/>
      </c>
      <c r="IP14" s="44" t="str">
        <f t="shared" si="136"/>
        <v>"blue"</v>
      </c>
      <c r="IQ14" s="44" t="str">
        <f t="shared" si="137"/>
        <v/>
      </c>
      <c r="IR14" s="44" t="str">
        <f t="shared" si="138"/>
        <v/>
      </c>
      <c r="IS14" s="44" t="str">
        <f t="shared" si="139"/>
        <v/>
      </c>
      <c r="IT14" s="44" t="str">
        <f t="shared" si="140"/>
        <v/>
      </c>
      <c r="IU14" s="44" t="str">
        <f t="shared" si="141"/>
        <v/>
      </c>
      <c r="IV14" s="44" t="str">
        <f t="shared" si="142"/>
        <v/>
      </c>
      <c r="IW14" s="44" t="str">
        <f t="shared" si="143"/>
        <v>"white"</v>
      </c>
      <c r="IX14" s="44" t="str">
        <f t="shared" si="144"/>
        <v>{"url":"http://mkweb.bcgsc.ca/color-summarizer/?url=https://upload.wikimedia.org/wikipedia/commons/thumb/8/84/Eureka_Flag.svg/640px-Eureka_Flag.svg.png&amp;precision=low&amp;num_clusters=2&amp;text=1","name":"[AUS] Eureka Flag"},</v>
      </c>
      <c r="IY14" s="44">
        <v>949</v>
      </c>
    </row>
    <row r="15" spans="1:259" s="44" customFormat="1" ht="38.4" customHeight="1" thickBot="1" x14ac:dyDescent="0.35">
      <c r="A15" s="81" t="s">
        <v>568</v>
      </c>
      <c r="B15" s="78" t="e" vm="16">
        <v>#VALUE!</v>
      </c>
      <c r="C15" s="39">
        <v>3</v>
      </c>
      <c r="D15" s="70" t="s">
        <v>569</v>
      </c>
      <c r="E15" s="40" t="s">
        <v>570</v>
      </c>
      <c r="F15" s="41" t="s">
        <v>165</v>
      </c>
      <c r="G15" s="42">
        <f t="shared" si="0"/>
        <v>1</v>
      </c>
      <c r="H15" s="43" t="s">
        <v>819</v>
      </c>
      <c r="I15" s="59" t="s">
        <v>571</v>
      </c>
      <c r="J15" s="44" t="str">
        <f>""</f>
        <v/>
      </c>
      <c r="K15" s="45"/>
      <c r="L15" s="46"/>
      <c r="M15" s="46"/>
      <c r="N15" s="47" t="s">
        <v>177</v>
      </c>
      <c r="O15" s="74" t="s">
        <v>407</v>
      </c>
      <c r="P15" s="48" t="s">
        <v>572</v>
      </c>
      <c r="Q15" s="73">
        <v>2</v>
      </c>
      <c r="R15" s="49" t="s">
        <v>177</v>
      </c>
      <c r="S15" s="50">
        <v>4</v>
      </c>
      <c r="T15" s="51" t="s">
        <v>166</v>
      </c>
      <c r="U15" s="52" t="s">
        <v>167</v>
      </c>
      <c r="V15" s="52" t="s">
        <v>167</v>
      </c>
      <c r="W15" s="52" t="s">
        <v>167</v>
      </c>
      <c r="X15" s="52" t="s">
        <v>166</v>
      </c>
      <c r="Y15" s="52" t="s">
        <v>166</v>
      </c>
      <c r="Z15" s="52" t="s">
        <v>166</v>
      </c>
      <c r="AA15" s="52" t="s">
        <v>166</v>
      </c>
      <c r="AB15" s="52" t="s">
        <v>166</v>
      </c>
      <c r="AC15" s="52" t="s">
        <v>166</v>
      </c>
      <c r="AD15" s="52" t="s">
        <v>166</v>
      </c>
      <c r="AE15" s="52" t="s">
        <v>166</v>
      </c>
      <c r="AF15" s="53" t="s">
        <v>166</v>
      </c>
      <c r="AG15" s="53" t="s">
        <v>166</v>
      </c>
      <c r="AH15" s="53" t="s">
        <v>166</v>
      </c>
      <c r="AI15" s="53" t="s">
        <v>166</v>
      </c>
      <c r="AJ15" s="53" t="s">
        <v>167</v>
      </c>
      <c r="AK15" s="53" t="s">
        <v>167</v>
      </c>
      <c r="AL15" s="53" t="s">
        <v>166</v>
      </c>
      <c r="AM15" s="53" t="s">
        <v>166</v>
      </c>
      <c r="AN15" s="53" t="s">
        <v>166</v>
      </c>
      <c r="AO15" s="53" t="s">
        <v>166</v>
      </c>
      <c r="AP15" s="53" t="s">
        <v>166</v>
      </c>
      <c r="AQ15" s="53" t="s">
        <v>166</v>
      </c>
      <c r="AR15" s="53" t="s">
        <v>166</v>
      </c>
      <c r="AS15" s="53" t="s">
        <v>166</v>
      </c>
      <c r="AT15" s="54">
        <v>0</v>
      </c>
      <c r="AU15" s="53" t="s">
        <v>522</v>
      </c>
      <c r="AV15" s="53" t="str">
        <f t="shared" si="1"/>
        <v>[AUS]Micronation[AUS] Snake Hill</v>
      </c>
      <c r="AW15" s="53" t="str">
        <f t="shared" si="2"/>
        <v>3[AUS] Other[AUS] Snake Hill</v>
      </c>
      <c r="AX15" s="55"/>
      <c r="AY15" s="55"/>
      <c r="AZ15" s="56"/>
      <c r="BA15" s="56"/>
      <c r="BB15" s="56"/>
      <c r="BC15" s="57"/>
      <c r="BD15" s="58" t="s">
        <v>161</v>
      </c>
      <c r="BE15" s="59"/>
      <c r="BF15" s="58"/>
      <c r="BG15" s="58"/>
      <c r="BH15" s="58"/>
      <c r="BI15" s="58" t="s">
        <v>154</v>
      </c>
      <c r="BJ15" s="58"/>
      <c r="BK15" s="59"/>
      <c r="BL15" s="58" t="s">
        <v>161</v>
      </c>
      <c r="BM15" s="58" t="s">
        <v>154</v>
      </c>
      <c r="BN15" s="58"/>
      <c r="BO15" s="58"/>
      <c r="BP15" s="58"/>
      <c r="BQ15" s="58"/>
      <c r="BR15" s="58"/>
      <c r="BS15" s="58"/>
      <c r="BT15" s="58"/>
      <c r="BU15" s="60"/>
      <c r="BV15" s="61"/>
      <c r="BW15" s="61">
        <v>0</v>
      </c>
      <c r="BX15" s="59"/>
      <c r="CB15" s="5"/>
      <c r="CC15" s="5"/>
      <c r="CD15" s="62">
        <v>0</v>
      </c>
      <c r="CE15" s="62">
        <v>0</v>
      </c>
      <c r="CF15" s="62" t="e">
        <v>#REF!</v>
      </c>
      <c r="CG15" s="75" cm="1">
        <f t="array" ref="CG15">SUMPRODUCT(--(LEN(TRIM(BL15:BT15))&gt;0))</f>
        <v>2</v>
      </c>
      <c r="CH15" s="53" t="str">
        <f t="shared" si="3"/>
        <v>y</v>
      </c>
      <c r="CI15" s="53" t="str">
        <f t="shared" si="4"/>
        <v>n</v>
      </c>
      <c r="CJ15" s="53" t="str">
        <f t="shared" si="5"/>
        <v>n</v>
      </c>
      <c r="CK15" s="53" t="str">
        <f t="shared" si="6"/>
        <v>n</v>
      </c>
      <c r="CL15" s="53" t="str">
        <f t="shared" si="7"/>
        <v>n</v>
      </c>
      <c r="CM15" s="53" t="str">
        <f t="shared" si="8"/>
        <v>n</v>
      </c>
      <c r="CN15" s="53" t="str">
        <f t="shared" si="9"/>
        <v>n</v>
      </c>
      <c r="CO15" s="53" t="str">
        <f t="shared" si="10"/>
        <v>y</v>
      </c>
      <c r="CP15" s="53" t="str">
        <f t="shared" si="11"/>
        <v>y</v>
      </c>
      <c r="CQ15" s="53" t="str">
        <f t="shared" si="12"/>
        <v>n</v>
      </c>
      <c r="CR15" s="53" t="str">
        <f t="shared" si="13"/>
        <v>n</v>
      </c>
      <c r="CS15" s="53" t="str">
        <f t="shared" si="14"/>
        <v>n</v>
      </c>
      <c r="CT15" s="38" t="str">
        <f t="shared" si="15"/>
        <v>"[AUS] Snake Hill"</v>
      </c>
      <c r="CU15" s="63" t="str">
        <f t="shared" si="16"/>
        <v>"rgn_Oceania"</v>
      </c>
      <c r="CV15" s="44" t="str">
        <f t="shared" si="17"/>
        <v>"https://upload.wikimedia.org/wikipedia/commons/thumb/f/f0/Flag_of_the_Principality_of_Snake_Hill.svg/640px-Flag_of_the_Principality_of_Snake_Hill.svg.png"</v>
      </c>
      <c r="CW15" s="44" t="str">
        <f t="shared" si="18"/>
        <v>"2Color",</v>
      </c>
      <c r="CX15" s="44" t="str">
        <f t="shared" si="19"/>
        <v/>
      </c>
      <c r="CY15" s="44" t="str">
        <f t="shared" si="20"/>
        <v/>
      </c>
      <c r="CZ15" s="44" t="str">
        <f t="shared" si="21"/>
        <v/>
      </c>
      <c r="DA15" s="44" t="str">
        <f t="shared" si="22"/>
        <v>"words2",</v>
      </c>
      <c r="DB15" s="44" t="str">
        <f t="shared" si="23"/>
        <v/>
      </c>
      <c r="DC15" s="44" t="str">
        <f t="shared" si="24"/>
        <v>"exact2",</v>
      </c>
      <c r="DD15" s="44" t="str">
        <f t="shared" si="25"/>
        <v>"lets09",</v>
      </c>
      <c r="DE15" s="44" t="str">
        <f t="shared" si="26"/>
        <v>"startS",</v>
      </c>
      <c r="DF15" s="44" t="str">
        <f t="shared" si="27"/>
        <v/>
      </c>
      <c r="DG15" s="44" t="str">
        <f t="shared" si="28"/>
        <v/>
      </c>
      <c r="DH15" s="44" t="str">
        <f t="shared" si="29"/>
        <v/>
      </c>
      <c r="DI15" s="44" t="str">
        <f t="shared" si="30"/>
        <v/>
      </c>
      <c r="DJ15" s="44" t="str">
        <f t="shared" si="31"/>
        <v/>
      </c>
      <c r="DK15" s="44" t="str">
        <f t="shared" si="32"/>
        <v/>
      </c>
      <c r="DL15" s="44" t="str">
        <f t="shared" si="33"/>
        <v>"BLUWHI",</v>
      </c>
      <c r="DM15" s="44" t="str" cm="1">
        <f t="array" ref="DM15">IF(CG15=3,CHAR(34) &amp; _xlfn.TEXTJOIN("", TRUE, RIGHT(HP15:HX15, 2)) &amp; CHAR(34) &amp; ",", "")</f>
        <v/>
      </c>
      <c r="DN15" s="44" t="str">
        <f t="shared" si="34"/>
        <v/>
      </c>
      <c r="DO15" s="44" t="str">
        <f t="shared" si="35"/>
        <v/>
      </c>
      <c r="DP15" s="5" t="str">
        <f t="shared" si="36"/>
        <v>"year00",</v>
      </c>
      <c r="DQ15" s="5" t="str">
        <f t="shared" si="37"/>
        <v/>
      </c>
      <c r="DR15" s="5" t="str">
        <f t="shared" si="38"/>
        <v/>
      </c>
      <c r="DS15" s="5" t="str">
        <f t="shared" si="39"/>
        <v/>
      </c>
      <c r="DT15" s="5" t="str">
        <f t="shared" si="40"/>
        <v/>
      </c>
      <c r="DU15" s="5" t="str">
        <f t="shared" si="41"/>
        <v/>
      </c>
      <c r="DV15" s="44" t="str">
        <f t="shared" si="42"/>
        <v>"largec",</v>
      </c>
      <c r="DW15" s="44" t="str">
        <f t="shared" si="43"/>
        <v/>
      </c>
      <c r="DX15" s="44" t="str">
        <f t="shared" si="44"/>
        <v/>
      </c>
      <c r="DY15" s="44" t="str">
        <f t="shared" si="45"/>
        <v/>
      </c>
      <c r="DZ15" s="44" t="str">
        <f t="shared" si="46"/>
        <v>"4+Band",</v>
      </c>
      <c r="EA15" s="44" t="str">
        <f t="shared" si="47"/>
        <v/>
      </c>
      <c r="EB15" s="44" t="str">
        <f t="shared" si="48"/>
        <v>"Crosse",</v>
      </c>
      <c r="EC15" s="44" t="str">
        <f t="shared" si="49"/>
        <v>"Horizo",</v>
      </c>
      <c r="ED15" s="44" t="str">
        <f t="shared" si="50"/>
        <v>"Vertic",</v>
      </c>
      <c r="EE15" s="44" t="str">
        <f t="shared" si="51"/>
        <v/>
      </c>
      <c r="EF15" s="44" t="str">
        <f t="shared" si="52"/>
        <v/>
      </c>
      <c r="EG15" s="44" t="str">
        <f t="shared" si="53"/>
        <v/>
      </c>
      <c r="EH15" s="44" t="str">
        <f t="shared" si="54"/>
        <v/>
      </c>
      <c r="EI15" s="44" t="str">
        <f t="shared" si="55"/>
        <v/>
      </c>
      <c r="EJ15" s="44" t="str">
        <f t="shared" si="56"/>
        <v/>
      </c>
      <c r="EK15" s="44" t="str">
        <f t="shared" si="57"/>
        <v/>
      </c>
      <c r="EL15" s="44" t="str">
        <f t="shared" si="58"/>
        <v/>
      </c>
      <c r="EM15" s="44" t="str">
        <f t="shared" si="59"/>
        <v/>
      </c>
      <c r="EN15" s="44" t="str">
        <f t="shared" si="60"/>
        <v/>
      </c>
      <c r="EO15" s="44" t="str">
        <f t="shared" si="61"/>
        <v/>
      </c>
      <c r="EP15" s="44" t="str">
        <f t="shared" si="62"/>
        <v/>
      </c>
      <c r="EQ15" s="44" t="str">
        <f t="shared" si="63"/>
        <v>"Nordic",</v>
      </c>
      <c r="ER15" s="44" t="str">
        <f t="shared" si="64"/>
        <v>"OnlyBa",</v>
      </c>
      <c r="ES15" s="44" t="str">
        <f t="shared" si="65"/>
        <v/>
      </c>
      <c r="ET15" s="44" t="str">
        <f t="shared" si="66"/>
        <v/>
      </c>
      <c r="EU15" s="44" t="str">
        <f t="shared" si="67"/>
        <v/>
      </c>
      <c r="EV15" s="44" t="str">
        <f t="shared" si="68"/>
        <v/>
      </c>
      <c r="EW15" s="44" t="str">
        <f t="shared" si="69"/>
        <v/>
      </c>
      <c r="EX15" s="44" t="str">
        <f t="shared" si="70"/>
        <v/>
      </c>
      <c r="EY15" s="44" t="str">
        <f t="shared" si="71"/>
        <v/>
      </c>
      <c r="EZ15" s="44" t="str">
        <f t="shared" si="72"/>
        <v/>
      </c>
      <c r="FA15" s="44" t="str">
        <f t="shared" si="73"/>
        <v/>
      </c>
      <c r="FB15" s="44" t="str">
        <f t="shared" si="74"/>
        <v/>
      </c>
      <c r="FC15" s="44" t="str">
        <f t="shared" si="75"/>
        <v/>
      </c>
      <c r="FD15" s="44" t="str">
        <f t="shared" si="76"/>
        <v/>
      </c>
      <c r="FE15" s="44" t="str">
        <f t="shared" si="77"/>
        <v/>
      </c>
      <c r="FF15" s="44" t="str">
        <f t="shared" si="78"/>
        <v/>
      </c>
      <c r="FG15" s="44" t="str">
        <f t="shared" si="79"/>
        <v>"NO_RED",</v>
      </c>
      <c r="FH15" s="44" t="str">
        <f t="shared" si="80"/>
        <v>"NO_GRE",</v>
      </c>
      <c r="FI15" s="44" t="str">
        <f t="shared" si="81"/>
        <v>"NO_YEL",</v>
      </c>
      <c r="FJ15" s="44" t="str">
        <f t="shared" si="82"/>
        <v>"NO_BLA",</v>
      </c>
      <c r="FK15" s="44" t="str">
        <f t="shared" si="83"/>
        <v/>
      </c>
      <c r="FL15" s="44" t="str">
        <f t="shared" si="84"/>
        <v/>
      </c>
      <c r="FM15" s="44" t="str">
        <f t="shared" si="85"/>
        <v/>
      </c>
      <c r="FN15" s="44" t="str">
        <f t="shared" si="86"/>
        <v/>
      </c>
      <c r="FO15" s="44" t="str">
        <f t="shared" si="87"/>
        <v/>
      </c>
      <c r="FP15" s="44" t="str">
        <f t="shared" si="88"/>
        <v/>
      </c>
      <c r="FQ15" s="44" t="str">
        <f t="shared" si="89"/>
        <v/>
      </c>
      <c r="FR15" s="44" t="str">
        <f t="shared" si="90"/>
        <v/>
      </c>
      <c r="FS15" s="44" t="str">
        <f t="shared" si="91"/>
        <v/>
      </c>
      <c r="FT15" s="44" t="str">
        <f t="shared" si="92"/>
        <v>"myrWHI",</v>
      </c>
      <c r="FU15" s="44" t="str">
        <f t="shared" si="93"/>
        <v/>
      </c>
      <c r="FV15" s="44" t="str">
        <f t="shared" si="94"/>
        <v/>
      </c>
      <c r="FW15" s="44" t="str">
        <f t="shared" si="95"/>
        <v/>
      </c>
      <c r="FX15" s="44" t="str">
        <f t="shared" si="96"/>
        <v/>
      </c>
      <c r="FY15" s="44" t="str">
        <f t="shared" si="97"/>
        <v/>
      </c>
      <c r="FZ15" s="44" t="str">
        <f t="shared" si="98"/>
        <v/>
      </c>
      <c r="GA15" s="44" t="str">
        <f t="shared" si="99"/>
        <v/>
      </c>
      <c r="GB15" s="44" t="str">
        <f t="shared" si="100"/>
        <v/>
      </c>
      <c r="GC15" s="44" t="str">
        <f t="shared" si="101"/>
        <v/>
      </c>
      <c r="GD15" s="44" t="str">
        <f t="shared" si="102"/>
        <v/>
      </c>
      <c r="GE15" s="44" t="str">
        <f t="shared" si="103"/>
        <v/>
      </c>
      <c r="GF15" s="44" t="str">
        <f>IFERROR(IF(SEARCH("Histor",AU15)&gt;0,CHAR(34)&amp;"histor"&amp;CHAR(34)&amp;",",""),"")</f>
        <v/>
      </c>
      <c r="GG15" s="44" t="str">
        <f t="shared" si="104"/>
        <v/>
      </c>
      <c r="GH15" s="44" t="str">
        <f t="shared" si="105"/>
        <v/>
      </c>
      <c r="GI15" s="44" t="str">
        <f t="shared" si="106"/>
        <v/>
      </c>
      <c r="GJ15" s="44" t="str">
        <f t="shared" si="107"/>
        <v>"NoStar",</v>
      </c>
      <c r="GK15" s="44" t="str">
        <f t="shared" si="108"/>
        <v/>
      </c>
      <c r="GL15" s="44" t="str">
        <f t="shared" si="109"/>
        <v/>
      </c>
      <c r="GM15" s="44" t="str">
        <f t="shared" si="110"/>
        <v/>
      </c>
      <c r="GN15" s="44" t="str">
        <f t="shared" si="111"/>
        <v/>
      </c>
      <c r="GP15" s="44" t="str">
        <f t="shared" si="112"/>
        <v>"Micronation"</v>
      </c>
      <c r="GS15" s="44" t="str">
        <f t="shared" si="113"/>
        <v>["2Color","words2","exact2","lets09","startS","BLUWHI","year00","largec","4+Band","Crosse","Horizo","Vertic","Nordic","OnlyBa","NO_RED","NO_GRE","NO_YEL","NO_BLA","myrWHI","NoStar"]</v>
      </c>
      <c r="GT15" s="44" t="str">
        <f t="shared" si="114"/>
        <v>"cl_WHI",</v>
      </c>
      <c r="GU15" s="44" t="str">
        <f t="shared" si="115"/>
        <v>"cl_BLU",</v>
      </c>
      <c r="GV15" s="44" t="str">
        <f t="shared" si="116"/>
        <v/>
      </c>
      <c r="GW15" s="44" t="str">
        <f t="shared" si="117"/>
        <v/>
      </c>
      <c r="GX15" s="44" t="str">
        <f t="shared" si="118"/>
        <v/>
      </c>
      <c r="GY15" s="44" t="str">
        <f t="shared" si="119"/>
        <v/>
      </c>
      <c r="GZ15" s="44" t="str">
        <f t="shared" si="120"/>
        <v/>
      </c>
      <c r="HA15" s="44" t="str">
        <f t="shared" si="121"/>
        <v/>
      </c>
      <c r="HB15" s="44" t="str">
        <f t="shared" si="122"/>
        <v/>
      </c>
      <c r="HC15" s="44" t="str">
        <f t="shared" si="123"/>
        <v>["cl_WHI","cl_BLU"]</v>
      </c>
      <c r="HE15" s="64"/>
      <c r="HF15" s="65" t="str">
        <f t="shared" si="124"/>
        <v>{couname:"[AUS] Snake Hill",year:"2003 ",region:"rgn_Oceania",Colors:["cl_WHI","cl_BLU"],Items:["2Color","words2","exact2","lets09","startS","BLUWHI","year00","largec","4+Band","Crosse","Horizo","Vertic","Nordic","OnlyBa","NO_RED","NO_GRE","NO_YEL","NO_BLA","myrWHI","NoStar"],Flag:"https://upload.wikimedia.org/wikipedia/commons/thumb/f/f0/Flag_of_the_Principality_of_Snake_Hill.svg/640px-Flag_of_the_Principality_of_Snake_Hill.svg.png",HDFlag:"https://upload.wikimedia.org/wikipedia/commons/thumb/f/f0/Flag_of_the_Principality_of_Snake_Hill.svg/2560px-Flag_of_the_Principality_of_Snake_Hill.svg.png",type:"Micronation", describe: "\nA family of Australian residents could no longer afford to pay taxes, and after litigation over a mortgage and being inspired by the Principality of Hutt River, they did legal research and came to the conclusion that forming a country would be completely legal under Australian law, and they thus declared independence on 2 September 2003.", isnew:".", links: "https://en.wikipedia.org/wiki/Principality_of_Snake_Hill"},</v>
      </c>
      <c r="HG15" s="66" t="str">
        <f t="shared" si="125"/>
        <v>{couname:"[AUS] Snake Hill",year:"2003 ",region:"rgn_Oceania",Colors:["cl_WHI","cl_BLU"],Items:["2Color","words2","exact2","lets09","startS","BLUWHI","year00","largec","4+Band","Crosse","Horizo","Vertic","Nordic","OnlyBa","NO_RED","NO_GRE","NO_YEL","NO_BLA","myrWHI","NoStar"],Flag:"https://upload.wikimedia.org/wikipedia/commons/thumb/f/f0/Flag_of_the_Principality_of_Snake_Hill.svg/640px-Flag_of_the_Principality_of_Snake_Hill.svg.png",HDFlag:"https://upload.wikimedia.org/wikipedia/commons/thumb/f/f0/Flag_of_the_Principality_of_Snake_Hill.svg/2560px-Flag_of_the_Principality_of_Snake_Hill.svg.png",type:"Micronation", describe: "\nA family of Australian residents could no longer afford to pay taxes, and after litigation over a mortgage and being inspired by the Principality of Hutt River, they did legal research and came to the conclusion that forming a country would be completely legal under Australian law, and they thus declared independence on 2 September 2003.", links: "https://en.wikipedia.org/wiki/Principality_of_Snake_Hill"},</v>
      </c>
      <c r="HH15" s="44" t="str">
        <f t="shared" si="126"/>
        <v>"\nA family of Australian residents could no longer afford to pay taxes, and after litigation over a mortgage and being inspired by the Principality of Hutt River, they did legal research and came to the conclusion that forming a country would be completely legal under Australian law, and they thus declared independence on 2 September 2003."</v>
      </c>
      <c r="HI15" s="44" t="str">
        <f t="shared" si="127"/>
        <v>"\nA family of Australian residents could no longer afford to pay taxes, and after litigation over a mortgage and being inspired by the Principality of Hutt River, they did legal research and came to the conclusion that forming a country would be completely legal under Australian law, and they thus declared independence on 2 September 2003."</v>
      </c>
      <c r="HJ15" s="44" t="str">
        <f t="shared" si="128"/>
        <v>"2003 "</v>
      </c>
      <c r="HL15" s="44" t="str">
        <f t="shared" si="129"/>
        <v>"https://en.wikipedia.org/wiki/Principality_of_Snake_Hill"</v>
      </c>
      <c r="HM15" s="65" t="str">
        <f t="shared" si="130"/>
        <v>{"couname":"[AUS] Snake Hill","subtype":"[AUS] Other","year":"2003 ","region":"rgn_Oceania","Colors":["cl_WHI","cl_BLU"],"Items":["2Color","words2","exact2","lets09","startS","BLUWHI","year00","largec","4+Band","Crosse","Horizo","Vertic","Nordic","OnlyBa","NO_RED","NO_GRE","NO_YEL","NO_BLA","myrWHI","NoStar"],"Flag":"https://upload.wikimedia.org/wikipedia/commons/thumb/f/f0/Flag_of_the_Principality_of_Snake_Hill.svg/640px-Flag_of_the_Principality_of_Snake_Hill.svg.png","HDFlag":"https://upload.wikimedia.org/wikipedia/commons/thumb/f/f0/Flag_of_the_Principality_of_Snake_Hill.svg/2560px-Flag_of_the_Principality_of_Snake_Hill.svg.png","type":"Micronation", "describe": "\nA family of Australian residents could no longer afford to pay taxes, and after litigation over a mortgage and being inspired by the Principality of Hutt River, they did legal research and came to the conclusion that forming a country would be completely legal under Australian law, and they thus declared independence on 2 September 2003.", "isnew": ".", "links": "https://en.wikipedia.org/wiki/Principality_of_Snake_Hill"},</v>
      </c>
      <c r="HN15" s="67" t="str">
        <f t="shared" si="131"/>
        <v>{"couname":"[AUS] Snake Hill","subtype":"[AUS] Other","year":"2003 ","region":"rgn_Oceania","Colors":["cl_WHI","cl_BLU"],"Items":["2Color","words2","exact2","lets09","startS","BLUWHI","year00","largec","4+Band","Crosse","Horizo","Vertic","Nordic","OnlyBa","NO_RED","NO_GRE","NO_YEL","NO_BLA","myrWHI","NoStar"],"Flag":"https://upload.wikimedia.org/wikipedia/commons/thumb/f/f0/Flag_of_the_Principality_of_Snake_Hill.svg/640px-Flag_of_the_Principality_of_Snake_Hill.svg.png","HDFlag":"https://upload.wikimedia.org/wikipedia/commons/thumb/f/f0/Flag_of_the_Principality_of_Snake_Hill.svg/2560px-Flag_of_the_Principality_of_Snake_Hill.svg.png","type":"Micronation", "describe": "\nA family of Australian residents could no longer afford to pay taxes, and after litigation over a mortgage and being inspired by the Principality of Hutt River, they did legal research and came to the conclusion that forming a country would be completely legal under Australian law, and they thus declared independence on 2 September 2003.", "isnew": ".", "links": "https://en.wikipedia.org/wiki/Principality_of_Snake_Hill"},</v>
      </c>
      <c r="HO15" s="71"/>
      <c r="HP15" s="44" t="str" cm="1">
        <f t="array" ref="HP15">IF(_xlfn.TEXTJOIN(", ", TRUE, IF(ISNUMBER(SEARCH("BLA", BL15:BT15)), COLUMN(BL15:BT15) - COLUMN(BL15) + 1, ""))&lt;&gt;"","BLA","")</f>
        <v/>
      </c>
      <c r="HQ15" s="44" t="str" cm="1">
        <f t="array" ref="HQ15">IF(_xlfn.TEXTJOIN(", ", TRUE, IF(ISNUMBER(SEARCH("BLU", BL15:BT15)), COLUMN(BL15:BT15) - COLUMN(BL15) + 1, ""))&lt;&gt;"","BLU","")</f>
        <v>BLU</v>
      </c>
      <c r="HR15" s="44" t="str" cm="1">
        <f t="array" ref="HR15">IF(_xlfn.TEXTJOIN(", ", TRUE, IF(ISNUMBER(SEARCH("GRE", BL15:BT15)), COLUMN(BL15:BT15) - COLUMN(BL15) + 1, ""))&lt;&gt;"","GRE","")</f>
        <v/>
      </c>
      <c r="HS15" s="44" t="str" cm="1">
        <f t="array" ref="HS15">IF(_xlfn.TEXTJOIN(", ", TRUE, IF(ISNUMBER(SEARCH("RED", BL15:BT15)), COLUMN(BL15:BT15) - COLUMN(BL15) + 1, ""))&lt;&gt;"","RED","")</f>
        <v/>
      </c>
      <c r="HT15" s="44" t="str" cm="1">
        <f t="array" ref="HT15">IF(_xlfn.TEXTJOIN(", ", TRUE, IF(ISNUMBER(SEARCH("YEL", BL15:BT15)), COLUMN(BL15:BT15) - COLUMN(BL15) + 1, ""))&lt;&gt;"","YEL","")</f>
        <v/>
      </c>
      <c r="HU15" s="44" t="str" cm="1">
        <f t="array" ref="HU15">IF(_xlfn.TEXTJOIN(", ", TRUE, IF(ISNUMBER(SEARCH("ORA", BL15:BT15)), COLUMN(BL15:BT15) - COLUMN(BL15) + 1, ""))&lt;&gt;"","ORA","")</f>
        <v/>
      </c>
      <c r="HV15" s="44" t="str" cm="1">
        <f t="array" ref="HV15">IF(_xlfn.TEXTJOIN(", ", TRUE, IF(ISNUMBER(SEARCH("BRO", BL15:BT15)), COLUMN(BL15:BT15) - COLUMN(BL15) + 1, ""))&lt;&gt;"","BRO","")</f>
        <v/>
      </c>
      <c r="HW15" s="44" t="str" cm="1">
        <f t="array" ref="HW15">IF(_xlfn.TEXTJOIN(", ", TRUE, IF(ISNUMBER(SEARCH("PUR", BL15:BT15)), COLUMN(BL15:BT15) - COLUMN(BL15) + 1, ""))&lt;&gt;"","PUR","")</f>
        <v/>
      </c>
      <c r="HX15" s="44" t="str" cm="1">
        <f t="array" ref="HX15">IF(_xlfn.TEXTJOIN(", ", TRUE, IF(ISNUMBER(SEARCH("WHI", BL15:BT15)), COLUMN(BL15:BT15) - COLUMN(BL15) + 1, ""))&lt;&gt;"","WHI","")</f>
        <v>WHI</v>
      </c>
      <c r="HY15" s="72"/>
      <c r="HZ15" s="72"/>
      <c r="IA15" s="5" t="s">
        <v>167</v>
      </c>
      <c r="IB15" s="5"/>
      <c r="IC15" s="68"/>
      <c r="ID15" s="68"/>
      <c r="IE15" s="68"/>
      <c r="IF15" s="68"/>
      <c r="IG15" s="68"/>
      <c r="IH15" s="68"/>
      <c r="II15" s="68"/>
      <c r="IJ15" s="68"/>
      <c r="IK15" s="68"/>
      <c r="IL15" s="44">
        <f t="shared" si="132"/>
        <v>0</v>
      </c>
      <c r="IM15" s="42">
        <f t="shared" si="133"/>
        <v>-2</v>
      </c>
      <c r="IN15" s="69" t="str">
        <f t="shared" si="134"/>
        <v>http://mkweb.bcgsc.ca/color-summarizer/?url=https://upload.wikimedia.org/wikipedia/commons/thumb/f/f0/Flag_of_the_Principality_of_Snake_Hill.svg/640px-Flag_of_the_Principality_of_Snake_Hill.svg.png&amp;precision=low&amp;num_clusters=2&amp;text=1</v>
      </c>
      <c r="IO15" s="44" t="str">
        <f t="shared" si="135"/>
        <v/>
      </c>
      <c r="IP15" s="44" t="str">
        <f t="shared" si="136"/>
        <v>"blue"</v>
      </c>
      <c r="IQ15" s="44" t="str">
        <f t="shared" si="137"/>
        <v/>
      </c>
      <c r="IR15" s="44" t="str">
        <f t="shared" si="138"/>
        <v/>
      </c>
      <c r="IS15" s="44" t="str">
        <f t="shared" si="139"/>
        <v/>
      </c>
      <c r="IT15" s="44" t="str">
        <f t="shared" si="140"/>
        <v/>
      </c>
      <c r="IU15" s="44" t="str">
        <f t="shared" si="141"/>
        <v/>
      </c>
      <c r="IV15" s="44" t="str">
        <f t="shared" si="142"/>
        <v/>
      </c>
      <c r="IW15" s="44" t="str">
        <f t="shared" si="143"/>
        <v>"white"</v>
      </c>
      <c r="IX15" s="44" t="str">
        <f t="shared" si="144"/>
        <v>{"url":"http://mkweb.bcgsc.ca/color-summarizer/?url=https://upload.wikimedia.org/wikipedia/commons/thumb/f/f0/Flag_of_the_Principality_of_Snake_Hill.svg/640px-Flag_of_the_Principality_of_Snake_Hill.svg.png&amp;precision=low&amp;num_clusters=2&amp;text=1","name":"[AUS] Snake Hill"},</v>
      </c>
      <c r="IY15" s="44">
        <v>950</v>
      </c>
    </row>
    <row r="16" spans="1:259" s="44" customFormat="1" ht="38.4" customHeight="1" thickBot="1" x14ac:dyDescent="0.35">
      <c r="A16" s="81" t="s">
        <v>641</v>
      </c>
      <c r="B16" s="78" t="e" vm="17">
        <v>#VALUE!</v>
      </c>
      <c r="C16" s="39">
        <v>3</v>
      </c>
      <c r="D16" s="70" t="s">
        <v>642</v>
      </c>
      <c r="E16" s="40" t="s">
        <v>643</v>
      </c>
      <c r="F16" s="41" t="s">
        <v>165</v>
      </c>
      <c r="G16" s="42">
        <f t="shared" si="0"/>
        <v>1</v>
      </c>
      <c r="H16" s="43" t="s">
        <v>819</v>
      </c>
      <c r="I16" s="59" t="s">
        <v>644</v>
      </c>
      <c r="J16" s="44" t="str">
        <f>""</f>
        <v/>
      </c>
      <c r="K16" s="45"/>
      <c r="L16" s="46"/>
      <c r="M16" s="46"/>
      <c r="N16" s="47" t="s">
        <v>177</v>
      </c>
      <c r="O16" s="74">
        <v>1998</v>
      </c>
      <c r="P16" s="48" t="s">
        <v>645</v>
      </c>
      <c r="Q16" s="73">
        <v>3</v>
      </c>
      <c r="R16" s="49" t="s">
        <v>177</v>
      </c>
      <c r="S16" s="50">
        <v>4</v>
      </c>
      <c r="T16" s="51" t="s">
        <v>166</v>
      </c>
      <c r="U16" s="52" t="s">
        <v>167</v>
      </c>
      <c r="V16" s="52" t="s">
        <v>167</v>
      </c>
      <c r="W16" s="52" t="s">
        <v>167</v>
      </c>
      <c r="X16" s="52" t="s">
        <v>166</v>
      </c>
      <c r="Y16" s="52" t="s">
        <v>166</v>
      </c>
      <c r="Z16" s="52" t="s">
        <v>166</v>
      </c>
      <c r="AA16" s="52" t="s">
        <v>166</v>
      </c>
      <c r="AB16" s="52" t="s">
        <v>166</v>
      </c>
      <c r="AC16" s="52" t="s">
        <v>166</v>
      </c>
      <c r="AD16" s="52" t="s">
        <v>166</v>
      </c>
      <c r="AE16" s="52" t="s">
        <v>166</v>
      </c>
      <c r="AF16" s="53" t="s">
        <v>166</v>
      </c>
      <c r="AG16" s="53" t="s">
        <v>166</v>
      </c>
      <c r="AH16" s="53" t="s">
        <v>166</v>
      </c>
      <c r="AI16" s="53" t="s">
        <v>167</v>
      </c>
      <c r="AJ16" s="53" t="s">
        <v>166</v>
      </c>
      <c r="AK16" s="53" t="s">
        <v>166</v>
      </c>
      <c r="AL16" s="53" t="s">
        <v>166</v>
      </c>
      <c r="AM16" s="53" t="s">
        <v>166</v>
      </c>
      <c r="AN16" s="53" t="s">
        <v>166</v>
      </c>
      <c r="AO16" s="53" t="s">
        <v>166</v>
      </c>
      <c r="AP16" s="53" t="s">
        <v>166</v>
      </c>
      <c r="AQ16" s="53" t="s">
        <v>166</v>
      </c>
      <c r="AR16" s="53" t="s">
        <v>166</v>
      </c>
      <c r="AS16" s="53" t="s">
        <v>166</v>
      </c>
      <c r="AT16" s="54">
        <v>5</v>
      </c>
      <c r="AU16" s="53" t="s">
        <v>350</v>
      </c>
      <c r="AV16" s="53" t="str">
        <f t="shared" si="1"/>
        <v>[AUS]People[AUS] South Sea Islanders</v>
      </c>
      <c r="AW16" s="53" t="str">
        <f t="shared" si="2"/>
        <v>3[AUS] Other[AUS] South Sea Islanders</v>
      </c>
      <c r="AX16" s="55"/>
      <c r="AY16" s="55"/>
      <c r="AZ16" s="56" t="s">
        <v>161</v>
      </c>
      <c r="BA16" s="56" t="s">
        <v>231</v>
      </c>
      <c r="BB16" s="56"/>
      <c r="BC16" s="57"/>
      <c r="BD16" s="58" t="s">
        <v>153</v>
      </c>
      <c r="BE16" s="59"/>
      <c r="BF16" s="58" t="s">
        <v>154</v>
      </c>
      <c r="BG16" s="58" t="s">
        <v>231</v>
      </c>
      <c r="BH16" s="58" t="s">
        <v>155</v>
      </c>
      <c r="BI16" s="58"/>
      <c r="BJ16" s="58"/>
      <c r="BK16" s="59"/>
      <c r="BL16" s="58" t="s">
        <v>153</v>
      </c>
      <c r="BM16" s="58" t="s">
        <v>154</v>
      </c>
      <c r="BN16" s="58" t="s">
        <v>155</v>
      </c>
      <c r="BO16" s="58" t="s">
        <v>231</v>
      </c>
      <c r="BP16" s="58" t="s">
        <v>157</v>
      </c>
      <c r="BQ16" s="58" t="s">
        <v>231</v>
      </c>
      <c r="BR16" s="58" t="s">
        <v>231</v>
      </c>
      <c r="BS16" s="58" t="s">
        <v>231</v>
      </c>
      <c r="BT16" s="58" t="s">
        <v>161</v>
      </c>
      <c r="BU16" s="60" t="s">
        <v>166</v>
      </c>
      <c r="BV16" s="61"/>
      <c r="BW16" s="61">
        <v>0</v>
      </c>
      <c r="BX16" s="59"/>
      <c r="CB16" s="5"/>
      <c r="CC16" s="5"/>
      <c r="CD16" s="62">
        <v>1</v>
      </c>
      <c r="CE16" s="62">
        <v>0</v>
      </c>
      <c r="CF16" s="62" t="e">
        <v>#REF!</v>
      </c>
      <c r="CG16" s="75" cm="1">
        <f t="array" ref="CG16">SUMPRODUCT(--(LEN(TRIM(BL16:BT16))&gt;0))</f>
        <v>5</v>
      </c>
      <c r="CH16" s="53" t="str">
        <f t="shared" si="3"/>
        <v>n</v>
      </c>
      <c r="CI16" s="53" t="str">
        <f t="shared" si="4"/>
        <v>n</v>
      </c>
      <c r="CJ16" s="53" t="str">
        <f t="shared" si="5"/>
        <v>n</v>
      </c>
      <c r="CK16" s="53" t="str">
        <f t="shared" si="6"/>
        <v>y</v>
      </c>
      <c r="CL16" s="53" t="str">
        <f t="shared" si="7"/>
        <v>n</v>
      </c>
      <c r="CM16" s="53" t="str">
        <f t="shared" si="8"/>
        <v>n</v>
      </c>
      <c r="CN16" s="53" t="str">
        <f t="shared" si="9"/>
        <v>n</v>
      </c>
      <c r="CO16" s="53" t="str">
        <f t="shared" si="10"/>
        <v>y</v>
      </c>
      <c r="CP16" s="53" t="str">
        <f t="shared" si="11"/>
        <v>n</v>
      </c>
      <c r="CQ16" s="53" t="str">
        <f t="shared" si="12"/>
        <v>n</v>
      </c>
      <c r="CR16" s="53" t="str">
        <f t="shared" si="13"/>
        <v>n</v>
      </c>
      <c r="CS16" s="53" t="str">
        <f t="shared" si="14"/>
        <v>y</v>
      </c>
      <c r="CT16" s="38" t="str">
        <f t="shared" si="15"/>
        <v>"[AUS] South Sea Islanders"</v>
      </c>
      <c r="CU16" s="63" t="str">
        <f t="shared" si="16"/>
        <v>"rgn_Oceania"</v>
      </c>
      <c r="CV16" s="44" t="str">
        <f t="shared" si="17"/>
        <v>"https://upload.wikimedia.org/wikipedia/commons/thumb/2/2a/Australian_South_Sea_Islanders_flag.svg/640px-Australian_South_Sea_Islanders_flag.svg.png"</v>
      </c>
      <c r="CW16" s="44" t="str">
        <f t="shared" si="18"/>
        <v/>
      </c>
      <c r="CX16" s="44" t="str">
        <f t="shared" si="19"/>
        <v/>
      </c>
      <c r="CY16" s="44" t="str">
        <f t="shared" si="20"/>
        <v/>
      </c>
      <c r="CZ16" s="44" t="str">
        <f t="shared" si="21"/>
        <v>"5+Colo",</v>
      </c>
      <c r="DA16" s="44" t="str">
        <f t="shared" si="22"/>
        <v>"words2",</v>
      </c>
      <c r="DB16" s="44" t="str">
        <f t="shared" si="23"/>
        <v>"words3",</v>
      </c>
      <c r="DD16" s="44" t="str">
        <f>IF(LEN(CHAR(34)&amp;"lets"&amp;LEN(SUBSTITUTE(SUBSTITUTE(IFERROR(TRIM(SUBSTITUTE(A16,MID(A16,FIND("[",A16),FIND("]",A16)-FIND("[",A16)+1),"")),A16)," ",""),"-",""))&amp;CHAR(34)&amp;",")=9,CHAR(34)&amp;"lets"&amp;LEN(SUBSTITUTE(SUBSTITUTE(IFERROR(TRIM(SUBSTITUTE(A16,MID(A16,FIND("[",A16),FIND("]",A16)-FIND("[",A16)+1),"")),A16)," ",""),"-",""))&amp;CHAR(34)&amp;",",CHAR(34)&amp;"lets0"&amp;LEN(SUBSTITUTE(SUBSTITUTE(IFERROR(TRIM(SUBSTITUTE(A16,MID(A16,FIND("[",A16),FIND("]",A16)-FIND("[",A16)+1),"")),A16)," ",""),"-",""))&amp;CHAR(34)&amp;",")</f>
        <v>"lets17",</v>
      </c>
      <c r="DE16" s="44" t="str">
        <f>CHAR(34)&amp;"start"&amp;IFERROR(LEFT(SUBSTITUTE(A16,"["&amp;MID(A16,FIND("[",A16)+1,FIND("]",A16)-FIND("[",A16)-1)&amp;"] ",""),1),LEFT(A16,1))&amp;CHAR(34)&amp;","</f>
        <v>"startS",</v>
      </c>
      <c r="DF16" s="44" t="str">
        <f t="shared" si="27"/>
        <v/>
      </c>
      <c r="DG16" s="44" t="str">
        <f t="shared" si="28"/>
        <v/>
      </c>
      <c r="DH16" s="44" t="str">
        <f t="shared" si="29"/>
        <v/>
      </c>
      <c r="DI16" s="44" t="str">
        <f t="shared" si="30"/>
        <v/>
      </c>
      <c r="DJ16" s="44" t="str">
        <f t="shared" si="31"/>
        <v/>
      </c>
      <c r="DK16" s="44" t="str">
        <f t="shared" si="32"/>
        <v/>
      </c>
      <c r="DL16" s="44" t="str">
        <f t="shared" si="33"/>
        <v/>
      </c>
      <c r="DM16" s="44" t="str" cm="1">
        <f t="array" ref="DM16">IF(CG16=3,CHAR(34) &amp; _xlfn.TEXTJOIN("", TRUE, RIGHT(HP16:HX16, 2)) &amp; CHAR(34) &amp; ",", "")</f>
        <v/>
      </c>
      <c r="DN16" s="44" t="str">
        <f t="shared" si="34"/>
        <v/>
      </c>
      <c r="DO16" s="44" t="str">
        <f t="shared" si="35"/>
        <v>"year19",</v>
      </c>
      <c r="DP16" s="5" t="str">
        <f t="shared" si="36"/>
        <v/>
      </c>
      <c r="DQ16" s="5" t="str">
        <f t="shared" si="37"/>
        <v/>
      </c>
      <c r="DR16" s="5" t="str">
        <f t="shared" si="38"/>
        <v/>
      </c>
      <c r="DS16" s="5" t="str">
        <f t="shared" si="39"/>
        <v/>
      </c>
      <c r="DT16" s="5" t="str">
        <f t="shared" si="40"/>
        <v/>
      </c>
      <c r="DU16" s="5" t="str">
        <f t="shared" si="41"/>
        <v/>
      </c>
      <c r="DW16" s="44" t="str">
        <f t="shared" si="43"/>
        <v/>
      </c>
      <c r="DX16" s="44" t="str">
        <f t="shared" si="44"/>
        <v/>
      </c>
      <c r="DY16" s="44" t="str">
        <f t="shared" si="45"/>
        <v/>
      </c>
      <c r="DZ16" s="44" t="str">
        <f t="shared" si="46"/>
        <v>"4+Band",</v>
      </c>
      <c r="EA16" s="44" t="str">
        <f t="shared" si="47"/>
        <v/>
      </c>
      <c r="EB16" s="44" t="str">
        <f t="shared" si="48"/>
        <v>"Crosse",</v>
      </c>
      <c r="EC16" s="44" t="str">
        <f t="shared" si="49"/>
        <v>"Horizo",</v>
      </c>
      <c r="ED16" s="44" t="str">
        <f t="shared" si="50"/>
        <v>"Vertic",</v>
      </c>
      <c r="EE16" s="44" t="str">
        <f t="shared" si="51"/>
        <v/>
      </c>
      <c r="EF16" s="44" t="str">
        <f t="shared" si="52"/>
        <v/>
      </c>
      <c r="EG16" s="44" t="str">
        <f t="shared" si="53"/>
        <v/>
      </c>
      <c r="EH16" s="44" t="str">
        <f t="shared" si="54"/>
        <v/>
      </c>
      <c r="EI16" s="44" t="str">
        <f t="shared" si="55"/>
        <v/>
      </c>
      <c r="EJ16" s="44" t="str">
        <f t="shared" si="56"/>
        <v/>
      </c>
      <c r="EK16" s="44" t="str">
        <f t="shared" si="57"/>
        <v/>
      </c>
      <c r="EL16" s="44" t="str">
        <f t="shared" si="58"/>
        <v/>
      </c>
      <c r="EM16" s="44" t="str">
        <f t="shared" si="59"/>
        <v/>
      </c>
      <c r="EN16" s="44" t="str">
        <f t="shared" si="60"/>
        <v/>
      </c>
      <c r="EO16" s="44" t="str">
        <f t="shared" si="61"/>
        <v/>
      </c>
      <c r="EP16" s="44" t="str">
        <f t="shared" si="62"/>
        <v>"Canton",</v>
      </c>
      <c r="EQ16" s="44" t="str">
        <f t="shared" si="63"/>
        <v/>
      </c>
      <c r="ER16" s="44" t="str">
        <f t="shared" si="64"/>
        <v/>
      </c>
      <c r="ES16" s="44" t="str">
        <f t="shared" si="65"/>
        <v/>
      </c>
      <c r="ET16" s="44" t="str">
        <f t="shared" si="66"/>
        <v/>
      </c>
      <c r="EU16" s="44" t="str">
        <f t="shared" si="67"/>
        <v/>
      </c>
      <c r="EV16" s="44" t="str">
        <f t="shared" si="68"/>
        <v/>
      </c>
      <c r="EW16" s="44" t="str">
        <f t="shared" si="69"/>
        <v/>
      </c>
      <c r="EX16" s="44" t="str">
        <f t="shared" si="70"/>
        <v/>
      </c>
      <c r="EY16" s="44" t="str">
        <f t="shared" si="71"/>
        <v/>
      </c>
      <c r="EZ16" s="44" t="str">
        <f t="shared" si="72"/>
        <v/>
      </c>
      <c r="FA16" s="44" t="str">
        <f t="shared" si="73"/>
        <v>"staWHI",</v>
      </c>
      <c r="FB16" s="44" t="str">
        <f t="shared" si="74"/>
        <v/>
      </c>
      <c r="FD16" s="44" t="str">
        <f t="shared" si="76"/>
        <v/>
      </c>
      <c r="FE16" s="44" t="str">
        <f t="shared" si="77"/>
        <v/>
      </c>
      <c r="FF16" s="44" t="str">
        <f t="shared" si="78"/>
        <v/>
      </c>
      <c r="FG16" s="44" t="str">
        <f t="shared" si="79"/>
        <v>"NO_RED",</v>
      </c>
      <c r="FH16" s="44" t="str">
        <f t="shared" si="80"/>
        <v/>
      </c>
      <c r="FI16" s="44" t="str">
        <f t="shared" si="81"/>
        <v/>
      </c>
      <c r="FJ16" s="44" t="str">
        <f t="shared" si="82"/>
        <v/>
      </c>
      <c r="FK16" s="44" t="str">
        <f t="shared" si="83"/>
        <v/>
      </c>
      <c r="FL16" s="44" t="str">
        <f t="shared" si="84"/>
        <v/>
      </c>
      <c r="FM16" s="44" t="str">
        <f t="shared" si="85"/>
        <v/>
      </c>
      <c r="FN16" s="44" t="str">
        <f t="shared" si="86"/>
        <v/>
      </c>
      <c r="FO16" s="44" t="str">
        <f t="shared" si="87"/>
        <v/>
      </c>
      <c r="FP16" s="44" t="str">
        <f t="shared" si="88"/>
        <v/>
      </c>
      <c r="FQ16" s="44" t="str">
        <f t="shared" si="89"/>
        <v>"001BLU",</v>
      </c>
      <c r="FR16" s="44" t="str">
        <f t="shared" si="90"/>
        <v/>
      </c>
      <c r="FS16" s="44" t="str">
        <f t="shared" si="91"/>
        <v>"003GRE",</v>
      </c>
      <c r="FT16" s="44" t="str">
        <f t="shared" si="92"/>
        <v>"myrBLA",</v>
      </c>
      <c r="FU16" s="44" t="str">
        <f t="shared" si="93"/>
        <v/>
      </c>
      <c r="FV16" s="44" t="str">
        <f t="shared" si="94"/>
        <v/>
      </c>
      <c r="FW16" s="44" t="str">
        <f t="shared" si="95"/>
        <v/>
      </c>
      <c r="FY16" s="44" t="str">
        <f t="shared" si="97"/>
        <v/>
      </c>
      <c r="FZ16" s="44" t="str">
        <f t="shared" si="98"/>
        <v/>
      </c>
      <c r="GA16" s="44" t="str">
        <f t="shared" si="99"/>
        <v/>
      </c>
      <c r="GB16" s="44" t="str">
        <f t="shared" si="100"/>
        <v/>
      </c>
      <c r="GE16" s="44" t="str">
        <f t="shared" si="103"/>
        <v/>
      </c>
      <c r="GF16" s="44" t="str">
        <f>IFERROR(IF(SEARCH("Historical",AU16)&gt;0,CHAR(34)&amp;"histor"&amp;CHAR(34)&amp;",",""),"")</f>
        <v/>
      </c>
      <c r="GG16" s="44" t="str">
        <f t="shared" si="104"/>
        <v/>
      </c>
      <c r="GH16" s="44" t="str">
        <f t="shared" si="105"/>
        <v>"southc",</v>
      </c>
      <c r="GI16" s="44" t="str">
        <f t="shared" si="106"/>
        <v/>
      </c>
      <c r="GJ16" s="44" t="str">
        <f t="shared" si="107"/>
        <v/>
      </c>
      <c r="GK16" s="44" t="str">
        <f t="shared" si="108"/>
        <v>"HasSta",</v>
      </c>
      <c r="GL16" s="44" t="str">
        <f t="shared" si="109"/>
        <v/>
      </c>
      <c r="GM16" s="44" t="str">
        <f t="shared" si="110"/>
        <v/>
      </c>
      <c r="GN16" s="44" t="str">
        <f t="shared" si="111"/>
        <v>"3+Star",</v>
      </c>
      <c r="GP16" s="44" t="str">
        <f t="shared" si="112"/>
        <v>"People"</v>
      </c>
      <c r="GS16" s="44" t="str">
        <f t="shared" si="113"/>
        <v>["5+Colo","words2","words3","lets17","startS","year19","4+Band","Crosse","Horizo","Vertic","Canton","staWHI","NO_RED","001BLU","003GRE","myrBLA","southc","HasSta","3+Star"]</v>
      </c>
      <c r="GT16" s="44" t="str">
        <f t="shared" si="114"/>
        <v>"cl_BLA",</v>
      </c>
      <c r="GU16" s="44" t="str">
        <f t="shared" si="115"/>
        <v>"cl_BLU",</v>
      </c>
      <c r="GV16" s="44" t="str">
        <f t="shared" si="116"/>
        <v>"cl_GRE",</v>
      </c>
      <c r="GW16" s="44" t="str">
        <f t="shared" si="117"/>
        <v/>
      </c>
      <c r="GX16" s="44" t="str">
        <f t="shared" si="118"/>
        <v>"cl_YEL",</v>
      </c>
      <c r="GY16" s="44" t="str">
        <f t="shared" si="119"/>
        <v/>
      </c>
      <c r="GZ16" s="44" t="str">
        <f t="shared" si="120"/>
        <v/>
      </c>
      <c r="HA16" s="44" t="str">
        <f t="shared" si="121"/>
        <v/>
      </c>
      <c r="HB16" s="44" t="str">
        <f t="shared" si="122"/>
        <v>"cl_WHI",</v>
      </c>
      <c r="HC16" s="44" t="str">
        <f t="shared" si="123"/>
        <v>["cl_BLA","cl_BLU","cl_GRE","cl_YEL","cl_WHI"]</v>
      </c>
      <c r="HE16" s="64"/>
      <c r="HF16" s="65" t="str">
        <f t="shared" si="124"/>
        <v>{couname:"[AUS] South Sea Islanders",year:"1998",region:"rgn_Oceania",Colors:["cl_BLA","cl_BLU","cl_GRE","cl_YEL","cl_WHI"],Items:["5+Colo","words2","words3","lets17","startS","year19","4+Band","Crosse","Horizo","Vertic","Canton","staWHI","NO_RED","001BLU","003GRE","myrBLA","southc","HasSta","3+Star"],Flag:"https://upload.wikimedia.org/wikipedia/commons/thumb/2/2a/Australian_South_Sea_Islanders_flag.svg/640px-Australian_South_Sea_Islanders_flag.svg.png",HDFlag:"https://upload.wikimedia.org/wikipedia/commons/thumb/2/2a/Australian_South_Sea_Islanders_flag.svg/1280px-Australian_South_Sea_Islanders_flag.svg.png",type:"People", describe: "\nThe black column next to the flag pole - is for the people standing strong in community and surviving despite the hardships and injustices of the past.\n\nThe horizontal black band stands for our continuing in the future.\n\nBright blue recalls our origins from the South Pacific, the sea and the sky.\n\nBrilliant green is for the land and especially islander peoples' contribution to agriculture (including sugar cane) and to the development of our home, Australia. It also stands for our hope for the future and for our children.\n\nDeep gold stands for the sunshine and the sand of our original island homes and that of our homeland now, Australia.\n\nThe Southern Cross reminds us of our home in the South Pacific, and as it is the badge that Australians associate with, it emphasises that we are also Australians.", isnew:".", links: "https://en.m.wikipedia.org/wiki/South_Sea_Islanders"},</v>
      </c>
      <c r="HG16" s="66" t="str">
        <f t="shared" si="125"/>
        <v>{couname:"[AUS] South Sea Islanders",year:"1998",region:"rgn_Oceania",Colors:["cl_BLA","cl_BLU","cl_GRE","cl_YEL","cl_WHI"],Items:["5+Colo","words2","words3","lets17","startS","year19","4+Band","Crosse","Horizo","Vertic","Canton","staWHI","NO_RED","001BLU","003GRE","myrBLA","southc","HasSta","3+Star"],Flag:"https://upload.wikimedia.org/wikipedia/commons/thumb/2/2a/Australian_South_Sea_Islanders_flag.svg/640px-Australian_South_Sea_Islanders_flag.svg.png",HDFlag:"https://upload.wikimedia.org/wikipedia/commons/thumb/2/2a/Australian_South_Sea_Islanders_flag.svg/1280px-Australian_South_Sea_Islanders_flag.svg.png",type:"People", describe: "\nThe black column next to the flag pole - is for the people standing strong in community and surviving despite the hardships and injustices of the past.\n\nThe horizontal black band stands for our continuing in the future.\n\nBright blue recalls our origins from the South Pacific, the sea and the sky.\n\nBrilliant green is for the land and especially islander peoples' contribution to agriculture (including sugar cane) and to the development of our home, Australia. It also stands for our hope for the future and for our children.\n\nDeep gold stands for the sunshine and the sand of our original island homes and that of our homeland now, Australia.\n\nThe Southern Cross reminds us of our home in the South Pacific, and as it is the badge that Australians associate with, it emphasises that we are also Australians.", links: "https://en.m.wikipedia.org/wiki/South_Sea_Islanders"},</v>
      </c>
      <c r="HH16" s="44" t="str">
        <f t="shared" si="126"/>
        <v>"\nThe black column next to the flag pole - is for the people standing strong in community and surviving despite the hardships and injustices of the past.\n\nThe horizontal black band stands for our continuing in the future.\n\nBright blue recalls our origins from the South Pacific, the sea and the sky.\n\nBrilliant green is for the land and especially islander peoples' contribution to agriculture (including sugar cane) and to the development of our home, Australia. It also stands for our hope for the future and for our children.\n\nDeep gold stands for the sunshine and the sand of our original island homes and that of our homeland now, Australia.\n\nThe Southern Cross reminds us of our home in the South Pacific, and as it is the badge that Australians associate with, it emphasises that we are also Australians."</v>
      </c>
      <c r="HI16" s="44" t="str">
        <f t="shared" si="127"/>
        <v>"\nThe black column next to the flag pole - is for the people standing strong in community and surviving despite the hardships and injustices of the past.\n\nThe horizontal black band stands for our continuing in the future.\n\nBright blue recalls our origins from the South Pacific, the sea and the sky.\n\nBrilliant green is for the land and especially islander peoples' contribution to agriculture (including sugar cane) and to the development of our home, Australia. It also stands for our hope for the future and for our children.\n\nDeep gold stands for the sunshine and the sand of our original island homes and that of our homeland now, Australia.\n\nThe Southern Cross reminds us of our home in the South Pacific, and as it is the badge that Australians associate with, it emphasises that we are also Australians."</v>
      </c>
      <c r="HJ16" s="44" t="str">
        <f t="shared" si="128"/>
        <v>"1998"</v>
      </c>
      <c r="HL16" s="44" t="str">
        <f t="shared" si="129"/>
        <v>"https://en.m.wikipedia.org/wiki/South_Sea_Islanders"</v>
      </c>
      <c r="HM16" s="65" t="str">
        <f t="shared" si="130"/>
        <v>{"couname":"[AUS] South Sea Islanders","subtype":"[AUS] Other","year":"1998","region":"rgn_Oceania","Colors":["cl_BLA","cl_BLU","cl_GRE","cl_YEL","cl_WHI"],"Items":["5+Colo","words2","words3","lets17","startS","year19","4+Band","Crosse","Horizo","Vertic","Canton","staWHI","NO_RED","001BLU","003GRE","myrBLA","southc","HasSta","3+Star"],"Flag":"https://upload.wikimedia.org/wikipedia/commons/thumb/2/2a/Australian_South_Sea_Islanders_flag.svg/640px-Australian_South_Sea_Islanders_flag.svg.png","HDFlag":"https://upload.wikimedia.org/wikipedia/commons/thumb/2/2a/Australian_South_Sea_Islanders_flag.svg/1280px-Australian_South_Sea_Islanders_flag.svg.png","type":"People", "describe": "\nThe black column next to the flag pole - is for the people standing strong in community and surviving despite the hardships and injustices of the past.\n\nThe horizontal black band stands for our continuing in the future.\n\nBright blue recalls our origins from the South Pacific, the sea and the sky.\n\nBrilliant green is for the land and especially islander peoples' contribution to agriculture (including sugar cane) and to the development of our home, Australia. It also stands for our hope for the future and for our children.\n\nDeep gold stands for the sunshine and the sand of our original island homes and that of our homeland now, Australia.\n\nThe Southern Cross reminds us of our home in the South Pacific, and as it is the badge that Australians associate with, it emphasises that we are also Australians.", "isnew": ".", "links": "https://en.m.wikipedia.org/wiki/South_Sea_Islanders"},</v>
      </c>
      <c r="HN16" s="67" t="str">
        <f t="shared" si="131"/>
        <v>{"couname":"[AUS] South Sea Islanders","subtype":"[AUS] Other","year":"1998","region":"rgn_Oceania","Colors":["cl_BLA","cl_BLU","cl_GRE","cl_YEL","cl_WHI"],"Items":["5+Colo","words2","words3","lets17","startS","year19","4+Band","Crosse","Horizo","Vertic","Canton","staWHI","NO_RED","001BLU","003GRE","myrBLA","southc","HasSta","3+Star"],"Flag":"https://upload.wikimedia.org/wikipedia/commons/thumb/2/2a/Australian_South_Sea_Islanders_flag.svg/640px-Australian_South_Sea_Islanders_flag.svg.png","HDFlag":"https://upload.wikimedia.org/wikipedia/commons/thumb/2/2a/Australian_South_Sea_Islanders_flag.svg/1280px-Australian_South_Sea_Islanders_flag.svg.png","type":"People", "describe": "\nThe black column next to the flag pole - is for the people standing strong in community and surviving despite the hardships and injustices of the past.\n\nThe horizontal black band stands for our continuing in the future.\n\nBright blue recalls our origins from the South Pacific, the sea and the sky.\n\nBrilliant green is for the land and especially islander peoples' contribution to agriculture (including sugar cane) and to the development of our home, Australia. It also stands for our hope for the future and for our children.\n\nDeep gold stands for the sunshine and the sand of our original island homes and that of our homeland now, Australia.\n\nThe Southern Cross reminds us of our home in the South Pacific, and as it is the badge that Australians associate with, it emphasises that we are also Australians.", "isnew": ".", "links": "https://en.m.wikipedia.org/wiki/South_Sea_Islanders"},</v>
      </c>
      <c r="HO16" s="71">
        <v>45610</v>
      </c>
      <c r="HP16" s="44" t="str" cm="1">
        <f t="array" ref="HP16">IF(_xlfn.TEXTJOIN(", ", TRUE, IF(ISNUMBER(SEARCH("BLA", BL16:BT16)), COLUMN(BL16:BT16) - COLUMN(BL16) + 1, ""))&lt;&gt;"","BLA","")</f>
        <v>BLA</v>
      </c>
      <c r="HQ16" s="44" t="str" cm="1">
        <f t="array" ref="HQ16">IF(_xlfn.TEXTJOIN(", ", TRUE, IF(ISNUMBER(SEARCH("BLU", BL16:BT16)), COLUMN(BL16:BT16) - COLUMN(BL16) + 1, ""))&lt;&gt;"","BLU","")</f>
        <v>BLU</v>
      </c>
      <c r="HR16" s="44" t="str" cm="1">
        <f t="array" ref="HR16">IF(_xlfn.TEXTJOIN(", ", TRUE, IF(ISNUMBER(SEARCH("GRE", BL16:BT16)), COLUMN(BL16:BT16) - COLUMN(BL16) + 1, ""))&lt;&gt;"","GRE","")</f>
        <v>GRE</v>
      </c>
      <c r="HS16" s="44" t="str" cm="1">
        <f t="array" ref="HS16">IF(_xlfn.TEXTJOIN(", ", TRUE, IF(ISNUMBER(SEARCH("RED", BL16:BT16)), COLUMN(BL16:BT16) - COLUMN(BL16) + 1, ""))&lt;&gt;"","RED","")</f>
        <v/>
      </c>
      <c r="HT16" s="44" t="str" cm="1">
        <f t="array" ref="HT16">IF(_xlfn.TEXTJOIN(", ", TRUE, IF(ISNUMBER(SEARCH("YEL", BL16:BT16)), COLUMN(BL16:BT16) - COLUMN(BL16) + 1, ""))&lt;&gt;"","YEL","")</f>
        <v>YEL</v>
      </c>
      <c r="HU16" s="44" t="str" cm="1">
        <f t="array" ref="HU16">IF(_xlfn.TEXTJOIN(", ", TRUE, IF(ISNUMBER(SEARCH("ORA", BL16:BT16)), COLUMN(BL16:BT16) - COLUMN(BL16) + 1, ""))&lt;&gt;"","ORA","")</f>
        <v/>
      </c>
      <c r="HV16" s="44" t="str" cm="1">
        <f t="array" ref="HV16">IF(_xlfn.TEXTJOIN(", ", TRUE, IF(ISNUMBER(SEARCH("BRO", BL16:BT16)), COLUMN(BL16:BT16) - COLUMN(BL16) + 1, ""))&lt;&gt;"","BRO","")</f>
        <v/>
      </c>
      <c r="HW16" s="44" t="str" cm="1">
        <f t="array" ref="HW16">IF(_xlfn.TEXTJOIN(", ", TRUE, IF(ISNUMBER(SEARCH("PUR", BL16:BT16)), COLUMN(BL16:BT16) - COLUMN(BL16) + 1, ""))&lt;&gt;"","PUR","")</f>
        <v/>
      </c>
      <c r="HX16" s="44" t="str" cm="1">
        <f t="array" ref="HX16">IF(_xlfn.TEXTJOIN(", ", TRUE, IF(ISNUMBER(SEARCH("WHI", BL16:BT16)), COLUMN(BL16:BT16) - COLUMN(BL16) + 1, ""))&lt;&gt;"","WHI","")</f>
        <v>WHI</v>
      </c>
      <c r="HY16" s="72"/>
      <c r="HZ16" s="72"/>
      <c r="IA16" s="5"/>
      <c r="IB16" s="5"/>
      <c r="IC16" s="68"/>
      <c r="ID16" s="68"/>
      <c r="IE16" s="68"/>
      <c r="IF16" s="68"/>
      <c r="IG16" s="68"/>
      <c r="IH16" s="68"/>
      <c r="II16" s="68"/>
      <c r="IJ16" s="68"/>
      <c r="IK16" s="68"/>
      <c r="IM16" s="42">
        <f t="shared" si="133"/>
        <v>-5</v>
      </c>
      <c r="IN16" s="69" t="str">
        <f t="shared" si="134"/>
        <v>http://mkweb.bcgsc.ca/color-summarizer/?url=https://upload.wikimedia.org/wikipedia/commons/thumb/2/2a/Australian_South_Sea_Islanders_flag.svg/640px-Australian_South_Sea_Islanders_flag.svg.png&amp;precision=low&amp;num_clusters=5&amp;text=1</v>
      </c>
      <c r="IO16" s="44" t="str">
        <f t="shared" si="135"/>
        <v>"black"</v>
      </c>
      <c r="IP16" s="44" t="str">
        <f t="shared" si="136"/>
        <v>"blue"</v>
      </c>
      <c r="IQ16" s="44" t="str">
        <f t="shared" si="137"/>
        <v>"green"</v>
      </c>
      <c r="IR16" s="44" t="str">
        <f t="shared" si="138"/>
        <v/>
      </c>
      <c r="IS16" s="44" t="str">
        <f t="shared" si="139"/>
        <v>"yellow"</v>
      </c>
      <c r="IT16" s="44" t="str">
        <f t="shared" si="140"/>
        <v/>
      </c>
      <c r="IU16" s="44" t="str">
        <f t="shared" si="141"/>
        <v/>
      </c>
      <c r="IV16" s="44" t="str">
        <f t="shared" si="142"/>
        <v/>
      </c>
      <c r="IW16" s="44" t="str">
        <f t="shared" si="143"/>
        <v>"white"</v>
      </c>
      <c r="IX16" s="44" t="str">
        <f t="shared" si="144"/>
        <v>{"url":"http://mkweb.bcgsc.ca/color-summarizer/?url=https://upload.wikimedia.org/wikipedia/commons/thumb/2/2a/Australian_South_Sea_Islanders_flag.svg/640px-Australian_South_Sea_Islanders_flag.svg.png&amp;precision=low&amp;num_clusters=5&amp;text=1","name":"[AUS] South Sea Islanders"},</v>
      </c>
      <c r="IY16" s="44">
        <v>1244</v>
      </c>
    </row>
    <row r="17" spans="1:259" s="44" customFormat="1" ht="38.4" customHeight="1" thickBot="1" x14ac:dyDescent="0.35">
      <c r="A17" s="81" t="s">
        <v>577</v>
      </c>
      <c r="B17" s="78" t="e" vm="18">
        <v>#VALUE!</v>
      </c>
      <c r="C17" s="39">
        <v>3</v>
      </c>
      <c r="D17" s="70" t="s">
        <v>578</v>
      </c>
      <c r="E17" s="40" t="s">
        <v>579</v>
      </c>
      <c r="F17" s="41" t="s">
        <v>165</v>
      </c>
      <c r="G17" s="42">
        <f t="shared" si="0"/>
        <v>1</v>
      </c>
      <c r="H17" s="43" t="s">
        <v>819</v>
      </c>
      <c r="I17" s="59" t="s">
        <v>580</v>
      </c>
      <c r="J17" s="44" t="str">
        <f>""</f>
        <v/>
      </c>
      <c r="K17" s="45"/>
      <c r="L17" s="46"/>
      <c r="M17" s="46"/>
      <c r="N17" s="47" t="s">
        <v>177</v>
      </c>
      <c r="O17" s="74" t="s">
        <v>214</v>
      </c>
      <c r="P17" s="48" t="s">
        <v>581</v>
      </c>
      <c r="Q17" s="73">
        <v>3</v>
      </c>
      <c r="R17" s="49" t="s">
        <v>177</v>
      </c>
      <c r="S17" s="50">
        <v>5</v>
      </c>
      <c r="T17" s="51" t="s">
        <v>166</v>
      </c>
      <c r="U17" s="52" t="s">
        <v>166</v>
      </c>
      <c r="V17" s="52" t="s">
        <v>167</v>
      </c>
      <c r="W17" s="52" t="s">
        <v>166</v>
      </c>
      <c r="X17" s="52" t="s">
        <v>166</v>
      </c>
      <c r="Y17" s="52" t="s">
        <v>166</v>
      </c>
      <c r="Z17" s="52" t="s">
        <v>166</v>
      </c>
      <c r="AA17" s="52" t="s">
        <v>166</v>
      </c>
      <c r="AB17" s="52" t="s">
        <v>166</v>
      </c>
      <c r="AC17" s="52" t="s">
        <v>166</v>
      </c>
      <c r="AD17" s="52" t="s">
        <v>166</v>
      </c>
      <c r="AE17" s="52" t="s">
        <v>166</v>
      </c>
      <c r="AF17" s="53" t="s">
        <v>166</v>
      </c>
      <c r="AG17" s="53" t="s">
        <v>167</v>
      </c>
      <c r="AH17" s="53" t="s">
        <v>167</v>
      </c>
      <c r="AI17" s="53" t="s">
        <v>166</v>
      </c>
      <c r="AJ17" s="53" t="s">
        <v>166</v>
      </c>
      <c r="AK17" s="53" t="s">
        <v>166</v>
      </c>
      <c r="AL17" s="53" t="s">
        <v>166</v>
      </c>
      <c r="AM17" s="53" t="s">
        <v>166</v>
      </c>
      <c r="AN17" s="53" t="s">
        <v>166</v>
      </c>
      <c r="AO17" s="53" t="s">
        <v>166</v>
      </c>
      <c r="AP17" s="53" t="s">
        <v>166</v>
      </c>
      <c r="AQ17" s="53" t="s">
        <v>166</v>
      </c>
      <c r="AR17" s="53" t="s">
        <v>166</v>
      </c>
      <c r="AS17" s="53" t="s">
        <v>166</v>
      </c>
      <c r="AT17" s="54">
        <v>1</v>
      </c>
      <c r="AU17" s="53" t="s">
        <v>350</v>
      </c>
      <c r="AV17" s="53" t="str">
        <f t="shared" si="1"/>
        <v>[AUS]People[AUS] Torres Strait Islander</v>
      </c>
      <c r="AW17" s="53" t="str">
        <f t="shared" si="2"/>
        <v>3[AUS] Other[AUS] Torres Strait Islander</v>
      </c>
      <c r="AX17" s="55"/>
      <c r="AY17" s="55"/>
      <c r="AZ17" s="56" t="s">
        <v>161</v>
      </c>
      <c r="BA17" s="56"/>
      <c r="BB17" s="56"/>
      <c r="BC17" s="57"/>
      <c r="BD17" s="58" t="s">
        <v>155</v>
      </c>
      <c r="BE17" s="59"/>
      <c r="BF17" s="58" t="s">
        <v>155</v>
      </c>
      <c r="BG17" s="58" t="s">
        <v>154</v>
      </c>
      <c r="BH17" s="58" t="s">
        <v>155</v>
      </c>
      <c r="BI17" s="58" t="s">
        <v>153</v>
      </c>
      <c r="BJ17" s="58"/>
      <c r="BK17" s="59"/>
      <c r="BL17" s="58" t="s">
        <v>155</v>
      </c>
      <c r="BM17" s="58" t="s">
        <v>154</v>
      </c>
      <c r="BN17" s="58" t="s">
        <v>153</v>
      </c>
      <c r="BO17" s="58" t="s">
        <v>161</v>
      </c>
      <c r="BP17" s="58"/>
      <c r="BQ17" s="58"/>
      <c r="BR17" s="58"/>
      <c r="BS17" s="58"/>
      <c r="BT17" s="58"/>
      <c r="BU17" s="60"/>
      <c r="BV17" s="61"/>
      <c r="BW17" s="61">
        <v>0</v>
      </c>
      <c r="BX17" s="59"/>
      <c r="CB17" s="5"/>
      <c r="CC17" s="5"/>
      <c r="CD17" s="62">
        <v>0</v>
      </c>
      <c r="CE17" s="62">
        <v>0</v>
      </c>
      <c r="CF17" s="62" t="e">
        <v>#REF!</v>
      </c>
      <c r="CG17" s="75" cm="1">
        <f t="array" ref="CG17">SUMPRODUCT(--(LEN(TRIM(BL17:BT17))&gt;0))</f>
        <v>4</v>
      </c>
      <c r="CH17" s="53" t="str">
        <f t="shared" si="3"/>
        <v>n</v>
      </c>
      <c r="CI17" s="53" t="str">
        <f t="shared" si="4"/>
        <v>n</v>
      </c>
      <c r="CJ17" s="53" t="str">
        <f t="shared" si="5"/>
        <v>y</v>
      </c>
      <c r="CK17" s="53" t="str">
        <f t="shared" si="6"/>
        <v>n</v>
      </c>
      <c r="CL17" s="53" t="str">
        <f t="shared" si="7"/>
        <v>n</v>
      </c>
      <c r="CM17" s="53" t="str">
        <f t="shared" si="8"/>
        <v>n</v>
      </c>
      <c r="CN17" s="53" t="str">
        <f t="shared" si="9"/>
        <v>n</v>
      </c>
      <c r="CO17" s="53" t="str">
        <f t="shared" si="10"/>
        <v>y</v>
      </c>
      <c r="CP17" s="53" t="str">
        <f t="shared" si="11"/>
        <v>n</v>
      </c>
      <c r="CQ17" s="53" t="str">
        <f t="shared" si="12"/>
        <v>y</v>
      </c>
      <c r="CR17" s="53" t="str">
        <f t="shared" si="13"/>
        <v>n</v>
      </c>
      <c r="CS17" s="53" t="str">
        <f t="shared" si="14"/>
        <v>n</v>
      </c>
      <c r="CT17" s="38" t="str">
        <f t="shared" si="15"/>
        <v>"[AUS] Torres Strait Islander"</v>
      </c>
      <c r="CU17" s="63" t="str">
        <f t="shared" si="16"/>
        <v>"rgn_Oceania"</v>
      </c>
      <c r="CV17" s="44" t="str">
        <f t="shared" si="17"/>
        <v>"https://upload.wikimedia.org/wikipedia/en/thumb/1/1d/Flag_of_the_Torres_Strait_Islanders.svg/640px-Flag_of_the_Torres_Strait_Islanders.svg.png"</v>
      </c>
      <c r="CW17" s="44" t="str">
        <f t="shared" si="18"/>
        <v/>
      </c>
      <c r="CX17" s="44" t="str">
        <f t="shared" si="19"/>
        <v/>
      </c>
      <c r="CY17" s="44" t="str">
        <f t="shared" si="20"/>
        <v>"4Color",</v>
      </c>
      <c r="CZ17" s="44" t="str">
        <f t="shared" si="21"/>
        <v/>
      </c>
      <c r="DA17" s="44" t="str">
        <f t="shared" si="22"/>
        <v>"words2",</v>
      </c>
      <c r="DB17" s="44" t="str">
        <f t="shared" si="23"/>
        <v>"words3",</v>
      </c>
      <c r="DC17" s="44" t="str">
        <f t="shared" ref="DC17:DC22" si="146">IF(Q17=2,CHAR(34)&amp;"exact2"&amp;CHAR(34)&amp;",","")</f>
        <v/>
      </c>
      <c r="DD17" s="44" t="str">
        <f t="shared" ref="DD17:DD22" si="147">IF(LEN(CHAR(34)&amp;"lets"&amp;LEN(SUBSTITUTE(SUBSTITUTE(IFERROR(TRIM(SUBSTITUTE(SUBSTITUTE(SUBSTITUTE(IFERROR(TRIM(SUBSTITUTE(A17,MID(A17,FIND("(",A17),FIND(")",A17)-FIND("(",A17)+1),"")),A17)," ",""),"-",""),MID(SUBSTITUTE(SUBSTITUTE(IFERROR(TRIM(SUBSTITUTE(A17,MID(A17,FIND("(",A17),FIND(")",A17)-FIND("(",A17)+1),"")),A17)," ",""),"-",""),FIND("[",SUBSTITUTE(SUBSTITUTE(IFERROR(TRIM(SUBSTITUTE(A17,MID(A17,FIND("(",A17),FIND(")",A17)-FIND("(",A17)+1),"")),A17)," ",""),"-","")),FIND("]",SUBSTITUTE(SUBSTITUTE(IFERROR(TRIM(SUBSTITUTE(A17,MID(A17,FIND("(",A17),FIND(")",A17)-FIND("(",A17)+1),"")),A17)," ",""),"-",""))-FIND("[",SUBSTITUTE(SUBSTITUTE(IFERROR(TRIM(SUBSTITUTE(A17,MID(A17,FIND("(",A17),FIND(")",A17)-FIND("(",A17)+1),"")),A17)," ",""),"-",""))+1),"")),SUBSTITUTE(SUBSTITUTE(IFERROR(TRIM(SUBSTITUTE(A17,MID(A17,FIND("(",A17),FIND(")",A17)-FIND("(",A17)+1),"")),A17)," ",""),"-",""))," ",""),"-",""))&amp;CHAR(34)&amp;",")=9,CHAR(34)&amp;"lets"&amp;LEN(SUBSTITUTE(SUBSTITUTE(IFERROR(TRIM(SUBSTITUTE(SUBSTITUTE(SUBSTITUTE(IFERROR(TRIM(SUBSTITUTE(A17,MID(A17,FIND("(",A17),FIND(")",A17)-FIND("(",A17)+1),"")),A17)," ",""),"-",""),MID(SUBSTITUTE(SUBSTITUTE(IFERROR(TRIM(SUBSTITUTE(A17,MID(A17,FIND("(",A17),FIND(")",A17)-FIND("(",A17)+1),"")),A17)," ",""),"-",""),FIND("[",SUBSTITUTE(SUBSTITUTE(IFERROR(TRIM(SUBSTITUTE(A17,MID(A17,FIND("(",A17),FIND(")",A17)-FIND("(",A17)+1),"")),A17)," ",""),"-","")),FIND("]",SUBSTITUTE(SUBSTITUTE(IFERROR(TRIM(SUBSTITUTE(A17,MID(A17,FIND("(",A17),FIND(")",A17)-FIND("(",A17)+1),"")),A17)," ",""),"-",""))-FIND("[",SUBSTITUTE(SUBSTITUTE(IFERROR(TRIM(SUBSTITUTE(A17,MID(A17,FIND("(",A17),FIND(")",A17)-FIND("(",A17)+1),"")),A17)," ",""),"-",""))+1),"")),SUBSTITUTE(SUBSTITUTE(IFERROR(TRIM(SUBSTITUTE(A17,MID(A17,FIND("(",A17),FIND(")",A17)-FIND("(",A17)+1),"")),A17)," ",""),"-",""))," ",""),"-",""))&amp;CHAR(34)&amp;",",CHAR(34)&amp;"lets0"&amp;LEN(SUBSTITUTE(SUBSTITUTE(IFERROR(TRIM(SUBSTITUTE(SUBSTITUTE(SUBSTITUTE(IFERROR(TRIM(SUBSTITUTE(A17,MID(A17,FIND("(",A17),FIND(")",A17)-FIND("(",A17)+1),"")),A17)," ",""),"-",""),MID(SUBSTITUTE(SUBSTITUTE(IFERROR(TRIM(SUBSTITUTE(A17,MID(A17,FIND("(",A17),FIND(")",A17)-FIND("(",A17)+1),"")),A17)," ",""),"-",""),FIND("[",SUBSTITUTE(SUBSTITUTE(IFERROR(TRIM(SUBSTITUTE(A17,MID(A17,FIND("(",A17),FIND(")",A17)-FIND("(",A17)+1),"")),A17)," ",""),"-","")),FIND("]",SUBSTITUTE(SUBSTITUTE(IFERROR(TRIM(SUBSTITUTE(A17,MID(A17,FIND("(",A17),FIND(")",A17)-FIND("(",A17)+1),"")),A17)," ",""),"-",""))-FIND("[",SUBSTITUTE(SUBSTITUTE(IFERROR(TRIM(SUBSTITUTE(A17,MID(A17,FIND("(",A17),FIND(")",A17)-FIND("(",A17)+1),"")),A17)," ",""),"-",""))+1),"")),SUBSTITUTE(SUBSTITUTE(IFERROR(TRIM(SUBSTITUTE(A17,MID(A17,FIND("(",A17),FIND(")",A17)-FIND("(",A17)+1),"")),A17)," ",""),"-",""))," ",""),"-",""))&amp;CHAR(34)&amp;",")</f>
        <v>"lets20",</v>
      </c>
      <c r="DE17" s="44" t="str">
        <f t="shared" ref="DE17:DE22" si="148">IFERROR(CHAR(34)&amp;"start"&amp;LEFT(TRIM(SUBSTITUTE(SUBSTITUTE(TRIM(SUBSTITUTE(SUBSTITUTE(A17, MID(A17, FIND("[", A17), FIND("]", A17) - FIND("[", A17) + 1), ""), "  ", " ")), MID(TRIM(SUBSTITUTE(SUBSTITUTE(A17, MID(A17, FIND("[", A17), FIND("]", A17) - FIND("[", A17) + 1), ""), "  ", " ")), FIND("[", TRIM(SUBSTITUTE(SUBSTITUTE(A17, MID(A17, FIND("[", A17), FIND("]", A17) - FIND("[", A17) + 1), ""), "  ", " "))), FIND("]", TRIM(SUBSTITUTE(SUBSTITUTE(A17, MID(A17, FIND("[", A17), FIND("]", A17) - FIND("[", A17) + 1), ""), "  ", " "))) - FIND("[", TRIM(SUBSTITUTE(SUBSTITUTE(A17, MID(A17, FIND("[", A17), FIND("]", A17) - FIND("[", A17) + 1), ""), "  ", " "))) + 1), ""), "  ", " ")),1)&amp;CHAR(34)&amp;",",CHAR(34)&amp;"start"&amp;IFERROR(LEFT(SUBSTITUTE(A17,"["&amp;MID(A17,FIND("[",A17)+1,FIND("]",A17)-FIND("[",A17)-1)&amp;"] ",""),1),LEFT(A17,1))&amp;CHAR(34)&amp;",")</f>
        <v>"startT",</v>
      </c>
      <c r="DF17" s="44" t="str">
        <f t="shared" si="27"/>
        <v/>
      </c>
      <c r="DG17" s="44" t="str">
        <f t="shared" si="28"/>
        <v/>
      </c>
      <c r="DH17" s="44" t="str">
        <f t="shared" si="29"/>
        <v/>
      </c>
      <c r="DI17" s="44" t="str">
        <f t="shared" si="30"/>
        <v/>
      </c>
      <c r="DJ17" s="44" t="str">
        <f t="shared" si="31"/>
        <v/>
      </c>
      <c r="DK17" s="44" t="str">
        <f t="shared" si="32"/>
        <v/>
      </c>
      <c r="DL17" s="44" t="str">
        <f t="shared" si="33"/>
        <v/>
      </c>
      <c r="DM17" s="44" t="str" cm="1">
        <f t="array" ref="DM17">IF(CG17=3,CHAR(34) &amp; _xlfn.TEXTJOIN("", TRUE, RIGHT(HP17:HX17, 2)) &amp; CHAR(34) &amp; ",", "")</f>
        <v/>
      </c>
      <c r="DN17" s="44" t="str">
        <f t="shared" si="34"/>
        <v/>
      </c>
      <c r="DO17" s="44" t="str">
        <f t="shared" si="35"/>
        <v>"year19",</v>
      </c>
      <c r="DP17" s="5" t="str">
        <f t="shared" si="36"/>
        <v/>
      </c>
      <c r="DQ17" s="5" t="str">
        <f t="shared" si="37"/>
        <v/>
      </c>
      <c r="DR17" s="5" t="str">
        <f t="shared" si="38"/>
        <v/>
      </c>
      <c r="DS17" s="5" t="str">
        <f t="shared" si="39"/>
        <v/>
      </c>
      <c r="DT17" s="5" t="str">
        <f t="shared" si="40"/>
        <v>"allhor",</v>
      </c>
      <c r="DU17" s="5" t="str">
        <f t="shared" si="41"/>
        <v/>
      </c>
      <c r="DV17" s="44" t="str">
        <f t="shared" ref="DV17:DV22" si="149">IF(IA17&lt;&gt;"",(IF(IA17="y",CHAR(34)&amp;"largec"&amp;CHAR(34)&amp;",",CHAR(34)&amp;"smallc"&amp;CHAR(34)&amp;",")),"")</f>
        <v/>
      </c>
      <c r="DW17" s="44" t="str">
        <f t="shared" si="43"/>
        <v/>
      </c>
      <c r="DX17" s="44" t="str">
        <f t="shared" si="44"/>
        <v/>
      </c>
      <c r="DY17" s="44" t="str">
        <f t="shared" si="45"/>
        <v/>
      </c>
      <c r="DZ17" s="44" t="str">
        <f t="shared" si="46"/>
        <v>"4+Band",</v>
      </c>
      <c r="EA17" s="44" t="str">
        <f t="shared" si="47"/>
        <v/>
      </c>
      <c r="EB17" s="44" t="str">
        <f t="shared" si="48"/>
        <v/>
      </c>
      <c r="EC17" s="44" t="str">
        <f t="shared" si="49"/>
        <v>"Horizo",</v>
      </c>
      <c r="ED17" s="44" t="str">
        <f t="shared" si="50"/>
        <v/>
      </c>
      <c r="EE17" s="44" t="str">
        <f t="shared" si="51"/>
        <v/>
      </c>
      <c r="EF17" s="44" t="str">
        <f t="shared" si="52"/>
        <v/>
      </c>
      <c r="EG17" s="44" t="str">
        <f t="shared" si="53"/>
        <v/>
      </c>
      <c r="EH17" s="44" t="str">
        <f t="shared" si="54"/>
        <v/>
      </c>
      <c r="EI17" s="44" t="str">
        <f t="shared" si="55"/>
        <v/>
      </c>
      <c r="EJ17" s="44" t="str">
        <f t="shared" si="56"/>
        <v/>
      </c>
      <c r="EK17" s="44" t="str">
        <f t="shared" si="57"/>
        <v/>
      </c>
      <c r="EL17" s="44" t="str">
        <f t="shared" si="58"/>
        <v/>
      </c>
      <c r="EM17" s="44" t="str">
        <f t="shared" si="59"/>
        <v/>
      </c>
      <c r="EN17" s="44" t="str">
        <f t="shared" si="60"/>
        <v>"Unequa",</v>
      </c>
      <c r="EO17" s="44" t="str">
        <f t="shared" si="61"/>
        <v>"Center",</v>
      </c>
      <c r="EP17" s="44" t="str">
        <f t="shared" si="62"/>
        <v/>
      </c>
      <c r="EQ17" s="44" t="str">
        <f t="shared" si="63"/>
        <v/>
      </c>
      <c r="ER17" s="44" t="str">
        <f t="shared" si="64"/>
        <v/>
      </c>
      <c r="ES17" s="44" t="str">
        <f t="shared" si="65"/>
        <v/>
      </c>
      <c r="ET17" s="44" t="str">
        <f t="shared" si="66"/>
        <v/>
      </c>
      <c r="EU17" s="44" t="str">
        <f t="shared" si="67"/>
        <v/>
      </c>
      <c r="EV17" s="44" t="str">
        <f t="shared" si="68"/>
        <v/>
      </c>
      <c r="EW17" s="44" t="str">
        <f t="shared" si="69"/>
        <v/>
      </c>
      <c r="EX17" s="44" t="str">
        <f t="shared" si="70"/>
        <v/>
      </c>
      <c r="EY17" s="44" t="str">
        <f t="shared" si="71"/>
        <v/>
      </c>
      <c r="EZ17" s="44" t="str">
        <f t="shared" si="72"/>
        <v/>
      </c>
      <c r="FA17" s="44" t="str">
        <f t="shared" si="73"/>
        <v>"staWHI",</v>
      </c>
      <c r="FB17" s="44" t="str">
        <f t="shared" si="74"/>
        <v/>
      </c>
      <c r="FC17" s="44" t="str">
        <f t="shared" ref="FC17:FC22" si="150">IF(AND(AT17&gt;0,BB17&lt;&gt;""),CHAR(34)&amp;"sta"&amp;BB17&amp;CHAR(34)&amp;",","")</f>
        <v/>
      </c>
      <c r="FD17" s="44" t="str">
        <f t="shared" si="76"/>
        <v/>
      </c>
      <c r="FE17" s="44" t="str">
        <f t="shared" si="77"/>
        <v/>
      </c>
      <c r="FF17" s="44" t="str">
        <f t="shared" si="78"/>
        <v/>
      </c>
      <c r="FG17" s="44" t="str">
        <f t="shared" si="79"/>
        <v>"NO_RED",</v>
      </c>
      <c r="FH17" s="44" t="str">
        <f t="shared" si="80"/>
        <v/>
      </c>
      <c r="FI17" s="44" t="str">
        <f t="shared" si="81"/>
        <v>"NO_YEL",</v>
      </c>
      <c r="FJ17" s="44" t="str">
        <f t="shared" si="82"/>
        <v/>
      </c>
      <c r="FK17" s="44" t="str">
        <f t="shared" si="83"/>
        <v/>
      </c>
      <c r="FL17" s="44" t="str">
        <f t="shared" si="84"/>
        <v/>
      </c>
      <c r="FM17" s="44" t="str">
        <f t="shared" si="85"/>
        <v/>
      </c>
      <c r="FN17" s="44" t="str">
        <f t="shared" si="86"/>
        <v/>
      </c>
      <c r="FO17" s="44" t="str">
        <f t="shared" si="87"/>
        <v/>
      </c>
      <c r="FP17" s="44" t="str">
        <f t="shared" si="88"/>
        <v/>
      </c>
      <c r="FQ17" s="44" t="str">
        <f t="shared" si="89"/>
        <v>"001GRE",</v>
      </c>
      <c r="FR17" s="44" t="str">
        <f t="shared" si="90"/>
        <v>"002BLU",</v>
      </c>
      <c r="FS17" s="44" t="str">
        <f t="shared" si="91"/>
        <v>"003GRE",</v>
      </c>
      <c r="FT17" s="44" t="str">
        <f t="shared" si="92"/>
        <v>"myrGRE",</v>
      </c>
      <c r="FU17" s="44" t="str">
        <f t="shared" si="93"/>
        <v/>
      </c>
      <c r="FV17" s="44" t="str">
        <f t="shared" si="94"/>
        <v/>
      </c>
      <c r="FW17" s="44" t="str">
        <f t="shared" si="95"/>
        <v/>
      </c>
      <c r="FX17" s="44" t="str">
        <f t="shared" ref="FX17:FX22" si="151">SUBSTITUTE(IFERROR(SEARCH("[",A17),IFERROR(IF(AND(CA17&lt;&gt;"y",SEARCH("Europe",R17)&gt;0),CHAR(34)&amp;"noeuni"&amp;CHAR(34)&amp;",",""),"")),"1","")</f>
        <v/>
      </c>
      <c r="FY17" s="44" t="str">
        <f t="shared" si="97"/>
        <v/>
      </c>
      <c r="FZ17" s="44" t="str">
        <f t="shared" si="98"/>
        <v/>
      </c>
      <c r="GA17" s="44" t="str">
        <f t="shared" si="99"/>
        <v/>
      </c>
      <c r="GB17" s="44" t="str">
        <f t="shared" si="100"/>
        <v/>
      </c>
      <c r="GC17" s="44" t="str">
        <f t="shared" ref="GC17:GC22" si="152">IFERROR(IF(SEARCH("Portuguese",CB17)&gt;0,CHAR(34)&amp;"portug"&amp;CHAR(34)&amp;",",""),"")</f>
        <v/>
      </c>
      <c r="GD17" s="44" t="str">
        <f t="shared" ref="GD17:GD22" si="153">IFERROR(IF(SEARCH("German",CB17)&gt;0,CHAR(34)&amp;"german"&amp;CHAR(34)&amp;",",""),"")</f>
        <v/>
      </c>
      <c r="GE17" s="44" t="str">
        <f t="shared" si="103"/>
        <v/>
      </c>
      <c r="GF17" s="44" t="str">
        <f>IFERROR(IF(SEARCH("Histor",AU17)&gt;0,CHAR(34)&amp;"histor"&amp;CHAR(34)&amp;",",""),"")</f>
        <v/>
      </c>
      <c r="GG17" s="44" t="str">
        <f t="shared" si="104"/>
        <v/>
      </c>
      <c r="GH17" s="44" t="str">
        <f t="shared" si="105"/>
        <v/>
      </c>
      <c r="GI17" s="44" t="str">
        <f t="shared" si="106"/>
        <v/>
      </c>
      <c r="GJ17" s="44" t="str">
        <f t="shared" si="107"/>
        <v/>
      </c>
      <c r="GK17" s="44" t="str">
        <f t="shared" si="108"/>
        <v>"HasSta",</v>
      </c>
      <c r="GL17" s="44" t="str">
        <f t="shared" si="109"/>
        <v>"1Stars",</v>
      </c>
      <c r="GM17" s="44" t="str">
        <f t="shared" si="110"/>
        <v/>
      </c>
      <c r="GN17" s="44" t="str">
        <f t="shared" si="111"/>
        <v/>
      </c>
      <c r="GP17" s="44" t="str">
        <f t="shared" si="112"/>
        <v>"People"</v>
      </c>
      <c r="GS17" s="44" t="str">
        <f t="shared" si="113"/>
        <v>["4Color","words2","words3","lets20","startT","year19","allhor","4+Band","Horizo","Unequa","Center","staWHI","NO_RED","NO_YEL","001GRE","002BLU","003GRE","myrGRE","HasSta","1Stars"]</v>
      </c>
      <c r="GT17" s="44" t="str">
        <f t="shared" si="114"/>
        <v>"cl_GRE",</v>
      </c>
      <c r="GU17" s="44" t="str">
        <f t="shared" si="115"/>
        <v>"cl_BLU",</v>
      </c>
      <c r="GV17" s="44" t="str">
        <f t="shared" si="116"/>
        <v>"cl_BLA",</v>
      </c>
      <c r="GW17" s="44" t="str">
        <f t="shared" si="117"/>
        <v>"cl_WHI",</v>
      </c>
      <c r="GX17" s="44" t="str">
        <f t="shared" si="118"/>
        <v/>
      </c>
      <c r="GY17" s="44" t="str">
        <f t="shared" si="119"/>
        <v/>
      </c>
      <c r="GZ17" s="44" t="str">
        <f t="shared" si="120"/>
        <v/>
      </c>
      <c r="HA17" s="44" t="str">
        <f t="shared" si="121"/>
        <v/>
      </c>
      <c r="HB17" s="44" t="str">
        <f t="shared" si="122"/>
        <v/>
      </c>
      <c r="HC17" s="44" t="str">
        <f t="shared" si="123"/>
        <v>["cl_GRE","cl_BLU","cl_BLA","cl_WHI"]</v>
      </c>
      <c r="HE17" s="64"/>
      <c r="HF17" s="65" t="str">
        <f t="shared" si="124"/>
        <v>{couname:"[AUS] Torres Strait Islander",year:"1995 ",region:"rgn_Oceania",Colors:["cl_GRE","cl_BLU","cl_BLA","cl_WHI"],Items:["4Color","words2","words3","lets20","startT","year19","allhor","4+Band","Horizo","Unequa","Center","staWHI","NO_RED","NO_YEL","001GRE","002BLU","003GRE","myrGRE","HasSta","1Stars"],Flag:"https://upload.wikimedia.org/wikipedia/en/thumb/1/1d/Flag_of_the_Torres_Strait_Islanders.svg/640px-Flag_of_the_Torres_Strait_Islanders.svg.png",HDFlag:"https://upload.wikimedia.org/wikipedia/en/thumb/1/1d/Flag_of_the_Torres_Strait_Islanders.svg/2560px-Flag_of_the_Torres_Strait_Islanders.svg.png",type:"People", describe: "\nThe green panels at the top and the bottom of the flag symbolise the land, while the blue panel in the centre represents the waters of the Torres Strait. The thin black stripes between the green and blue panels signify the Torres Strait Islanders themselves. The white five-pointed star at the centre of the flag represents the five major island groups—the Western, Eastern, Central, Port Kennedy and (N.P.A.) Mainland—and the white dhari (also spelt dari, a ceremonial dancer's headdress), around it also symbolises the Torres Strait Islands people. White symbolises peace, while the star is a symbol for navigation.", isnew:".", links: "https://en.wikipedia.org/wiki/Torres_Strait_Islander_flag"},</v>
      </c>
      <c r="HG17" s="66" t="str">
        <f t="shared" si="125"/>
        <v>{couname:"[AUS] Torres Strait Islander",year:"1995 ",region:"rgn_Oceania",Colors:["cl_GRE","cl_BLU","cl_BLA","cl_WHI"],Items:["4Color","words2","words3","lets20","startT","year19","allhor","4+Band","Horizo","Unequa","Center","staWHI","NO_RED","NO_YEL","001GRE","002BLU","003GRE","myrGRE","HasSta","1Stars"],Flag:"https://upload.wikimedia.org/wikipedia/en/thumb/1/1d/Flag_of_the_Torres_Strait_Islanders.svg/640px-Flag_of_the_Torres_Strait_Islanders.svg.png",HDFlag:"https://upload.wikimedia.org/wikipedia/en/thumb/1/1d/Flag_of_the_Torres_Strait_Islanders.svg/2560px-Flag_of_the_Torres_Strait_Islanders.svg.png",type:"People", describe: "\nThe green panels at the top and the bottom of the flag symbolise the land, while the blue panel in the centre represents the waters of the Torres Strait. The thin black stripes between the green and blue panels signify the Torres Strait Islanders themselves. The white five-pointed star at the centre of the flag represents the five major island groups—the Western, Eastern, Central, Port Kennedy and (N.P.A.) Mainland—and the white dhari (also spelt dari, a ceremonial dancer's headdress), around it also symbolises the Torres Strait Islands people. White symbolises peace, while the star is a symbol for navigation.", links: "https://en.wikipedia.org/wiki/Torres_Strait_Islander_flag"},</v>
      </c>
      <c r="HH17" s="44" t="str">
        <f t="shared" si="126"/>
        <v>"\nThe green panels at the top and the bottom of the flag symbolise the land, while the blue panel in the centre represents the waters of the Torres Strait. The thin black stripes between the green and blue panels signify the Torres Strait Islanders themselves. The white five-pointed star at the centre of the flag represents the five major island groups—the Western, Eastern, Central, Port Kennedy and (N.P.A.) Mainland—and the white dhari (also spelt dari, a ceremonial dancer's headdress), around it also symbolises the Torres Strait Islands people. White symbolises peace, while the star is a symbol for navigation."</v>
      </c>
      <c r="HI17" s="44" t="str">
        <f t="shared" si="127"/>
        <v>"\nThe green panels at the top and the bottom of the flag symbolise the land, while the blue panel in the centre represents the waters of the Torres Strait. The thin black stripes between the green and blue panels signify the Torres Strait Islanders themselves. The white five-pointed star at the centre of the flag represents the five major island groups—the Western, Eastern, Central, Port Kennedy and (N.P.A.) Mainland—and the white dhari (also spelt dari, a ceremonial dancer's headdress), around it also symbolises the Torres Strait Islands people. White symbolises peace, while the star is a symbol for navigation."</v>
      </c>
      <c r="HJ17" s="44" t="str">
        <f t="shared" si="128"/>
        <v>"1995 "</v>
      </c>
      <c r="HL17" s="44" t="str">
        <f t="shared" si="129"/>
        <v>"https://en.wikipedia.org/wiki/Torres_Strait_Islander_flag"</v>
      </c>
      <c r="HM17" s="65" t="str">
        <f t="shared" si="130"/>
        <v>{"couname":"[AUS] Torres Strait Islander","subtype":"[AUS] Other","year":"1995 ","region":"rgn_Oceania","Colors":["cl_GRE","cl_BLU","cl_BLA","cl_WHI"],"Items":["4Color","words2","words3","lets20","startT","year19","allhor","4+Band","Horizo","Unequa","Center","staWHI","NO_RED","NO_YEL","001GRE","002BLU","003GRE","myrGRE","HasSta","1Stars"],"Flag":"https://upload.wikimedia.org/wikipedia/en/thumb/1/1d/Flag_of_the_Torres_Strait_Islanders.svg/640px-Flag_of_the_Torres_Strait_Islanders.svg.png","HDFlag":"https://upload.wikimedia.org/wikipedia/en/thumb/1/1d/Flag_of_the_Torres_Strait_Islanders.svg/2560px-Flag_of_the_Torres_Strait_Islanders.svg.png","type":"People", "describe": "\nThe green panels at the top and the bottom of the flag symbolise the land, while the blue panel in the centre represents the waters of the Torres Strait. The thin black stripes between the green and blue panels signify the Torres Strait Islanders themselves. The white five-pointed star at the centre of the flag represents the five major island groups—the Western, Eastern, Central, Port Kennedy and (N.P.A.) Mainland—and the white dhari (also spelt dari, a ceremonial dancer's headdress), around it also symbolises the Torres Strait Islands people. White symbolises peace, while the star is a symbol for navigation.", "isnew": ".", "links": "https://en.wikipedia.org/wiki/Torres_Strait_Islander_flag"},</v>
      </c>
      <c r="HN17" s="67" t="str">
        <f t="shared" si="131"/>
        <v>{"couname":"[AUS] Torres Strait Islander","subtype":"[AUS] Other","year":"1995 ","region":"rgn_Oceania","Colors":["cl_GRE","cl_BLU","cl_BLA","cl_WHI"],"Items":["4Color","words2","words3","lets20","startT","year19","allhor","4+Band","Horizo","Unequa","Center","staWHI","NO_RED","NO_YEL","001GRE","002BLU","003GRE","myrGRE","HasSta","1Stars"],"Flag":"https://upload.wikimedia.org/wikipedia/en/thumb/1/1d/Flag_of_the_Torres_Strait_Islanders.svg/640px-Flag_of_the_Torres_Strait_Islanders.svg.png","HDFlag":"https://upload.wikimedia.org/wikipedia/en/thumb/1/1d/Flag_of_the_Torres_Strait_Islanders.svg/2560px-Flag_of_the_Torres_Strait_Islanders.svg.png","type":"People", "describe": "\nThe green panels at the top and the bottom of the flag symbolise the land, while the blue panel in the centre represents the waters of the Torres Strait. The thin black stripes between the green and blue panels signify the Torres Strait Islanders themselves. The white five-pointed star at the centre of the flag represents the five major island groups—the Western, Eastern, Central, Port Kennedy and (N.P.A.) Mainland—and the white dhari (also spelt dari, a ceremonial dancer's headdress), around it also symbolises the Torres Strait Islands people. White symbolises peace, while the star is a symbol for navigation.", "isnew": ".", "links": "https://en.wikipedia.org/wiki/Torres_Strait_Islander_flag"},</v>
      </c>
      <c r="HO17" s="71"/>
      <c r="HP17" s="44" t="str" cm="1">
        <f t="array" ref="HP17">IF(_xlfn.TEXTJOIN(", ", TRUE, IF(ISNUMBER(SEARCH("BLA", BL17:BT17)), COLUMN(BL17:BT17) - COLUMN(BL17) + 1, ""))&lt;&gt;"","BLA","")</f>
        <v>BLA</v>
      </c>
      <c r="HQ17" s="44" t="str" cm="1">
        <f t="array" ref="HQ17">IF(_xlfn.TEXTJOIN(", ", TRUE, IF(ISNUMBER(SEARCH("BLU", BL17:BT17)), COLUMN(BL17:BT17) - COLUMN(BL17) + 1, ""))&lt;&gt;"","BLU","")</f>
        <v>BLU</v>
      </c>
      <c r="HR17" s="44" t="str" cm="1">
        <f t="array" ref="HR17">IF(_xlfn.TEXTJOIN(", ", TRUE, IF(ISNUMBER(SEARCH("GRE", BL17:BT17)), COLUMN(BL17:BT17) - COLUMN(BL17) + 1, ""))&lt;&gt;"","GRE","")</f>
        <v>GRE</v>
      </c>
      <c r="HS17" s="44" t="str" cm="1">
        <f t="array" ref="HS17">IF(_xlfn.TEXTJOIN(", ", TRUE, IF(ISNUMBER(SEARCH("RED", BL17:BT17)), COLUMN(BL17:BT17) - COLUMN(BL17) + 1, ""))&lt;&gt;"","RED","")</f>
        <v/>
      </c>
      <c r="HT17" s="44" t="str" cm="1">
        <f t="array" ref="HT17">IF(_xlfn.TEXTJOIN(", ", TRUE, IF(ISNUMBER(SEARCH("YEL", BL17:BT17)), COLUMN(BL17:BT17) - COLUMN(BL17) + 1, ""))&lt;&gt;"","YEL","")</f>
        <v/>
      </c>
      <c r="HU17" s="44" t="str" cm="1">
        <f t="array" ref="HU17">IF(_xlfn.TEXTJOIN(", ", TRUE, IF(ISNUMBER(SEARCH("ORA", BL17:BT17)), COLUMN(BL17:BT17) - COLUMN(BL17) + 1, ""))&lt;&gt;"","ORA","")</f>
        <v/>
      </c>
      <c r="HV17" s="44" t="str" cm="1">
        <f t="array" ref="HV17">IF(_xlfn.TEXTJOIN(", ", TRUE, IF(ISNUMBER(SEARCH("BRO", BL17:BT17)), COLUMN(BL17:BT17) - COLUMN(BL17) + 1, ""))&lt;&gt;"","BRO","")</f>
        <v/>
      </c>
      <c r="HW17" s="44" t="str" cm="1">
        <f t="array" ref="HW17">IF(_xlfn.TEXTJOIN(", ", TRUE, IF(ISNUMBER(SEARCH("PUR", BL17:BT17)), COLUMN(BL17:BT17) - COLUMN(BL17) + 1, ""))&lt;&gt;"","PUR","")</f>
        <v/>
      </c>
      <c r="HX17" s="44" t="str" cm="1">
        <f t="array" ref="HX17">IF(_xlfn.TEXTJOIN(", ", TRUE, IF(ISNUMBER(SEARCH("WHI", BL17:BT17)), COLUMN(BL17:BT17) - COLUMN(BL17) + 1, ""))&lt;&gt;"","WHI","")</f>
        <v>WHI</v>
      </c>
      <c r="HY17" s="72"/>
      <c r="HZ17" s="72"/>
      <c r="IA17" s="5"/>
      <c r="IB17" s="5"/>
      <c r="IC17" s="68"/>
      <c r="ID17" s="68"/>
      <c r="IE17" s="68"/>
      <c r="IF17" s="68"/>
      <c r="IG17" s="68"/>
      <c r="IH17" s="68"/>
      <c r="II17" s="68"/>
      <c r="IJ17" s="68"/>
      <c r="IK17" s="68"/>
      <c r="IL17" s="44">
        <f t="shared" ref="IL17:IL22" si="154">SUM(IC17:IK17)</f>
        <v>0</v>
      </c>
      <c r="IM17" s="42">
        <f t="shared" si="133"/>
        <v>-4</v>
      </c>
      <c r="IN17" s="69" t="str">
        <f t="shared" si="134"/>
        <v>http://mkweb.bcgsc.ca/color-summarizer/?url=https://upload.wikimedia.org/wikipedia/en/thumb/1/1d/Flag_of_the_Torres_Strait_Islanders.svg/640px-Flag_of_the_Torres_Strait_Islanders.svg.png&amp;precision=low&amp;num_clusters=4&amp;text=1</v>
      </c>
      <c r="IO17" s="44" t="str">
        <f t="shared" si="135"/>
        <v>"black"</v>
      </c>
      <c r="IP17" s="44" t="str">
        <f t="shared" si="136"/>
        <v>"blue"</v>
      </c>
      <c r="IQ17" s="44" t="str">
        <f t="shared" si="137"/>
        <v>"green"</v>
      </c>
      <c r="IR17" s="44" t="str">
        <f t="shared" si="138"/>
        <v/>
      </c>
      <c r="IS17" s="44" t="str">
        <f t="shared" si="139"/>
        <v/>
      </c>
      <c r="IT17" s="44" t="str">
        <f t="shared" si="140"/>
        <v/>
      </c>
      <c r="IU17" s="44" t="str">
        <f t="shared" si="141"/>
        <v/>
      </c>
      <c r="IV17" s="44" t="str">
        <f t="shared" si="142"/>
        <v/>
      </c>
      <c r="IW17" s="44" t="str">
        <f t="shared" si="143"/>
        <v>"white"</v>
      </c>
      <c r="IX17" s="44" t="str">
        <f t="shared" si="144"/>
        <v>{"url":"http://mkweb.bcgsc.ca/color-summarizer/?url=https://upload.wikimedia.org/wikipedia/en/thumb/1/1d/Flag_of_the_Torres_Strait_Islanders.svg/640px-Flag_of_the_Torres_Strait_Islanders.svg.png&amp;precision=low&amp;num_clusters=4&amp;text=1","name":"[AUS] Torres Strait Islander"},</v>
      </c>
      <c r="IY17" s="44">
        <v>952</v>
      </c>
    </row>
    <row r="18" spans="1:259" s="44" customFormat="1" ht="38.4" customHeight="1" thickBot="1" x14ac:dyDescent="0.35">
      <c r="A18" s="81" t="s">
        <v>532</v>
      </c>
      <c r="B18" s="78" t="e" vm="19">
        <v>#VALUE!</v>
      </c>
      <c r="C18" s="39">
        <v>3</v>
      </c>
      <c r="D18" s="70" t="s">
        <v>533</v>
      </c>
      <c r="E18" s="40" t="s">
        <v>534</v>
      </c>
      <c r="F18" s="41" t="s">
        <v>165</v>
      </c>
      <c r="G18" s="42">
        <f t="shared" si="0"/>
        <v>1</v>
      </c>
      <c r="H18" s="43" t="s">
        <v>378</v>
      </c>
      <c r="I18" s="59" t="s">
        <v>535</v>
      </c>
      <c r="J18" s="44" t="str">
        <f>""</f>
        <v/>
      </c>
      <c r="K18" s="45"/>
      <c r="L18" s="46"/>
      <c r="M18" s="46"/>
      <c r="N18" s="47" t="s">
        <v>177</v>
      </c>
      <c r="O18" s="74" t="s">
        <v>536</v>
      </c>
      <c r="P18" s="48" t="s">
        <v>537</v>
      </c>
      <c r="Q18" s="73">
        <v>1</v>
      </c>
      <c r="R18" s="49" t="s">
        <v>177</v>
      </c>
      <c r="S18" s="50">
        <v>0</v>
      </c>
      <c r="T18" s="51" t="s">
        <v>166</v>
      </c>
      <c r="U18" s="52" t="s">
        <v>166</v>
      </c>
      <c r="V18" s="52" t="s">
        <v>167</v>
      </c>
      <c r="W18" s="52" t="s">
        <v>167</v>
      </c>
      <c r="X18" s="52" t="s">
        <v>166</v>
      </c>
      <c r="Y18" s="52" t="s">
        <v>167</v>
      </c>
      <c r="Z18" s="52" t="s">
        <v>166</v>
      </c>
      <c r="AA18" s="52" t="s">
        <v>166</v>
      </c>
      <c r="AB18" s="52" t="s">
        <v>166</v>
      </c>
      <c r="AC18" s="52" t="s">
        <v>166</v>
      </c>
      <c r="AD18" s="52" t="s">
        <v>166</v>
      </c>
      <c r="AE18" s="52" t="s">
        <v>166</v>
      </c>
      <c r="AF18" s="53" t="s">
        <v>166</v>
      </c>
      <c r="AG18" s="53" t="s">
        <v>166</v>
      </c>
      <c r="AH18" s="53" t="s">
        <v>166</v>
      </c>
      <c r="AI18" s="53" t="s">
        <v>166</v>
      </c>
      <c r="AJ18" s="53" t="s">
        <v>166</v>
      </c>
      <c r="AK18" s="53" t="s">
        <v>166</v>
      </c>
      <c r="AL18" s="53" t="s">
        <v>166</v>
      </c>
      <c r="AM18" s="53" t="s">
        <v>166</v>
      </c>
      <c r="AN18" s="53" t="s">
        <v>166</v>
      </c>
      <c r="AO18" s="53" t="s">
        <v>166</v>
      </c>
      <c r="AP18" s="53" t="s">
        <v>166</v>
      </c>
      <c r="AQ18" s="53" t="s">
        <v>166</v>
      </c>
      <c r="AR18" s="53" t="s">
        <v>166</v>
      </c>
      <c r="AS18" s="53" t="s">
        <v>166</v>
      </c>
      <c r="AT18" s="54">
        <v>3</v>
      </c>
      <c r="AU18" s="53" t="s">
        <v>360</v>
      </c>
      <c r="AV18" s="53" t="str">
        <f t="shared" si="1"/>
        <v>[AUS]City[AUS] Brisbane</v>
      </c>
      <c r="AW18" s="53" t="str">
        <f t="shared" si="2"/>
        <v>3[AUS] Queensland[AUS] Brisbane</v>
      </c>
      <c r="AX18" s="55"/>
      <c r="AY18" s="55"/>
      <c r="AZ18" s="56" t="s">
        <v>161</v>
      </c>
      <c r="BA18" s="56"/>
      <c r="BB18" s="56"/>
      <c r="BC18" s="57"/>
      <c r="BD18" s="58" t="s">
        <v>154</v>
      </c>
      <c r="BE18" s="59"/>
      <c r="BF18" s="58" t="s">
        <v>231</v>
      </c>
      <c r="BG18" s="58" t="s">
        <v>231</v>
      </c>
      <c r="BH18" s="58" t="s">
        <v>231</v>
      </c>
      <c r="BI18" s="58"/>
      <c r="BJ18" s="58"/>
      <c r="BK18" s="59"/>
      <c r="BL18" s="58" t="s">
        <v>153</v>
      </c>
      <c r="BM18" s="58" t="s">
        <v>154</v>
      </c>
      <c r="BN18" s="58" t="s">
        <v>231</v>
      </c>
      <c r="BO18" s="58" t="s">
        <v>231</v>
      </c>
      <c r="BP18" s="58" t="s">
        <v>157</v>
      </c>
      <c r="BQ18" s="58" t="s">
        <v>231</v>
      </c>
      <c r="BR18" s="58" t="s">
        <v>231</v>
      </c>
      <c r="BS18" s="58" t="s">
        <v>231</v>
      </c>
      <c r="BT18" s="58" t="s">
        <v>161</v>
      </c>
      <c r="BU18" s="60"/>
      <c r="BV18" s="61"/>
      <c r="BW18" s="61">
        <v>0</v>
      </c>
      <c r="BX18" s="59"/>
      <c r="CB18" s="5"/>
      <c r="CC18" s="5"/>
      <c r="CD18" s="62">
        <v>0</v>
      </c>
      <c r="CE18" s="62">
        <v>0</v>
      </c>
      <c r="CF18" s="62" t="e">
        <v>#REF!</v>
      </c>
      <c r="CG18" s="75" cm="1">
        <f t="array" ref="CG18">SUMPRODUCT(--(LEN(TRIM(BL18:BT18))&gt;0))</f>
        <v>4</v>
      </c>
      <c r="CH18" s="53" t="str">
        <f t="shared" si="3"/>
        <v>n</v>
      </c>
      <c r="CI18" s="53" t="str">
        <f t="shared" si="4"/>
        <v>n</v>
      </c>
      <c r="CJ18" s="53" t="str">
        <f t="shared" si="5"/>
        <v>y</v>
      </c>
      <c r="CK18" s="53" t="str">
        <f t="shared" si="6"/>
        <v>n</v>
      </c>
      <c r="CL18" s="53" t="str">
        <f t="shared" si="7"/>
        <v>y</v>
      </c>
      <c r="CM18" s="53" t="str">
        <f t="shared" si="8"/>
        <v>n</v>
      </c>
      <c r="CN18" s="53" t="str">
        <f t="shared" si="9"/>
        <v>n</v>
      </c>
      <c r="CO18" s="53" t="str">
        <f t="shared" si="10"/>
        <v>n</v>
      </c>
      <c r="CP18" s="53" t="str">
        <f t="shared" si="11"/>
        <v>n</v>
      </c>
      <c r="CQ18" s="53" t="str">
        <f t="shared" si="12"/>
        <v>n</v>
      </c>
      <c r="CR18" s="53" t="str">
        <f t="shared" si="13"/>
        <v>n</v>
      </c>
      <c r="CS18" s="53" t="str">
        <f t="shared" si="14"/>
        <v>y</v>
      </c>
      <c r="CT18" s="38" t="str">
        <f t="shared" si="15"/>
        <v>"[AUS] Brisbane"</v>
      </c>
      <c r="CU18" s="63" t="str">
        <f t="shared" si="16"/>
        <v>"rgn_Oceania"</v>
      </c>
      <c r="CV18" s="44" t="str">
        <f t="shared" si="17"/>
        <v>"https://upload.wikimedia.org/wikipedia/commons/thumb/d/df/Flag_of_Brisbane.svg/640px-Flag_of_Brisbane.svg.png"</v>
      </c>
      <c r="CW18" s="44" t="str">
        <f t="shared" si="18"/>
        <v/>
      </c>
      <c r="CX18" s="44" t="str">
        <f t="shared" si="19"/>
        <v/>
      </c>
      <c r="CY18" s="44" t="str">
        <f t="shared" si="20"/>
        <v>"4Color",</v>
      </c>
      <c r="CZ18" s="44" t="str">
        <f t="shared" si="21"/>
        <v/>
      </c>
      <c r="DA18" s="44" t="str">
        <f t="shared" si="22"/>
        <v/>
      </c>
      <c r="DB18" s="44" t="str">
        <f t="shared" si="23"/>
        <v/>
      </c>
      <c r="DC18" s="44" t="str">
        <f t="shared" si="146"/>
        <v/>
      </c>
      <c r="DD18" s="44" t="str">
        <f t="shared" si="147"/>
        <v>"lets08",</v>
      </c>
      <c r="DE18" s="44" t="str">
        <f t="shared" si="148"/>
        <v>"startB",</v>
      </c>
      <c r="DF18" s="44" t="str">
        <f t="shared" si="27"/>
        <v/>
      </c>
      <c r="DG18" s="44" t="str">
        <f t="shared" si="28"/>
        <v/>
      </c>
      <c r="DH18" s="44" t="str">
        <f t="shared" si="29"/>
        <v/>
      </c>
      <c r="DI18" s="44" t="str">
        <f t="shared" si="30"/>
        <v/>
      </c>
      <c r="DJ18" s="44" t="str">
        <f t="shared" si="31"/>
        <v/>
      </c>
      <c r="DK18" s="44" t="str">
        <f t="shared" si="32"/>
        <v/>
      </c>
      <c r="DL18" s="44" t="str">
        <f t="shared" si="33"/>
        <v/>
      </c>
      <c r="DM18" s="44" t="str" cm="1">
        <f t="array" ref="DM18">IF(CG18=3,CHAR(34) &amp; _xlfn.TEXTJOIN("", TRUE, RIGHT(HP18:HX18, 2)) &amp; CHAR(34) &amp; ",", "")</f>
        <v/>
      </c>
      <c r="DN18" s="44" t="str">
        <f t="shared" si="34"/>
        <v/>
      </c>
      <c r="DO18" s="44" t="str">
        <f t="shared" si="35"/>
        <v>"year19",</v>
      </c>
      <c r="DP18" s="5" t="str">
        <f t="shared" si="36"/>
        <v/>
      </c>
      <c r="DQ18" s="5" t="str">
        <f t="shared" si="37"/>
        <v/>
      </c>
      <c r="DR18" s="5" t="str">
        <f t="shared" si="38"/>
        <v/>
      </c>
      <c r="DS18" s="5" t="str">
        <f t="shared" si="39"/>
        <v/>
      </c>
      <c r="DT18" s="5" t="str">
        <f t="shared" si="40"/>
        <v/>
      </c>
      <c r="DU18" s="5" t="str">
        <f t="shared" si="41"/>
        <v/>
      </c>
      <c r="DV18" s="44" t="str">
        <f t="shared" si="149"/>
        <v/>
      </c>
      <c r="DW18" s="44" t="str">
        <f t="shared" si="43"/>
        <v>"NoBand",</v>
      </c>
      <c r="DX18" s="44" t="str">
        <f t="shared" si="44"/>
        <v/>
      </c>
      <c r="DY18" s="44" t="str">
        <f t="shared" si="45"/>
        <v/>
      </c>
      <c r="DZ18" s="44" t="str">
        <f t="shared" si="46"/>
        <v/>
      </c>
      <c r="EA18" s="44" t="str">
        <f t="shared" si="47"/>
        <v/>
      </c>
      <c r="EB18" s="44" t="str">
        <f t="shared" si="48"/>
        <v/>
      </c>
      <c r="EC18" s="44" t="str">
        <f t="shared" si="49"/>
        <v>"Horizo",</v>
      </c>
      <c r="ED18" s="44" t="str">
        <f t="shared" si="50"/>
        <v>"Vertic",</v>
      </c>
      <c r="EE18" s="44" t="str">
        <f t="shared" si="51"/>
        <v/>
      </c>
      <c r="EF18" s="44" t="str">
        <f t="shared" si="52"/>
        <v>"Animal",</v>
      </c>
      <c r="EG18" s="44" t="str">
        <f t="shared" si="53"/>
        <v/>
      </c>
      <c r="EH18" s="44" t="str">
        <f t="shared" si="54"/>
        <v/>
      </c>
      <c r="EI18" s="44" t="str">
        <f t="shared" si="55"/>
        <v/>
      </c>
      <c r="EJ18" s="44" t="str">
        <f t="shared" si="56"/>
        <v/>
      </c>
      <c r="EK18" s="44" t="str">
        <f t="shared" si="57"/>
        <v/>
      </c>
      <c r="EL18" s="44" t="str">
        <f t="shared" si="58"/>
        <v/>
      </c>
      <c r="EM18" s="44" t="str">
        <f t="shared" si="59"/>
        <v/>
      </c>
      <c r="EN18" s="44" t="str">
        <f t="shared" si="60"/>
        <v/>
      </c>
      <c r="EO18" s="44" t="str">
        <f t="shared" si="61"/>
        <v/>
      </c>
      <c r="EP18" s="44" t="str">
        <f t="shared" si="62"/>
        <v/>
      </c>
      <c r="EQ18" s="44" t="str">
        <f t="shared" si="63"/>
        <v/>
      </c>
      <c r="ER18" s="44" t="str">
        <f t="shared" si="64"/>
        <v/>
      </c>
      <c r="ES18" s="44" t="str">
        <f t="shared" si="65"/>
        <v/>
      </c>
      <c r="ET18" s="44" t="str">
        <f t="shared" si="66"/>
        <v/>
      </c>
      <c r="EU18" s="44" t="str">
        <f t="shared" si="67"/>
        <v/>
      </c>
      <c r="EV18" s="44" t="str">
        <f t="shared" si="68"/>
        <v/>
      </c>
      <c r="EW18" s="44" t="str">
        <f t="shared" si="69"/>
        <v/>
      </c>
      <c r="EX18" s="44" t="str">
        <f t="shared" si="70"/>
        <v/>
      </c>
      <c r="EY18" s="44" t="str">
        <f t="shared" si="71"/>
        <v/>
      </c>
      <c r="EZ18" s="44" t="str">
        <f t="shared" si="72"/>
        <v/>
      </c>
      <c r="FA18" s="44" t="str">
        <f t="shared" si="73"/>
        <v>"staWHI",</v>
      </c>
      <c r="FB18" s="44" t="str">
        <f t="shared" si="74"/>
        <v/>
      </c>
      <c r="FC18" s="44" t="str">
        <f t="shared" si="150"/>
        <v/>
      </c>
      <c r="FD18" s="44" t="str">
        <f t="shared" si="76"/>
        <v/>
      </c>
      <c r="FE18" s="44" t="str">
        <f t="shared" si="77"/>
        <v/>
      </c>
      <c r="FF18" s="44" t="str">
        <f t="shared" si="78"/>
        <v/>
      </c>
      <c r="FG18" s="44" t="str">
        <f t="shared" si="79"/>
        <v>"NO_RED",</v>
      </c>
      <c r="FH18" s="44" t="str">
        <f t="shared" si="80"/>
        <v>"NO_GRE",</v>
      </c>
      <c r="FI18" s="44" t="str">
        <f t="shared" si="81"/>
        <v/>
      </c>
      <c r="FJ18" s="44" t="str">
        <f t="shared" si="82"/>
        <v/>
      </c>
      <c r="FK18" s="44" t="str">
        <f t="shared" si="83"/>
        <v/>
      </c>
      <c r="FL18" s="44" t="str">
        <f t="shared" si="84"/>
        <v/>
      </c>
      <c r="FM18" s="44" t="str">
        <f t="shared" si="85"/>
        <v/>
      </c>
      <c r="FN18" s="44" t="str">
        <f t="shared" si="86"/>
        <v/>
      </c>
      <c r="FO18" s="44" t="str">
        <f t="shared" si="87"/>
        <v/>
      </c>
      <c r="FP18" s="44" t="str">
        <f t="shared" si="88"/>
        <v/>
      </c>
      <c r="FQ18" s="44" t="str">
        <f t="shared" si="89"/>
        <v/>
      </c>
      <c r="FR18" s="44" t="str">
        <f t="shared" si="90"/>
        <v/>
      </c>
      <c r="FS18" s="44" t="str">
        <f t="shared" si="91"/>
        <v/>
      </c>
      <c r="FT18" s="44" t="str">
        <f t="shared" si="92"/>
        <v>"myrBLU",</v>
      </c>
      <c r="FU18" s="44" t="str">
        <f t="shared" si="93"/>
        <v/>
      </c>
      <c r="FV18" s="44" t="str">
        <f t="shared" si="94"/>
        <v/>
      </c>
      <c r="FW18" s="44" t="str">
        <f t="shared" si="95"/>
        <v/>
      </c>
      <c r="FX18" s="44" t="str">
        <f t="shared" si="151"/>
        <v/>
      </c>
      <c r="FY18" s="44" t="str">
        <f t="shared" si="97"/>
        <v/>
      </c>
      <c r="FZ18" s="44" t="str">
        <f t="shared" si="98"/>
        <v/>
      </c>
      <c r="GA18" s="44" t="str">
        <f t="shared" si="99"/>
        <v/>
      </c>
      <c r="GB18" s="44" t="str">
        <f t="shared" si="100"/>
        <v/>
      </c>
      <c r="GC18" s="44" t="str">
        <f t="shared" si="152"/>
        <v/>
      </c>
      <c r="GD18" s="44" t="str">
        <f t="shared" si="153"/>
        <v/>
      </c>
      <c r="GE18" s="44" t="str">
        <f t="shared" si="103"/>
        <v/>
      </c>
      <c r="GF18" s="44" t="str">
        <f>IFERROR(IF(SEARCH("Historical",AU18)&gt;0,CHAR(34)&amp;"histor"&amp;CHAR(34)&amp;",",""),"")</f>
        <v/>
      </c>
      <c r="GG18" s="44" t="str">
        <f t="shared" si="104"/>
        <v/>
      </c>
      <c r="GH18" s="44" t="str">
        <f t="shared" si="105"/>
        <v/>
      </c>
      <c r="GI18" s="44" t="str">
        <f t="shared" si="106"/>
        <v/>
      </c>
      <c r="GJ18" s="44" t="str">
        <f t="shared" si="107"/>
        <v/>
      </c>
      <c r="GK18" s="44" t="str">
        <f t="shared" si="108"/>
        <v>"HasSta",</v>
      </c>
      <c r="GL18" s="44" t="str">
        <f t="shared" si="109"/>
        <v/>
      </c>
      <c r="GM18" s="44" t="str">
        <f t="shared" si="110"/>
        <v/>
      </c>
      <c r="GN18" s="44" t="str">
        <f t="shared" si="111"/>
        <v>"3+Star",</v>
      </c>
      <c r="GP18" s="44" t="str">
        <f t="shared" si="112"/>
        <v>"City"</v>
      </c>
      <c r="GS18" s="44" t="str">
        <f t="shared" si="113"/>
        <v>["4Color","lets08","startB","year19","NoBand","Horizo","Vertic","Animal","staWHI","NO_RED","NO_GRE","myrBLU","HasSta","3+Star"]</v>
      </c>
      <c r="GT18" s="44" t="str">
        <f t="shared" si="114"/>
        <v>"cl_BLA",</v>
      </c>
      <c r="GU18" s="44" t="str">
        <f t="shared" si="115"/>
        <v>"cl_BLU",</v>
      </c>
      <c r="GV18" s="44" t="str">
        <f t="shared" si="116"/>
        <v/>
      </c>
      <c r="GW18" s="44" t="str">
        <f t="shared" si="117"/>
        <v/>
      </c>
      <c r="GX18" s="44" t="str">
        <f t="shared" si="118"/>
        <v>"cl_YEL",</v>
      </c>
      <c r="GY18" s="44" t="str">
        <f t="shared" si="119"/>
        <v/>
      </c>
      <c r="GZ18" s="44" t="str">
        <f t="shared" si="120"/>
        <v/>
      </c>
      <c r="HA18" s="44" t="str">
        <f t="shared" si="121"/>
        <v/>
      </c>
      <c r="HB18" s="44" t="str">
        <f t="shared" si="122"/>
        <v>"cl_WHI",</v>
      </c>
      <c r="HC18" s="44" t="str">
        <f t="shared" si="123"/>
        <v>["cl_BLA","cl_BLU","cl_YEL","cl_WHI"]</v>
      </c>
      <c r="HE18" s="64"/>
      <c r="HF18" s="65" t="str">
        <f t="shared" si="124"/>
        <v>{couname:"[AUS] Brisbane",year:"1996",region:"rgn_Oceania",Colors:["cl_BLA","cl_BLU","cl_YEL","cl_WHI"],Items:["4Color","lets08","startB","year19","NoBand","Horizo","Vertic","Animal","staWHI","NO_RED","NO_GRE","myrBLU","HasSta","3+Star"],Flag:"https://upload.wikimedia.org/wikipedia/commons/thumb/d/df/Flag_of_Brisbane.svg/640px-Flag_of_Brisbane.svg.png",HDFlag:"https://upload.wikimedia.org/wikipedia/commons/thumb/d/df/Flag_of_Brisbane.svg/2560px-Flag_of_Brisbane.svg.png",type:"City", describe: "\nThe two primary colours used are blue and gold, with blue representing the sea and the Brisbane River which flows through the city, and gold representing the sun and the city's warm climate.", isnew:".", links: "https://en.m.wikipedia.org/wiki/Flag_of_Brisbane"},</v>
      </c>
      <c r="HG18" s="66" t="str">
        <f t="shared" si="125"/>
        <v>{couname:"[AUS] Brisbane",year:"1996",region:"rgn_Oceania",Colors:["cl_BLA","cl_BLU","cl_YEL","cl_WHI"],Items:["4Color","lets08","startB","year19","NoBand","Horizo","Vertic","Animal","staWHI","NO_RED","NO_GRE","myrBLU","HasSta","3+Star"],Flag:"https://upload.wikimedia.org/wikipedia/commons/thumb/d/df/Flag_of_Brisbane.svg/640px-Flag_of_Brisbane.svg.png",HDFlag:"https://upload.wikimedia.org/wikipedia/commons/thumb/d/df/Flag_of_Brisbane.svg/2560px-Flag_of_Brisbane.svg.png",type:"City", describe: "\nThe two primary colours used are blue and gold, with blue representing the sea and the Brisbane River which flows through the city, and gold representing the sun and the city's warm climate.", links: "https://en.m.wikipedia.org/wiki/Flag_of_Brisbane"},</v>
      </c>
      <c r="HH18" s="44" t="str">
        <f t="shared" si="126"/>
        <v>"\nThe two primary colours used are blue and gold, with blue representing the sea and the Brisbane River which flows through the city, and gold representing the sun and the city's warm climate."</v>
      </c>
      <c r="HI18" s="44" t="str">
        <f t="shared" si="127"/>
        <v>"\nThe two primary colours used are blue and gold, with blue representing the sea and the Brisbane River which flows through the city, and gold representing the sun and the city's warm climate."</v>
      </c>
      <c r="HJ18" s="44" t="str">
        <f t="shared" si="128"/>
        <v>"1996"</v>
      </c>
      <c r="HL18" s="44" t="str">
        <f t="shared" si="129"/>
        <v>"https://en.m.wikipedia.org/wiki/Flag_of_Brisbane"</v>
      </c>
      <c r="HM18" s="65" t="str">
        <f t="shared" si="130"/>
        <v>{"couname":"[AUS] Brisbane","subtype":"[AUS] Queensland","year":"1996","region":"rgn_Oceania","Colors":["cl_BLA","cl_BLU","cl_YEL","cl_WHI"],"Items":["4Color","lets08","startB","year19","NoBand","Horizo","Vertic","Animal","staWHI","NO_RED","NO_GRE","myrBLU","HasSta","3+Star"],"Flag":"https://upload.wikimedia.org/wikipedia/commons/thumb/d/df/Flag_of_Brisbane.svg/640px-Flag_of_Brisbane.svg.png","HDFlag":"https://upload.wikimedia.org/wikipedia/commons/thumb/d/df/Flag_of_Brisbane.svg/2560px-Flag_of_Brisbane.svg.png","type":"City", "describe": "\nThe two primary colours used are blue and gold, with blue representing the sea and the Brisbane River which flows through the city, and gold representing the sun and the city's warm climate.", "isnew": ".", "links": "https://en.m.wikipedia.org/wiki/Flag_of_Brisbane"},</v>
      </c>
      <c r="HN18" s="67" t="str">
        <f t="shared" si="131"/>
        <v>{"couname":"[AUS] Brisbane","subtype":"[AUS] Queensland","year":"1996","region":"rgn_Oceania","Colors":["cl_BLA","cl_BLU","cl_YEL","cl_WHI"],"Items":["4Color","lets08","startB","year19","NoBand","Horizo","Vertic","Animal","staWHI","NO_RED","NO_GRE","myrBLU","HasSta","3+Star"],"Flag":"https://upload.wikimedia.org/wikipedia/commons/thumb/d/df/Flag_of_Brisbane.svg/640px-Flag_of_Brisbane.svg.png","HDFlag":"https://upload.wikimedia.org/wikipedia/commons/thumb/d/df/Flag_of_Brisbane.svg/2560px-Flag_of_Brisbane.svg.png","type":"City", "describe": "\nThe two primary colours used are blue and gold, with blue representing the sea and the Brisbane River which flows through the city, and gold representing the sun and the city's warm climate.", "isnew": ".", "links": "https://en.m.wikipedia.org/wiki/Flag_of_Brisbane"},</v>
      </c>
      <c r="HO18" s="71">
        <v>45576</v>
      </c>
      <c r="HP18" s="44" t="str" cm="1">
        <f t="array" ref="HP18">IF(_xlfn.TEXTJOIN(", ", TRUE, IF(ISNUMBER(SEARCH("BLA", BL18:BT18)), COLUMN(BL18:BT18) - COLUMN(BL18) + 1, ""))&lt;&gt;"","BLA","")</f>
        <v>BLA</v>
      </c>
      <c r="HQ18" s="44" t="str" cm="1">
        <f t="array" ref="HQ18">IF(_xlfn.TEXTJOIN(", ", TRUE, IF(ISNUMBER(SEARCH("BLU", BL18:BT18)), COLUMN(BL18:BT18) - COLUMN(BL18) + 1, ""))&lt;&gt;"","BLU","")</f>
        <v>BLU</v>
      </c>
      <c r="HR18" s="44" t="str" cm="1">
        <f t="array" ref="HR18">IF(_xlfn.TEXTJOIN(", ", TRUE, IF(ISNUMBER(SEARCH("GRE", BL18:BT18)), COLUMN(BL18:BT18) - COLUMN(BL18) + 1, ""))&lt;&gt;"","GRE","")</f>
        <v/>
      </c>
      <c r="HS18" s="44" t="str" cm="1">
        <f t="array" ref="HS18">IF(_xlfn.TEXTJOIN(", ", TRUE, IF(ISNUMBER(SEARCH("RED", BL18:BT18)), COLUMN(BL18:BT18) - COLUMN(BL18) + 1, ""))&lt;&gt;"","RED","")</f>
        <v/>
      </c>
      <c r="HT18" s="44" t="str" cm="1">
        <f t="array" ref="HT18">IF(_xlfn.TEXTJOIN(", ", TRUE, IF(ISNUMBER(SEARCH("YEL", BL18:BT18)), COLUMN(BL18:BT18) - COLUMN(BL18) + 1, ""))&lt;&gt;"","YEL","")</f>
        <v>YEL</v>
      </c>
      <c r="HU18" s="44" t="str" cm="1">
        <f t="array" ref="HU18">IF(_xlfn.TEXTJOIN(", ", TRUE, IF(ISNUMBER(SEARCH("ORA", BL18:BT18)), COLUMN(BL18:BT18) - COLUMN(BL18) + 1, ""))&lt;&gt;"","ORA","")</f>
        <v/>
      </c>
      <c r="HV18" s="44" t="str" cm="1">
        <f t="array" ref="HV18">IF(_xlfn.TEXTJOIN(", ", TRUE, IF(ISNUMBER(SEARCH("BRO", BL18:BT18)), COLUMN(BL18:BT18) - COLUMN(BL18) + 1, ""))&lt;&gt;"","BRO","")</f>
        <v/>
      </c>
      <c r="HW18" s="44" t="str" cm="1">
        <f t="array" ref="HW18">IF(_xlfn.TEXTJOIN(", ", TRUE, IF(ISNUMBER(SEARCH("PUR", BL18:BT18)), COLUMN(BL18:BT18) - COLUMN(BL18) + 1, ""))&lt;&gt;"","PUR","")</f>
        <v/>
      </c>
      <c r="HX18" s="44" t="str" cm="1">
        <f t="array" ref="HX18">IF(_xlfn.TEXTJOIN(", ", TRUE, IF(ISNUMBER(SEARCH("WHI", BL18:BT18)), COLUMN(BL18:BT18) - COLUMN(BL18) + 1, ""))&lt;&gt;"","WHI","")</f>
        <v>WHI</v>
      </c>
      <c r="HY18" s="72"/>
      <c r="HZ18" s="72"/>
      <c r="IA18" s="5"/>
      <c r="IB18" s="5"/>
      <c r="IC18" s="68"/>
      <c r="ID18" s="68"/>
      <c r="IE18" s="68"/>
      <c r="IF18" s="68"/>
      <c r="IG18" s="68"/>
      <c r="IH18" s="68"/>
      <c r="II18" s="68"/>
      <c r="IJ18" s="68"/>
      <c r="IK18" s="68"/>
      <c r="IL18" s="44">
        <f t="shared" si="154"/>
        <v>0</v>
      </c>
      <c r="IM18" s="42">
        <f t="shared" si="133"/>
        <v>-4</v>
      </c>
      <c r="IN18" s="69" t="str">
        <f t="shared" si="134"/>
        <v>http://mkweb.bcgsc.ca/color-summarizer/?url=https://upload.wikimedia.org/wikipedia/commons/thumb/d/df/Flag_of_Brisbane.svg/640px-Flag_of_Brisbane.svg.png&amp;precision=low&amp;num_clusters=4&amp;text=1</v>
      </c>
      <c r="IO18" s="44" t="str">
        <f t="shared" si="135"/>
        <v>"black"</v>
      </c>
      <c r="IP18" s="44" t="str">
        <f t="shared" si="136"/>
        <v>"blue"</v>
      </c>
      <c r="IQ18" s="44" t="str">
        <f t="shared" si="137"/>
        <v/>
      </c>
      <c r="IR18" s="44" t="str">
        <f t="shared" si="138"/>
        <v/>
      </c>
      <c r="IS18" s="44" t="str">
        <f t="shared" si="139"/>
        <v>"yellow"</v>
      </c>
      <c r="IT18" s="44" t="str">
        <f t="shared" si="140"/>
        <v/>
      </c>
      <c r="IU18" s="44" t="str">
        <f t="shared" si="141"/>
        <v/>
      </c>
      <c r="IV18" s="44" t="str">
        <f t="shared" si="142"/>
        <v/>
      </c>
      <c r="IW18" s="44" t="str">
        <f t="shared" si="143"/>
        <v>"white"</v>
      </c>
      <c r="IX18" s="44" t="str">
        <f t="shared" si="144"/>
        <v>{"url":"http://mkweb.bcgsc.ca/color-summarizer/?url=https://upload.wikimedia.org/wikipedia/commons/thumb/d/df/Flag_of_Brisbane.svg/640px-Flag_of_Brisbane.svg.png&amp;precision=low&amp;num_clusters=4&amp;text=1","name":"[AUS] Brisbane"},</v>
      </c>
      <c r="IY18" s="44">
        <v>943</v>
      </c>
    </row>
    <row r="19" spans="1:259" s="44" customFormat="1" ht="38.4" customHeight="1" thickBot="1" x14ac:dyDescent="0.35">
      <c r="A19" s="81" t="s">
        <v>527</v>
      </c>
      <c r="B19" s="78" t="e" vm="20">
        <v>#VALUE!</v>
      </c>
      <c r="C19" s="39">
        <v>3</v>
      </c>
      <c r="D19" s="70" t="s">
        <v>528</v>
      </c>
      <c r="E19" s="40" t="s">
        <v>529</v>
      </c>
      <c r="F19" s="41" t="s">
        <v>165</v>
      </c>
      <c r="G19" s="42">
        <f t="shared" si="0"/>
        <v>1</v>
      </c>
      <c r="H19" s="43" t="s">
        <v>383</v>
      </c>
      <c r="I19" s="59" t="s">
        <v>530</v>
      </c>
      <c r="J19" s="44" t="str">
        <f>""</f>
        <v/>
      </c>
      <c r="K19" s="45"/>
      <c r="L19" s="46"/>
      <c r="M19" s="46"/>
      <c r="N19" s="47" t="s">
        <v>177</v>
      </c>
      <c r="O19" s="74">
        <v>1982</v>
      </c>
      <c r="P19" s="48" t="s">
        <v>531</v>
      </c>
      <c r="Q19" s="73">
        <v>1</v>
      </c>
      <c r="R19" s="49" t="s">
        <v>177</v>
      </c>
      <c r="S19" s="50">
        <v>4</v>
      </c>
      <c r="T19" s="51" t="s">
        <v>166</v>
      </c>
      <c r="U19" s="52" t="s">
        <v>167</v>
      </c>
      <c r="V19" s="52" t="s">
        <v>167</v>
      </c>
      <c r="W19" s="52" t="s">
        <v>167</v>
      </c>
      <c r="X19" s="52" t="s">
        <v>166</v>
      </c>
      <c r="Y19" s="52" t="s">
        <v>167</v>
      </c>
      <c r="Z19" s="52" t="s">
        <v>166</v>
      </c>
      <c r="AA19" s="52" t="s">
        <v>167</v>
      </c>
      <c r="AB19" s="52" t="s">
        <v>166</v>
      </c>
      <c r="AC19" s="52" t="s">
        <v>166</v>
      </c>
      <c r="AD19" s="52" t="s">
        <v>166</v>
      </c>
      <c r="AE19" s="52" t="s">
        <v>166</v>
      </c>
      <c r="AF19" s="53" t="s">
        <v>166</v>
      </c>
      <c r="AG19" s="53" t="s">
        <v>166</v>
      </c>
      <c r="AH19" s="53" t="s">
        <v>166</v>
      </c>
      <c r="AI19" s="53" t="s">
        <v>166</v>
      </c>
      <c r="AJ19" s="53" t="s">
        <v>166</v>
      </c>
      <c r="AK19" s="53" t="s">
        <v>166</v>
      </c>
      <c r="AL19" s="53" t="s">
        <v>166</v>
      </c>
      <c r="AM19" s="53" t="s">
        <v>166</v>
      </c>
      <c r="AN19" s="53" t="s">
        <v>166</v>
      </c>
      <c r="AO19" s="53" t="s">
        <v>166</v>
      </c>
      <c r="AP19" s="53" t="s">
        <v>167</v>
      </c>
      <c r="AQ19" s="53" t="s">
        <v>166</v>
      </c>
      <c r="AR19" s="53" t="s">
        <v>166</v>
      </c>
      <c r="AS19" s="53" t="s">
        <v>166</v>
      </c>
      <c r="AT19" s="54">
        <v>0</v>
      </c>
      <c r="AU19" s="53" t="s">
        <v>360</v>
      </c>
      <c r="AV19" s="53" t="str">
        <f t="shared" si="1"/>
        <v>[AUS]City[AUS] Adelaide</v>
      </c>
      <c r="AW19" s="53" t="str">
        <f t="shared" si="2"/>
        <v>3[AUS] South Australia[AUS] Adelaide</v>
      </c>
      <c r="AX19" s="55"/>
      <c r="AY19" s="55"/>
      <c r="AZ19" s="56" t="s">
        <v>231</v>
      </c>
      <c r="BA19" s="56"/>
      <c r="BB19" s="56"/>
      <c r="BC19" s="57"/>
      <c r="BD19" s="58" t="s">
        <v>154</v>
      </c>
      <c r="BE19" s="59"/>
      <c r="BF19" s="58" t="s">
        <v>231</v>
      </c>
      <c r="BG19" s="58" t="s">
        <v>231</v>
      </c>
      <c r="BH19" s="58" t="s">
        <v>231</v>
      </c>
      <c r="BI19" s="58"/>
      <c r="BJ19" s="58"/>
      <c r="BK19" s="59"/>
      <c r="BL19" s="58" t="s">
        <v>153</v>
      </c>
      <c r="BM19" s="58" t="s">
        <v>154</v>
      </c>
      <c r="BN19" s="58" t="s">
        <v>231</v>
      </c>
      <c r="BO19" s="58" t="s">
        <v>156</v>
      </c>
      <c r="BP19" s="58" t="s">
        <v>157</v>
      </c>
      <c r="BQ19" s="58" t="s">
        <v>231</v>
      </c>
      <c r="BR19" s="58" t="s">
        <v>159</v>
      </c>
      <c r="BS19" s="58" t="s">
        <v>231</v>
      </c>
      <c r="BT19" s="58" t="s">
        <v>161</v>
      </c>
      <c r="BU19" s="60"/>
      <c r="BV19" s="61"/>
      <c r="BW19" s="61">
        <v>0</v>
      </c>
      <c r="BX19" s="59"/>
      <c r="CB19" s="5"/>
      <c r="CC19" s="5"/>
      <c r="CD19" s="62">
        <v>0</v>
      </c>
      <c r="CE19" s="62">
        <v>0</v>
      </c>
      <c r="CF19" s="62" t="e">
        <v>#REF!</v>
      </c>
      <c r="CG19" s="75" cm="1">
        <f t="array" ref="CG19">SUMPRODUCT(--(LEN(TRIM(BL19:BT19))&gt;0))</f>
        <v>6</v>
      </c>
      <c r="CH19" s="53" t="str">
        <f t="shared" si="3"/>
        <v>n</v>
      </c>
      <c r="CI19" s="53" t="str">
        <f t="shared" si="4"/>
        <v>n</v>
      </c>
      <c r="CJ19" s="53" t="str">
        <f t="shared" si="5"/>
        <v>n</v>
      </c>
      <c r="CK19" s="53" t="str">
        <f t="shared" si="6"/>
        <v>y</v>
      </c>
      <c r="CL19" s="53" t="str">
        <f t="shared" si="7"/>
        <v>n</v>
      </c>
      <c r="CM19" s="53" t="str">
        <f t="shared" si="8"/>
        <v>n</v>
      </c>
      <c r="CN19" s="53" t="str">
        <f t="shared" si="9"/>
        <v>n</v>
      </c>
      <c r="CO19" s="53" t="str">
        <f t="shared" si="10"/>
        <v>y</v>
      </c>
      <c r="CP19" s="53" t="str">
        <f t="shared" si="11"/>
        <v>y</v>
      </c>
      <c r="CQ19" s="53" t="str">
        <f t="shared" si="12"/>
        <v>n</v>
      </c>
      <c r="CR19" s="53" t="str">
        <f t="shared" si="13"/>
        <v>n</v>
      </c>
      <c r="CS19" s="53" t="str">
        <f t="shared" si="14"/>
        <v>n</v>
      </c>
      <c r="CT19" s="38" t="str">
        <f t="shared" si="15"/>
        <v>"[AUS] Adelaide"</v>
      </c>
      <c r="CU19" s="63" t="str">
        <f t="shared" si="16"/>
        <v>"rgn_Oceania"</v>
      </c>
      <c r="CV19" s="44" t="str">
        <f t="shared" si="17"/>
        <v>"https://upload.wikimedia.org/wikipedia/commons/thumb/6/69/Flag_of_Adelaide.svg/640px-Flag_of_Adelaide.svg.png"</v>
      </c>
      <c r="CW19" s="44" t="str">
        <f t="shared" si="18"/>
        <v/>
      </c>
      <c r="CX19" s="44" t="str">
        <f t="shared" si="19"/>
        <v/>
      </c>
      <c r="CY19" s="44" t="str">
        <f t="shared" si="20"/>
        <v/>
      </c>
      <c r="CZ19" s="44" t="str">
        <f t="shared" si="21"/>
        <v>"5+Colo",</v>
      </c>
      <c r="DA19" s="44" t="str">
        <f t="shared" si="22"/>
        <v/>
      </c>
      <c r="DB19" s="44" t="str">
        <f t="shared" si="23"/>
        <v/>
      </c>
      <c r="DC19" s="44" t="str">
        <f t="shared" si="146"/>
        <v/>
      </c>
      <c r="DD19" s="44" t="str">
        <f t="shared" si="147"/>
        <v>"lets08",</v>
      </c>
      <c r="DE19" s="44" t="str">
        <f t="shared" si="148"/>
        <v>"startA",</v>
      </c>
      <c r="DF19" s="44" t="str">
        <f t="shared" si="27"/>
        <v/>
      </c>
      <c r="DG19" s="44" t="str">
        <f t="shared" si="28"/>
        <v/>
      </c>
      <c r="DH19" s="44" t="str">
        <f t="shared" si="29"/>
        <v/>
      </c>
      <c r="DI19" s="44" t="str">
        <f t="shared" si="30"/>
        <v/>
      </c>
      <c r="DJ19" s="44" t="str">
        <f t="shared" si="31"/>
        <v/>
      </c>
      <c r="DK19" s="44" t="str">
        <f t="shared" si="32"/>
        <v/>
      </c>
      <c r="DL19" s="44" t="str">
        <f t="shared" si="33"/>
        <v/>
      </c>
      <c r="DM19" s="44" t="str" cm="1">
        <f t="array" ref="DM19">IF(CG19=3,CHAR(34) &amp; _xlfn.TEXTJOIN("", TRUE, RIGHT(HP19:HX19, 2)) &amp; CHAR(34) &amp; ",", "")</f>
        <v/>
      </c>
      <c r="DN19" s="44" t="str">
        <f t="shared" si="34"/>
        <v/>
      </c>
      <c r="DO19" s="44" t="str">
        <f t="shared" si="35"/>
        <v>"year19",</v>
      </c>
      <c r="DP19" s="5" t="str">
        <f t="shared" si="36"/>
        <v/>
      </c>
      <c r="DQ19" s="5" t="str">
        <f t="shared" si="37"/>
        <v/>
      </c>
      <c r="DR19" s="5" t="str">
        <f t="shared" si="38"/>
        <v/>
      </c>
      <c r="DS19" s="5" t="str">
        <f t="shared" si="39"/>
        <v/>
      </c>
      <c r="DT19" s="5" t="str">
        <f t="shared" si="40"/>
        <v/>
      </c>
      <c r="DU19" s="5" t="str">
        <f t="shared" si="41"/>
        <v/>
      </c>
      <c r="DV19" s="44" t="str">
        <f t="shared" si="149"/>
        <v>"largec",</v>
      </c>
      <c r="DW19" s="44" t="str">
        <f t="shared" si="43"/>
        <v/>
      </c>
      <c r="DX19" s="44" t="str">
        <f t="shared" si="44"/>
        <v/>
      </c>
      <c r="DY19" s="44" t="str">
        <f t="shared" si="45"/>
        <v/>
      </c>
      <c r="DZ19" s="44" t="str">
        <f t="shared" si="46"/>
        <v>"4+Band",</v>
      </c>
      <c r="EA19" s="44" t="str">
        <f t="shared" si="47"/>
        <v/>
      </c>
      <c r="EB19" s="44" t="str">
        <f t="shared" si="48"/>
        <v>"Crosse",</v>
      </c>
      <c r="EC19" s="44" t="str">
        <f t="shared" si="49"/>
        <v>"Horizo",</v>
      </c>
      <c r="ED19" s="44" t="str">
        <f t="shared" si="50"/>
        <v>"Vertic",</v>
      </c>
      <c r="EE19" s="44" t="str">
        <f t="shared" si="51"/>
        <v/>
      </c>
      <c r="EF19" s="44" t="str">
        <f t="shared" si="52"/>
        <v>"Animal",</v>
      </c>
      <c r="EG19" s="44" t="str">
        <f t="shared" si="53"/>
        <v/>
      </c>
      <c r="EH19" s="44" t="str">
        <f t="shared" si="54"/>
        <v>"Plants",</v>
      </c>
      <c r="EI19" s="44" t="str">
        <f t="shared" si="55"/>
        <v/>
      </c>
      <c r="EJ19" s="44" t="str">
        <f t="shared" si="56"/>
        <v/>
      </c>
      <c r="EK19" s="44" t="str">
        <f t="shared" si="57"/>
        <v/>
      </c>
      <c r="EL19" s="44" t="str">
        <f t="shared" si="58"/>
        <v/>
      </c>
      <c r="EM19" s="44" t="str">
        <f t="shared" si="59"/>
        <v/>
      </c>
      <c r="EN19" s="44" t="str">
        <f t="shared" si="60"/>
        <v/>
      </c>
      <c r="EO19" s="44" t="str">
        <f t="shared" si="61"/>
        <v/>
      </c>
      <c r="EP19" s="44" t="str">
        <f t="shared" si="62"/>
        <v/>
      </c>
      <c r="EQ19" s="44" t="str">
        <f t="shared" si="63"/>
        <v/>
      </c>
      <c r="ER19" s="44" t="str">
        <f t="shared" si="64"/>
        <v/>
      </c>
      <c r="ES19" s="44" t="str">
        <f t="shared" si="65"/>
        <v/>
      </c>
      <c r="ET19" s="44" t="str">
        <f t="shared" si="66"/>
        <v/>
      </c>
      <c r="EU19" s="44" t="str">
        <f t="shared" si="67"/>
        <v/>
      </c>
      <c r="EV19" s="44" t="str">
        <f t="shared" si="68"/>
        <v/>
      </c>
      <c r="EW19" s="44" t="str">
        <f t="shared" si="69"/>
        <v>"Ships!",</v>
      </c>
      <c r="EX19" s="44" t="str">
        <f t="shared" si="70"/>
        <v/>
      </c>
      <c r="EY19" s="44" t="str">
        <f t="shared" si="71"/>
        <v/>
      </c>
      <c r="EZ19" s="44" t="str">
        <f t="shared" si="72"/>
        <v/>
      </c>
      <c r="FA19" s="44" t="str">
        <f t="shared" si="73"/>
        <v/>
      </c>
      <c r="FB19" s="44" t="str">
        <f t="shared" si="74"/>
        <v/>
      </c>
      <c r="FC19" s="44" t="str">
        <f t="shared" si="150"/>
        <v/>
      </c>
      <c r="FD19" s="44" t="str">
        <f t="shared" si="76"/>
        <v/>
      </c>
      <c r="FE19" s="44" t="str">
        <f t="shared" si="77"/>
        <v/>
      </c>
      <c r="FF19" s="44" t="str">
        <f t="shared" si="78"/>
        <v/>
      </c>
      <c r="FG19" s="44" t="str">
        <f t="shared" si="79"/>
        <v/>
      </c>
      <c r="FH19" s="44" t="str">
        <f t="shared" si="80"/>
        <v>"NO_GRE",</v>
      </c>
      <c r="FI19" s="44" t="str">
        <f t="shared" si="81"/>
        <v/>
      </c>
      <c r="FJ19" s="44" t="str">
        <f t="shared" si="82"/>
        <v/>
      </c>
      <c r="FK19" s="44" t="str">
        <f t="shared" si="83"/>
        <v/>
      </c>
      <c r="FL19" s="44" t="str">
        <f t="shared" si="84"/>
        <v/>
      </c>
      <c r="FM19" s="44" t="str">
        <f t="shared" si="85"/>
        <v/>
      </c>
      <c r="FN19" s="44" t="str">
        <f t="shared" si="86"/>
        <v/>
      </c>
      <c r="FO19" s="44" t="str">
        <f t="shared" si="87"/>
        <v/>
      </c>
      <c r="FP19" s="44" t="str">
        <f t="shared" si="88"/>
        <v/>
      </c>
      <c r="FQ19" s="44" t="str">
        <f t="shared" si="89"/>
        <v/>
      </c>
      <c r="FR19" s="44" t="str">
        <f t="shared" si="90"/>
        <v/>
      </c>
      <c r="FS19" s="44" t="str">
        <f t="shared" si="91"/>
        <v/>
      </c>
      <c r="FT19" s="44" t="str">
        <f t="shared" si="92"/>
        <v>"myrBLU",</v>
      </c>
      <c r="FU19" s="44" t="str">
        <f t="shared" si="93"/>
        <v/>
      </c>
      <c r="FV19" s="44" t="str">
        <f t="shared" si="94"/>
        <v/>
      </c>
      <c r="FW19" s="44" t="str">
        <f t="shared" si="95"/>
        <v/>
      </c>
      <c r="FX19" s="44" t="str">
        <f t="shared" si="151"/>
        <v/>
      </c>
      <c r="FY19" s="44" t="str">
        <f t="shared" si="97"/>
        <v/>
      </c>
      <c r="FZ19" s="44" t="str">
        <f t="shared" si="98"/>
        <v/>
      </c>
      <c r="GA19" s="44" t="str">
        <f t="shared" si="99"/>
        <v/>
      </c>
      <c r="GB19" s="44" t="str">
        <f t="shared" si="100"/>
        <v/>
      </c>
      <c r="GC19" s="44" t="str">
        <f t="shared" si="152"/>
        <v/>
      </c>
      <c r="GD19" s="44" t="str">
        <f t="shared" si="153"/>
        <v/>
      </c>
      <c r="GE19" s="44" t="str">
        <f t="shared" si="103"/>
        <v/>
      </c>
      <c r="GF19" s="44" t="str">
        <f>IFERROR(IF(SEARCH("Historical",AU19)&gt;0,CHAR(34)&amp;"histor"&amp;CHAR(34)&amp;",",""),"")</f>
        <v/>
      </c>
      <c r="GG19" s="44" t="str">
        <f t="shared" si="104"/>
        <v/>
      </c>
      <c r="GH19" s="44" t="str">
        <f t="shared" si="105"/>
        <v/>
      </c>
      <c r="GI19" s="44" t="str">
        <f t="shared" si="106"/>
        <v/>
      </c>
      <c r="GJ19" s="44" t="str">
        <f t="shared" si="107"/>
        <v>"NoStar",</v>
      </c>
      <c r="GK19" s="44" t="str">
        <f t="shared" si="108"/>
        <v/>
      </c>
      <c r="GL19" s="44" t="str">
        <f t="shared" si="109"/>
        <v/>
      </c>
      <c r="GM19" s="44" t="str">
        <f t="shared" si="110"/>
        <v/>
      </c>
      <c r="GN19" s="44" t="str">
        <f t="shared" si="111"/>
        <v/>
      </c>
      <c r="GP19" s="44" t="str">
        <f t="shared" si="112"/>
        <v>"City"</v>
      </c>
      <c r="GS19" s="44" t="str">
        <f t="shared" si="113"/>
        <v>["5+Colo","lets08","startA","year19","largec","4+Band","Crosse","Horizo","Vertic","Animal","Plants","Ships!","NO_GRE","myrBLU","NoStar"]</v>
      </c>
      <c r="GT19" s="44" t="str">
        <f t="shared" si="114"/>
        <v>"cl_BLA",</v>
      </c>
      <c r="GU19" s="44" t="str">
        <f t="shared" si="115"/>
        <v>"cl_BLU",</v>
      </c>
      <c r="GV19" s="44" t="str">
        <f t="shared" si="116"/>
        <v/>
      </c>
      <c r="GW19" s="44" t="str">
        <f t="shared" si="117"/>
        <v>"cl_RED",</v>
      </c>
      <c r="GX19" s="44" t="str">
        <f t="shared" si="118"/>
        <v>"cl_YEL",</v>
      </c>
      <c r="GY19" s="44" t="str">
        <f t="shared" si="119"/>
        <v/>
      </c>
      <c r="GZ19" s="44" t="str">
        <f t="shared" si="120"/>
        <v>"cl_BRO",</v>
      </c>
      <c r="HA19" s="44" t="str">
        <f t="shared" si="121"/>
        <v/>
      </c>
      <c r="HB19" s="44" t="str">
        <f t="shared" si="122"/>
        <v>"cl_WHI",</v>
      </c>
      <c r="HC19" s="44" t="str">
        <f t="shared" si="123"/>
        <v>["cl_BLA","cl_BLU","cl_RED","cl_YEL","cl_BRO","cl_WHI"]</v>
      </c>
      <c r="HE19" s="64"/>
      <c r="HF19" s="65" t="str">
        <f t="shared" si="124"/>
        <v>{couname:"[AUS] Adelaide",year:"1982",region:"rgn_Oceania",Colors:["cl_BLA","cl_BLU","cl_RED","cl_YEL","cl_BRO","cl_WHI"],Items:["5+Colo","lets08","startA","year19","largec","4+Band","Crosse","Horizo","Vertic","Animal","Plants","Ships!","NO_GRE","myrBLU","NoStar"],Flag:"https://upload.wikimedia.org/wikipedia/commons/thumb/6/69/Flag_of_Adelaide.svg/640px-Flag_of_Adelaide.svg.png",HDFlag:"https://upload.wikimedia.org/wikipedia/commons/thumb/6/69/Flag_of_Adelaide.svg/2560px-Flag_of_Adelaide.svg.png",type:"City", describe: "\nNavy blue background divided into four quarters by a Saint George's Cross outlined in gold overlain with the Arms of the City of Adelaide. The flag is bordered on three sides by diagonal blue and gold stripes.", isnew:".", links: "https://en.m.wikipedia.org/wiki/Flag_of_Adelaide"},</v>
      </c>
      <c r="HG19" s="66" t="str">
        <f t="shared" si="125"/>
        <v>{couname:"[AUS] Adelaide",year:"1982",region:"rgn_Oceania",Colors:["cl_BLA","cl_BLU","cl_RED","cl_YEL","cl_BRO","cl_WHI"],Items:["5+Colo","lets08","startA","year19","largec","4+Band","Crosse","Horizo","Vertic","Animal","Plants","Ships!","NO_GRE","myrBLU","NoStar"],Flag:"https://upload.wikimedia.org/wikipedia/commons/thumb/6/69/Flag_of_Adelaide.svg/640px-Flag_of_Adelaide.svg.png",HDFlag:"https://upload.wikimedia.org/wikipedia/commons/thumb/6/69/Flag_of_Adelaide.svg/2560px-Flag_of_Adelaide.svg.png",type:"City", describe: "\nNavy blue background divided into four quarters by a Saint George's Cross outlined in gold overlain with the Arms of the City of Adelaide. The flag is bordered on three sides by diagonal blue and gold stripes.", links: "https://en.m.wikipedia.org/wiki/Flag_of_Adelaide"},</v>
      </c>
      <c r="HH19" s="44" t="str">
        <f t="shared" si="126"/>
        <v>"\nNavy blue background divided into four quarters by a Saint George's Cross outlined in gold overlain with the Arms of the City of Adelaide. The flag is bordered on three sides by diagonal blue and gold stripes."</v>
      </c>
      <c r="HI19" s="44" t="str">
        <f t="shared" si="127"/>
        <v>"\nNavy blue background divided into four quarters by a Saint George's Cross outlined in gold overlain with the Arms of the City of Adelaide. The flag is bordered on three sides by diagonal blue and gold stripes."</v>
      </c>
      <c r="HJ19" s="44" t="str">
        <f t="shared" si="128"/>
        <v>"1982"</v>
      </c>
      <c r="HL19" s="44" t="str">
        <f t="shared" si="129"/>
        <v>"https://en.m.wikipedia.org/wiki/Flag_of_Adelaide"</v>
      </c>
      <c r="HM19" s="65" t="str">
        <f t="shared" si="130"/>
        <v>{"couname":"[AUS] Adelaide","subtype":"[AUS] South Australia","year":"1982","region":"rgn_Oceania","Colors":["cl_BLA","cl_BLU","cl_RED","cl_YEL","cl_BRO","cl_WHI"],"Items":["5+Colo","lets08","startA","year19","largec","4+Band","Crosse","Horizo","Vertic","Animal","Plants","Ships!","NO_GRE","myrBLU","NoStar"],"Flag":"https://upload.wikimedia.org/wikipedia/commons/thumb/6/69/Flag_of_Adelaide.svg/640px-Flag_of_Adelaide.svg.png","HDFlag":"https://upload.wikimedia.org/wikipedia/commons/thumb/6/69/Flag_of_Adelaide.svg/2560px-Flag_of_Adelaide.svg.png","type":"City", "describe": "\nNavy blue background divided into four quarters by a Saint George's Cross outlined in gold overlain with the Arms of the City of Adelaide. The flag is bordered on three sides by diagonal blue and gold stripes.", "isnew": ".", "links": "https://en.m.wikipedia.org/wiki/Flag_of_Adelaide"},</v>
      </c>
      <c r="HN19" s="67" t="str">
        <f t="shared" si="131"/>
        <v>{"couname":"[AUS] Adelaide","subtype":"[AUS] South Australia","year":"1982","region":"rgn_Oceania","Colors":["cl_BLA","cl_BLU","cl_RED","cl_YEL","cl_BRO","cl_WHI"],"Items":["5+Colo","lets08","startA","year19","largec","4+Band","Crosse","Horizo","Vertic","Animal","Plants","Ships!","NO_GRE","myrBLU","NoStar"],"Flag":"https://upload.wikimedia.org/wikipedia/commons/thumb/6/69/Flag_of_Adelaide.svg/640px-Flag_of_Adelaide.svg.png","HDFlag":"https://upload.wikimedia.org/wikipedia/commons/thumb/6/69/Flag_of_Adelaide.svg/2560px-Flag_of_Adelaide.svg.png","type":"City", "describe": "\nNavy blue background divided into four quarters by a Saint George's Cross outlined in gold overlain with the Arms of the City of Adelaide. The flag is bordered on three sides by diagonal blue and gold stripes.", "isnew": ".", "links": "https://en.m.wikipedia.org/wiki/Flag_of_Adelaide"},</v>
      </c>
      <c r="HO19" s="71">
        <v>45576</v>
      </c>
      <c r="HP19" s="44" t="str" cm="1">
        <f t="array" ref="HP19">IF(_xlfn.TEXTJOIN(", ", TRUE, IF(ISNUMBER(SEARCH("BLA", BL19:BT19)), COLUMN(BL19:BT19) - COLUMN(BL19) + 1, ""))&lt;&gt;"","BLA","")</f>
        <v>BLA</v>
      </c>
      <c r="HQ19" s="44" t="str" cm="1">
        <f t="array" ref="HQ19">IF(_xlfn.TEXTJOIN(", ", TRUE, IF(ISNUMBER(SEARCH("BLU", BL19:BT19)), COLUMN(BL19:BT19) - COLUMN(BL19) + 1, ""))&lt;&gt;"","BLU","")</f>
        <v>BLU</v>
      </c>
      <c r="HR19" s="44" t="str" cm="1">
        <f t="array" ref="HR19">IF(_xlfn.TEXTJOIN(", ", TRUE, IF(ISNUMBER(SEARCH("GRE", BL19:BT19)), COLUMN(BL19:BT19) - COLUMN(BL19) + 1, ""))&lt;&gt;"","GRE","")</f>
        <v/>
      </c>
      <c r="HS19" s="44" t="str" cm="1">
        <f t="array" ref="HS19">IF(_xlfn.TEXTJOIN(", ", TRUE, IF(ISNUMBER(SEARCH("RED", BL19:BT19)), COLUMN(BL19:BT19) - COLUMN(BL19) + 1, ""))&lt;&gt;"","RED","")</f>
        <v>RED</v>
      </c>
      <c r="HT19" s="44" t="str" cm="1">
        <f t="array" ref="HT19">IF(_xlfn.TEXTJOIN(", ", TRUE, IF(ISNUMBER(SEARCH("YEL", BL19:BT19)), COLUMN(BL19:BT19) - COLUMN(BL19) + 1, ""))&lt;&gt;"","YEL","")</f>
        <v>YEL</v>
      </c>
      <c r="HU19" s="44" t="str" cm="1">
        <f t="array" ref="HU19">IF(_xlfn.TEXTJOIN(", ", TRUE, IF(ISNUMBER(SEARCH("ORA", BL19:BT19)), COLUMN(BL19:BT19) - COLUMN(BL19) + 1, ""))&lt;&gt;"","ORA","")</f>
        <v/>
      </c>
      <c r="HV19" s="44" t="str" cm="1">
        <f t="array" ref="HV19">IF(_xlfn.TEXTJOIN(", ", TRUE, IF(ISNUMBER(SEARCH("BRO", BL19:BT19)), COLUMN(BL19:BT19) - COLUMN(BL19) + 1, ""))&lt;&gt;"","BRO","")</f>
        <v>BRO</v>
      </c>
      <c r="HW19" s="44" t="str" cm="1">
        <f t="array" ref="HW19">IF(_xlfn.TEXTJOIN(", ", TRUE, IF(ISNUMBER(SEARCH("PUR", BL19:BT19)), COLUMN(BL19:BT19) - COLUMN(BL19) + 1, ""))&lt;&gt;"","PUR","")</f>
        <v/>
      </c>
      <c r="HX19" s="44" t="str" cm="1">
        <f t="array" ref="HX19">IF(_xlfn.TEXTJOIN(", ", TRUE, IF(ISNUMBER(SEARCH("WHI", BL19:BT19)), COLUMN(BL19:BT19) - COLUMN(BL19) + 1, ""))&lt;&gt;"","WHI","")</f>
        <v>WHI</v>
      </c>
      <c r="HY19" s="72"/>
      <c r="HZ19" s="72"/>
      <c r="IA19" s="5" t="s">
        <v>167</v>
      </c>
      <c r="IB19" s="5"/>
      <c r="IC19" s="68"/>
      <c r="ID19" s="68"/>
      <c r="IE19" s="68"/>
      <c r="IF19" s="68"/>
      <c r="IG19" s="68"/>
      <c r="IH19" s="68"/>
      <c r="II19" s="68"/>
      <c r="IJ19" s="68"/>
      <c r="IK19" s="68"/>
      <c r="IL19" s="44">
        <f t="shared" si="154"/>
        <v>0</v>
      </c>
      <c r="IM19" s="42">
        <f t="shared" si="133"/>
        <v>-6</v>
      </c>
      <c r="IN19" s="69" t="str">
        <f t="shared" si="134"/>
        <v>http://mkweb.bcgsc.ca/color-summarizer/?url=https://upload.wikimedia.org/wikipedia/commons/thumb/6/69/Flag_of_Adelaide.svg/640px-Flag_of_Adelaide.svg.png&amp;precision=low&amp;num_clusters=6&amp;text=1</v>
      </c>
      <c r="IO19" s="44" t="str">
        <f t="shared" si="135"/>
        <v>"black"</v>
      </c>
      <c r="IP19" s="44" t="str">
        <f t="shared" si="136"/>
        <v>"blue"</v>
      </c>
      <c r="IQ19" s="44" t="str">
        <f t="shared" si="137"/>
        <v/>
      </c>
      <c r="IR19" s="44" t="str">
        <f t="shared" si="138"/>
        <v>"red"</v>
      </c>
      <c r="IS19" s="44" t="str">
        <f t="shared" si="139"/>
        <v>"yellow"</v>
      </c>
      <c r="IT19" s="44" t="str">
        <f t="shared" si="140"/>
        <v/>
      </c>
      <c r="IU19" s="44" t="str">
        <f t="shared" si="141"/>
        <v>"brown"</v>
      </c>
      <c r="IV19" s="44" t="str">
        <f t="shared" si="142"/>
        <v/>
      </c>
      <c r="IW19" s="44" t="str">
        <f t="shared" si="143"/>
        <v>"white"</v>
      </c>
      <c r="IX19" s="44" t="str">
        <f t="shared" si="144"/>
        <v>{"url":"http://mkweb.bcgsc.ca/color-summarizer/?url=https://upload.wikimedia.org/wikipedia/commons/thumb/6/69/Flag_of_Adelaide.svg/640px-Flag_of_Adelaide.svg.png&amp;precision=low&amp;num_clusters=6&amp;text=1","name":"[AUS] Adelaide"},</v>
      </c>
      <c r="IY19" s="44">
        <v>942</v>
      </c>
    </row>
    <row r="20" spans="1:259" s="44" customFormat="1" ht="38.4" customHeight="1" thickBot="1" x14ac:dyDescent="0.35">
      <c r="A20" s="81" t="s">
        <v>543</v>
      </c>
      <c r="B20" s="78" t="e" vm="21">
        <v>#VALUE!</v>
      </c>
      <c r="C20" s="39">
        <v>3</v>
      </c>
      <c r="D20" s="70" t="s">
        <v>544</v>
      </c>
      <c r="E20" s="40" t="s">
        <v>545</v>
      </c>
      <c r="F20" s="41" t="s">
        <v>165</v>
      </c>
      <c r="G20" s="42">
        <f t="shared" si="0"/>
        <v>1</v>
      </c>
      <c r="H20" s="43" t="s">
        <v>388</v>
      </c>
      <c r="I20" s="59" t="s">
        <v>546</v>
      </c>
      <c r="J20" s="44" t="str">
        <f>""</f>
        <v/>
      </c>
      <c r="K20" s="45"/>
      <c r="L20" s="46"/>
      <c r="M20" s="46"/>
      <c r="N20" s="47" t="s">
        <v>177</v>
      </c>
      <c r="O20" s="74" t="s">
        <v>411</v>
      </c>
      <c r="P20" s="48" t="s">
        <v>547</v>
      </c>
      <c r="Q20" s="73">
        <v>1</v>
      </c>
      <c r="R20" s="49" t="s">
        <v>177</v>
      </c>
      <c r="S20" s="50">
        <v>2</v>
      </c>
      <c r="T20" s="51" t="s">
        <v>166</v>
      </c>
      <c r="U20" s="52" t="s">
        <v>166</v>
      </c>
      <c r="V20" s="52" t="s">
        <v>167</v>
      </c>
      <c r="W20" s="52" t="s">
        <v>166</v>
      </c>
      <c r="X20" s="52" t="s">
        <v>166</v>
      </c>
      <c r="Y20" s="52" t="s">
        <v>167</v>
      </c>
      <c r="Z20" s="52" t="s">
        <v>166</v>
      </c>
      <c r="AA20" s="52" t="s">
        <v>166</v>
      </c>
      <c r="AB20" s="52" t="s">
        <v>166</v>
      </c>
      <c r="AC20" s="52" t="s">
        <v>166</v>
      </c>
      <c r="AD20" s="52" t="s">
        <v>166</v>
      </c>
      <c r="AE20" s="52" t="s">
        <v>166</v>
      </c>
      <c r="AF20" s="53" t="s">
        <v>166</v>
      </c>
      <c r="AG20" s="53" t="s">
        <v>166</v>
      </c>
      <c r="AH20" s="53" t="s">
        <v>166</v>
      </c>
      <c r="AI20" s="53" t="s">
        <v>166</v>
      </c>
      <c r="AJ20" s="53" t="s">
        <v>166</v>
      </c>
      <c r="AK20" s="53" t="s">
        <v>166</v>
      </c>
      <c r="AL20" s="53" t="s">
        <v>166</v>
      </c>
      <c r="AM20" s="53" t="s">
        <v>166</v>
      </c>
      <c r="AN20" s="53" t="s">
        <v>166</v>
      </c>
      <c r="AO20" s="53" t="s">
        <v>166</v>
      </c>
      <c r="AP20" s="53" t="s">
        <v>166</v>
      </c>
      <c r="AQ20" s="53" t="s">
        <v>166</v>
      </c>
      <c r="AR20" s="53" t="s">
        <v>166</v>
      </c>
      <c r="AS20" s="53" t="s">
        <v>166</v>
      </c>
      <c r="AT20" s="54">
        <v>1</v>
      </c>
      <c r="AU20" s="53" t="s">
        <v>360</v>
      </c>
      <c r="AV20" s="53" t="str">
        <f t="shared" si="1"/>
        <v>[AUS]City[AUS] Hobart</v>
      </c>
      <c r="AW20" s="53" t="str">
        <f t="shared" si="2"/>
        <v>3[AUS] Tasmania[AUS] Hobart</v>
      </c>
      <c r="AX20" s="55"/>
      <c r="AY20" s="55"/>
      <c r="AZ20" s="56" t="s">
        <v>157</v>
      </c>
      <c r="BA20" s="56"/>
      <c r="BB20" s="56"/>
      <c r="BC20" s="57"/>
      <c r="BD20" s="58" t="s">
        <v>154</v>
      </c>
      <c r="BE20" s="59"/>
      <c r="BF20" s="58" t="s">
        <v>161</v>
      </c>
      <c r="BG20" s="58" t="s">
        <v>231</v>
      </c>
      <c r="BH20" s="58" t="s">
        <v>154</v>
      </c>
      <c r="BI20" s="58"/>
      <c r="BJ20" s="58"/>
      <c r="BK20" s="59"/>
      <c r="BL20" s="58"/>
      <c r="BM20" s="58" t="s">
        <v>154</v>
      </c>
      <c r="BN20" s="58" t="s">
        <v>231</v>
      </c>
      <c r="BO20" s="58" t="s">
        <v>156</v>
      </c>
      <c r="BP20" s="58" t="s">
        <v>157</v>
      </c>
      <c r="BQ20" s="58" t="s">
        <v>231</v>
      </c>
      <c r="BR20" s="58" t="s">
        <v>231</v>
      </c>
      <c r="BS20" s="58" t="s">
        <v>231</v>
      </c>
      <c r="BT20" s="58" t="s">
        <v>161</v>
      </c>
      <c r="BU20" s="60"/>
      <c r="BV20" s="61"/>
      <c r="BW20" s="61">
        <v>0</v>
      </c>
      <c r="BX20" s="59"/>
      <c r="CB20" s="5"/>
      <c r="CC20" s="5"/>
      <c r="CD20" s="62">
        <v>0</v>
      </c>
      <c r="CE20" s="62">
        <v>0</v>
      </c>
      <c r="CF20" s="62" t="e">
        <v>#REF!</v>
      </c>
      <c r="CG20" s="75" cm="1">
        <f t="array" ref="CG20">SUMPRODUCT(--(LEN(TRIM(BL20:BT20))&gt;0))</f>
        <v>4</v>
      </c>
      <c r="CH20" s="53" t="str">
        <f t="shared" si="3"/>
        <v>n</v>
      </c>
      <c r="CI20" s="53" t="str">
        <f t="shared" si="4"/>
        <v>n</v>
      </c>
      <c r="CJ20" s="53" t="str">
        <f t="shared" si="5"/>
        <v>y</v>
      </c>
      <c r="CK20" s="53" t="str">
        <f t="shared" si="6"/>
        <v>n</v>
      </c>
      <c r="CL20" s="53" t="str">
        <f t="shared" si="7"/>
        <v>n</v>
      </c>
      <c r="CM20" s="53" t="str">
        <f t="shared" si="8"/>
        <v>y</v>
      </c>
      <c r="CN20" s="53" t="str">
        <f t="shared" si="9"/>
        <v>n</v>
      </c>
      <c r="CO20" s="53" t="str">
        <f t="shared" si="10"/>
        <v>n</v>
      </c>
      <c r="CP20" s="53" t="str">
        <f t="shared" si="11"/>
        <v>n</v>
      </c>
      <c r="CQ20" s="53" t="str">
        <f t="shared" si="12"/>
        <v>y</v>
      </c>
      <c r="CR20" s="53" t="str">
        <f t="shared" si="13"/>
        <v>n</v>
      </c>
      <c r="CS20" s="53" t="str">
        <f t="shared" si="14"/>
        <v>n</v>
      </c>
      <c r="CT20" s="38" t="str">
        <f t="shared" si="15"/>
        <v>"[AUS] Hobart"</v>
      </c>
      <c r="CU20" s="63" t="str">
        <f t="shared" si="16"/>
        <v>"rgn_Oceania"</v>
      </c>
      <c r="CV20" s="44" t="str">
        <f t="shared" si="17"/>
        <v>"https://upload.wikimedia.org/wikipedia/commons/thumb/5/54/City_of_Hobart_Flag.svg/640px-City_of_Hobart_Flag.svg.png"</v>
      </c>
      <c r="CW20" s="44" t="str">
        <f t="shared" si="18"/>
        <v/>
      </c>
      <c r="CX20" s="44" t="str">
        <f t="shared" si="19"/>
        <v/>
      </c>
      <c r="CY20" s="44" t="str">
        <f t="shared" si="20"/>
        <v>"4Color",</v>
      </c>
      <c r="CZ20" s="44" t="str">
        <f t="shared" si="21"/>
        <v/>
      </c>
      <c r="DA20" s="44" t="str">
        <f t="shared" si="22"/>
        <v/>
      </c>
      <c r="DB20" s="44" t="str">
        <f t="shared" si="23"/>
        <v/>
      </c>
      <c r="DC20" s="44" t="str">
        <f t="shared" si="146"/>
        <v/>
      </c>
      <c r="DD20" s="44" t="str">
        <f t="shared" si="147"/>
        <v>"lets06",</v>
      </c>
      <c r="DE20" s="44" t="str">
        <f t="shared" si="148"/>
        <v>"startH",</v>
      </c>
      <c r="DF20" s="44" t="str">
        <f t="shared" si="27"/>
        <v/>
      </c>
      <c r="DG20" s="44" t="str">
        <f t="shared" si="28"/>
        <v/>
      </c>
      <c r="DH20" s="44" t="str">
        <f t="shared" si="29"/>
        <v/>
      </c>
      <c r="DI20" s="44" t="str">
        <f t="shared" si="30"/>
        <v/>
      </c>
      <c r="DJ20" s="44" t="str">
        <f t="shared" si="31"/>
        <v/>
      </c>
      <c r="DK20" s="44" t="str">
        <f t="shared" si="32"/>
        <v/>
      </c>
      <c r="DL20" s="44" t="str">
        <f t="shared" si="33"/>
        <v/>
      </c>
      <c r="DM20" s="44" t="str" cm="1">
        <f t="array" ref="DM20">IF(CG20=3,CHAR(34) &amp; _xlfn.TEXTJOIN("", TRUE, RIGHT(HP20:HX20, 2)) &amp; CHAR(34) &amp; ",", "")</f>
        <v/>
      </c>
      <c r="DN20" s="44" t="str">
        <f t="shared" si="34"/>
        <v/>
      </c>
      <c r="DO20" s="44" t="str">
        <f t="shared" si="35"/>
        <v>"year19",</v>
      </c>
      <c r="DP20" s="5" t="str">
        <f t="shared" si="36"/>
        <v/>
      </c>
      <c r="DQ20" s="5" t="str">
        <f t="shared" si="37"/>
        <v/>
      </c>
      <c r="DR20" s="5" t="str">
        <f t="shared" si="38"/>
        <v/>
      </c>
      <c r="DS20" s="5" t="str">
        <f t="shared" si="39"/>
        <v/>
      </c>
      <c r="DT20" s="5" t="str">
        <f t="shared" si="40"/>
        <v>"allhor",</v>
      </c>
      <c r="DU20" s="5" t="str">
        <f t="shared" si="41"/>
        <v/>
      </c>
      <c r="DV20" s="44" t="str">
        <f t="shared" si="149"/>
        <v/>
      </c>
      <c r="DW20" s="44" t="str">
        <f t="shared" si="43"/>
        <v/>
      </c>
      <c r="DX20" s="44" t="str">
        <f t="shared" si="44"/>
        <v>"2Bands",</v>
      </c>
      <c r="DY20" s="44" t="str">
        <f t="shared" si="45"/>
        <v/>
      </c>
      <c r="DZ20" s="44" t="str">
        <f t="shared" si="46"/>
        <v/>
      </c>
      <c r="EA20" s="44" t="str">
        <f t="shared" si="47"/>
        <v/>
      </c>
      <c r="EB20" s="44" t="str">
        <f t="shared" si="48"/>
        <v/>
      </c>
      <c r="EC20" s="44" t="str">
        <f t="shared" si="49"/>
        <v>"Horizo",</v>
      </c>
      <c r="ED20" s="44" t="str">
        <f t="shared" si="50"/>
        <v/>
      </c>
      <c r="EE20" s="44" t="str">
        <f t="shared" si="51"/>
        <v/>
      </c>
      <c r="EF20" s="44" t="str">
        <f t="shared" si="52"/>
        <v>"Animal",</v>
      </c>
      <c r="EG20" s="44" t="str">
        <f t="shared" si="53"/>
        <v/>
      </c>
      <c r="EH20" s="44" t="str">
        <f t="shared" si="54"/>
        <v/>
      </c>
      <c r="EI20" s="44" t="str">
        <f t="shared" si="55"/>
        <v/>
      </c>
      <c r="EJ20" s="44" t="str">
        <f t="shared" si="56"/>
        <v/>
      </c>
      <c r="EK20" s="44" t="str">
        <f t="shared" si="57"/>
        <v/>
      </c>
      <c r="EL20" s="44" t="str">
        <f t="shared" si="58"/>
        <v/>
      </c>
      <c r="EM20" s="44" t="str">
        <f t="shared" si="59"/>
        <v/>
      </c>
      <c r="EN20" s="44" t="str">
        <f t="shared" si="60"/>
        <v/>
      </c>
      <c r="EO20" s="44" t="str">
        <f t="shared" si="61"/>
        <v/>
      </c>
      <c r="EP20" s="44" t="str">
        <f t="shared" si="62"/>
        <v/>
      </c>
      <c r="EQ20" s="44" t="str">
        <f t="shared" si="63"/>
        <v/>
      </c>
      <c r="ER20" s="44" t="str">
        <f t="shared" si="64"/>
        <v/>
      </c>
      <c r="ES20" s="44" t="str">
        <f t="shared" si="65"/>
        <v/>
      </c>
      <c r="ET20" s="44" t="str">
        <f t="shared" si="66"/>
        <v/>
      </c>
      <c r="EU20" s="44" t="str">
        <f t="shared" si="67"/>
        <v/>
      </c>
      <c r="EV20" s="44" t="str">
        <f t="shared" si="68"/>
        <v/>
      </c>
      <c r="EW20" s="44" t="str">
        <f t="shared" si="69"/>
        <v/>
      </c>
      <c r="EX20" s="44" t="str">
        <f t="shared" si="70"/>
        <v/>
      </c>
      <c r="EY20" s="44" t="str">
        <f t="shared" si="71"/>
        <v/>
      </c>
      <c r="EZ20" s="44" t="str">
        <f t="shared" si="72"/>
        <v/>
      </c>
      <c r="FA20" s="44" t="str">
        <f t="shared" si="73"/>
        <v>"staYEL",</v>
      </c>
      <c r="FB20" s="44" t="str">
        <f t="shared" si="74"/>
        <v/>
      </c>
      <c r="FC20" s="44" t="str">
        <f t="shared" si="150"/>
        <v/>
      </c>
      <c r="FD20" s="44" t="str">
        <f t="shared" si="76"/>
        <v/>
      </c>
      <c r="FE20" s="44" t="str">
        <f t="shared" si="77"/>
        <v/>
      </c>
      <c r="FF20" s="44" t="str">
        <f t="shared" si="78"/>
        <v/>
      </c>
      <c r="FG20" s="44" t="str">
        <f t="shared" si="79"/>
        <v/>
      </c>
      <c r="FH20" s="44" t="str">
        <f t="shared" si="80"/>
        <v>"NO_GRE",</v>
      </c>
      <c r="FI20" s="44" t="str">
        <f t="shared" si="81"/>
        <v/>
      </c>
      <c r="FJ20" s="44" t="str">
        <f t="shared" si="82"/>
        <v>"NO_BLA",</v>
      </c>
      <c r="FK20" s="44" t="str">
        <f t="shared" si="83"/>
        <v/>
      </c>
      <c r="FL20" s="44" t="str">
        <f t="shared" si="84"/>
        <v/>
      </c>
      <c r="FM20" s="44" t="str">
        <f t="shared" si="85"/>
        <v/>
      </c>
      <c r="FN20" s="44" t="str">
        <f t="shared" si="86"/>
        <v/>
      </c>
      <c r="FO20" s="44" t="str">
        <f t="shared" si="87"/>
        <v/>
      </c>
      <c r="FP20" s="44" t="str">
        <f t="shared" si="88"/>
        <v/>
      </c>
      <c r="FQ20" s="44" t="str">
        <f t="shared" si="89"/>
        <v>"001WHI",</v>
      </c>
      <c r="FR20" s="44" t="str">
        <f t="shared" si="90"/>
        <v/>
      </c>
      <c r="FS20" s="44" t="str">
        <f t="shared" si="91"/>
        <v>"003BLU",</v>
      </c>
      <c r="FT20" s="44" t="str">
        <f t="shared" si="92"/>
        <v>"myrBLU",</v>
      </c>
      <c r="FU20" s="44" t="str">
        <f t="shared" si="93"/>
        <v/>
      </c>
      <c r="FV20" s="44" t="str">
        <f t="shared" si="94"/>
        <v/>
      </c>
      <c r="FW20" s="44" t="str">
        <f t="shared" si="95"/>
        <v/>
      </c>
      <c r="FX20" s="44" t="str">
        <f t="shared" si="151"/>
        <v/>
      </c>
      <c r="FY20" s="44" t="str">
        <f t="shared" si="97"/>
        <v/>
      </c>
      <c r="FZ20" s="44" t="str">
        <f t="shared" si="98"/>
        <v/>
      </c>
      <c r="GA20" s="44" t="str">
        <f t="shared" si="99"/>
        <v/>
      </c>
      <c r="GB20" s="44" t="str">
        <f t="shared" si="100"/>
        <v/>
      </c>
      <c r="GC20" s="44" t="str">
        <f t="shared" si="152"/>
        <v/>
      </c>
      <c r="GD20" s="44" t="str">
        <f t="shared" si="153"/>
        <v/>
      </c>
      <c r="GE20" s="44" t="str">
        <f t="shared" si="103"/>
        <v/>
      </c>
      <c r="GF20" s="44" t="str">
        <f>IFERROR(IF(SEARCH("Historical",AU20)&gt;0,CHAR(34)&amp;"histor"&amp;CHAR(34)&amp;",",""),"")</f>
        <v/>
      </c>
      <c r="GG20" s="44" t="str">
        <f t="shared" si="104"/>
        <v/>
      </c>
      <c r="GH20" s="44" t="str">
        <f t="shared" si="105"/>
        <v/>
      </c>
      <c r="GI20" s="44" t="str">
        <f t="shared" si="106"/>
        <v/>
      </c>
      <c r="GJ20" s="44" t="str">
        <f t="shared" si="107"/>
        <v/>
      </c>
      <c r="GK20" s="44" t="str">
        <f t="shared" si="108"/>
        <v>"HasSta",</v>
      </c>
      <c r="GL20" s="44" t="str">
        <f t="shared" si="109"/>
        <v>"1Stars",</v>
      </c>
      <c r="GM20" s="44" t="str">
        <f t="shared" si="110"/>
        <v/>
      </c>
      <c r="GN20" s="44" t="str">
        <f t="shared" si="111"/>
        <v/>
      </c>
      <c r="GP20" s="44" t="str">
        <f t="shared" si="112"/>
        <v>"City"</v>
      </c>
      <c r="GS20" s="44" t="str">
        <f t="shared" si="113"/>
        <v>["4Color","lets06","startH","year19","allhor","2Bands","Horizo","Animal","staYEL","NO_GRE","NO_BLA","001WHI","003BLU","myrBLU","HasSta","1Stars"]</v>
      </c>
      <c r="GT20" s="44" t="str">
        <f t="shared" si="114"/>
        <v/>
      </c>
      <c r="GU20" s="44" t="str">
        <f t="shared" si="115"/>
        <v>"cl_BLU",</v>
      </c>
      <c r="GV20" s="44" t="str">
        <f t="shared" si="116"/>
        <v/>
      </c>
      <c r="GW20" s="44" t="str">
        <f t="shared" si="117"/>
        <v>"cl_RED",</v>
      </c>
      <c r="GX20" s="44" t="str">
        <f t="shared" si="118"/>
        <v>"cl_YEL",</v>
      </c>
      <c r="GY20" s="44" t="str">
        <f t="shared" si="119"/>
        <v/>
      </c>
      <c r="GZ20" s="44" t="str">
        <f t="shared" si="120"/>
        <v/>
      </c>
      <c r="HA20" s="44" t="str">
        <f t="shared" si="121"/>
        <v/>
      </c>
      <c r="HB20" s="44" t="str">
        <f t="shared" si="122"/>
        <v>"cl_WHI",</v>
      </c>
      <c r="HC20" s="44" t="str">
        <f t="shared" si="123"/>
        <v>["cl_BLU","cl_RED","cl_YEL","cl_WHI"]</v>
      </c>
      <c r="HE20" s="64"/>
      <c r="HF20" s="65" t="str">
        <f t="shared" si="124"/>
        <v>{couname:"[AUS] Hobart",year:"1953",region:"rgn_Oceania",Colors:["cl_BLU","cl_RED","cl_YEL","cl_WHI"],Items:["4Color","lets06","startH","year19","allhor","2Bands","Horizo","Animal","staYEL","NO_GRE","NO_BLA","001WHI","003BLU","myrBLU","HasSta","1Stars"],Flag:"https://upload.wikimedia.org/wikipedia/commons/thumb/5/54/City_of_Hobart_Flag.svg/640px-City_of_Hobart_Flag.svg.png",HDFlag:"https://upload.wikimedia.org/wikipedia/commons/thumb/5/54/City_of_Hobart_Flag.svg/2560px-City_of_Hobart_Flag.svg.png",type:"City", describe: "\nThe flag of Hobart City Council, of Tasmania, Australia. Designed in 1951 by Hobart architect and alderman, I.G. Anderson and first flown in 1953.\n\nThe star is derived from the arms of Lord Hobart, 4th Earl of Buckinghamshire (1760-1816), Secretary of State for War and the Colonies at the time of colonial settlement (1804), and after whom Hobart is named. The colour used on the arms Lord Hobart was, in fact, sable (black), rather than blue.\n\nThe red lion is from the Tasmanian flag - and its location at the top of the shield signifies Hobart's position as the Capital City.", isnew:".", links: "https://en.m.wikipedia.org/wiki/List_of_Australian_flags"},</v>
      </c>
      <c r="HG20" s="66" t="str">
        <f t="shared" si="125"/>
        <v>{couname:"[AUS] Hobart",year:"1953",region:"rgn_Oceania",Colors:["cl_BLU","cl_RED","cl_YEL","cl_WHI"],Items:["4Color","lets06","startH","year19","allhor","2Bands","Horizo","Animal","staYEL","NO_GRE","NO_BLA","001WHI","003BLU","myrBLU","HasSta","1Stars"],Flag:"https://upload.wikimedia.org/wikipedia/commons/thumb/5/54/City_of_Hobart_Flag.svg/640px-City_of_Hobart_Flag.svg.png",HDFlag:"https://upload.wikimedia.org/wikipedia/commons/thumb/5/54/City_of_Hobart_Flag.svg/2560px-City_of_Hobart_Flag.svg.png",type:"City", describe: "\nThe flag of Hobart City Council, of Tasmania, Australia. Designed in 1951 by Hobart architect and alderman, I.G. Anderson and first flown in 1953.\n\nThe star is derived from the arms of Lord Hobart, 4th Earl of Buckinghamshire (1760-1816), Secretary of State for War and the Colonies at the time of colonial settlement (1804), and after whom Hobart is named. The colour used on the arms Lord Hobart was, in fact, sable (black), rather than blue.\n\nThe red lion is from the Tasmanian flag - and its location at the top of the shield signifies Hobart's position as the Capital City.", links: "https://en.m.wikipedia.org/wiki/List_of_Australian_flags"},</v>
      </c>
      <c r="HH20" s="44" t="str">
        <f t="shared" si="126"/>
        <v>"\nThe flag of Hobart City Council, of Tasmania, Australia. Designed in 1951 by Hobart architect and alderman, I.G. Anderson and first flown in 1953.\n\nThe star is derived from the arms of Lord Hobart, 4th Earl of Buckinghamshire (1760-1816), Secretary of State for War and the Colonies at the time of colonial settlement (1804), and after whom Hobart is named. The colour used on the arms Lord Hobart was, in fact, sable (black), rather than blue.\n\nThe red lion is from the Tasmanian flag - and its location at the top of the shield signifies Hobart's position as the Capital City."</v>
      </c>
      <c r="HI20" s="44" t="str">
        <f t="shared" si="127"/>
        <v>"\nThe flag of Hobart City Council, of Tasmania, Australia. Designed in 1951 by Hobart architect and alderman, I.G. Anderson and first flown in 1953.\n\nThe star is derived from the arms of Lord Hobart, 4th Earl of Buckinghamshire (1760-1816), Secretary of State for War and the Colonies at the time of colonial settlement (1804), and after whom Hobart is named. The colour used on the arms Lord Hobart was, in fact, sable (black), rather than blue.\n\nThe red lion is from the Tasmanian flag - and its location at the top of the shield signifies Hobart's position as the Capital City."</v>
      </c>
      <c r="HJ20" s="44" t="str">
        <f t="shared" si="128"/>
        <v>"1953"</v>
      </c>
      <c r="HL20" s="44" t="str">
        <f t="shared" si="129"/>
        <v>"https://en.m.wikipedia.org/wiki/List_of_Australian_flags"</v>
      </c>
      <c r="HM20" s="65" t="str">
        <f t="shared" si="130"/>
        <v>{"couname":"[AUS] Hobart","subtype":"[AUS] Tasmania","year":"1953","region":"rgn_Oceania","Colors":["cl_BLU","cl_RED","cl_YEL","cl_WHI"],"Items":["4Color","lets06","startH","year19","allhor","2Bands","Horizo","Animal","staYEL","NO_GRE","NO_BLA","001WHI","003BLU","myrBLU","HasSta","1Stars"],"Flag":"https://upload.wikimedia.org/wikipedia/commons/thumb/5/54/City_of_Hobart_Flag.svg/640px-City_of_Hobart_Flag.svg.png","HDFlag":"https://upload.wikimedia.org/wikipedia/commons/thumb/5/54/City_of_Hobart_Flag.svg/2560px-City_of_Hobart_Flag.svg.png","type":"City", "describe": "\nThe flag of Hobart City Council, of Tasmania, Australia. Designed in 1951 by Hobart architect and alderman, I.G. Anderson and first flown in 1953.\n\nThe star is derived from the arms of Lord Hobart, 4th Earl of Buckinghamshire (1760-1816), Secretary of State for War and the Colonies at the time of colonial settlement (1804), and after whom Hobart is named. The colour used on the arms Lord Hobart was, in fact, sable (black), rather than blue.\n\nThe red lion is from the Tasmanian flag - and its location at the top of the shield signifies Hobart's position as the Capital City.", "isnew": ".", "links": "https://en.m.wikipedia.org/wiki/List_of_Australian_flags"},</v>
      </c>
      <c r="HN20" s="67" t="str">
        <f t="shared" si="131"/>
        <v>{"couname":"[AUS] Hobart","subtype":"[AUS] Tasmania","year":"1953","region":"rgn_Oceania","Colors":["cl_BLU","cl_RED","cl_YEL","cl_WHI"],"Items":["4Color","lets06","startH","year19","allhor","2Bands","Horizo","Animal","staYEL","NO_GRE","NO_BLA","001WHI","003BLU","myrBLU","HasSta","1Stars"],"Flag":"https://upload.wikimedia.org/wikipedia/commons/thumb/5/54/City_of_Hobart_Flag.svg/640px-City_of_Hobart_Flag.svg.png","HDFlag":"https://upload.wikimedia.org/wikipedia/commons/thumb/5/54/City_of_Hobart_Flag.svg/2560px-City_of_Hobart_Flag.svg.png","type":"City", "describe": "\nThe flag of Hobart City Council, of Tasmania, Australia. Designed in 1951 by Hobart architect and alderman, I.G. Anderson and first flown in 1953.\n\nThe star is derived from the arms of Lord Hobart, 4th Earl of Buckinghamshire (1760-1816), Secretary of State for War and the Colonies at the time of colonial settlement (1804), and after whom Hobart is named. The colour used on the arms Lord Hobart was, in fact, sable (black), rather than blue.\n\nThe red lion is from the Tasmanian flag - and its location at the top of the shield signifies Hobart's position as the Capital City.", "isnew": ".", "links": "https://en.m.wikipedia.org/wiki/List_of_Australian_flags"},</v>
      </c>
      <c r="HO20" s="71">
        <v>45576</v>
      </c>
      <c r="HP20" s="44" t="str" cm="1">
        <f t="array" ref="HP20">IF(_xlfn.TEXTJOIN(", ", TRUE, IF(ISNUMBER(SEARCH("BLA", BL20:BT20)), COLUMN(BL20:BT20) - COLUMN(BL20) + 1, ""))&lt;&gt;"","BLA","")</f>
        <v/>
      </c>
      <c r="HQ20" s="44" t="str" cm="1">
        <f t="array" ref="HQ20">IF(_xlfn.TEXTJOIN(", ", TRUE, IF(ISNUMBER(SEARCH("BLU", BL20:BT20)), COLUMN(BL20:BT20) - COLUMN(BL20) + 1, ""))&lt;&gt;"","BLU","")</f>
        <v>BLU</v>
      </c>
      <c r="HR20" s="44" t="str" cm="1">
        <f t="array" ref="HR20">IF(_xlfn.TEXTJOIN(", ", TRUE, IF(ISNUMBER(SEARCH("GRE", BL20:BT20)), COLUMN(BL20:BT20) - COLUMN(BL20) + 1, ""))&lt;&gt;"","GRE","")</f>
        <v/>
      </c>
      <c r="HS20" s="44" t="str" cm="1">
        <f t="array" ref="HS20">IF(_xlfn.TEXTJOIN(", ", TRUE, IF(ISNUMBER(SEARCH("RED", BL20:BT20)), COLUMN(BL20:BT20) - COLUMN(BL20) + 1, ""))&lt;&gt;"","RED","")</f>
        <v>RED</v>
      </c>
      <c r="HT20" s="44" t="str" cm="1">
        <f t="array" ref="HT20">IF(_xlfn.TEXTJOIN(", ", TRUE, IF(ISNUMBER(SEARCH("YEL", BL20:BT20)), COLUMN(BL20:BT20) - COLUMN(BL20) + 1, ""))&lt;&gt;"","YEL","")</f>
        <v>YEL</v>
      </c>
      <c r="HU20" s="44" t="str" cm="1">
        <f t="array" ref="HU20">IF(_xlfn.TEXTJOIN(", ", TRUE, IF(ISNUMBER(SEARCH("ORA", BL20:BT20)), COLUMN(BL20:BT20) - COLUMN(BL20) + 1, ""))&lt;&gt;"","ORA","")</f>
        <v/>
      </c>
      <c r="HV20" s="44" t="str" cm="1">
        <f t="array" ref="HV20">IF(_xlfn.TEXTJOIN(", ", TRUE, IF(ISNUMBER(SEARCH("BRO", BL20:BT20)), COLUMN(BL20:BT20) - COLUMN(BL20) + 1, ""))&lt;&gt;"","BRO","")</f>
        <v/>
      </c>
      <c r="HW20" s="44" t="str" cm="1">
        <f t="array" ref="HW20">IF(_xlfn.TEXTJOIN(", ", TRUE, IF(ISNUMBER(SEARCH("PUR", BL20:BT20)), COLUMN(BL20:BT20) - COLUMN(BL20) + 1, ""))&lt;&gt;"","PUR","")</f>
        <v/>
      </c>
      <c r="HX20" s="44" t="str" cm="1">
        <f t="array" ref="HX20">IF(_xlfn.TEXTJOIN(", ", TRUE, IF(ISNUMBER(SEARCH("WHI", BL20:BT20)), COLUMN(BL20:BT20) - COLUMN(BL20) + 1, ""))&lt;&gt;"","WHI","")</f>
        <v>WHI</v>
      </c>
      <c r="HY20" s="72"/>
      <c r="HZ20" s="72"/>
      <c r="IA20" s="5"/>
      <c r="IB20" s="5"/>
      <c r="IC20" s="68"/>
      <c r="ID20" s="68"/>
      <c r="IE20" s="68"/>
      <c r="IF20" s="68"/>
      <c r="IG20" s="68"/>
      <c r="IH20" s="68"/>
      <c r="II20" s="68"/>
      <c r="IJ20" s="68"/>
      <c r="IK20" s="68"/>
      <c r="IL20" s="44">
        <f t="shared" si="154"/>
        <v>0</v>
      </c>
      <c r="IM20" s="42">
        <f t="shared" si="133"/>
        <v>-4</v>
      </c>
      <c r="IN20" s="69" t="str">
        <f t="shared" si="134"/>
        <v>http://mkweb.bcgsc.ca/color-summarizer/?url=https://upload.wikimedia.org/wikipedia/commons/thumb/5/54/City_of_Hobart_Flag.svg/640px-City_of_Hobart_Flag.svg.png&amp;precision=low&amp;num_clusters=4&amp;text=1</v>
      </c>
      <c r="IO20" s="44" t="str">
        <f t="shared" si="135"/>
        <v/>
      </c>
      <c r="IP20" s="44" t="str">
        <f t="shared" si="136"/>
        <v>"blue"</v>
      </c>
      <c r="IQ20" s="44" t="str">
        <f t="shared" si="137"/>
        <v/>
      </c>
      <c r="IR20" s="44" t="str">
        <f t="shared" si="138"/>
        <v>"red"</v>
      </c>
      <c r="IS20" s="44" t="str">
        <f t="shared" si="139"/>
        <v>"yellow"</v>
      </c>
      <c r="IT20" s="44" t="str">
        <f t="shared" si="140"/>
        <v/>
      </c>
      <c r="IU20" s="44" t="str">
        <f t="shared" si="141"/>
        <v/>
      </c>
      <c r="IV20" s="44" t="str">
        <f t="shared" si="142"/>
        <v/>
      </c>
      <c r="IW20" s="44" t="str">
        <f t="shared" si="143"/>
        <v>"white"</v>
      </c>
      <c r="IX20" s="44" t="str">
        <f t="shared" si="144"/>
        <v>{"url":"http://mkweb.bcgsc.ca/color-summarizer/?url=https://upload.wikimedia.org/wikipedia/commons/thumb/5/54/City_of_Hobart_Flag.svg/640px-City_of_Hobart_Flag.svg.png&amp;precision=low&amp;num_clusters=4&amp;text=1","name":"[AUS] Hobart"},</v>
      </c>
      <c r="IY20" s="44">
        <v>945</v>
      </c>
    </row>
    <row r="21" spans="1:259" s="44" customFormat="1" ht="38.4" customHeight="1" thickBot="1" x14ac:dyDescent="0.35">
      <c r="A21" s="81" t="s">
        <v>548</v>
      </c>
      <c r="B21" s="78" t="e" vm="22">
        <v>#VALUE!</v>
      </c>
      <c r="C21" s="39">
        <v>3</v>
      </c>
      <c r="D21" s="70" t="s">
        <v>549</v>
      </c>
      <c r="E21" s="40" t="s">
        <v>550</v>
      </c>
      <c r="F21" s="41" t="s">
        <v>165</v>
      </c>
      <c r="G21" s="42">
        <f t="shared" si="0"/>
        <v>1</v>
      </c>
      <c r="H21" s="43" t="s">
        <v>393</v>
      </c>
      <c r="I21" s="59" t="s">
        <v>551</v>
      </c>
      <c r="J21" s="44" t="str">
        <f>""</f>
        <v/>
      </c>
      <c r="K21" s="45"/>
      <c r="L21" s="46"/>
      <c r="M21" s="46"/>
      <c r="N21" s="47" t="s">
        <v>177</v>
      </c>
      <c r="O21" s="74">
        <v>1970</v>
      </c>
      <c r="P21" s="48" t="s">
        <v>552</v>
      </c>
      <c r="Q21" s="73">
        <v>1</v>
      </c>
      <c r="R21" s="49" t="s">
        <v>177</v>
      </c>
      <c r="S21" s="50">
        <v>6</v>
      </c>
      <c r="T21" s="51" t="s">
        <v>166</v>
      </c>
      <c r="U21" s="52" t="s">
        <v>167</v>
      </c>
      <c r="V21" s="52" t="s">
        <v>167</v>
      </c>
      <c r="W21" s="52" t="s">
        <v>167</v>
      </c>
      <c r="X21" s="52" t="s">
        <v>166</v>
      </c>
      <c r="Y21" s="52" t="s">
        <v>167</v>
      </c>
      <c r="Z21" s="52" t="s">
        <v>167</v>
      </c>
      <c r="AA21" s="52" t="s">
        <v>167</v>
      </c>
      <c r="AB21" s="52" t="s">
        <v>166</v>
      </c>
      <c r="AC21" s="52" t="s">
        <v>166</v>
      </c>
      <c r="AD21" s="52" t="s">
        <v>166</v>
      </c>
      <c r="AE21" s="52" t="s">
        <v>166</v>
      </c>
      <c r="AF21" s="53" t="s">
        <v>166</v>
      </c>
      <c r="AG21" s="53" t="s">
        <v>166</v>
      </c>
      <c r="AH21" s="53" t="s">
        <v>166</v>
      </c>
      <c r="AI21" s="53" t="s">
        <v>166</v>
      </c>
      <c r="AJ21" s="53" t="s">
        <v>166</v>
      </c>
      <c r="AK21" s="53" t="s">
        <v>166</v>
      </c>
      <c r="AL21" s="53" t="s">
        <v>166</v>
      </c>
      <c r="AM21" s="53" t="s">
        <v>166</v>
      </c>
      <c r="AN21" s="53" t="s">
        <v>166</v>
      </c>
      <c r="AO21" s="53" t="s">
        <v>166</v>
      </c>
      <c r="AP21" s="53" t="s">
        <v>167</v>
      </c>
      <c r="AQ21" s="53" t="s">
        <v>167</v>
      </c>
      <c r="AR21" s="53" t="s">
        <v>166</v>
      </c>
      <c r="AS21" s="53" t="s">
        <v>166</v>
      </c>
      <c r="AT21" s="54">
        <v>0</v>
      </c>
      <c r="AU21" s="53" t="s">
        <v>360</v>
      </c>
      <c r="AV21" s="53" t="str">
        <f t="shared" si="1"/>
        <v>[AUS]City[AUS] Melbourne</v>
      </c>
      <c r="AW21" s="53" t="str">
        <f t="shared" si="2"/>
        <v>3[AUS] Victoria[AUS] Melbourne</v>
      </c>
      <c r="AX21" s="55"/>
      <c r="AY21" s="55"/>
      <c r="AZ21" s="56" t="s">
        <v>231</v>
      </c>
      <c r="BA21" s="56"/>
      <c r="BB21" s="56"/>
      <c r="BC21" s="57"/>
      <c r="BD21" s="58" t="s">
        <v>161</v>
      </c>
      <c r="BE21" s="59"/>
      <c r="BF21" s="58" t="s">
        <v>231</v>
      </c>
      <c r="BG21" s="58" t="s">
        <v>231</v>
      </c>
      <c r="BH21" s="58" t="s">
        <v>231</v>
      </c>
      <c r="BI21" s="58"/>
      <c r="BJ21" s="58"/>
      <c r="BK21" s="59"/>
      <c r="BL21" s="58" t="s">
        <v>153</v>
      </c>
      <c r="BM21" s="58" t="s">
        <v>154</v>
      </c>
      <c r="BN21" s="58" t="s">
        <v>155</v>
      </c>
      <c r="BO21" s="58" t="s">
        <v>156</v>
      </c>
      <c r="BP21" s="58" t="s">
        <v>157</v>
      </c>
      <c r="BQ21" s="58" t="s">
        <v>231</v>
      </c>
      <c r="BR21" s="58" t="s">
        <v>159</v>
      </c>
      <c r="BS21" s="58" t="s">
        <v>231</v>
      </c>
      <c r="BT21" s="58" t="s">
        <v>161</v>
      </c>
      <c r="BU21" s="60"/>
      <c r="BV21" s="61"/>
      <c r="BW21" s="61">
        <v>0</v>
      </c>
      <c r="BX21" s="59"/>
      <c r="CB21" s="5"/>
      <c r="CC21" s="5"/>
      <c r="CD21" s="62">
        <v>0</v>
      </c>
      <c r="CE21" s="62">
        <v>0</v>
      </c>
      <c r="CF21" s="62" t="e">
        <v>#REF!</v>
      </c>
      <c r="CG21" s="75" cm="1">
        <f t="array" ref="CG21">SUMPRODUCT(--(LEN(TRIM(BL21:BT21))&gt;0))</f>
        <v>7</v>
      </c>
      <c r="CH21" s="53" t="str">
        <f t="shared" si="3"/>
        <v>n</v>
      </c>
      <c r="CI21" s="53" t="str">
        <f t="shared" si="4"/>
        <v>n</v>
      </c>
      <c r="CJ21" s="53" t="str">
        <f t="shared" si="5"/>
        <v>n</v>
      </c>
      <c r="CK21" s="53" t="str">
        <f t="shared" si="6"/>
        <v>y</v>
      </c>
      <c r="CL21" s="53" t="str">
        <f t="shared" si="7"/>
        <v>n</v>
      </c>
      <c r="CM21" s="53" t="str">
        <f t="shared" si="8"/>
        <v>n</v>
      </c>
      <c r="CN21" s="53" t="str">
        <f t="shared" si="9"/>
        <v>n</v>
      </c>
      <c r="CO21" s="53" t="str">
        <f t="shared" si="10"/>
        <v>y</v>
      </c>
      <c r="CP21" s="53" t="str">
        <f t="shared" si="11"/>
        <v>y</v>
      </c>
      <c r="CQ21" s="53" t="str">
        <f t="shared" si="12"/>
        <v>n</v>
      </c>
      <c r="CR21" s="53" t="str">
        <f t="shared" si="13"/>
        <v>n</v>
      </c>
      <c r="CS21" s="53" t="str">
        <f t="shared" si="14"/>
        <v>n</v>
      </c>
      <c r="CT21" s="38" t="str">
        <f t="shared" si="15"/>
        <v>"[AUS] Melbourne"</v>
      </c>
      <c r="CU21" s="63" t="str">
        <f t="shared" si="16"/>
        <v>"rgn_Oceania"</v>
      </c>
      <c r="CV21" s="44" t="str">
        <f t="shared" si="17"/>
        <v>"https://upload.wikimedia.org/wikipedia/commons/thumb/6/6f/Flag_of_Melbourne.svg/640px-Flag_of_Melbourne.svg.png"</v>
      </c>
      <c r="CW21" s="44" t="str">
        <f t="shared" si="18"/>
        <v/>
      </c>
      <c r="CX21" s="44" t="str">
        <f t="shared" si="19"/>
        <v/>
      </c>
      <c r="CY21" s="44" t="str">
        <f t="shared" si="20"/>
        <v/>
      </c>
      <c r="CZ21" s="44" t="str">
        <f t="shared" si="21"/>
        <v>"5+Colo",</v>
      </c>
      <c r="DA21" s="44" t="str">
        <f t="shared" si="22"/>
        <v/>
      </c>
      <c r="DB21" s="44" t="str">
        <f t="shared" si="23"/>
        <v/>
      </c>
      <c r="DC21" s="44" t="str">
        <f t="shared" si="146"/>
        <v/>
      </c>
      <c r="DD21" s="44" t="str">
        <f t="shared" si="147"/>
        <v>"lets09",</v>
      </c>
      <c r="DE21" s="44" t="str">
        <f t="shared" si="148"/>
        <v>"startM",</v>
      </c>
      <c r="DF21" s="44" t="str">
        <f t="shared" si="27"/>
        <v/>
      </c>
      <c r="DG21" s="44" t="str">
        <f t="shared" si="28"/>
        <v/>
      </c>
      <c r="DH21" s="44" t="str">
        <f t="shared" si="29"/>
        <v/>
      </c>
      <c r="DI21" s="44" t="str">
        <f t="shared" si="30"/>
        <v/>
      </c>
      <c r="DJ21" s="44" t="str">
        <f t="shared" si="31"/>
        <v/>
      </c>
      <c r="DK21" s="44" t="str">
        <f t="shared" si="32"/>
        <v/>
      </c>
      <c r="DL21" s="44" t="str">
        <f t="shared" si="33"/>
        <v/>
      </c>
      <c r="DM21" s="44" t="str" cm="1">
        <f t="array" ref="DM21">IF(CG21=3,CHAR(34) &amp; _xlfn.TEXTJOIN("", TRUE, RIGHT(HP21:HX21, 2)) &amp; CHAR(34) &amp; ",", "")</f>
        <v/>
      </c>
      <c r="DN21" s="44" t="str">
        <f t="shared" si="34"/>
        <v/>
      </c>
      <c r="DO21" s="44" t="str">
        <f t="shared" si="35"/>
        <v>"year19",</v>
      </c>
      <c r="DP21" s="5" t="str">
        <f t="shared" si="36"/>
        <v/>
      </c>
      <c r="DQ21" s="5" t="str">
        <f t="shared" si="37"/>
        <v/>
      </c>
      <c r="DR21" s="5" t="str">
        <f t="shared" si="38"/>
        <v/>
      </c>
      <c r="DS21" s="5" t="str">
        <f t="shared" si="39"/>
        <v/>
      </c>
      <c r="DT21" s="5" t="str">
        <f t="shared" si="40"/>
        <v/>
      </c>
      <c r="DU21" s="5" t="str">
        <f t="shared" si="41"/>
        <v/>
      </c>
      <c r="DV21" s="44" t="str">
        <f t="shared" si="149"/>
        <v>"largec",</v>
      </c>
      <c r="DW21" s="44" t="str">
        <f t="shared" si="43"/>
        <v/>
      </c>
      <c r="DX21" s="44" t="str">
        <f t="shared" si="44"/>
        <v/>
      </c>
      <c r="DY21" s="44" t="str">
        <f t="shared" si="45"/>
        <v/>
      </c>
      <c r="DZ21" s="44" t="str">
        <f t="shared" si="46"/>
        <v>"4+Band",</v>
      </c>
      <c r="EA21" s="44" t="str">
        <f t="shared" si="47"/>
        <v/>
      </c>
      <c r="EB21" s="44" t="str">
        <f t="shared" si="48"/>
        <v>"Crosse",</v>
      </c>
      <c r="EC21" s="44" t="str">
        <f t="shared" si="49"/>
        <v>"Horizo",</v>
      </c>
      <c r="ED21" s="44" t="str">
        <f t="shared" si="50"/>
        <v>"Vertic",</v>
      </c>
      <c r="EE21" s="44" t="str">
        <f t="shared" si="51"/>
        <v/>
      </c>
      <c r="EF21" s="44" t="str">
        <f t="shared" si="52"/>
        <v>"Animal",</v>
      </c>
      <c r="EG21" s="44" t="str">
        <f t="shared" si="53"/>
        <v>"Bird",</v>
      </c>
      <c r="EH21" s="44" t="str">
        <f t="shared" si="54"/>
        <v>"Plants",</v>
      </c>
      <c r="EI21" s="44" t="str">
        <f t="shared" si="55"/>
        <v/>
      </c>
      <c r="EJ21" s="44" t="str">
        <f t="shared" si="56"/>
        <v/>
      </c>
      <c r="EK21" s="44" t="str">
        <f t="shared" si="57"/>
        <v/>
      </c>
      <c r="EL21" s="44" t="str">
        <f t="shared" si="58"/>
        <v/>
      </c>
      <c r="EM21" s="44" t="str">
        <f t="shared" si="59"/>
        <v/>
      </c>
      <c r="EN21" s="44" t="str">
        <f t="shared" si="60"/>
        <v/>
      </c>
      <c r="EO21" s="44" t="str">
        <f t="shared" si="61"/>
        <v/>
      </c>
      <c r="EP21" s="44" t="str">
        <f t="shared" si="62"/>
        <v/>
      </c>
      <c r="EQ21" s="44" t="str">
        <f t="shared" si="63"/>
        <v/>
      </c>
      <c r="ER21" s="44" t="str">
        <f t="shared" si="64"/>
        <v/>
      </c>
      <c r="ES21" s="44" t="str">
        <f t="shared" si="65"/>
        <v/>
      </c>
      <c r="ET21" s="44" t="str">
        <f t="shared" si="66"/>
        <v/>
      </c>
      <c r="EU21" s="44" t="str">
        <f t="shared" si="67"/>
        <v/>
      </c>
      <c r="EV21" s="44" t="str">
        <f t="shared" si="68"/>
        <v/>
      </c>
      <c r="EW21" s="44" t="str">
        <f t="shared" si="69"/>
        <v>"Ships!",</v>
      </c>
      <c r="EX21" s="44" t="str">
        <f t="shared" si="70"/>
        <v>"Crowns",</v>
      </c>
      <c r="EY21" s="44" t="str">
        <f t="shared" si="71"/>
        <v/>
      </c>
      <c r="EZ21" s="44" t="str">
        <f t="shared" si="72"/>
        <v/>
      </c>
      <c r="FA21" s="44" t="str">
        <f t="shared" si="73"/>
        <v/>
      </c>
      <c r="FB21" s="44" t="str">
        <f t="shared" si="74"/>
        <v/>
      </c>
      <c r="FC21" s="44" t="str">
        <f t="shared" si="150"/>
        <v/>
      </c>
      <c r="FD21" s="44" t="str">
        <f t="shared" si="76"/>
        <v/>
      </c>
      <c r="FE21" s="44" t="str">
        <f t="shared" si="77"/>
        <v/>
      </c>
      <c r="FF21" s="44" t="str">
        <f t="shared" si="78"/>
        <v/>
      </c>
      <c r="FG21" s="44" t="str">
        <f t="shared" si="79"/>
        <v/>
      </c>
      <c r="FH21" s="44" t="str">
        <f t="shared" si="80"/>
        <v/>
      </c>
      <c r="FI21" s="44" t="str">
        <f t="shared" si="81"/>
        <v/>
      </c>
      <c r="FJ21" s="44" t="str">
        <f t="shared" si="82"/>
        <v/>
      </c>
      <c r="FK21" s="44" t="str">
        <f t="shared" si="83"/>
        <v/>
      </c>
      <c r="FL21" s="44" t="str">
        <f t="shared" si="84"/>
        <v/>
      </c>
      <c r="FM21" s="44" t="str">
        <f t="shared" si="85"/>
        <v/>
      </c>
      <c r="FN21" s="44" t="str">
        <f t="shared" si="86"/>
        <v/>
      </c>
      <c r="FO21" s="44" t="str">
        <f t="shared" si="87"/>
        <v/>
      </c>
      <c r="FP21" s="44" t="str">
        <f t="shared" si="88"/>
        <v/>
      </c>
      <c r="FQ21" s="44" t="str">
        <f t="shared" si="89"/>
        <v/>
      </c>
      <c r="FR21" s="44" t="str">
        <f t="shared" si="90"/>
        <v/>
      </c>
      <c r="FS21" s="44" t="str">
        <f t="shared" si="91"/>
        <v/>
      </c>
      <c r="FT21" s="44" t="str">
        <f t="shared" si="92"/>
        <v>"myrWHI",</v>
      </c>
      <c r="FU21" s="44" t="str">
        <f t="shared" si="93"/>
        <v/>
      </c>
      <c r="FV21" s="44" t="str">
        <f t="shared" si="94"/>
        <v/>
      </c>
      <c r="FW21" s="44" t="str">
        <f t="shared" si="95"/>
        <v/>
      </c>
      <c r="FX21" s="44" t="str">
        <f t="shared" si="151"/>
        <v/>
      </c>
      <c r="FY21" s="44" t="str">
        <f t="shared" si="97"/>
        <v/>
      </c>
      <c r="FZ21" s="44" t="str">
        <f t="shared" si="98"/>
        <v/>
      </c>
      <c r="GA21" s="44" t="str">
        <f t="shared" si="99"/>
        <v/>
      </c>
      <c r="GB21" s="44" t="str">
        <f t="shared" si="100"/>
        <v/>
      </c>
      <c r="GC21" s="44" t="str">
        <f t="shared" si="152"/>
        <v/>
      </c>
      <c r="GD21" s="44" t="str">
        <f t="shared" si="153"/>
        <v/>
      </c>
      <c r="GE21" s="44" t="str">
        <f t="shared" si="103"/>
        <v/>
      </c>
      <c r="GF21" s="44" t="str">
        <f>IFERROR(IF(SEARCH("Historical",AU21)&gt;0,CHAR(34)&amp;"histor"&amp;CHAR(34)&amp;",",""),"")</f>
        <v/>
      </c>
      <c r="GG21" s="44" t="str">
        <f t="shared" si="104"/>
        <v/>
      </c>
      <c r="GH21" s="44" t="str">
        <f t="shared" si="105"/>
        <v/>
      </c>
      <c r="GI21" s="44" t="str">
        <f t="shared" si="106"/>
        <v/>
      </c>
      <c r="GJ21" s="44" t="str">
        <f t="shared" si="107"/>
        <v>"NoStar",</v>
      </c>
      <c r="GK21" s="44" t="str">
        <f t="shared" si="108"/>
        <v/>
      </c>
      <c r="GL21" s="44" t="str">
        <f t="shared" si="109"/>
        <v/>
      </c>
      <c r="GM21" s="44" t="str">
        <f t="shared" si="110"/>
        <v/>
      </c>
      <c r="GN21" s="44" t="str">
        <f t="shared" si="111"/>
        <v/>
      </c>
      <c r="GP21" s="44" t="str">
        <f t="shared" si="112"/>
        <v>"City"</v>
      </c>
      <c r="GS21" s="44" t="str">
        <f t="shared" si="113"/>
        <v>["5+Colo","lets09","startM","year19","largec","4+Band","Crosse","Horizo","Vertic","Animal","Bird","Plants","Ships!","Crowns","myrWHI","NoStar"]</v>
      </c>
      <c r="GT21" s="44" t="str">
        <f t="shared" si="114"/>
        <v>"cl_BLA",</v>
      </c>
      <c r="GU21" s="44" t="str">
        <f t="shared" si="115"/>
        <v>"cl_BLU",</v>
      </c>
      <c r="GV21" s="44" t="str">
        <f t="shared" si="116"/>
        <v>"cl_GRE",</v>
      </c>
      <c r="GW21" s="44" t="str">
        <f t="shared" si="117"/>
        <v>"cl_RED",</v>
      </c>
      <c r="GX21" s="44" t="str">
        <f t="shared" si="118"/>
        <v>"cl_YEL",</v>
      </c>
      <c r="GY21" s="44" t="str">
        <f t="shared" si="119"/>
        <v/>
      </c>
      <c r="GZ21" s="44" t="str">
        <f t="shared" si="120"/>
        <v>"cl_BRO",</v>
      </c>
      <c r="HA21" s="44" t="str">
        <f t="shared" si="121"/>
        <v/>
      </c>
      <c r="HB21" s="44" t="str">
        <f t="shared" si="122"/>
        <v>"cl_WHI",</v>
      </c>
      <c r="HC21" s="44" t="str">
        <f t="shared" si="123"/>
        <v>["cl_BLA","cl_BLU","cl_GRE","cl_RED","cl_YEL","cl_BRO","cl_WHI"]</v>
      </c>
      <c r="HE21" s="64"/>
      <c r="HF21" s="65" t="str">
        <f t="shared" si="124"/>
        <v>{couname:"[AUS] Melbourne",year:"1970",region:"rgn_Oceania",Colors:["cl_BLA","cl_BLU","cl_GRE","cl_RED","cl_YEL","cl_BRO","cl_WHI"],Items:["5+Colo","lets09","startM","year19","largec","4+Band","Crosse","Horizo","Vertic","Animal","Bird","Plants","Ships!","Crowns","myrWHI","NoStar"],Flag:"https://upload.wikimedia.org/wikipedia/commons/thumb/6/6f/Flag_of_Melbourne.svg/640px-Flag_of_Melbourne.svg.png",HDFlag:"https://upload.wikimedia.org/wikipedia/commons/thumb/6/6f/Flag_of_Melbourne.svg/2560px-Flag_of_Melbourne.svg.png",type:"City", describe: "\nWhite background divided into four quadrants by the red cross of Saint George, patron saint of England. On both sides of each arm of the cross are narrow red bars known as a cotise. In the centre there is the Royal Crown, signifying the monarchy. Each of the four quadrants divided by the cross feature a design representing an important sector of Melbourne's economy in the mid 19th century.", isnew:".", links: "https://en.m.wikipedia.org/wiki/Flag_of_Melbourne"},</v>
      </c>
      <c r="HG21" s="66" t="str">
        <f t="shared" si="125"/>
        <v>{couname:"[AUS] Melbourne",year:"1970",region:"rgn_Oceania",Colors:["cl_BLA","cl_BLU","cl_GRE","cl_RED","cl_YEL","cl_BRO","cl_WHI"],Items:["5+Colo","lets09","startM","year19","largec","4+Band","Crosse","Horizo","Vertic","Animal","Bird","Plants","Ships!","Crowns","myrWHI","NoStar"],Flag:"https://upload.wikimedia.org/wikipedia/commons/thumb/6/6f/Flag_of_Melbourne.svg/640px-Flag_of_Melbourne.svg.png",HDFlag:"https://upload.wikimedia.org/wikipedia/commons/thumb/6/6f/Flag_of_Melbourne.svg/2560px-Flag_of_Melbourne.svg.png",type:"City", describe: "\nWhite background divided into four quadrants by the red cross of Saint George, patron saint of England. On both sides of each arm of the cross are narrow red bars known as a cotise. In the centre there is the Royal Crown, signifying the monarchy. Each of the four quadrants divided by the cross feature a design representing an important sector of Melbourne's economy in the mid 19th century.", links: "https://en.m.wikipedia.org/wiki/Flag_of_Melbourne"},</v>
      </c>
      <c r="HH21" s="44" t="str">
        <f t="shared" si="126"/>
        <v>"\nWhite background divided into four quadrants by the red cross of Saint George, patron saint of England. On both sides of each arm of the cross are narrow red bars known as a cotise. In the centre there is the Royal Crown, signifying the monarchy. Each of the four quadrants divided by the cross feature a design representing an important sector of Melbourne's economy in the mid 19th century."</v>
      </c>
      <c r="HI21" s="44" t="str">
        <f t="shared" si="127"/>
        <v>"\nWhite background divided into four quadrants by the red cross of Saint George, patron saint of England. On both sides of each arm of the cross are narrow red bars known as a cotise. In the centre there is the Royal Crown, signifying the monarchy. Each of the four quadrants divided by the cross feature a design representing an important sector of Melbourne's economy in the mid 19th century."</v>
      </c>
      <c r="HJ21" s="44" t="str">
        <f t="shared" si="128"/>
        <v>"1970"</v>
      </c>
      <c r="HL21" s="44" t="str">
        <f t="shared" si="129"/>
        <v>"https://en.m.wikipedia.org/wiki/Flag_of_Melbourne"</v>
      </c>
      <c r="HM21" s="65" t="str">
        <f t="shared" si="130"/>
        <v>{"couname":"[AUS] Melbourne","subtype":"[AUS] Victoria","year":"1970","region":"rgn_Oceania","Colors":["cl_BLA","cl_BLU","cl_GRE","cl_RED","cl_YEL","cl_BRO","cl_WHI"],"Items":["5+Colo","lets09","startM","year19","largec","4+Band","Crosse","Horizo","Vertic","Animal","Bird","Plants","Ships!","Crowns","myrWHI","NoStar"],"Flag":"https://upload.wikimedia.org/wikipedia/commons/thumb/6/6f/Flag_of_Melbourne.svg/640px-Flag_of_Melbourne.svg.png","HDFlag":"https://upload.wikimedia.org/wikipedia/commons/thumb/6/6f/Flag_of_Melbourne.svg/2560px-Flag_of_Melbourne.svg.png","type":"City", "describe": "\nWhite background divided into four quadrants by the red cross of Saint George, patron saint of England. On both sides of each arm of the cross are narrow red bars known as a cotise. In the centre there is the Royal Crown, signifying the monarchy. Each of the four quadrants divided by the cross feature a design representing an important sector of Melbourne's economy in the mid 19th century.", "isnew": ".", "links": "https://en.m.wikipedia.org/wiki/Flag_of_Melbourne"},</v>
      </c>
      <c r="HN21" s="67" t="str">
        <f t="shared" si="131"/>
        <v>{"couname":"[AUS] Melbourne","subtype":"[AUS] Victoria","year":"1970","region":"rgn_Oceania","Colors":["cl_BLA","cl_BLU","cl_GRE","cl_RED","cl_YEL","cl_BRO","cl_WHI"],"Items":["5+Colo","lets09","startM","year19","largec","4+Band","Crosse","Horizo","Vertic","Animal","Bird","Plants","Ships!","Crowns","myrWHI","NoStar"],"Flag":"https://upload.wikimedia.org/wikipedia/commons/thumb/6/6f/Flag_of_Melbourne.svg/640px-Flag_of_Melbourne.svg.png","HDFlag":"https://upload.wikimedia.org/wikipedia/commons/thumb/6/6f/Flag_of_Melbourne.svg/2560px-Flag_of_Melbourne.svg.png","type":"City", "describe": "\nWhite background divided into four quadrants by the red cross of Saint George, patron saint of England. On both sides of each arm of the cross are narrow red bars known as a cotise. In the centre there is the Royal Crown, signifying the monarchy. Each of the four quadrants divided by the cross feature a design representing an important sector of Melbourne's economy in the mid 19th century.", "isnew": ".", "links": "https://en.m.wikipedia.org/wiki/Flag_of_Melbourne"},</v>
      </c>
      <c r="HO21" s="71">
        <v>45576</v>
      </c>
      <c r="HP21" s="44" t="str" cm="1">
        <f t="array" ref="HP21">IF(_xlfn.TEXTJOIN(", ", TRUE, IF(ISNUMBER(SEARCH("BLA", BL21:BT21)), COLUMN(BL21:BT21) - COLUMN(BL21) + 1, ""))&lt;&gt;"","BLA","")</f>
        <v>BLA</v>
      </c>
      <c r="HQ21" s="44" t="str" cm="1">
        <f t="array" ref="HQ21">IF(_xlfn.TEXTJOIN(", ", TRUE, IF(ISNUMBER(SEARCH("BLU", BL21:BT21)), COLUMN(BL21:BT21) - COLUMN(BL21) + 1, ""))&lt;&gt;"","BLU","")</f>
        <v>BLU</v>
      </c>
      <c r="HR21" s="44" t="str" cm="1">
        <f t="array" ref="HR21">IF(_xlfn.TEXTJOIN(", ", TRUE, IF(ISNUMBER(SEARCH("GRE", BL21:BT21)), COLUMN(BL21:BT21) - COLUMN(BL21) + 1, ""))&lt;&gt;"","GRE","")</f>
        <v>GRE</v>
      </c>
      <c r="HS21" s="44" t="str" cm="1">
        <f t="array" ref="HS21">IF(_xlfn.TEXTJOIN(", ", TRUE, IF(ISNUMBER(SEARCH("RED", BL21:BT21)), COLUMN(BL21:BT21) - COLUMN(BL21) + 1, ""))&lt;&gt;"","RED","")</f>
        <v>RED</v>
      </c>
      <c r="HT21" s="44" t="str" cm="1">
        <f t="array" ref="HT21">IF(_xlfn.TEXTJOIN(", ", TRUE, IF(ISNUMBER(SEARCH("YEL", BL21:BT21)), COLUMN(BL21:BT21) - COLUMN(BL21) + 1, ""))&lt;&gt;"","YEL","")</f>
        <v>YEL</v>
      </c>
      <c r="HU21" s="44" t="str" cm="1">
        <f t="array" ref="HU21">IF(_xlfn.TEXTJOIN(", ", TRUE, IF(ISNUMBER(SEARCH("ORA", BL21:BT21)), COLUMN(BL21:BT21) - COLUMN(BL21) + 1, ""))&lt;&gt;"","ORA","")</f>
        <v/>
      </c>
      <c r="HV21" s="44" t="str" cm="1">
        <f t="array" ref="HV21">IF(_xlfn.TEXTJOIN(", ", TRUE, IF(ISNUMBER(SEARCH("BRO", BL21:BT21)), COLUMN(BL21:BT21) - COLUMN(BL21) + 1, ""))&lt;&gt;"","BRO","")</f>
        <v>BRO</v>
      </c>
      <c r="HW21" s="44" t="str" cm="1">
        <f t="array" ref="HW21">IF(_xlfn.TEXTJOIN(", ", TRUE, IF(ISNUMBER(SEARCH("PUR", BL21:BT21)), COLUMN(BL21:BT21) - COLUMN(BL21) + 1, ""))&lt;&gt;"","PUR","")</f>
        <v/>
      </c>
      <c r="HX21" s="44" t="str" cm="1">
        <f t="array" ref="HX21">IF(_xlfn.TEXTJOIN(", ", TRUE, IF(ISNUMBER(SEARCH("WHI", BL21:BT21)), COLUMN(BL21:BT21) - COLUMN(BL21) + 1, ""))&lt;&gt;"","WHI","")</f>
        <v>WHI</v>
      </c>
      <c r="HY21" s="72"/>
      <c r="HZ21" s="72"/>
      <c r="IA21" s="5" t="s">
        <v>167</v>
      </c>
      <c r="IB21" s="5"/>
      <c r="IC21" s="68"/>
      <c r="ID21" s="68"/>
      <c r="IE21" s="68"/>
      <c r="IF21" s="68"/>
      <c r="IG21" s="68"/>
      <c r="IH21" s="68"/>
      <c r="II21" s="68"/>
      <c r="IJ21" s="68"/>
      <c r="IK21" s="68"/>
      <c r="IL21" s="44">
        <f t="shared" si="154"/>
        <v>0</v>
      </c>
      <c r="IM21" s="42">
        <f t="shared" si="133"/>
        <v>-7</v>
      </c>
      <c r="IN21" s="69" t="str">
        <f t="shared" si="134"/>
        <v>http://mkweb.bcgsc.ca/color-summarizer/?url=https://upload.wikimedia.org/wikipedia/commons/thumb/6/6f/Flag_of_Melbourne.svg/640px-Flag_of_Melbourne.svg.png&amp;precision=low&amp;num_clusters=7&amp;text=1</v>
      </c>
      <c r="IO21" s="44" t="str">
        <f t="shared" si="135"/>
        <v>"black"</v>
      </c>
      <c r="IP21" s="44" t="str">
        <f t="shared" si="136"/>
        <v>"blue"</v>
      </c>
      <c r="IQ21" s="44" t="str">
        <f t="shared" si="137"/>
        <v>"green"</v>
      </c>
      <c r="IR21" s="44" t="str">
        <f t="shared" si="138"/>
        <v>"red"</v>
      </c>
      <c r="IS21" s="44" t="str">
        <f t="shared" si="139"/>
        <v>"yellow"</v>
      </c>
      <c r="IT21" s="44" t="str">
        <f t="shared" si="140"/>
        <v/>
      </c>
      <c r="IU21" s="44" t="str">
        <f t="shared" si="141"/>
        <v>"brown"</v>
      </c>
      <c r="IV21" s="44" t="str">
        <f t="shared" si="142"/>
        <v/>
      </c>
      <c r="IW21" s="44" t="str">
        <f t="shared" si="143"/>
        <v>"white"</v>
      </c>
      <c r="IX21" s="44" t="str">
        <f t="shared" si="144"/>
        <v>{"url":"http://mkweb.bcgsc.ca/color-summarizer/?url=https://upload.wikimedia.org/wikipedia/commons/thumb/6/6f/Flag_of_Melbourne.svg/640px-Flag_of_Melbourne.svg.png&amp;precision=low&amp;num_clusters=7&amp;text=1","name":"[AUS] Melbourne"},</v>
      </c>
      <c r="IY21" s="44">
        <v>946</v>
      </c>
    </row>
    <row r="22" spans="1:259" s="44" customFormat="1" ht="38.4" customHeight="1" thickBot="1" x14ac:dyDescent="0.35">
      <c r="A22" s="81" t="s">
        <v>553</v>
      </c>
      <c r="B22" s="78" t="e" vm="23">
        <v>#VALUE!</v>
      </c>
      <c r="C22" s="39">
        <v>3</v>
      </c>
      <c r="D22" s="70" t="s">
        <v>554</v>
      </c>
      <c r="E22" s="40" t="s">
        <v>554</v>
      </c>
      <c r="F22" s="41" t="s">
        <v>165</v>
      </c>
      <c r="G22" s="42">
        <f t="shared" si="0"/>
        <v>1</v>
      </c>
      <c r="H22" s="43" t="s">
        <v>398</v>
      </c>
      <c r="I22" s="59" t="s">
        <v>555</v>
      </c>
      <c r="J22" s="44" t="str">
        <f>""</f>
        <v/>
      </c>
      <c r="K22" s="45"/>
      <c r="L22" s="46"/>
      <c r="M22" s="46"/>
      <c r="N22" s="47" t="s">
        <v>177</v>
      </c>
      <c r="O22" s="74">
        <v>1975</v>
      </c>
      <c r="P22" s="48" t="s">
        <v>556</v>
      </c>
      <c r="Q22" s="73">
        <v>1</v>
      </c>
      <c r="R22" s="49" t="s">
        <v>177</v>
      </c>
      <c r="S22" s="50">
        <v>2</v>
      </c>
      <c r="T22" s="51" t="s">
        <v>166</v>
      </c>
      <c r="U22" s="52" t="s">
        <v>167</v>
      </c>
      <c r="V22" s="52" t="s">
        <v>167</v>
      </c>
      <c r="W22" s="52" t="s">
        <v>167</v>
      </c>
      <c r="X22" s="52" t="s">
        <v>167</v>
      </c>
      <c r="Y22" s="52" t="s">
        <v>167</v>
      </c>
      <c r="Z22" s="52" t="s">
        <v>167</v>
      </c>
      <c r="AA22" s="52" t="s">
        <v>166</v>
      </c>
      <c r="AB22" s="52" t="s">
        <v>167</v>
      </c>
      <c r="AC22" s="52" t="s">
        <v>166</v>
      </c>
      <c r="AD22" s="52" t="s">
        <v>166</v>
      </c>
      <c r="AE22" s="52" t="s">
        <v>166</v>
      </c>
      <c r="AF22" s="53" t="s">
        <v>166</v>
      </c>
      <c r="AG22" s="53" t="s">
        <v>166</v>
      </c>
      <c r="AH22" s="53" t="s">
        <v>167</v>
      </c>
      <c r="AI22" s="53" t="s">
        <v>166</v>
      </c>
      <c r="AJ22" s="53" t="s">
        <v>166</v>
      </c>
      <c r="AK22" s="53" t="s">
        <v>166</v>
      </c>
      <c r="AL22" s="53" t="s">
        <v>166</v>
      </c>
      <c r="AM22" s="53" t="s">
        <v>166</v>
      </c>
      <c r="AN22" s="53" t="s">
        <v>166</v>
      </c>
      <c r="AO22" s="53" t="s">
        <v>166</v>
      </c>
      <c r="AP22" s="53" t="s">
        <v>166</v>
      </c>
      <c r="AQ22" s="53" t="s">
        <v>167</v>
      </c>
      <c r="AR22" s="53" t="s">
        <v>166</v>
      </c>
      <c r="AS22" s="53" t="s">
        <v>166</v>
      </c>
      <c r="AT22" s="54">
        <v>0</v>
      </c>
      <c r="AU22" s="53" t="s">
        <v>360</v>
      </c>
      <c r="AV22" s="53" t="str">
        <f t="shared" si="1"/>
        <v>[AUS]City[AUS] Perth</v>
      </c>
      <c r="AW22" s="53" t="str">
        <f t="shared" si="2"/>
        <v>3[AUS] Western Australia[AUS] Perth</v>
      </c>
      <c r="AX22" s="55"/>
      <c r="AY22" s="55"/>
      <c r="AZ22" s="56" t="s">
        <v>231</v>
      </c>
      <c r="BA22" s="56"/>
      <c r="BB22" s="56"/>
      <c r="BC22" s="57"/>
      <c r="BD22" s="58" t="s">
        <v>161</v>
      </c>
      <c r="BE22" s="59"/>
      <c r="BF22" s="58" t="s">
        <v>231</v>
      </c>
      <c r="BG22" s="58" t="s">
        <v>231</v>
      </c>
      <c r="BH22" s="58" t="s">
        <v>231</v>
      </c>
      <c r="BI22" s="58"/>
      <c r="BJ22" s="58"/>
      <c r="BK22" s="59"/>
      <c r="BL22" s="58" t="s">
        <v>153</v>
      </c>
      <c r="BM22" s="58" t="s">
        <v>154</v>
      </c>
      <c r="BN22" s="58" t="s">
        <v>231</v>
      </c>
      <c r="BO22" s="58" t="s">
        <v>156</v>
      </c>
      <c r="BP22" s="58" t="s">
        <v>157</v>
      </c>
      <c r="BQ22" s="58" t="s">
        <v>231</v>
      </c>
      <c r="BR22" s="58" t="s">
        <v>231</v>
      </c>
      <c r="BS22" s="58" t="s">
        <v>231</v>
      </c>
      <c r="BT22" s="58" t="s">
        <v>161</v>
      </c>
      <c r="BU22" s="60"/>
      <c r="BV22" s="61"/>
      <c r="BW22" s="61">
        <v>0</v>
      </c>
      <c r="BX22" s="59"/>
      <c r="CB22" s="5"/>
      <c r="CC22" s="5"/>
      <c r="CD22" s="62">
        <v>0</v>
      </c>
      <c r="CE22" s="62">
        <v>0</v>
      </c>
      <c r="CF22" s="62" t="e">
        <v>#REF!</v>
      </c>
      <c r="CG22" s="75" cm="1">
        <f t="array" ref="CG22">SUMPRODUCT(--(LEN(TRIM(BL22:BT22))&gt;0))</f>
        <v>5</v>
      </c>
      <c r="CH22" s="53" t="str">
        <f t="shared" si="3"/>
        <v>n</v>
      </c>
      <c r="CI22" s="53" t="str">
        <f t="shared" si="4"/>
        <v>n</v>
      </c>
      <c r="CJ22" s="53" t="str">
        <f t="shared" si="5"/>
        <v>n</v>
      </c>
      <c r="CK22" s="53" t="str">
        <f t="shared" si="6"/>
        <v>y</v>
      </c>
      <c r="CL22" s="53" t="str">
        <f t="shared" si="7"/>
        <v>n</v>
      </c>
      <c r="CM22" s="53" t="str">
        <f t="shared" si="8"/>
        <v>y</v>
      </c>
      <c r="CN22" s="53" t="str">
        <f t="shared" si="9"/>
        <v>n</v>
      </c>
      <c r="CO22" s="53" t="str">
        <f t="shared" si="10"/>
        <v>n</v>
      </c>
      <c r="CP22" s="53" t="str">
        <f t="shared" si="11"/>
        <v>y</v>
      </c>
      <c r="CQ22" s="53" t="str">
        <f t="shared" si="12"/>
        <v>n</v>
      </c>
      <c r="CR22" s="53" t="str">
        <f t="shared" si="13"/>
        <v>n</v>
      </c>
      <c r="CS22" s="53" t="str">
        <f t="shared" si="14"/>
        <v>n</v>
      </c>
      <c r="CT22" s="38" t="str">
        <f t="shared" si="15"/>
        <v>"[AUS] Perth"</v>
      </c>
      <c r="CU22" s="63" t="str">
        <f t="shared" si="16"/>
        <v>"rgn_Oceania"</v>
      </c>
      <c r="CV22" s="44" t="str">
        <f t="shared" si="17"/>
        <v>"https://upload.wikimedia.org/wikipedia/commons/thumb/4/43/Flag_of_Perth.svg/640px-Flag_of_Perth.svg.png"</v>
      </c>
      <c r="CW22" s="44" t="str">
        <f t="shared" si="18"/>
        <v/>
      </c>
      <c r="CX22" s="44" t="str">
        <f t="shared" si="19"/>
        <v/>
      </c>
      <c r="CY22" s="44" t="str">
        <f t="shared" si="20"/>
        <v/>
      </c>
      <c r="CZ22" s="44" t="str">
        <f t="shared" si="21"/>
        <v>"5+Colo",</v>
      </c>
      <c r="DA22" s="44" t="str">
        <f t="shared" si="22"/>
        <v/>
      </c>
      <c r="DB22" s="44" t="str">
        <f t="shared" si="23"/>
        <v/>
      </c>
      <c r="DC22" s="44" t="str">
        <f t="shared" si="146"/>
        <v/>
      </c>
      <c r="DD22" s="44" t="str">
        <f t="shared" si="147"/>
        <v>"lets05",</v>
      </c>
      <c r="DE22" s="44" t="str">
        <f t="shared" si="148"/>
        <v>"startP",</v>
      </c>
      <c r="DF22" s="44" t="str">
        <f t="shared" si="27"/>
        <v/>
      </c>
      <c r="DG22" s="44" t="str">
        <f t="shared" si="28"/>
        <v/>
      </c>
      <c r="DH22" s="44" t="str">
        <f t="shared" si="29"/>
        <v/>
      </c>
      <c r="DI22" s="44" t="str">
        <f t="shared" si="30"/>
        <v/>
      </c>
      <c r="DJ22" s="44" t="str">
        <f t="shared" si="31"/>
        <v/>
      </c>
      <c r="DK22" s="44" t="str">
        <f t="shared" si="32"/>
        <v/>
      </c>
      <c r="DL22" s="44" t="str">
        <f t="shared" si="33"/>
        <v/>
      </c>
      <c r="DM22" s="44" t="str" cm="1">
        <f t="array" ref="DM22">IF(CG22=3,CHAR(34) &amp; _xlfn.TEXTJOIN("", TRUE, RIGHT(HP22:HX22, 2)) &amp; CHAR(34) &amp; ",", "")</f>
        <v/>
      </c>
      <c r="DN22" s="44" t="str">
        <f t="shared" si="34"/>
        <v/>
      </c>
      <c r="DO22" s="44" t="str">
        <f t="shared" si="35"/>
        <v>"year19",</v>
      </c>
      <c r="DP22" s="5" t="str">
        <f t="shared" si="36"/>
        <v/>
      </c>
      <c r="DQ22" s="5" t="str">
        <f t="shared" si="37"/>
        <v/>
      </c>
      <c r="DR22" s="5" t="str">
        <f t="shared" si="38"/>
        <v/>
      </c>
      <c r="DS22" s="5" t="str">
        <f t="shared" si="39"/>
        <v/>
      </c>
      <c r="DT22" s="5" t="str">
        <f t="shared" si="40"/>
        <v/>
      </c>
      <c r="DU22" s="5" t="str">
        <f t="shared" si="41"/>
        <v/>
      </c>
      <c r="DV22" s="44" t="str">
        <f t="shared" si="149"/>
        <v>"largec",</v>
      </c>
      <c r="DW22" s="44" t="str">
        <f t="shared" si="43"/>
        <v/>
      </c>
      <c r="DX22" s="44" t="str">
        <f t="shared" si="44"/>
        <v>"2Bands",</v>
      </c>
      <c r="DY22" s="44" t="str">
        <f t="shared" si="45"/>
        <v/>
      </c>
      <c r="DZ22" s="44" t="str">
        <f t="shared" si="46"/>
        <v/>
      </c>
      <c r="EA22" s="44" t="str">
        <f t="shared" si="47"/>
        <v/>
      </c>
      <c r="EB22" s="44" t="str">
        <f t="shared" si="48"/>
        <v>"Crosse",</v>
      </c>
      <c r="EC22" s="44" t="str">
        <f t="shared" si="49"/>
        <v>"Horizo",</v>
      </c>
      <c r="ED22" s="44" t="str">
        <f t="shared" si="50"/>
        <v>"Vertic",</v>
      </c>
      <c r="EE22" s="44" t="str">
        <f t="shared" si="51"/>
        <v>"Circle",</v>
      </c>
      <c r="EF22" s="44" t="str">
        <f t="shared" si="52"/>
        <v>"Animal",</v>
      </c>
      <c r="EG22" s="44" t="str">
        <f t="shared" si="53"/>
        <v>"Bird",</v>
      </c>
      <c r="EH22" s="44" t="str">
        <f t="shared" si="54"/>
        <v/>
      </c>
      <c r="EI22" s="44" t="str">
        <f t="shared" si="55"/>
        <v>"Texted",</v>
      </c>
      <c r="EJ22" s="44" t="str">
        <f t="shared" si="56"/>
        <v/>
      </c>
      <c r="EK22" s="44" t="str">
        <f t="shared" si="57"/>
        <v/>
      </c>
      <c r="EL22" s="44" t="str">
        <f t="shared" si="58"/>
        <v/>
      </c>
      <c r="EM22" s="44" t="str">
        <f t="shared" si="59"/>
        <v/>
      </c>
      <c r="EN22" s="44" t="str">
        <f t="shared" si="60"/>
        <v/>
      </c>
      <c r="EO22" s="44" t="str">
        <f t="shared" si="61"/>
        <v>"Center",</v>
      </c>
      <c r="EP22" s="44" t="str">
        <f t="shared" si="62"/>
        <v/>
      </c>
      <c r="EQ22" s="44" t="str">
        <f t="shared" si="63"/>
        <v/>
      </c>
      <c r="ER22" s="44" t="str">
        <f t="shared" si="64"/>
        <v/>
      </c>
      <c r="ES22" s="44" t="str">
        <f t="shared" si="65"/>
        <v/>
      </c>
      <c r="ET22" s="44" t="str">
        <f t="shared" si="66"/>
        <v/>
      </c>
      <c r="EU22" s="44" t="str">
        <f t="shared" si="67"/>
        <v/>
      </c>
      <c r="EV22" s="44" t="str">
        <f t="shared" si="68"/>
        <v/>
      </c>
      <c r="EW22" s="44" t="str">
        <f t="shared" si="69"/>
        <v/>
      </c>
      <c r="EX22" s="44" t="str">
        <f t="shared" si="70"/>
        <v>"Crowns",</v>
      </c>
      <c r="EY22" s="44" t="str">
        <f t="shared" si="71"/>
        <v/>
      </c>
      <c r="EZ22" s="44" t="str">
        <f t="shared" si="72"/>
        <v/>
      </c>
      <c r="FA22" s="44" t="str">
        <f t="shared" si="73"/>
        <v/>
      </c>
      <c r="FB22" s="44" t="str">
        <f t="shared" si="74"/>
        <v/>
      </c>
      <c r="FC22" s="44" t="str">
        <f t="shared" si="150"/>
        <v/>
      </c>
      <c r="FD22" s="44" t="str">
        <f t="shared" si="76"/>
        <v/>
      </c>
      <c r="FE22" s="44" t="str">
        <f t="shared" si="77"/>
        <v/>
      </c>
      <c r="FF22" s="44" t="str">
        <f t="shared" si="78"/>
        <v/>
      </c>
      <c r="FG22" s="44" t="str">
        <f t="shared" si="79"/>
        <v/>
      </c>
      <c r="FH22" s="44" t="str">
        <f t="shared" si="80"/>
        <v>"NO_GRE",</v>
      </c>
      <c r="FI22" s="44" t="str">
        <f t="shared" si="81"/>
        <v/>
      </c>
      <c r="FJ22" s="44" t="str">
        <f t="shared" si="82"/>
        <v/>
      </c>
      <c r="FK22" s="44" t="str">
        <f t="shared" si="83"/>
        <v/>
      </c>
      <c r="FL22" s="44" t="str">
        <f t="shared" si="84"/>
        <v/>
      </c>
      <c r="FM22" s="44" t="str">
        <f t="shared" si="85"/>
        <v/>
      </c>
      <c r="FN22" s="44" t="str">
        <f t="shared" si="86"/>
        <v/>
      </c>
      <c r="FO22" s="44" t="str">
        <f t="shared" si="87"/>
        <v/>
      </c>
      <c r="FP22" s="44" t="str">
        <f t="shared" si="88"/>
        <v/>
      </c>
      <c r="FQ22" s="44" t="str">
        <f t="shared" si="89"/>
        <v/>
      </c>
      <c r="FR22" s="44" t="str">
        <f t="shared" si="90"/>
        <v/>
      </c>
      <c r="FS22" s="44" t="str">
        <f t="shared" si="91"/>
        <v/>
      </c>
      <c r="FT22" s="44" t="str">
        <f t="shared" si="92"/>
        <v>"myrWHI",</v>
      </c>
      <c r="FU22" s="44" t="str">
        <f t="shared" si="93"/>
        <v/>
      </c>
      <c r="FV22" s="44" t="str">
        <f t="shared" si="94"/>
        <v/>
      </c>
      <c r="FW22" s="44" t="str">
        <f t="shared" si="95"/>
        <v/>
      </c>
      <c r="FX22" s="44" t="str">
        <f t="shared" si="151"/>
        <v/>
      </c>
      <c r="FY22" s="44" t="str">
        <f t="shared" si="97"/>
        <v/>
      </c>
      <c r="FZ22" s="44" t="str">
        <f t="shared" si="98"/>
        <v/>
      </c>
      <c r="GA22" s="44" t="str">
        <f t="shared" si="99"/>
        <v/>
      </c>
      <c r="GB22" s="44" t="str">
        <f t="shared" si="100"/>
        <v/>
      </c>
      <c r="GC22" s="44" t="str">
        <f t="shared" si="152"/>
        <v/>
      </c>
      <c r="GD22" s="44" t="str">
        <f t="shared" si="153"/>
        <v/>
      </c>
      <c r="GE22" s="44" t="str">
        <f t="shared" si="103"/>
        <v/>
      </c>
      <c r="GF22" s="44" t="str">
        <f>IFERROR(IF(SEARCH("Historical",AU22)&gt;0,CHAR(34)&amp;"histor"&amp;CHAR(34)&amp;",",""),"")</f>
        <v/>
      </c>
      <c r="GG22" s="44" t="str">
        <f t="shared" si="104"/>
        <v/>
      </c>
      <c r="GH22" s="44" t="str">
        <f t="shared" si="105"/>
        <v/>
      </c>
      <c r="GI22" s="44" t="str">
        <f t="shared" si="106"/>
        <v/>
      </c>
      <c r="GJ22" s="44" t="str">
        <f t="shared" si="107"/>
        <v>"NoStar",</v>
      </c>
      <c r="GK22" s="44" t="str">
        <f t="shared" si="108"/>
        <v/>
      </c>
      <c r="GL22" s="44" t="str">
        <f t="shared" si="109"/>
        <v/>
      </c>
      <c r="GM22" s="44" t="str">
        <f t="shared" si="110"/>
        <v/>
      </c>
      <c r="GN22" s="44" t="str">
        <f t="shared" si="111"/>
        <v/>
      </c>
      <c r="GP22" s="44" t="str">
        <f t="shared" si="112"/>
        <v>"City"</v>
      </c>
      <c r="GS22" s="44" t="str">
        <f t="shared" si="113"/>
        <v>["5+Colo","lets05","startP","year19","largec","2Bands","Crosse","Horizo","Vertic","Circle","Animal","Bird","Texted","Center","Crowns","NO_GRE","myrWHI","NoStar"]</v>
      </c>
      <c r="GT22" s="44" t="str">
        <f t="shared" si="114"/>
        <v>"cl_BLA",</v>
      </c>
      <c r="GU22" s="44" t="str">
        <f t="shared" si="115"/>
        <v>"cl_BLU",</v>
      </c>
      <c r="GV22" s="44" t="str">
        <f t="shared" si="116"/>
        <v/>
      </c>
      <c r="GW22" s="44" t="str">
        <f t="shared" si="117"/>
        <v>"cl_RED",</v>
      </c>
      <c r="GX22" s="44" t="str">
        <f t="shared" si="118"/>
        <v>"cl_YEL",</v>
      </c>
      <c r="GY22" s="44" t="str">
        <f t="shared" si="119"/>
        <v/>
      </c>
      <c r="GZ22" s="44" t="str">
        <f t="shared" si="120"/>
        <v/>
      </c>
      <c r="HA22" s="44" t="str">
        <f t="shared" si="121"/>
        <v/>
      </c>
      <c r="HB22" s="44" t="str">
        <f t="shared" si="122"/>
        <v>"cl_WHI",</v>
      </c>
      <c r="HC22" s="44" t="str">
        <f t="shared" si="123"/>
        <v>["cl_BLA","cl_BLU","cl_RED","cl_YEL","cl_WHI"]</v>
      </c>
      <c r="HE22" s="64"/>
      <c r="HF22" s="65" t="str">
        <f t="shared" si="124"/>
        <v>{couname:"[AUS] Perth",year:"1975",region:"rgn_Oceania",Colors:["cl_BLA","cl_BLU","cl_RED","cl_YEL","cl_WHI"],Items:["5+Colo","lets05","startP","year19","largec","2Bands","Crosse","Horizo","Vertic","Circle","Animal","Bird","Texted","Center","Crowns","NO_GRE","myrWHI","NoStar"],Flag:"https://upload.wikimedia.org/wikipedia/commons/thumb/4/43/Flag_of_Perth.svg/640px-Flag_of_Perth.svg.png",HDFlag:"https://upload.wikimedia.org/wikipedia/commons/thumb/4/43/Flag_of_Perth.svg/640px-Flag_of_Perth.svg.png",type:"City", describe: "\nThe Saint George's Cross overlaid with the coat of arms of Perth in the centre.", isnew:".", links: "https://en.wikipedia.org/wiki/City_of_Perth"},</v>
      </c>
      <c r="HG22" s="66" t="str">
        <f t="shared" si="125"/>
        <v>{couname:"[AUS] Perth",year:"1975",region:"rgn_Oceania",Colors:["cl_BLA","cl_BLU","cl_RED","cl_YEL","cl_WHI"],Items:["5+Colo","lets05","startP","year19","largec","2Bands","Crosse","Horizo","Vertic","Circle","Animal","Bird","Texted","Center","Crowns","NO_GRE","myrWHI","NoStar"],Flag:"https://upload.wikimedia.org/wikipedia/commons/thumb/4/43/Flag_of_Perth.svg/640px-Flag_of_Perth.svg.png",HDFlag:"https://upload.wikimedia.org/wikipedia/commons/thumb/4/43/Flag_of_Perth.svg/640px-Flag_of_Perth.svg.png",type:"City", describe: "\nThe Saint George's Cross overlaid with the coat of arms of Perth in the centre.", links: "https://en.wikipedia.org/wiki/City_of_Perth"},</v>
      </c>
      <c r="HH22" s="44" t="str">
        <f t="shared" si="126"/>
        <v>"\nThe Saint George's Cross overlaid with the coat of arms of Perth in the centre."</v>
      </c>
      <c r="HI22" s="44" t="str">
        <f t="shared" si="127"/>
        <v>"\nThe Saint George's Cross overlaid with the coat of arms of Perth in the centre."</v>
      </c>
      <c r="HJ22" s="44" t="str">
        <f t="shared" si="128"/>
        <v>"1975"</v>
      </c>
      <c r="HL22" s="44" t="str">
        <f t="shared" si="129"/>
        <v>"https://en.wikipedia.org/wiki/City_of_Perth"</v>
      </c>
      <c r="HM22" s="65" t="str">
        <f t="shared" si="130"/>
        <v>{"couname":"[AUS] Perth","subtype":"[AUS] Western Australia","year":"1975","region":"rgn_Oceania","Colors":["cl_BLA","cl_BLU","cl_RED","cl_YEL","cl_WHI"],"Items":["5+Colo","lets05","startP","year19","largec","2Bands","Crosse","Horizo","Vertic","Circle","Animal","Bird","Texted","Center","Crowns","NO_GRE","myrWHI","NoStar"],"Flag":"https://upload.wikimedia.org/wikipedia/commons/thumb/4/43/Flag_of_Perth.svg/640px-Flag_of_Perth.svg.png","HDFlag":"https://upload.wikimedia.org/wikipedia/commons/thumb/4/43/Flag_of_Perth.svg/640px-Flag_of_Perth.svg.png","type":"City", "describe": "\nThe Saint George's Cross overlaid with the coat of arms of Perth in the centre.", "isnew": ".", "links": "https://en.wikipedia.org/wiki/City_of_Perth"},</v>
      </c>
      <c r="HN22" s="67" t="str">
        <f t="shared" si="131"/>
        <v>{"couname":"[AUS] Perth","subtype":"[AUS] Western Australia","year":"1975","region":"rgn_Oceania","Colors":["cl_BLA","cl_BLU","cl_RED","cl_YEL","cl_WHI"],"Items":["5+Colo","lets05","startP","year19","largec","2Bands","Crosse","Horizo","Vertic","Circle","Animal","Bird","Texted","Center","Crowns","NO_GRE","myrWHI","NoStar"],"Flag":"https://upload.wikimedia.org/wikipedia/commons/thumb/4/43/Flag_of_Perth.svg/640px-Flag_of_Perth.svg.png","HDFlag":"https://upload.wikimedia.org/wikipedia/commons/thumb/4/43/Flag_of_Perth.svg/640px-Flag_of_Perth.svg.png","type":"City", "describe": "\nThe Saint George's Cross overlaid with the coat of arms of Perth in the centre.", "isnew": ".", "links": "https://en.wikipedia.org/wiki/City_of_Perth"},</v>
      </c>
      <c r="HO22" s="71">
        <v>45576</v>
      </c>
      <c r="HP22" s="44" t="str" cm="1">
        <f t="array" ref="HP22">IF(_xlfn.TEXTJOIN(", ", TRUE, IF(ISNUMBER(SEARCH("BLA", BL22:BT22)), COLUMN(BL22:BT22) - COLUMN(BL22) + 1, ""))&lt;&gt;"","BLA","")</f>
        <v>BLA</v>
      </c>
      <c r="HQ22" s="44" t="str" cm="1">
        <f t="array" ref="HQ22">IF(_xlfn.TEXTJOIN(", ", TRUE, IF(ISNUMBER(SEARCH("BLU", BL22:BT22)), COLUMN(BL22:BT22) - COLUMN(BL22) + 1, ""))&lt;&gt;"","BLU","")</f>
        <v>BLU</v>
      </c>
      <c r="HR22" s="44" t="str" cm="1">
        <f t="array" ref="HR22">IF(_xlfn.TEXTJOIN(", ", TRUE, IF(ISNUMBER(SEARCH("GRE", BL22:BT22)), COLUMN(BL22:BT22) - COLUMN(BL22) + 1, ""))&lt;&gt;"","GRE","")</f>
        <v/>
      </c>
      <c r="HS22" s="44" t="str" cm="1">
        <f t="array" ref="HS22">IF(_xlfn.TEXTJOIN(", ", TRUE, IF(ISNUMBER(SEARCH("RED", BL22:BT22)), COLUMN(BL22:BT22) - COLUMN(BL22) + 1, ""))&lt;&gt;"","RED","")</f>
        <v>RED</v>
      </c>
      <c r="HT22" s="44" t="str" cm="1">
        <f t="array" ref="HT22">IF(_xlfn.TEXTJOIN(", ", TRUE, IF(ISNUMBER(SEARCH("YEL", BL22:BT22)), COLUMN(BL22:BT22) - COLUMN(BL22) + 1, ""))&lt;&gt;"","YEL","")</f>
        <v>YEL</v>
      </c>
      <c r="HU22" s="44" t="str" cm="1">
        <f t="array" ref="HU22">IF(_xlfn.TEXTJOIN(", ", TRUE, IF(ISNUMBER(SEARCH("ORA", BL22:BT22)), COLUMN(BL22:BT22) - COLUMN(BL22) + 1, ""))&lt;&gt;"","ORA","")</f>
        <v/>
      </c>
      <c r="HV22" s="44" t="str" cm="1">
        <f t="array" ref="HV22">IF(_xlfn.TEXTJOIN(", ", TRUE, IF(ISNUMBER(SEARCH("BRO", BL22:BT22)), COLUMN(BL22:BT22) - COLUMN(BL22) + 1, ""))&lt;&gt;"","BRO","")</f>
        <v/>
      </c>
      <c r="HW22" s="44" t="str" cm="1">
        <f t="array" ref="HW22">IF(_xlfn.TEXTJOIN(", ", TRUE, IF(ISNUMBER(SEARCH("PUR", BL22:BT22)), COLUMN(BL22:BT22) - COLUMN(BL22) + 1, ""))&lt;&gt;"","PUR","")</f>
        <v/>
      </c>
      <c r="HX22" s="44" t="str" cm="1">
        <f t="array" ref="HX22">IF(_xlfn.TEXTJOIN(", ", TRUE, IF(ISNUMBER(SEARCH("WHI", BL22:BT22)), COLUMN(BL22:BT22) - COLUMN(BL22) + 1, ""))&lt;&gt;"","WHI","")</f>
        <v>WHI</v>
      </c>
      <c r="HY22" s="72"/>
      <c r="HZ22" s="72"/>
      <c r="IA22" s="5" t="s">
        <v>167</v>
      </c>
      <c r="IB22" s="5"/>
      <c r="IC22" s="68"/>
      <c r="ID22" s="68"/>
      <c r="IE22" s="68"/>
      <c r="IF22" s="68"/>
      <c r="IG22" s="68"/>
      <c r="IH22" s="68"/>
      <c r="II22" s="68"/>
      <c r="IJ22" s="68"/>
      <c r="IK22" s="68"/>
      <c r="IL22" s="44">
        <f t="shared" si="154"/>
        <v>0</v>
      </c>
      <c r="IM22" s="42">
        <f t="shared" si="133"/>
        <v>-5</v>
      </c>
      <c r="IN22" s="69" t="str">
        <f t="shared" si="134"/>
        <v>http://mkweb.bcgsc.ca/color-summarizer/?url=https://upload.wikimedia.org/wikipedia/commons/thumb/4/43/Flag_of_Perth.svg/640px-Flag_of_Perth.svg.png&amp;precision=low&amp;num_clusters=5&amp;text=1</v>
      </c>
      <c r="IO22" s="44" t="str">
        <f t="shared" si="135"/>
        <v>"black"</v>
      </c>
      <c r="IP22" s="44" t="str">
        <f t="shared" si="136"/>
        <v>"blue"</v>
      </c>
      <c r="IQ22" s="44" t="str">
        <f t="shared" si="137"/>
        <v/>
      </c>
      <c r="IR22" s="44" t="str">
        <f t="shared" si="138"/>
        <v>"red"</v>
      </c>
      <c r="IS22" s="44" t="str">
        <f t="shared" si="139"/>
        <v>"yellow"</v>
      </c>
      <c r="IT22" s="44" t="str">
        <f t="shared" si="140"/>
        <v/>
      </c>
      <c r="IU22" s="44" t="str">
        <f t="shared" si="141"/>
        <v/>
      </c>
      <c r="IV22" s="44" t="str">
        <f t="shared" si="142"/>
        <v/>
      </c>
      <c r="IW22" s="44" t="str">
        <f t="shared" si="143"/>
        <v>"white"</v>
      </c>
      <c r="IX22" s="44" t="str">
        <f t="shared" si="144"/>
        <v>{"url":"http://mkweb.bcgsc.ca/color-summarizer/?url=https://upload.wikimedia.org/wikipedia/commons/thumb/4/43/Flag_of_Perth.svg/640px-Flag_of_Perth.svg.png&amp;precision=low&amp;num_clusters=5&amp;text=1","name":"[AUS] Perth"},</v>
      </c>
      <c r="IY22" s="44">
        <v>947</v>
      </c>
    </row>
    <row r="23" spans="1:259" ht="38.4" customHeight="1" x14ac:dyDescent="0.3">
      <c r="BW23" s="82">
        <v>0</v>
      </c>
      <c r="CE23" s="82">
        <v>0</v>
      </c>
      <c r="CF23" s="82" t="e">
        <v>#REF!</v>
      </c>
      <c r="GE23" s="82" t="str">
        <f t="shared" si="103"/>
        <v/>
      </c>
      <c r="GG23" s="82" t="str">
        <f t="shared" si="104"/>
        <v/>
      </c>
      <c r="GH23" s="82" t="str">
        <f t="shared" si="105"/>
        <v/>
      </c>
      <c r="GI23" s="82" t="str">
        <f t="shared" si="106"/>
        <v/>
      </c>
    </row>
    <row r="24" spans="1:259" ht="38.4" customHeight="1" x14ac:dyDescent="0.3">
      <c r="BW24" s="82">
        <v>0</v>
      </c>
      <c r="CE24" s="82">
        <v>0</v>
      </c>
      <c r="CF24" s="82" t="e">
        <v>#REF!</v>
      </c>
      <c r="GE24" s="82" t="str">
        <f t="shared" si="103"/>
        <v/>
      </c>
      <c r="GG24" s="82" t="str">
        <f t="shared" si="104"/>
        <v/>
      </c>
      <c r="GH24" s="82" t="str">
        <f t="shared" si="105"/>
        <v/>
      </c>
      <c r="GI24" s="82" t="str">
        <f t="shared" si="106"/>
        <v/>
      </c>
    </row>
    <row r="25" spans="1:259" ht="38.4" customHeight="1" x14ac:dyDescent="0.3">
      <c r="BW25" s="82">
        <v>0</v>
      </c>
      <c r="CE25" s="82">
        <v>0</v>
      </c>
      <c r="CF25" s="82" t="e">
        <v>#REF!</v>
      </c>
      <c r="GE25" s="82" t="str">
        <f t="shared" si="103"/>
        <v/>
      </c>
      <c r="GG25" s="82" t="str">
        <f t="shared" si="104"/>
        <v/>
      </c>
      <c r="GH25" s="82" t="str">
        <f t="shared" si="105"/>
        <v/>
      </c>
      <c r="GI25" s="82" t="str">
        <f t="shared" si="106"/>
        <v/>
      </c>
    </row>
    <row r="26" spans="1:259" ht="38.4" customHeight="1" x14ac:dyDescent="0.3">
      <c r="BW26" s="82">
        <v>0</v>
      </c>
      <c r="CE26" s="82">
        <v>0</v>
      </c>
      <c r="CF26" s="82" t="e">
        <v>#REF!</v>
      </c>
      <c r="GE26" s="82" t="str">
        <f t="shared" si="103"/>
        <v/>
      </c>
      <c r="GG26" s="82" t="str">
        <f t="shared" si="104"/>
        <v/>
      </c>
      <c r="GH26" s="82" t="str">
        <f t="shared" si="105"/>
        <v/>
      </c>
      <c r="GI26" s="82" t="str">
        <f t="shared" si="106"/>
        <v/>
      </c>
    </row>
    <row r="27" spans="1:259" ht="38.4" customHeight="1" x14ac:dyDescent="0.3">
      <c r="BW27" s="82">
        <v>0</v>
      </c>
      <c r="CE27" s="82">
        <v>0</v>
      </c>
      <c r="CF27" s="82" t="e">
        <v>#REF!</v>
      </c>
      <c r="GE27" s="82" t="str">
        <f t="shared" si="103"/>
        <v/>
      </c>
      <c r="GG27" s="82" t="str">
        <f t="shared" si="104"/>
        <v/>
      </c>
      <c r="GH27" s="82" t="str">
        <f t="shared" si="105"/>
        <v/>
      </c>
      <c r="GI27" s="82" t="str">
        <f t="shared" si="106"/>
        <v/>
      </c>
    </row>
    <row r="28" spans="1:259" ht="38.4" customHeight="1" x14ac:dyDescent="0.3">
      <c r="BW28" s="82">
        <v>0</v>
      </c>
      <c r="CE28" s="82">
        <v>0</v>
      </c>
      <c r="CF28" s="82" t="e">
        <v>#REF!</v>
      </c>
      <c r="GE28" s="82" t="str">
        <f t="shared" si="103"/>
        <v/>
      </c>
      <c r="GG28" s="82" t="str">
        <f t="shared" si="104"/>
        <v/>
      </c>
      <c r="GH28" s="82" t="str">
        <f t="shared" si="105"/>
        <v/>
      </c>
      <c r="GI28" s="82" t="str">
        <f t="shared" si="106"/>
        <v/>
      </c>
    </row>
    <row r="29" spans="1:259" ht="38.4" customHeight="1" x14ac:dyDescent="0.3">
      <c r="BW29" s="82">
        <v>0</v>
      </c>
      <c r="CE29" s="82">
        <v>0</v>
      </c>
      <c r="CF29" s="82" t="e">
        <v>#REF!</v>
      </c>
      <c r="GE29" s="82" t="str">
        <f t="shared" si="103"/>
        <v/>
      </c>
      <c r="GG29" s="82" t="str">
        <f t="shared" si="104"/>
        <v/>
      </c>
      <c r="GH29" s="82" t="str">
        <f t="shared" si="105"/>
        <v/>
      </c>
      <c r="GI29" s="82" t="str">
        <f t="shared" si="106"/>
        <v/>
      </c>
    </row>
    <row r="30" spans="1:259" ht="38.4" customHeight="1" x14ac:dyDescent="0.3">
      <c r="BW30" s="82">
        <v>0</v>
      </c>
      <c r="CE30" s="82">
        <v>0</v>
      </c>
      <c r="CF30" s="82" t="e">
        <v>#REF!</v>
      </c>
      <c r="GE30" s="82" t="str">
        <f t="shared" si="103"/>
        <v/>
      </c>
      <c r="GG30" s="82" t="str">
        <f t="shared" si="104"/>
        <v/>
      </c>
      <c r="GH30" s="82" t="str">
        <f t="shared" si="105"/>
        <v/>
      </c>
      <c r="GI30" s="82" t="str">
        <f t="shared" si="106"/>
        <v/>
      </c>
    </row>
    <row r="31" spans="1:259" ht="38.4" customHeight="1" x14ac:dyDescent="0.3">
      <c r="BW31" s="82">
        <v>0</v>
      </c>
      <c r="CE31" s="82">
        <v>0</v>
      </c>
      <c r="CF31" s="82" t="e">
        <v>#REF!</v>
      </c>
      <c r="GE31" s="82" t="str">
        <f t="shared" si="103"/>
        <v/>
      </c>
      <c r="GG31" s="82" t="str">
        <f t="shared" si="104"/>
        <v/>
      </c>
      <c r="GH31" s="82" t="str">
        <f t="shared" si="105"/>
        <v/>
      </c>
      <c r="GI31" s="82" t="str">
        <f t="shared" si="106"/>
        <v/>
      </c>
    </row>
    <row r="32" spans="1:259" ht="38.4" customHeight="1" x14ac:dyDescent="0.3">
      <c r="BW32" s="82">
        <v>0</v>
      </c>
      <c r="CE32" s="82">
        <v>0</v>
      </c>
      <c r="CF32" s="82" t="e">
        <v>#REF!</v>
      </c>
      <c r="GE32" s="82" t="str">
        <f t="shared" si="103"/>
        <v/>
      </c>
      <c r="GG32" s="82" t="str">
        <f t="shared" si="104"/>
        <v/>
      </c>
      <c r="GH32" s="82" t="str">
        <f t="shared" si="105"/>
        <v/>
      </c>
      <c r="GI32" s="82" t="str">
        <f t="shared" si="106"/>
        <v/>
      </c>
    </row>
    <row r="33" spans="75:191" ht="38.4" customHeight="1" x14ac:dyDescent="0.3">
      <c r="BW33" s="82">
        <v>0</v>
      </c>
      <c r="CE33" s="82">
        <v>0</v>
      </c>
      <c r="CF33" s="82" t="e">
        <v>#REF!</v>
      </c>
      <c r="GE33" s="82" t="str">
        <f t="shared" si="103"/>
        <v/>
      </c>
      <c r="GG33" s="82" t="str">
        <f t="shared" si="104"/>
        <v/>
      </c>
      <c r="GH33" s="82" t="str">
        <f t="shared" si="105"/>
        <v/>
      </c>
      <c r="GI33" s="82" t="str">
        <f t="shared" si="106"/>
        <v/>
      </c>
    </row>
    <row r="34" spans="75:191" ht="38.4" customHeight="1" x14ac:dyDescent="0.3">
      <c r="BW34" s="82">
        <v>0</v>
      </c>
      <c r="CE34" s="82">
        <v>0</v>
      </c>
      <c r="CF34" s="82" t="e">
        <v>#REF!</v>
      </c>
      <c r="GE34" s="82" t="str">
        <f t="shared" ref="GE34:GE65" si="155">IFERROR(IF(SEARCH("Dutch",CB34)&gt;0,CHAR(34)&amp;"dutchs"&amp;CHAR(34)&amp;",",""),"")</f>
        <v/>
      </c>
      <c r="GG34" s="82" t="str">
        <f t="shared" ref="GG34:GG65" si="156">IF(BU34="y",CHAR(34)&amp;"unjack"&amp;CHAR(34)&amp;",","")</f>
        <v/>
      </c>
      <c r="GH34" s="82" t="str">
        <f t="shared" ref="GH34:GH65" si="157">IF(CD34=1,CHAR(34)&amp;"southc"&amp;CHAR(34)&amp;",","")</f>
        <v/>
      </c>
      <c r="GI34" s="82" t="str">
        <f t="shared" ref="GI34:GI65" si="158">IF(CE34=1,CHAR(34)&amp;"hasmap"&amp;CHAR(34)&amp;",","")</f>
        <v/>
      </c>
    </row>
    <row r="35" spans="75:191" ht="38.4" customHeight="1" x14ac:dyDescent="0.3">
      <c r="BW35" s="82">
        <v>0</v>
      </c>
      <c r="CE35" s="82">
        <v>0</v>
      </c>
      <c r="CF35" s="82" t="e">
        <v>#REF!</v>
      </c>
      <c r="GE35" s="82" t="str">
        <f t="shared" si="155"/>
        <v/>
      </c>
      <c r="GG35" s="82" t="str">
        <f t="shared" si="156"/>
        <v/>
      </c>
      <c r="GH35" s="82" t="str">
        <f t="shared" si="157"/>
        <v/>
      </c>
      <c r="GI35" s="82" t="str">
        <f t="shared" si="158"/>
        <v/>
      </c>
    </row>
    <row r="36" spans="75:191" ht="38.4" customHeight="1" x14ac:dyDescent="0.3">
      <c r="BW36" s="82">
        <v>0</v>
      </c>
      <c r="CE36" s="82">
        <v>0</v>
      </c>
      <c r="CF36" s="82" t="e">
        <v>#REF!</v>
      </c>
      <c r="GE36" s="82" t="str">
        <f t="shared" si="155"/>
        <v/>
      </c>
      <c r="GG36" s="82" t="str">
        <f t="shared" si="156"/>
        <v/>
      </c>
      <c r="GH36" s="82" t="str">
        <f t="shared" si="157"/>
        <v/>
      </c>
      <c r="GI36" s="82" t="str">
        <f t="shared" si="158"/>
        <v/>
      </c>
    </row>
    <row r="37" spans="75:191" ht="38.4" customHeight="1" x14ac:dyDescent="0.3">
      <c r="BW37" s="82">
        <v>0</v>
      </c>
      <c r="CE37" s="82">
        <v>0</v>
      </c>
      <c r="CF37" s="82" t="e">
        <v>#REF!</v>
      </c>
      <c r="GE37" s="82" t="str">
        <f t="shared" si="155"/>
        <v/>
      </c>
      <c r="GG37" s="82" t="str">
        <f t="shared" si="156"/>
        <v/>
      </c>
      <c r="GH37" s="82" t="str">
        <f t="shared" si="157"/>
        <v/>
      </c>
      <c r="GI37" s="82" t="str">
        <f t="shared" si="158"/>
        <v/>
      </c>
    </row>
    <row r="38" spans="75:191" ht="38.4" customHeight="1" x14ac:dyDescent="0.3">
      <c r="BW38" s="82">
        <v>0</v>
      </c>
      <c r="CE38" s="82">
        <v>0</v>
      </c>
      <c r="CF38" s="82" t="e">
        <v>#REF!</v>
      </c>
      <c r="GE38" s="82" t="str">
        <f t="shared" si="155"/>
        <v/>
      </c>
      <c r="GG38" s="82" t="str">
        <f t="shared" si="156"/>
        <v/>
      </c>
      <c r="GH38" s="82" t="str">
        <f t="shared" si="157"/>
        <v/>
      </c>
      <c r="GI38" s="82" t="str">
        <f t="shared" si="158"/>
        <v/>
      </c>
    </row>
    <row r="39" spans="75:191" ht="38.4" customHeight="1" x14ac:dyDescent="0.3">
      <c r="BW39" s="82">
        <v>0</v>
      </c>
      <c r="CE39" s="82">
        <v>0</v>
      </c>
      <c r="CF39" s="82" t="e">
        <v>#REF!</v>
      </c>
      <c r="GE39" s="82" t="str">
        <f t="shared" si="155"/>
        <v/>
      </c>
      <c r="GG39" s="82" t="str">
        <f t="shared" si="156"/>
        <v/>
      </c>
      <c r="GH39" s="82" t="str">
        <f t="shared" si="157"/>
        <v/>
      </c>
      <c r="GI39" s="82" t="str">
        <f t="shared" si="158"/>
        <v/>
      </c>
    </row>
    <row r="40" spans="75:191" ht="38.4" customHeight="1" x14ac:dyDescent="0.3">
      <c r="BW40" s="82">
        <v>0</v>
      </c>
      <c r="CE40" s="82">
        <v>0</v>
      </c>
      <c r="CF40" s="82" t="e">
        <v>#REF!</v>
      </c>
      <c r="GE40" s="82" t="str">
        <f t="shared" si="155"/>
        <v/>
      </c>
      <c r="GG40" s="82" t="str">
        <f t="shared" si="156"/>
        <v/>
      </c>
      <c r="GH40" s="82" t="str">
        <f t="shared" si="157"/>
        <v/>
      </c>
      <c r="GI40" s="82" t="str">
        <f t="shared" si="158"/>
        <v/>
      </c>
    </row>
    <row r="41" spans="75:191" ht="38.4" customHeight="1" x14ac:dyDescent="0.3">
      <c r="BW41" s="82">
        <v>0</v>
      </c>
      <c r="CE41" s="82">
        <v>0</v>
      </c>
      <c r="CF41" s="82" t="e">
        <v>#REF!</v>
      </c>
      <c r="GE41" s="82" t="str">
        <f t="shared" si="155"/>
        <v/>
      </c>
      <c r="GG41" s="82" t="str">
        <f t="shared" si="156"/>
        <v/>
      </c>
      <c r="GH41" s="82" t="str">
        <f t="shared" si="157"/>
        <v/>
      </c>
      <c r="GI41" s="82" t="str">
        <f t="shared" si="158"/>
        <v/>
      </c>
    </row>
    <row r="42" spans="75:191" ht="38.4" customHeight="1" x14ac:dyDescent="0.3">
      <c r="BW42" s="82">
        <v>0</v>
      </c>
      <c r="CE42" s="82">
        <v>0</v>
      </c>
      <c r="CF42" s="82" t="e">
        <v>#REF!</v>
      </c>
      <c r="GE42" s="82" t="str">
        <f t="shared" si="155"/>
        <v/>
      </c>
      <c r="GG42" s="82" t="str">
        <f t="shared" si="156"/>
        <v/>
      </c>
      <c r="GH42" s="82" t="str">
        <f t="shared" si="157"/>
        <v/>
      </c>
      <c r="GI42" s="82" t="str">
        <f t="shared" si="158"/>
        <v/>
      </c>
    </row>
    <row r="43" spans="75:191" ht="38.4" customHeight="1" x14ac:dyDescent="0.3">
      <c r="BW43" s="82">
        <v>0</v>
      </c>
      <c r="CE43" s="82">
        <v>0</v>
      </c>
      <c r="CF43" s="82" t="e">
        <v>#REF!</v>
      </c>
      <c r="GE43" s="82" t="str">
        <f t="shared" si="155"/>
        <v/>
      </c>
      <c r="GG43" s="82" t="str">
        <f t="shared" si="156"/>
        <v/>
      </c>
      <c r="GH43" s="82" t="str">
        <f t="shared" si="157"/>
        <v/>
      </c>
      <c r="GI43" s="82" t="str">
        <f t="shared" si="158"/>
        <v/>
      </c>
    </row>
    <row r="44" spans="75:191" ht="38.4" customHeight="1" x14ac:dyDescent="0.3">
      <c r="BW44" s="82">
        <v>0</v>
      </c>
      <c r="CE44" s="82">
        <v>0</v>
      </c>
      <c r="CF44" s="82" t="e">
        <v>#REF!</v>
      </c>
      <c r="GE44" s="82" t="str">
        <f t="shared" si="155"/>
        <v/>
      </c>
      <c r="GG44" s="82" t="str">
        <f t="shared" si="156"/>
        <v/>
      </c>
      <c r="GH44" s="82" t="str">
        <f t="shared" si="157"/>
        <v/>
      </c>
      <c r="GI44" s="82" t="str">
        <f t="shared" si="158"/>
        <v/>
      </c>
    </row>
    <row r="45" spans="75:191" ht="38.4" customHeight="1" x14ac:dyDescent="0.3">
      <c r="BW45" s="82">
        <v>0</v>
      </c>
      <c r="CE45" s="82">
        <v>0</v>
      </c>
      <c r="CF45" s="82" t="e">
        <v>#REF!</v>
      </c>
      <c r="GE45" s="82" t="str">
        <f t="shared" si="155"/>
        <v/>
      </c>
      <c r="GG45" s="82" t="str">
        <f t="shared" si="156"/>
        <v/>
      </c>
      <c r="GH45" s="82" t="str">
        <f t="shared" si="157"/>
        <v/>
      </c>
      <c r="GI45" s="82" t="str">
        <f t="shared" si="158"/>
        <v/>
      </c>
    </row>
    <row r="46" spans="75:191" ht="38.4" customHeight="1" x14ac:dyDescent="0.3">
      <c r="BW46" s="82">
        <v>0</v>
      </c>
      <c r="CE46" s="82">
        <v>0</v>
      </c>
      <c r="CF46" s="82" t="e">
        <v>#REF!</v>
      </c>
      <c r="GE46" s="82" t="str">
        <f t="shared" si="155"/>
        <v/>
      </c>
      <c r="GG46" s="82" t="str">
        <f t="shared" si="156"/>
        <v/>
      </c>
      <c r="GH46" s="82" t="str">
        <f t="shared" si="157"/>
        <v/>
      </c>
      <c r="GI46" s="82" t="str">
        <f t="shared" si="158"/>
        <v/>
      </c>
    </row>
    <row r="47" spans="75:191" ht="38.4" customHeight="1" x14ac:dyDescent="0.3">
      <c r="BW47" s="82">
        <v>0</v>
      </c>
      <c r="CE47" s="82">
        <v>0</v>
      </c>
      <c r="CF47" s="82" t="e">
        <v>#REF!</v>
      </c>
      <c r="GE47" s="82" t="str">
        <f t="shared" si="155"/>
        <v/>
      </c>
      <c r="GG47" s="82" t="str">
        <f t="shared" si="156"/>
        <v/>
      </c>
      <c r="GH47" s="82" t="str">
        <f t="shared" si="157"/>
        <v/>
      </c>
      <c r="GI47" s="82" t="str">
        <f t="shared" si="158"/>
        <v/>
      </c>
    </row>
    <row r="48" spans="75:191" ht="38.4" customHeight="1" x14ac:dyDescent="0.3">
      <c r="BW48" s="82">
        <v>0</v>
      </c>
      <c r="CE48" s="82">
        <v>0</v>
      </c>
      <c r="CF48" s="82" t="e">
        <v>#REF!</v>
      </c>
      <c r="GE48" s="82" t="str">
        <f t="shared" si="155"/>
        <v/>
      </c>
      <c r="GG48" s="82" t="str">
        <f t="shared" si="156"/>
        <v/>
      </c>
      <c r="GH48" s="82" t="str">
        <f t="shared" si="157"/>
        <v/>
      </c>
      <c r="GI48" s="82" t="str">
        <f t="shared" si="158"/>
        <v/>
      </c>
    </row>
    <row r="49" spans="75:191" ht="38.4" customHeight="1" x14ac:dyDescent="0.3">
      <c r="BW49" s="82">
        <v>0</v>
      </c>
      <c r="CE49" s="82">
        <v>0</v>
      </c>
      <c r="CF49" s="82" t="e">
        <v>#REF!</v>
      </c>
      <c r="GE49" s="82" t="str">
        <f t="shared" si="155"/>
        <v/>
      </c>
      <c r="GG49" s="82" t="str">
        <f t="shared" si="156"/>
        <v/>
      </c>
      <c r="GH49" s="82" t="str">
        <f t="shared" si="157"/>
        <v/>
      </c>
      <c r="GI49" s="82" t="str">
        <f t="shared" si="158"/>
        <v/>
      </c>
    </row>
    <row r="50" spans="75:191" ht="38.4" customHeight="1" x14ac:dyDescent="0.3">
      <c r="BW50" s="82">
        <v>0</v>
      </c>
      <c r="CE50" s="82">
        <v>0</v>
      </c>
      <c r="CF50" s="82" t="e">
        <v>#REF!</v>
      </c>
      <c r="GE50" s="82" t="str">
        <f t="shared" si="155"/>
        <v/>
      </c>
      <c r="GG50" s="82" t="str">
        <f t="shared" si="156"/>
        <v/>
      </c>
      <c r="GH50" s="82" t="str">
        <f t="shared" si="157"/>
        <v/>
      </c>
      <c r="GI50" s="82" t="str">
        <f t="shared" si="158"/>
        <v/>
      </c>
    </row>
    <row r="51" spans="75:191" ht="38.4" customHeight="1" x14ac:dyDescent="0.3">
      <c r="BW51" s="82">
        <v>0</v>
      </c>
      <c r="CE51" s="82">
        <v>0</v>
      </c>
      <c r="CF51" s="82" t="e">
        <v>#REF!</v>
      </c>
      <c r="GE51" s="82" t="str">
        <f t="shared" si="155"/>
        <v/>
      </c>
      <c r="GG51" s="82" t="str">
        <f t="shared" si="156"/>
        <v/>
      </c>
      <c r="GH51" s="82" t="str">
        <f t="shared" si="157"/>
        <v/>
      </c>
      <c r="GI51" s="82" t="str">
        <f t="shared" si="158"/>
        <v/>
      </c>
    </row>
    <row r="52" spans="75:191" ht="38.4" customHeight="1" x14ac:dyDescent="0.3">
      <c r="BW52" s="82">
        <v>0</v>
      </c>
      <c r="CE52" s="82">
        <v>0</v>
      </c>
      <c r="CF52" s="82" t="e">
        <v>#REF!</v>
      </c>
      <c r="GE52" s="82" t="str">
        <f t="shared" si="155"/>
        <v/>
      </c>
      <c r="GG52" s="82" t="str">
        <f t="shared" si="156"/>
        <v/>
      </c>
      <c r="GH52" s="82" t="str">
        <f t="shared" si="157"/>
        <v/>
      </c>
      <c r="GI52" s="82" t="str">
        <f t="shared" si="158"/>
        <v/>
      </c>
    </row>
    <row r="53" spans="75:191" ht="38.4" customHeight="1" x14ac:dyDescent="0.3">
      <c r="BW53" s="82">
        <v>0</v>
      </c>
      <c r="CE53" s="82">
        <v>0</v>
      </c>
      <c r="CF53" s="82" t="e">
        <v>#REF!</v>
      </c>
      <c r="GE53" s="82" t="str">
        <f t="shared" si="155"/>
        <v/>
      </c>
      <c r="GG53" s="82" t="str">
        <f t="shared" si="156"/>
        <v/>
      </c>
      <c r="GH53" s="82" t="str">
        <f t="shared" si="157"/>
        <v/>
      </c>
      <c r="GI53" s="82" t="str">
        <f t="shared" si="158"/>
        <v/>
      </c>
    </row>
    <row r="54" spans="75:191" ht="38.4" customHeight="1" x14ac:dyDescent="0.3">
      <c r="BW54" s="82">
        <v>0</v>
      </c>
      <c r="CE54" s="82">
        <v>0</v>
      </c>
      <c r="CF54" s="82" t="e">
        <v>#REF!</v>
      </c>
      <c r="GE54" s="82" t="str">
        <f t="shared" si="155"/>
        <v/>
      </c>
      <c r="GG54" s="82" t="str">
        <f t="shared" si="156"/>
        <v/>
      </c>
      <c r="GH54" s="82" t="str">
        <f t="shared" si="157"/>
        <v/>
      </c>
      <c r="GI54" s="82" t="str">
        <f t="shared" si="158"/>
        <v/>
      </c>
    </row>
    <row r="55" spans="75:191" ht="38.4" customHeight="1" x14ac:dyDescent="0.3">
      <c r="BW55" s="82">
        <v>0</v>
      </c>
      <c r="CE55" s="82">
        <v>0</v>
      </c>
      <c r="CF55" s="82" t="e">
        <v>#REF!</v>
      </c>
      <c r="GE55" s="82" t="str">
        <f t="shared" si="155"/>
        <v/>
      </c>
      <c r="GG55" s="82" t="str">
        <f t="shared" si="156"/>
        <v/>
      </c>
      <c r="GH55" s="82" t="str">
        <f t="shared" si="157"/>
        <v/>
      </c>
      <c r="GI55" s="82" t="str">
        <f t="shared" si="158"/>
        <v/>
      </c>
    </row>
    <row r="56" spans="75:191" ht="38.4" customHeight="1" x14ac:dyDescent="0.3">
      <c r="BW56" s="82">
        <v>0</v>
      </c>
      <c r="CE56" s="82">
        <v>0</v>
      </c>
      <c r="CF56" s="82" t="e">
        <v>#REF!</v>
      </c>
      <c r="GE56" s="82" t="str">
        <f t="shared" si="155"/>
        <v/>
      </c>
      <c r="GG56" s="82" t="str">
        <f t="shared" si="156"/>
        <v/>
      </c>
      <c r="GH56" s="82" t="str">
        <f t="shared" si="157"/>
        <v/>
      </c>
      <c r="GI56" s="82" t="str">
        <f t="shared" si="158"/>
        <v/>
      </c>
    </row>
    <row r="57" spans="75:191" ht="38.4" customHeight="1" x14ac:dyDescent="0.3">
      <c r="BW57" s="82">
        <v>0</v>
      </c>
      <c r="CE57" s="82">
        <v>0</v>
      </c>
      <c r="CF57" s="82" t="e">
        <v>#REF!</v>
      </c>
      <c r="GE57" s="82" t="str">
        <f t="shared" si="155"/>
        <v/>
      </c>
      <c r="GG57" s="82" t="str">
        <f t="shared" si="156"/>
        <v/>
      </c>
      <c r="GH57" s="82" t="str">
        <f t="shared" si="157"/>
        <v/>
      </c>
      <c r="GI57" s="82" t="str">
        <f t="shared" si="158"/>
        <v/>
      </c>
    </row>
    <row r="58" spans="75:191" ht="38.4" customHeight="1" x14ac:dyDescent="0.3">
      <c r="BW58" s="82">
        <v>0</v>
      </c>
      <c r="CE58" s="82">
        <v>0</v>
      </c>
      <c r="CF58" s="82" t="e">
        <v>#REF!</v>
      </c>
      <c r="GE58" s="82" t="str">
        <f t="shared" si="155"/>
        <v/>
      </c>
      <c r="GG58" s="82" t="str">
        <f t="shared" si="156"/>
        <v/>
      </c>
      <c r="GH58" s="82" t="str">
        <f t="shared" si="157"/>
        <v/>
      </c>
      <c r="GI58" s="82" t="str">
        <f t="shared" si="158"/>
        <v/>
      </c>
    </row>
    <row r="59" spans="75:191" ht="38.4" customHeight="1" x14ac:dyDescent="0.3">
      <c r="BW59" s="82">
        <v>0</v>
      </c>
      <c r="CE59" s="82">
        <v>0</v>
      </c>
      <c r="CF59" s="82" t="e">
        <v>#REF!</v>
      </c>
      <c r="GE59" s="82" t="str">
        <f t="shared" si="155"/>
        <v/>
      </c>
      <c r="GG59" s="82" t="str">
        <f t="shared" si="156"/>
        <v/>
      </c>
      <c r="GH59" s="82" t="str">
        <f t="shared" si="157"/>
        <v/>
      </c>
      <c r="GI59" s="82" t="str">
        <f t="shared" si="158"/>
        <v/>
      </c>
    </row>
    <row r="60" spans="75:191" ht="38.4" customHeight="1" x14ac:dyDescent="0.3">
      <c r="BW60" s="82">
        <v>0</v>
      </c>
      <c r="CE60" s="82">
        <v>0</v>
      </c>
      <c r="CF60" s="82" t="e">
        <v>#REF!</v>
      </c>
      <c r="GE60" s="82" t="str">
        <f t="shared" si="155"/>
        <v/>
      </c>
      <c r="GG60" s="82" t="str">
        <f t="shared" si="156"/>
        <v/>
      </c>
      <c r="GH60" s="82" t="str">
        <f t="shared" si="157"/>
        <v/>
      </c>
      <c r="GI60" s="82" t="str">
        <f t="shared" si="158"/>
        <v/>
      </c>
    </row>
    <row r="61" spans="75:191" ht="38.4" customHeight="1" x14ac:dyDescent="0.3">
      <c r="BW61" s="82">
        <v>0</v>
      </c>
      <c r="CE61" s="82">
        <v>0</v>
      </c>
      <c r="CF61" s="82" t="e">
        <v>#REF!</v>
      </c>
      <c r="GE61" s="82" t="str">
        <f t="shared" si="155"/>
        <v/>
      </c>
      <c r="GG61" s="82" t="str">
        <f t="shared" si="156"/>
        <v/>
      </c>
      <c r="GH61" s="82" t="str">
        <f t="shared" si="157"/>
        <v/>
      </c>
      <c r="GI61" s="82" t="str">
        <f t="shared" si="158"/>
        <v/>
      </c>
    </row>
    <row r="62" spans="75:191" ht="38.4" customHeight="1" x14ac:dyDescent="0.3">
      <c r="BW62" s="82">
        <v>0</v>
      </c>
      <c r="CE62" s="82">
        <v>0</v>
      </c>
      <c r="CF62" s="82" t="e">
        <v>#REF!</v>
      </c>
      <c r="GE62" s="82" t="str">
        <f t="shared" si="155"/>
        <v/>
      </c>
      <c r="GG62" s="82" t="str">
        <f t="shared" si="156"/>
        <v/>
      </c>
      <c r="GH62" s="82" t="str">
        <f t="shared" si="157"/>
        <v/>
      </c>
      <c r="GI62" s="82" t="str">
        <f t="shared" si="158"/>
        <v/>
      </c>
    </row>
    <row r="63" spans="75:191" ht="38.4" customHeight="1" x14ac:dyDescent="0.3">
      <c r="BW63" s="82">
        <v>0</v>
      </c>
      <c r="CE63" s="82">
        <v>0</v>
      </c>
      <c r="CF63" s="82" t="e">
        <v>#REF!</v>
      </c>
      <c r="GE63" s="82" t="str">
        <f t="shared" si="155"/>
        <v/>
      </c>
      <c r="GG63" s="82" t="str">
        <f t="shared" si="156"/>
        <v/>
      </c>
      <c r="GH63" s="82" t="str">
        <f t="shared" si="157"/>
        <v/>
      </c>
      <c r="GI63" s="82" t="str">
        <f t="shared" si="158"/>
        <v/>
      </c>
    </row>
    <row r="64" spans="75:191" ht="38.4" customHeight="1" x14ac:dyDescent="0.3">
      <c r="BW64" s="82">
        <v>0</v>
      </c>
      <c r="CE64" s="82">
        <v>0</v>
      </c>
      <c r="CF64" s="82" t="e">
        <v>#REF!</v>
      </c>
      <c r="GE64" s="82" t="str">
        <f t="shared" si="155"/>
        <v/>
      </c>
      <c r="GG64" s="82" t="str">
        <f t="shared" si="156"/>
        <v/>
      </c>
      <c r="GH64" s="82" t="str">
        <f t="shared" si="157"/>
        <v/>
      </c>
      <c r="GI64" s="82" t="str">
        <f t="shared" si="158"/>
        <v/>
      </c>
    </row>
    <row r="65" spans="75:191" ht="38.4" customHeight="1" x14ac:dyDescent="0.3">
      <c r="BW65" s="82">
        <v>0</v>
      </c>
      <c r="CE65" s="82">
        <v>0</v>
      </c>
      <c r="CF65" s="82" t="e">
        <v>#REF!</v>
      </c>
      <c r="GE65" s="82" t="str">
        <f t="shared" si="155"/>
        <v/>
      </c>
      <c r="GG65" s="82" t="str">
        <f t="shared" si="156"/>
        <v/>
      </c>
      <c r="GH65" s="82" t="str">
        <f t="shared" si="157"/>
        <v/>
      </c>
      <c r="GI65" s="82" t="str">
        <f t="shared" si="158"/>
        <v/>
      </c>
    </row>
  </sheetData>
  <autoFilter ref="A1:IY65" xr:uid="{A1051193-A95B-4CFB-A73C-F0184620C81F}">
    <sortState xmlns:xlrd2="http://schemas.microsoft.com/office/spreadsheetml/2017/richdata2" ref="A2:IY65">
      <sortCondition ref="AW1:AW65"/>
    </sortState>
  </autoFilter>
  <conditionalFormatting sqref="H1 CW1:GS1 IA1:IB1">
    <cfRule type="cellIs" dxfId="1840" priority="66" operator="greaterThan">
      <formula>0</formula>
    </cfRule>
  </conditionalFormatting>
  <conditionalFormatting sqref="H1:H1048576">
    <cfRule type="cellIs" dxfId="1839" priority="6" stopIfTrue="1" operator="notEqual">
      <formula>""</formula>
    </cfRule>
  </conditionalFormatting>
  <conditionalFormatting sqref="R2:R22 CU2:CU22">
    <cfRule type="cellIs" dxfId="1838" priority="8" operator="greaterThan">
      <formula>0</formula>
    </cfRule>
  </conditionalFormatting>
  <conditionalFormatting sqref="T2:AS22 CH2:CS22">
    <cfRule type="cellIs" dxfId="1837" priority="3" stopIfTrue="1" operator="equal">
      <formula>"n"</formula>
    </cfRule>
    <cfRule type="cellIs" dxfId="1836" priority="4" stopIfTrue="1" operator="equal">
      <formula>"y"</formula>
    </cfRule>
    <cfRule type="cellIs" dxfId="1835" priority="5" operator="greaterThan">
      <formula>0</formula>
    </cfRule>
  </conditionalFormatting>
  <conditionalFormatting sqref="T1:BK1">
    <cfRule type="cellIs" dxfId="1834" priority="69" operator="greaterThan">
      <formula>0</formula>
    </cfRule>
  </conditionalFormatting>
  <conditionalFormatting sqref="AZ2:BB22">
    <cfRule type="expression" dxfId="1833" priority="2">
      <formula>$AT2=0</formula>
    </cfRule>
  </conditionalFormatting>
  <conditionalFormatting sqref="AZ2:BU22">
    <cfRule type="cellIs" dxfId="1832" priority="44" operator="equal">
      <formula>"PIN"</formula>
    </cfRule>
    <cfRule type="cellIs" dxfId="1831" priority="45" operator="equal">
      <formula>"ORA"</formula>
    </cfRule>
    <cfRule type="cellIs" dxfId="1830" priority="46" operator="equal">
      <formula>"GRA"</formula>
    </cfRule>
    <cfRule type="cellIs" dxfId="1829" priority="47" operator="equal">
      <formula>"PUR"</formula>
    </cfRule>
    <cfRule type="cellIs" dxfId="1828" priority="48" operator="equal">
      <formula>"BRO"</formula>
    </cfRule>
    <cfRule type="cellIs" dxfId="1827" priority="49" operator="equal">
      <formula>"YEL"</formula>
    </cfRule>
    <cfRule type="cellIs" dxfId="1826" priority="50" operator="equal">
      <formula>"BLU"</formula>
    </cfRule>
    <cfRule type="cellIs" dxfId="1825" priority="51" operator="equal">
      <formula>"WHI"</formula>
    </cfRule>
    <cfRule type="cellIs" dxfId="1824" priority="52" operator="equal">
      <formula>"GRE"</formula>
    </cfRule>
    <cfRule type="cellIs" dxfId="1823" priority="53" operator="equal">
      <formula>"RED"</formula>
    </cfRule>
    <cfRule type="cellIs" dxfId="1822" priority="54" operator="equal">
      <formula>"BLA"</formula>
    </cfRule>
  </conditionalFormatting>
  <conditionalFormatting sqref="BV1:BW1 BV12:BW1048576 BV2:BV11">
    <cfRule type="cellIs" dxfId="1821" priority="68" operator="equal">
      <formula>"nc"</formula>
    </cfRule>
  </conditionalFormatting>
  <conditionalFormatting sqref="BX2:CA22 CD2:CF22">
    <cfRule type="cellIs" dxfId="1820" priority="7" operator="equal">
      <formula>"y"</formula>
    </cfRule>
    <cfRule type="cellIs" dxfId="1819" priority="55" operator="equal">
      <formula>"PIN"</formula>
    </cfRule>
    <cfRule type="cellIs" dxfId="1818" priority="56" operator="equal">
      <formula>"ORA"</formula>
    </cfRule>
    <cfRule type="cellIs" dxfId="1817" priority="57" operator="equal">
      <formula>"GRA"</formula>
    </cfRule>
    <cfRule type="cellIs" dxfId="1816" priority="58" operator="equal">
      <formula>"PUR"</formula>
    </cfRule>
    <cfRule type="cellIs" dxfId="1815" priority="59" operator="equal">
      <formula>"BRO"</formula>
    </cfRule>
    <cfRule type="cellIs" dxfId="1814" priority="60" operator="equal">
      <formula>"YEL"</formula>
    </cfRule>
    <cfRule type="cellIs" dxfId="1813" priority="61" operator="equal">
      <formula>"BLU"</formula>
    </cfRule>
    <cfRule type="cellIs" dxfId="1812" priority="62" operator="equal">
      <formula>"WHI"</formula>
    </cfRule>
    <cfRule type="cellIs" dxfId="1811" priority="63" operator="equal">
      <formula>"GRE"</formula>
    </cfRule>
    <cfRule type="cellIs" dxfId="1810" priority="64" operator="equal">
      <formula>"RED"</formula>
    </cfRule>
    <cfRule type="cellIs" dxfId="1809" priority="65" operator="equal">
      <formula>"BLA"</formula>
    </cfRule>
  </conditionalFormatting>
  <conditionalFormatting sqref="BZ2:CA22 CD2:CF22">
    <cfRule type="cellIs" dxfId="1808" priority="9" operator="greaterThan">
      <formula>0</formula>
    </cfRule>
  </conditionalFormatting>
  <conditionalFormatting sqref="HF1:HG1">
    <cfRule type="cellIs" dxfId="1807" priority="70" operator="greaterThan">
      <formula>0</formula>
    </cfRule>
  </conditionalFormatting>
  <conditionalFormatting sqref="HK1">
    <cfRule type="cellIs" dxfId="1806" priority="67" operator="greaterThan">
      <formula>0</formula>
    </cfRule>
  </conditionalFormatting>
  <conditionalFormatting sqref="HP1:HX1">
    <cfRule type="cellIs" dxfId="1805" priority="21" operator="equal">
      <formula>"PIN"</formula>
    </cfRule>
    <cfRule type="cellIs" dxfId="1804" priority="22" operator="equal">
      <formula>"ORA"</formula>
    </cfRule>
    <cfRule type="cellIs" dxfId="1803" priority="23" operator="equal">
      <formula>"GRA"</formula>
    </cfRule>
    <cfRule type="cellIs" dxfId="1802" priority="24" operator="equal">
      <formula>"PUR"</formula>
    </cfRule>
    <cfRule type="cellIs" dxfId="1801" priority="25" operator="equal">
      <formula>"BRO"</formula>
    </cfRule>
    <cfRule type="cellIs" dxfId="1800" priority="26" operator="equal">
      <formula>"YEL"</formula>
    </cfRule>
    <cfRule type="cellIs" dxfId="1799" priority="27" operator="equal">
      <formula>"BLU"</formula>
    </cfRule>
    <cfRule type="cellIs" dxfId="1798" priority="28" operator="equal">
      <formula>"WHI"</formula>
    </cfRule>
    <cfRule type="cellIs" dxfId="1797" priority="29" operator="equal">
      <formula>"GRE"</formula>
    </cfRule>
    <cfRule type="cellIs" dxfId="1796" priority="30" operator="equal">
      <formula>"RED"</formula>
    </cfRule>
    <cfRule type="cellIs" dxfId="1795" priority="31" operator="equal">
      <formula>"BLA"</formula>
    </cfRule>
  </conditionalFormatting>
  <conditionalFormatting sqref="IC1:IK1">
    <cfRule type="cellIs" dxfId="1794" priority="33" operator="equal">
      <formula>"PIN"</formula>
    </cfRule>
    <cfRule type="cellIs" dxfId="1793" priority="34" operator="equal">
      <formula>"ORA"</formula>
    </cfRule>
    <cfRule type="cellIs" dxfId="1792" priority="35" operator="equal">
      <formula>"GRA"</formula>
    </cfRule>
    <cfRule type="cellIs" dxfId="1791" priority="36" operator="equal">
      <formula>"PUR"</formula>
    </cfRule>
    <cfRule type="cellIs" dxfId="1790" priority="37" operator="equal">
      <formula>"BRO"</formula>
    </cfRule>
    <cfRule type="cellIs" dxfId="1789" priority="38" operator="equal">
      <formula>"YEL"</formula>
    </cfRule>
    <cfRule type="cellIs" dxfId="1788" priority="39" operator="equal">
      <formula>"BLU"</formula>
    </cfRule>
    <cfRule type="cellIs" dxfId="1787" priority="40" operator="equal">
      <formula>"WHI"</formula>
    </cfRule>
    <cfRule type="cellIs" dxfId="1786" priority="41" operator="equal">
      <formula>"GRE"</formula>
    </cfRule>
    <cfRule type="cellIs" dxfId="1785" priority="42" operator="equal">
      <formula>"RED"</formula>
    </cfRule>
    <cfRule type="cellIs" dxfId="1784" priority="43" operator="equal">
      <formula>"BLA"</formula>
    </cfRule>
  </conditionalFormatting>
  <conditionalFormatting sqref="IC2:IK22">
    <cfRule type="expression" dxfId="1783" priority="32">
      <formula>$IL2&gt;0</formula>
    </cfRule>
  </conditionalFormatting>
  <conditionalFormatting sqref="IO1:IW1">
    <cfRule type="cellIs" dxfId="1782" priority="10" operator="equal">
      <formula>"PIN"</formula>
    </cfRule>
    <cfRule type="cellIs" dxfId="1781" priority="11" operator="equal">
      <formula>"ORA"</formula>
    </cfRule>
    <cfRule type="cellIs" dxfId="1780" priority="12" operator="equal">
      <formula>"GRA"</formula>
    </cfRule>
    <cfRule type="cellIs" dxfId="1779" priority="13" operator="equal">
      <formula>"PUR"</formula>
    </cfRule>
    <cfRule type="cellIs" dxfId="1778" priority="14" operator="equal">
      <formula>"BRO"</formula>
    </cfRule>
    <cfRule type="cellIs" dxfId="1777" priority="15" operator="equal">
      <formula>"YEL"</formula>
    </cfRule>
    <cfRule type="cellIs" dxfId="1776" priority="16" operator="equal">
      <formula>"BLU"</formula>
    </cfRule>
    <cfRule type="cellIs" dxfId="1775" priority="17" operator="equal">
      <formula>"WHI"</formula>
    </cfRule>
    <cfRule type="cellIs" dxfId="1774" priority="18" operator="equal">
      <formula>"GRE"</formula>
    </cfRule>
    <cfRule type="cellIs" dxfId="1773" priority="19" operator="equal">
      <formula>"RED"</formula>
    </cfRule>
    <cfRule type="cellIs" dxfId="1772" priority="20" operator="equal">
      <formula>"BLA"</formula>
    </cfRule>
  </conditionalFormatting>
  <conditionalFormatting sqref="S2:S22">
    <cfRule type="colorScale" priority="401">
      <colorScale>
        <cfvo type="min"/>
        <cfvo type="max"/>
        <color rgb="FFFCFCFF"/>
        <color rgb="FF754BFB"/>
      </colorScale>
    </cfRule>
  </conditionalFormatting>
  <conditionalFormatting sqref="AT2:AT22">
    <cfRule type="colorScale" priority="403">
      <colorScale>
        <cfvo type="min"/>
        <cfvo type="max"/>
        <color rgb="FFFCFCFF"/>
        <color theme="8" tint="0.39997558519241921"/>
      </colorScale>
    </cfRule>
  </conditionalFormatting>
  <conditionalFormatting sqref="CG2:CG22">
    <cfRule type="colorScale" priority="405">
      <colorScale>
        <cfvo type="min"/>
        <cfvo type="max"/>
        <color rgb="FFFCFCFF"/>
        <color rgb="FF63BE7B"/>
      </colorScale>
    </cfRule>
  </conditionalFormatting>
  <conditionalFormatting sqref="J2:J22">
    <cfRule type="colorScale" priority="1">
      <colorScale>
        <cfvo type="min"/>
        <cfvo type="percentile" val="50"/>
        <cfvo type="max"/>
        <color rgb="FFF8696B"/>
        <color rgb="FFFFEB84"/>
        <color rgb="FF63BE7B"/>
      </colorScale>
    </cfRule>
  </conditionalFormatting>
  <hyperlinks>
    <hyperlink ref="A2" r:id="rId1" display="https://fbref.com/en/country/AUS/Australia-Football" xr:uid="{79FEE108-61F1-4A21-BA39-DB3F957E1F2B}"/>
    <hyperlink ref="D15" r:id="rId2" xr:uid="{3D2CF3F0-7069-4C9B-9B33-EE382A01C738}"/>
    <hyperlink ref="I15" r:id="rId3" xr:uid="{9B2EB092-C562-478B-9111-078C78C27CFE}"/>
    <hyperlink ref="E15" r:id="rId4" xr:uid="{976112A5-8A17-4ACC-8FF1-1AACB406A011}"/>
  </hyperlinks>
  <pageMargins left="0.7" right="0.7" top="0.75" bottom="0.75" header="0.3" footer="0.3"/>
  <pageSetup paperSize="9"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5121" r:id="rId8" name="Button 1">
              <controlPr defaultSize="0" print="0" autoFill="0" autoPict="0" macro="[0]!InsertImagesFromSelectedRange">
                <anchor moveWithCells="1" sizeWithCells="1">
                  <from>
                    <xdr:col>1</xdr:col>
                    <xdr:colOff>76200</xdr:colOff>
                    <xdr:row>0</xdr:row>
                    <xdr:rowOff>7620</xdr:rowOff>
                  </from>
                  <to>
                    <xdr:col>2</xdr:col>
                    <xdr:colOff>0</xdr:colOff>
                    <xdr:row>0</xdr:row>
                    <xdr:rowOff>487680</xdr:rowOff>
                  </to>
                </anchor>
              </controlPr>
            </control>
          </mc:Choice>
        </mc:AlternateContent>
        <mc:AlternateContent xmlns:mc="http://schemas.openxmlformats.org/markup-compatibility/2006">
          <mc:Choice Requires="x14">
            <control shapeId="5122" r:id="rId9" name="Button 2">
              <controlPr defaultSize="0" print="0" autoFill="0" autoPict="0" macro="[0]!ReplaceLineBreaksWithNewLineManualRange">
                <anchor moveWithCells="1" sizeWithCells="1">
                  <from>
                    <xdr:col>7</xdr:col>
                    <xdr:colOff>15240</xdr:colOff>
                    <xdr:row>0</xdr:row>
                    <xdr:rowOff>45720</xdr:rowOff>
                  </from>
                  <to>
                    <xdr:col>7</xdr:col>
                    <xdr:colOff>685800</xdr:colOff>
                    <xdr:row>0</xdr:row>
                    <xdr:rowOff>403860</xdr:rowOff>
                  </to>
                </anchor>
              </controlPr>
            </control>
          </mc:Choice>
        </mc:AlternateContent>
        <mc:AlternateContent xmlns:mc="http://schemas.openxmlformats.org/markup-compatibility/2006">
          <mc:Choice Requires="x14">
            <control shapeId="5123" r:id="rId10" name="Button 3">
              <controlPr defaultSize="0" print="0" autoFill="0" autoPict="0" macro="[0]!GoToSheet">
                <anchor moveWithCells="1" sizeWithCells="1">
                  <from>
                    <xdr:col>0</xdr:col>
                    <xdr:colOff>137160</xdr:colOff>
                    <xdr:row>0</xdr:row>
                    <xdr:rowOff>114300</xdr:rowOff>
                  </from>
                  <to>
                    <xdr:col>0</xdr:col>
                    <xdr:colOff>762000</xdr:colOff>
                    <xdr:row>0</xdr:row>
                    <xdr:rowOff>419100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037029-AE6B-4AAC-A7E2-5778059260F0}">
  <sheetPr codeName="Sheet23"/>
  <dimension ref="A1:IY3"/>
  <sheetViews>
    <sheetView zoomScale="70" zoomScaleNormal="70" workbookViewId="0">
      <pane xSplit="5" ySplit="1" topLeftCell="F2" activePane="bottomRight" state="frozen"/>
      <selection activeCell="A2" sqref="A2"/>
      <selection pane="topRight" activeCell="A2" sqref="A2"/>
      <selection pane="bottomLeft" activeCell="A2" sqref="A2"/>
      <selection pane="bottomRight" activeCell="D7" sqref="D7"/>
    </sheetView>
  </sheetViews>
  <sheetFormatPr defaultRowHeight="38.4" customHeight="1" x14ac:dyDescent="0.3"/>
  <cols>
    <col min="1" max="1" width="52.44140625" style="82" bestFit="1" customWidth="1"/>
    <col min="2" max="2" width="10.109375" style="82" customWidth="1"/>
    <col min="3" max="3" width="7.44140625" style="83" customWidth="1"/>
    <col min="4" max="4" width="4.77734375" style="84" customWidth="1"/>
    <col min="5" max="5" width="4.5546875" style="84" customWidth="1"/>
    <col min="6" max="6" width="5.77734375" style="84" customWidth="1"/>
    <col min="7" max="7" width="7.44140625" style="82" customWidth="1"/>
    <col min="8" max="8" width="11.44140625" style="82" customWidth="1"/>
    <col min="9" max="9" width="10" style="82" customWidth="1"/>
    <col min="10" max="10" width="4.21875" style="82" customWidth="1"/>
    <col min="11" max="11" width="5.6640625" style="84" customWidth="1"/>
    <col min="12" max="12" width="2.88671875" style="84" customWidth="1"/>
    <col min="13" max="13" width="6.44140625" style="84" customWidth="1"/>
    <col min="14" max="14" width="4.5546875" style="84" customWidth="1"/>
    <col min="15" max="15" width="10.5546875" style="85" customWidth="1"/>
    <col min="16" max="16" width="6.88671875" style="84" customWidth="1"/>
    <col min="17" max="17" width="4.77734375" style="84" customWidth="1"/>
    <col min="18" max="18" width="13.109375" style="83" customWidth="1"/>
    <col min="19" max="19" width="6.77734375" style="83" customWidth="1"/>
    <col min="20" max="46" width="8.44140625" style="82" customWidth="1"/>
    <col min="47" max="47" width="24.5546875" style="82" customWidth="1"/>
    <col min="48" max="51" width="16.6640625" style="82" customWidth="1"/>
    <col min="52" max="52" width="6.5546875" style="82" customWidth="1"/>
    <col min="53" max="54" width="5.88671875" style="82" customWidth="1"/>
    <col min="55" max="55" width="1.33203125" style="82" customWidth="1"/>
    <col min="56" max="56" width="7.44140625" style="82" customWidth="1"/>
    <col min="57" max="57" width="2.33203125" style="82" customWidth="1"/>
    <col min="58" max="62" width="6.109375" style="82" customWidth="1"/>
    <col min="63" max="63" width="2.33203125" style="82" customWidth="1"/>
    <col min="64" max="64" width="7" style="82" bestFit="1" customWidth="1"/>
    <col min="65" max="65" width="6.44140625" style="82" bestFit="1" customWidth="1"/>
    <col min="66" max="66" width="7.109375" style="82" bestFit="1" customWidth="1"/>
    <col min="67" max="71" width="6.44140625" style="82" bestFit="1" customWidth="1"/>
    <col min="72" max="73" width="6.44140625" style="82" customWidth="1"/>
    <col min="74" max="75" width="13.44140625" style="82" customWidth="1"/>
    <col min="76" max="84" width="14.6640625" style="82" customWidth="1"/>
    <col min="85" max="85" width="6.44140625" style="82" customWidth="1"/>
    <col min="86" max="87" width="11.6640625" style="82" bestFit="1" customWidth="1"/>
    <col min="88" max="88" width="11.6640625" style="82" customWidth="1"/>
    <col min="89" max="89" width="12.77734375" style="82" bestFit="1" customWidth="1"/>
    <col min="90" max="90" width="16.44140625" style="83" bestFit="1" customWidth="1"/>
    <col min="91" max="92" width="14.88671875" style="83" bestFit="1" customWidth="1"/>
    <col min="93" max="93" width="16" style="83" bestFit="1" customWidth="1"/>
    <col min="94" max="97" width="7.77734375" style="82" customWidth="1"/>
    <col min="98" max="98" width="33.21875" style="82" customWidth="1"/>
    <col min="99" max="99" width="18" style="82" customWidth="1"/>
    <col min="100" max="100" width="75.6640625" style="82" customWidth="1"/>
    <col min="101" max="125" width="33" style="82" customWidth="1"/>
    <col min="126" max="126" width="8.88671875" style="82"/>
    <col min="127" max="128" width="9.44140625" style="82" bestFit="1" customWidth="1"/>
    <col min="129" max="129" width="10.77734375" style="82" bestFit="1" customWidth="1"/>
    <col min="130" max="134" width="10.77734375" style="82" customWidth="1"/>
    <col min="135" max="135" width="10.109375" style="82" bestFit="1" customWidth="1"/>
    <col min="136" max="136" width="7.77734375" style="82" bestFit="1" customWidth="1"/>
    <col min="137" max="137" width="7.77734375" style="82" customWidth="1"/>
    <col min="138" max="138" width="9" style="82" bestFit="1" customWidth="1"/>
    <col min="139" max="139" width="11.33203125" style="82" bestFit="1" customWidth="1"/>
    <col min="140" max="140" width="9.109375" style="82" bestFit="1" customWidth="1"/>
    <col min="141" max="141" width="9" style="82" bestFit="1" customWidth="1"/>
    <col min="142" max="142" width="12" style="82" bestFit="1" customWidth="1"/>
    <col min="143" max="166" width="12" style="82" customWidth="1"/>
    <col min="167" max="167" width="17.21875" style="82" customWidth="1"/>
    <col min="168" max="191" width="12" style="82" customWidth="1"/>
    <col min="192" max="192" width="8.5546875" style="82" bestFit="1" customWidth="1"/>
    <col min="193" max="193" width="8.5546875" style="82" customWidth="1"/>
    <col min="194" max="194" width="7.109375" style="82" bestFit="1" customWidth="1"/>
    <col min="195" max="195" width="7.5546875" style="82" bestFit="1" customWidth="1"/>
    <col min="196" max="196" width="8.5546875" style="82" bestFit="1" customWidth="1"/>
    <col min="197" max="200" width="8.5546875" style="82" customWidth="1"/>
    <col min="201" max="201" width="188.88671875" style="82" customWidth="1"/>
    <col min="202" max="202" width="9.5546875" style="82" bestFit="1" customWidth="1"/>
    <col min="203" max="203" width="10.44140625" style="82" bestFit="1" customWidth="1"/>
    <col min="204" max="204" width="11.109375" style="82" bestFit="1" customWidth="1"/>
    <col min="205" max="205" width="10.44140625" style="82" bestFit="1" customWidth="1"/>
    <col min="206" max="210" width="10.44140625" style="82" customWidth="1"/>
    <col min="211" max="211" width="45.44140625" style="82" customWidth="1"/>
    <col min="212" max="212" width="47.5546875" style="82" bestFit="1" customWidth="1"/>
    <col min="213" max="213" width="9.33203125" style="86" customWidth="1"/>
    <col min="214" max="214" width="119.5546875" style="82" customWidth="1"/>
    <col min="215" max="215" width="69.6640625" style="82" customWidth="1"/>
    <col min="216" max="218" width="8.88671875" style="82"/>
    <col min="219" max="219" width="37.109375" style="82" customWidth="1"/>
    <col min="220" max="220" width="16.33203125" style="82" customWidth="1"/>
    <col min="221" max="222" width="8.88671875" style="82"/>
    <col min="223" max="223" width="10.109375" style="82" bestFit="1" customWidth="1"/>
    <col min="224" max="232" width="10.88671875" style="82" customWidth="1"/>
    <col min="233" max="234" width="30.77734375" style="82" customWidth="1"/>
    <col min="235" max="235" width="5.109375" style="82" customWidth="1"/>
    <col min="236" max="236" width="3" style="82" customWidth="1"/>
    <col min="237" max="245" width="6.77734375" style="76" customWidth="1"/>
    <col min="246" max="247" width="8.88671875" style="82"/>
    <col min="248" max="248" width="61.5546875" style="82" customWidth="1"/>
    <col min="249" max="253" width="8.88671875" style="82"/>
    <col min="254" max="254" width="9" style="82" customWidth="1"/>
    <col min="255" max="16384" width="8.88671875" style="82"/>
  </cols>
  <sheetData>
    <row r="1" spans="1:259" s="5" customFormat="1" ht="38.4" customHeight="1" thickBot="1" x14ac:dyDescent="0.35">
      <c r="A1" s="1" t="s">
        <v>0</v>
      </c>
      <c r="B1" s="79" t="s">
        <v>1</v>
      </c>
      <c r="C1" s="2" t="s">
        <v>2</v>
      </c>
      <c r="D1" s="3"/>
      <c r="E1" s="3" t="s">
        <v>3</v>
      </c>
      <c r="F1" s="4"/>
      <c r="H1" s="6" t="s">
        <v>4</v>
      </c>
      <c r="J1" s="5" t="s">
        <v>5</v>
      </c>
      <c r="K1" s="7" t="s">
        <v>6</v>
      </c>
      <c r="L1" s="8" t="s">
        <v>7</v>
      </c>
      <c r="M1" s="8" t="s">
        <v>8</v>
      </c>
      <c r="N1" s="9" t="s">
        <v>9</v>
      </c>
      <c r="O1" s="10" t="s">
        <v>10</v>
      </c>
      <c r="P1" s="11" t="s">
        <v>11</v>
      </c>
      <c r="Q1" s="11" t="s">
        <v>12</v>
      </c>
      <c r="R1" s="12" t="s">
        <v>0</v>
      </c>
      <c r="S1" s="13" t="s">
        <v>13</v>
      </c>
      <c r="T1" s="14" t="s">
        <v>14</v>
      </c>
      <c r="U1" s="14" t="s">
        <v>15</v>
      </c>
      <c r="V1" s="15" t="s">
        <v>16</v>
      </c>
      <c r="W1" s="14" t="s">
        <v>17</v>
      </c>
      <c r="X1" s="14" t="s">
        <v>18</v>
      </c>
      <c r="Y1" s="14" t="s">
        <v>19</v>
      </c>
      <c r="Z1" s="14" t="s">
        <v>20</v>
      </c>
      <c r="AA1" s="14" t="s">
        <v>21</v>
      </c>
      <c r="AB1" s="14" t="s">
        <v>22</v>
      </c>
      <c r="AC1" s="14" t="s">
        <v>23</v>
      </c>
      <c r="AD1" s="14" t="s">
        <v>24</v>
      </c>
      <c r="AE1" s="14" t="s">
        <v>25</v>
      </c>
      <c r="AF1" s="16" t="s">
        <v>26</v>
      </c>
      <c r="AG1" s="16" t="s">
        <v>27</v>
      </c>
      <c r="AH1" s="16" t="s">
        <v>28</v>
      </c>
      <c r="AI1" s="16" t="s">
        <v>29</v>
      </c>
      <c r="AJ1" s="16" t="s">
        <v>30</v>
      </c>
      <c r="AK1" s="16" t="s">
        <v>31</v>
      </c>
      <c r="AL1" s="16" t="s">
        <v>32</v>
      </c>
      <c r="AM1" s="16" t="s">
        <v>33</v>
      </c>
      <c r="AN1" s="16" t="s">
        <v>34</v>
      </c>
      <c r="AO1" s="16" t="s">
        <v>35</v>
      </c>
      <c r="AP1" s="16" t="s">
        <v>36</v>
      </c>
      <c r="AQ1" s="16" t="s">
        <v>37</v>
      </c>
      <c r="AR1" s="16" t="s">
        <v>38</v>
      </c>
      <c r="AS1" s="16" t="s">
        <v>39</v>
      </c>
      <c r="AT1" s="17" t="s">
        <v>40</v>
      </c>
      <c r="AU1" s="18" t="s">
        <v>41</v>
      </c>
      <c r="AV1" s="18" t="s">
        <v>42</v>
      </c>
      <c r="AW1" s="18" t="s">
        <v>43</v>
      </c>
      <c r="AX1" s="19"/>
      <c r="AY1" s="20" t="s">
        <v>44</v>
      </c>
      <c r="AZ1" s="19" t="s">
        <v>45</v>
      </c>
      <c r="BA1" s="19"/>
      <c r="BB1" s="19"/>
      <c r="BC1" s="21"/>
      <c r="BD1" s="19" t="s">
        <v>46</v>
      </c>
      <c r="BE1" s="21"/>
      <c r="BF1" s="19" t="s">
        <v>47</v>
      </c>
      <c r="BG1" s="19" t="s">
        <v>48</v>
      </c>
      <c r="BH1" s="19" t="s">
        <v>49</v>
      </c>
      <c r="BI1" s="19" t="s">
        <v>50</v>
      </c>
      <c r="BJ1" s="19" t="s">
        <v>51</v>
      </c>
      <c r="BK1" s="21"/>
      <c r="BL1" s="22" t="s">
        <v>52</v>
      </c>
      <c r="BM1" s="22"/>
      <c r="BN1" s="22"/>
      <c r="BO1" s="22"/>
      <c r="BP1" s="22"/>
      <c r="BQ1" s="22"/>
      <c r="BR1" s="22"/>
      <c r="BS1" s="22"/>
      <c r="BT1" s="23"/>
      <c r="BU1" s="23" t="s">
        <v>53</v>
      </c>
      <c r="BV1" s="23" t="s">
        <v>54</v>
      </c>
      <c r="BW1" s="23" t="s">
        <v>55</v>
      </c>
      <c r="BX1" s="23"/>
      <c r="BY1" s="23" t="s">
        <v>56</v>
      </c>
      <c r="BZ1" s="23" t="s">
        <v>57</v>
      </c>
      <c r="CA1" s="23" t="s">
        <v>58</v>
      </c>
      <c r="CB1" s="23" t="s">
        <v>59</v>
      </c>
      <c r="CC1" s="23" t="s">
        <v>60</v>
      </c>
      <c r="CD1" s="23" t="s">
        <v>61</v>
      </c>
      <c r="CE1" s="23" t="s">
        <v>62</v>
      </c>
      <c r="CF1" s="23" t="s">
        <v>63</v>
      </c>
      <c r="CG1" s="23"/>
      <c r="CH1" s="23" t="s">
        <v>64</v>
      </c>
      <c r="CI1" s="23" t="s">
        <v>65</v>
      </c>
      <c r="CJ1" s="23" t="s">
        <v>66</v>
      </c>
      <c r="CK1" s="23" t="s">
        <v>67</v>
      </c>
      <c r="CL1" s="24" t="s">
        <v>68</v>
      </c>
      <c r="CM1" s="24" t="s">
        <v>69</v>
      </c>
      <c r="CN1" s="24" t="s">
        <v>70</v>
      </c>
      <c r="CO1" s="24" t="s">
        <v>71</v>
      </c>
      <c r="CP1" s="24" t="s">
        <v>72</v>
      </c>
      <c r="CQ1" s="24" t="s">
        <v>73</v>
      </c>
      <c r="CR1" s="24" t="s">
        <v>74</v>
      </c>
      <c r="CS1" s="24" t="s">
        <v>75</v>
      </c>
      <c r="CT1" s="1" t="s">
        <v>76</v>
      </c>
      <c r="CU1" s="25" t="s">
        <v>0</v>
      </c>
      <c r="CV1" s="5" t="s">
        <v>77</v>
      </c>
      <c r="CW1" s="14" t="s">
        <v>78</v>
      </c>
      <c r="CX1" s="14" t="s">
        <v>79</v>
      </c>
      <c r="CY1" s="14" t="s">
        <v>66</v>
      </c>
      <c r="CZ1" s="14" t="s">
        <v>80</v>
      </c>
      <c r="DA1" s="14" t="s">
        <v>81</v>
      </c>
      <c r="DB1" s="14" t="s">
        <v>82</v>
      </c>
      <c r="DC1" s="14" t="s">
        <v>83</v>
      </c>
      <c r="DD1" s="14" t="s">
        <v>84</v>
      </c>
      <c r="DE1" s="14" t="s">
        <v>85</v>
      </c>
      <c r="DF1" s="14" t="s">
        <v>86</v>
      </c>
      <c r="DG1" s="14" t="s">
        <v>87</v>
      </c>
      <c r="DH1" s="14" t="s">
        <v>88</v>
      </c>
      <c r="DI1" s="14" t="s">
        <v>89</v>
      </c>
      <c r="DJ1" s="14" t="s">
        <v>90</v>
      </c>
      <c r="DK1" s="14" t="s">
        <v>91</v>
      </c>
      <c r="DL1" s="14" t="s">
        <v>92</v>
      </c>
      <c r="DM1" s="14" t="s">
        <v>93</v>
      </c>
      <c r="DN1" s="14" t="s">
        <v>94</v>
      </c>
      <c r="DO1" s="14" t="s">
        <v>95</v>
      </c>
      <c r="DP1" s="14" t="s">
        <v>96</v>
      </c>
      <c r="DQ1" s="14" t="s">
        <v>97</v>
      </c>
      <c r="DR1" s="14" t="s">
        <v>56</v>
      </c>
      <c r="DS1" s="14" t="s">
        <v>98</v>
      </c>
      <c r="DT1" s="14" t="s">
        <v>99</v>
      </c>
      <c r="DU1" s="14" t="s">
        <v>100</v>
      </c>
      <c r="DV1" s="14" t="s">
        <v>101</v>
      </c>
      <c r="DW1" s="14" t="s">
        <v>102</v>
      </c>
      <c r="DX1" s="14" t="s">
        <v>103</v>
      </c>
      <c r="DY1" s="14" t="s">
        <v>104</v>
      </c>
      <c r="DZ1" s="14" t="s">
        <v>105</v>
      </c>
      <c r="EA1" s="14" t="s">
        <v>106</v>
      </c>
      <c r="EB1" s="14" t="s">
        <v>107</v>
      </c>
      <c r="EC1" s="14" t="s">
        <v>108</v>
      </c>
      <c r="ED1" s="14" t="s">
        <v>109</v>
      </c>
      <c r="EE1" s="15" t="s">
        <v>18</v>
      </c>
      <c r="EF1" s="14" t="s">
        <v>19</v>
      </c>
      <c r="EG1" s="14" t="s">
        <v>20</v>
      </c>
      <c r="EH1" s="14" t="s">
        <v>21</v>
      </c>
      <c r="EI1" s="14" t="s">
        <v>110</v>
      </c>
      <c r="EJ1" s="14" t="s">
        <v>23</v>
      </c>
      <c r="EK1" s="14" t="s">
        <v>111</v>
      </c>
      <c r="EL1" s="14" t="s">
        <v>112</v>
      </c>
      <c r="EM1" s="14" t="s">
        <v>26</v>
      </c>
      <c r="EN1" s="16" t="s">
        <v>27</v>
      </c>
      <c r="EO1" s="16" t="s">
        <v>28</v>
      </c>
      <c r="EP1" s="16" t="s">
        <v>29</v>
      </c>
      <c r="EQ1" s="16" t="s">
        <v>113</v>
      </c>
      <c r="ER1" s="16" t="s">
        <v>31</v>
      </c>
      <c r="ES1" s="16" t="s">
        <v>32</v>
      </c>
      <c r="ET1" s="16" t="s">
        <v>114</v>
      </c>
      <c r="EU1" s="16" t="s">
        <v>34</v>
      </c>
      <c r="EV1" s="16" t="s">
        <v>35</v>
      </c>
      <c r="EW1" s="16" t="s">
        <v>115</v>
      </c>
      <c r="EX1" s="16" t="s">
        <v>37</v>
      </c>
      <c r="EY1" s="16" t="s">
        <v>38</v>
      </c>
      <c r="EZ1" s="16" t="s">
        <v>39</v>
      </c>
      <c r="FA1" s="16" t="s">
        <v>116</v>
      </c>
      <c r="FB1" s="16" t="s">
        <v>117</v>
      </c>
      <c r="FC1" s="16" t="s">
        <v>118</v>
      </c>
      <c r="FD1" s="16" t="s">
        <v>54</v>
      </c>
      <c r="FE1" s="16" t="s">
        <v>119</v>
      </c>
      <c r="FF1" s="16" t="s">
        <v>120</v>
      </c>
      <c r="FG1" s="16" t="s">
        <v>121</v>
      </c>
      <c r="FH1" s="16" t="s">
        <v>122</v>
      </c>
      <c r="FI1" s="16" t="s">
        <v>123</v>
      </c>
      <c r="FJ1" s="16" t="s">
        <v>124</v>
      </c>
      <c r="FK1" s="16" t="s">
        <v>125</v>
      </c>
      <c r="FL1" s="16" t="s">
        <v>126</v>
      </c>
      <c r="FM1" s="16" t="s">
        <v>127</v>
      </c>
      <c r="FN1" s="16" t="s">
        <v>128</v>
      </c>
      <c r="FO1" s="16" t="s">
        <v>129</v>
      </c>
      <c r="FP1" s="16" t="s">
        <v>130</v>
      </c>
      <c r="FQ1" s="16" t="s">
        <v>131</v>
      </c>
      <c r="FR1" s="16" t="s">
        <v>132</v>
      </c>
      <c r="FS1" s="16" t="s">
        <v>133</v>
      </c>
      <c r="FT1" s="16" t="s">
        <v>134</v>
      </c>
      <c r="FU1" s="16" t="s">
        <v>44</v>
      </c>
      <c r="FV1" s="16" t="s">
        <v>135</v>
      </c>
      <c r="FW1" s="16" t="s">
        <v>58</v>
      </c>
      <c r="FX1" s="16" t="s">
        <v>136</v>
      </c>
      <c r="FY1" s="16" t="s">
        <v>137</v>
      </c>
      <c r="FZ1" s="16" t="s">
        <v>138</v>
      </c>
      <c r="GA1" s="16" t="s">
        <v>139</v>
      </c>
      <c r="GB1" s="16" t="s">
        <v>140</v>
      </c>
      <c r="GC1" s="16" t="s">
        <v>141</v>
      </c>
      <c r="GD1" s="16" t="s">
        <v>142</v>
      </c>
      <c r="GE1" s="16" t="s">
        <v>143</v>
      </c>
      <c r="GF1" s="16" t="s">
        <v>144</v>
      </c>
      <c r="GG1" s="16" t="s">
        <v>145</v>
      </c>
      <c r="GH1" s="16" t="s">
        <v>61</v>
      </c>
      <c r="GI1" s="16" t="s">
        <v>62</v>
      </c>
      <c r="GJ1" s="14" t="s">
        <v>146</v>
      </c>
      <c r="GK1" s="14" t="s">
        <v>147</v>
      </c>
      <c r="GL1" s="14" t="s">
        <v>148</v>
      </c>
      <c r="GM1" s="17" t="s">
        <v>149</v>
      </c>
      <c r="GN1" s="26" t="s">
        <v>150</v>
      </c>
      <c r="GO1" s="26" t="s">
        <v>151</v>
      </c>
      <c r="GP1" s="18" t="s">
        <v>41</v>
      </c>
      <c r="GQ1" s="18" t="s">
        <v>42</v>
      </c>
      <c r="GR1" s="18" t="s">
        <v>43</v>
      </c>
      <c r="GS1" s="21"/>
      <c r="GT1" s="27" t="s">
        <v>52</v>
      </c>
      <c r="GU1" s="27"/>
      <c r="GV1" s="27"/>
      <c r="GW1" s="27"/>
      <c r="GX1" s="28"/>
      <c r="GY1" s="28"/>
      <c r="GZ1" s="28"/>
      <c r="HA1" s="28"/>
      <c r="HB1" s="28"/>
      <c r="HC1" s="28"/>
      <c r="HD1" s="29" t="s">
        <v>13</v>
      </c>
      <c r="HE1" s="30" t="s">
        <v>152</v>
      </c>
      <c r="HF1" s="31"/>
      <c r="HG1" s="32"/>
      <c r="HK1" s="32" t="s">
        <v>4</v>
      </c>
      <c r="HP1" s="33" t="s">
        <v>153</v>
      </c>
      <c r="HQ1" s="33" t="s">
        <v>154</v>
      </c>
      <c r="HR1" s="33" t="s">
        <v>155</v>
      </c>
      <c r="HS1" s="33" t="s">
        <v>156</v>
      </c>
      <c r="HT1" s="33" t="s">
        <v>157</v>
      </c>
      <c r="HU1" s="33" t="s">
        <v>158</v>
      </c>
      <c r="HV1" s="33" t="s">
        <v>159</v>
      </c>
      <c r="HW1" s="33" t="s">
        <v>160</v>
      </c>
      <c r="HX1" s="34" t="s">
        <v>161</v>
      </c>
      <c r="IA1" s="14" t="s">
        <v>162</v>
      </c>
      <c r="IB1" s="35" t="s">
        <v>163</v>
      </c>
      <c r="IC1" s="36" t="s">
        <v>153</v>
      </c>
      <c r="ID1" s="36" t="s">
        <v>154</v>
      </c>
      <c r="IE1" s="36" t="s">
        <v>156</v>
      </c>
      <c r="IF1" s="37" t="s">
        <v>161</v>
      </c>
      <c r="IG1" s="36" t="s">
        <v>157</v>
      </c>
      <c r="IH1" s="36" t="s">
        <v>158</v>
      </c>
      <c r="II1" s="36" t="s">
        <v>155</v>
      </c>
      <c r="IJ1" s="36" t="s">
        <v>159</v>
      </c>
      <c r="IK1" s="36" t="s">
        <v>160</v>
      </c>
      <c r="IO1" s="33" t="s">
        <v>153</v>
      </c>
      <c r="IP1" s="33" t="s">
        <v>154</v>
      </c>
      <c r="IQ1" s="33" t="s">
        <v>155</v>
      </c>
      <c r="IR1" s="33" t="s">
        <v>156</v>
      </c>
      <c r="IS1" s="33" t="s">
        <v>157</v>
      </c>
      <c r="IT1" s="33" t="s">
        <v>158</v>
      </c>
      <c r="IU1" s="33" t="s">
        <v>159</v>
      </c>
      <c r="IV1" s="33" t="s">
        <v>160</v>
      </c>
      <c r="IW1" s="34" t="s">
        <v>161</v>
      </c>
      <c r="IY1" s="5" t="s">
        <v>164</v>
      </c>
    </row>
    <row r="2" spans="1:259" s="44" customFormat="1" ht="38.4" customHeight="1" thickBot="1" x14ac:dyDescent="0.35">
      <c r="A2" s="77" t="s">
        <v>197</v>
      </c>
      <c r="B2" s="78" t="e" vm="24">
        <v>#VALUE!</v>
      </c>
      <c r="C2" s="39">
        <v>1</v>
      </c>
      <c r="D2" s="70" t="s">
        <v>198</v>
      </c>
      <c r="E2" s="40" t="s">
        <v>199</v>
      </c>
      <c r="F2" s="41" t="s">
        <v>165</v>
      </c>
      <c r="G2" s="42">
        <f>COUNTIF($A$1:$A$8266,A2)</f>
        <v>1</v>
      </c>
      <c r="H2" s="43"/>
      <c r="I2" s="59" t="s">
        <v>200</v>
      </c>
      <c r="J2" s="44" t="str">
        <f>""</f>
        <v/>
      </c>
      <c r="K2" s="45">
        <v>596</v>
      </c>
      <c r="L2" s="46">
        <v>1500</v>
      </c>
      <c r="M2" s="46" t="s">
        <v>1145</v>
      </c>
      <c r="N2" s="47" t="s">
        <v>177</v>
      </c>
      <c r="O2" s="74" t="s">
        <v>201</v>
      </c>
      <c r="P2" s="48" t="s">
        <v>202</v>
      </c>
      <c r="Q2" s="73">
        <v>2</v>
      </c>
      <c r="R2" s="49" t="s">
        <v>195</v>
      </c>
      <c r="S2" s="50">
        <v>0</v>
      </c>
      <c r="T2" s="51" t="s">
        <v>166</v>
      </c>
      <c r="U2" s="52" t="s">
        <v>166</v>
      </c>
      <c r="V2" s="52" t="s">
        <v>166</v>
      </c>
      <c r="W2" s="52" t="s">
        <v>166</v>
      </c>
      <c r="X2" s="52" t="s">
        <v>167</v>
      </c>
      <c r="Y2" s="52" t="s">
        <v>166</v>
      </c>
      <c r="Z2" s="52" t="s">
        <v>166</v>
      </c>
      <c r="AA2" s="52" t="s">
        <v>167</v>
      </c>
      <c r="AB2" s="52" t="s">
        <v>166</v>
      </c>
      <c r="AC2" s="52" t="s">
        <v>166</v>
      </c>
      <c r="AD2" s="52" t="s">
        <v>167</v>
      </c>
      <c r="AE2" s="52" t="s">
        <v>167</v>
      </c>
      <c r="AF2" s="53" t="s">
        <v>166</v>
      </c>
      <c r="AG2" s="53" t="s">
        <v>166</v>
      </c>
      <c r="AH2" s="53" t="s">
        <v>166</v>
      </c>
      <c r="AI2" s="53" t="s">
        <v>166</v>
      </c>
      <c r="AJ2" s="53" t="s">
        <v>166</v>
      </c>
      <c r="AK2" s="53" t="s">
        <v>166</v>
      </c>
      <c r="AL2" s="53" t="s">
        <v>166</v>
      </c>
      <c r="AM2" s="53" t="s">
        <v>166</v>
      </c>
      <c r="AN2" s="53" t="s">
        <v>166</v>
      </c>
      <c r="AO2" s="53" t="s">
        <v>166</v>
      </c>
      <c r="AP2" s="53" t="s">
        <v>166</v>
      </c>
      <c r="AQ2" s="53" t="s">
        <v>166</v>
      </c>
      <c r="AR2" s="53" t="s">
        <v>166</v>
      </c>
      <c r="AS2" s="53" t="s">
        <v>166</v>
      </c>
      <c r="AT2" s="54">
        <v>5</v>
      </c>
      <c r="AU2" s="53"/>
      <c r="AV2" s="53" t="str">
        <f>IF(LEFT(A2,1)="[",LEFT(A2,5)&amp;AU2&amp;A2,"")</f>
        <v/>
      </c>
      <c r="AW2" s="53" t="str">
        <f>C2&amp;H2&amp;A2</f>
        <v>1Cocos Islands</v>
      </c>
      <c r="AX2" s="55" t="str">
        <f>_xlfn.TEXTJOIN(";",TRUE,AU2:AW2)</f>
        <v>1Cocos Islands</v>
      </c>
      <c r="AY2" s="55" t="s">
        <v>167</v>
      </c>
      <c r="AZ2" s="56" t="s">
        <v>157</v>
      </c>
      <c r="BA2" s="56"/>
      <c r="BB2" s="56"/>
      <c r="BC2" s="57"/>
      <c r="BD2" s="58" t="s">
        <v>155</v>
      </c>
      <c r="BE2" s="59"/>
      <c r="BF2" s="58"/>
      <c r="BG2" s="58"/>
      <c r="BH2" s="58"/>
      <c r="BI2" s="58"/>
      <c r="BJ2" s="58"/>
      <c r="BK2" s="59"/>
      <c r="BL2" s="58" t="s">
        <v>155</v>
      </c>
      <c r="BM2" s="58" t="s">
        <v>157</v>
      </c>
      <c r="BN2" s="58" t="s">
        <v>159</v>
      </c>
      <c r="BO2" s="58"/>
      <c r="BP2" s="58"/>
      <c r="BQ2" s="58"/>
      <c r="BR2" s="58"/>
      <c r="BS2" s="58"/>
      <c r="BT2" s="58"/>
      <c r="BU2" s="60"/>
      <c r="BV2" s="61" t="s">
        <v>168</v>
      </c>
      <c r="BW2" s="61">
        <v>0</v>
      </c>
      <c r="BX2" s="59"/>
      <c r="CB2" s="5" t="s">
        <v>203</v>
      </c>
      <c r="CC2" s="5"/>
      <c r="CD2" s="62">
        <v>0</v>
      </c>
      <c r="CE2" s="62">
        <v>0</v>
      </c>
      <c r="CF2" s="62" t="e">
        <v>#REF!</v>
      </c>
      <c r="CG2" s="75" cm="1">
        <f t="array" ref="CG2">SUMPRODUCT(--(LEN(TRIM(BL2:BT2))&gt;0))</f>
        <v>3</v>
      </c>
      <c r="CH2" s="53" t="str">
        <f>IF(CG2=2,"y","n")</f>
        <v>n</v>
      </c>
      <c r="CI2" s="53" t="str">
        <f>IF(CG2=3,"y","n")</f>
        <v>y</v>
      </c>
      <c r="CJ2" s="53" t="str">
        <f>IF(CG2=4,"y","n")</f>
        <v>n</v>
      </c>
      <c r="CK2" s="53" t="str">
        <f>IF(CG2&gt;4,"y","n")</f>
        <v>n</v>
      </c>
      <c r="CL2" s="53" t="str">
        <f>IF(S2=0,"y","n")</f>
        <v>y</v>
      </c>
      <c r="CM2" s="53" t="str">
        <f>IF(S2=2,"y","n")</f>
        <v>n</v>
      </c>
      <c r="CN2" s="53" t="str">
        <f>IF(S2=3,"y","n")</f>
        <v>n</v>
      </c>
      <c r="CO2" s="53" t="str">
        <f>IF(S2&gt;=4,"y","n")</f>
        <v>n</v>
      </c>
      <c r="CP2" s="53" t="str">
        <f>IF(AT2=0,"y","n")</f>
        <v>n</v>
      </c>
      <c r="CQ2" s="53" t="str">
        <f>IF(AT2=1,"y","n")</f>
        <v>n</v>
      </c>
      <c r="CR2" s="53" t="str">
        <f>IF(AT2=2,"y","n")</f>
        <v>n</v>
      </c>
      <c r="CS2" s="53" t="str">
        <f>IF(AT2&gt;=3,"y","n")</f>
        <v>y</v>
      </c>
      <c r="CT2" s="38" t="str">
        <f>CHAR(34)&amp;A2&amp;CHAR(34)</f>
        <v>"Cocos Islands"</v>
      </c>
      <c r="CU2" s="63" t="str">
        <f>CHAR(34)&amp;"rgn_"&amp;R2&amp;CHAR(34)</f>
        <v>"rgn_Oceania, rgn_Asia"</v>
      </c>
      <c r="CV2" s="44" t="str">
        <f>CHAR(34)&amp;D2&amp;CHAR(34)</f>
        <v>"https://upload.wikimedia.org/wikipedia/commons/thumb/7/74/Flag_of_the_Cocos_%28Keeling%29_Islands.svg/1920px-Flag_of_the_Cocos_%28Keeling%29_Islands.svg.png"</v>
      </c>
      <c r="CW2" s="44" t="str">
        <f t="shared" ref="CW2:CZ3" si="0">IF(CH2="y",CHAR(34)&amp;CH$1&amp;CHAR(34)&amp;",","")</f>
        <v/>
      </c>
      <c r="CX2" s="44" t="str">
        <f t="shared" si="0"/>
        <v>"3Color",</v>
      </c>
      <c r="CY2" s="44" t="str">
        <f t="shared" si="0"/>
        <v/>
      </c>
      <c r="CZ2" s="44" t="str">
        <f t="shared" si="0"/>
        <v/>
      </c>
      <c r="DA2" s="44" t="str">
        <f>IF(Q2&gt;1,CHAR(34)&amp;"words2"&amp;CHAR(34)&amp;",","")</f>
        <v>"words2",</v>
      </c>
      <c r="DB2" s="44" t="str">
        <f>IF(Q2&gt;2,CHAR(34)&amp;"words3"&amp;CHAR(34)&amp;",","")</f>
        <v/>
      </c>
      <c r="DC2" s="44" t="str">
        <f>IF(Q2=2,CHAR(34)&amp;"exact2"&amp;CHAR(34)&amp;",","")</f>
        <v>"exact2",</v>
      </c>
      <c r="DD2" s="44"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"lets12",</v>
      </c>
      <c r="DE2" s="44"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"startC",</v>
      </c>
      <c r="DF2" s="44" t="str">
        <f>IFERROR(IF(SEARCH("tan",A2)&gt;0,CHAR(34)&amp;"withtn"&amp;CHAR(34)&amp;",",""),"")</f>
        <v/>
      </c>
      <c r="DG2" s="44" t="str">
        <f>IFERROR(IF(SEARCH("q",A2)&gt;0,CHAR(34)&amp;"with_q"&amp;CHAR(34)&amp;",",""),"")</f>
        <v/>
      </c>
      <c r="DH2" s="44" t="str">
        <f>IFERROR(IF(SEARCH("v",A2)&gt;0,CHAR(34)&amp;"with_v"&amp;CHAR(34)&amp;",",""),"")</f>
        <v/>
      </c>
      <c r="DI2" s="44" t="str">
        <f>IFERROR(IF(SEARCH("w",A2)&gt;0,CHAR(34)&amp;"with_w"&amp;CHAR(34)&amp;",",""),"")</f>
        <v/>
      </c>
      <c r="DJ2" s="44" t="str">
        <f>IFERROR(IF(SEARCH("y",A2)&gt;0,CHAR(34)&amp;"with_y"&amp;CHAR(34)&amp;",",""),"")</f>
        <v/>
      </c>
      <c r="DK2" s="44" t="str">
        <f>IFERROR(IF(SEARCH("z",A2)&gt;0,CHAR(34)&amp;"with_z"&amp;CHAR(34)&amp;",",""),"")</f>
        <v/>
      </c>
      <c r="DL2" s="44" t="str">
        <f>IF(CG2=2, CHAR(34) &amp; _xlfn.TEXTJOIN("", TRUE, _xlfn._xlws.SORT(HP2:HX2)) &amp; CHAR(34) &amp; ",", "")</f>
        <v/>
      </c>
      <c r="DM2" s="44" t="str" cm="1">
        <f t="array" ref="DM2">IF(CG2=3,CHAR(34) &amp; _xlfn.TEXTJOIN("", TRUE, RIGHT(HP2:HX2, 2)) &amp; CHAR(34) &amp; ",", "")</f>
        <v>"REELRO",</v>
      </c>
      <c r="DN2" s="44" t="str">
        <f>IF(AND(ISNUMBER(SEARCH("18", O2)), ISERROR(SEARCH("1918", O2)), ISERROR(SEARCH("2018", O2))), CHAR(34) &amp; "year18" &amp; CHAR(34) &amp; ",", "")</f>
        <v/>
      </c>
      <c r="DO2" s="44" t="str">
        <f>IF(AND(ISNUMBER(SEARCH("19", O2)), ISERROR(SEARCH("1819", O2)),  ISERROR(SEARCH("1219", O2)),ISERROR(SEARCH("1119", O2)),ISERROR(SEARCH("1190", O2)),ISERROR(SEARCH("2019", O2))), CHAR(34) &amp; "year19" &amp; CHAR(34) &amp; ",", "")</f>
        <v/>
      </c>
      <c r="DP2" s="5" t="str">
        <f>IF(AND(ISNUMBER(SEARCH("20", O2)), ISERROR(SEARCH("1920", O2))), CHAR(34)&amp;"year00"&amp;CHAR(34)&amp;",", "")</f>
        <v>"year00",</v>
      </c>
      <c r="DQ2" s="5" t="str">
        <f>IF(CC2="y",CHAR(34)&amp;"soviet"&amp;CHAR(34)&amp;",","")</f>
        <v/>
      </c>
      <c r="DR2" s="5" t="str">
        <f>IF(BY2="y",CHAR(34)&amp;"dgband"&amp;CHAR(34)&amp;",","")</f>
        <v/>
      </c>
      <c r="DS2" s="5" t="str">
        <f>IF(W2="y",IF(AND(V2="n",BY2&lt;&gt;"y"),CHAR(34)&amp;"allver"&amp;CHAR(34)&amp;",",""),"")</f>
        <v/>
      </c>
      <c r="DT2" s="5" t="str">
        <f>IF(V2="y",IF(AND(W2="n",BY2&lt;&gt;"y"),CHAR(34)&amp;"allhor"&amp;CHAR(34)&amp;",",""),"")</f>
        <v/>
      </c>
      <c r="DU2" s="5" t="str">
        <f>IF(BY2="y",IF(AND(W2="n",V2="n"),CHAR(34)&amp;"alldia"&amp;CHAR(34)&amp;",",""),"")</f>
        <v/>
      </c>
      <c r="DV2" s="44" t="str">
        <f>IF(IA2&lt;&gt;"",(IF(IA2="y",CHAR(34)&amp;"largec"&amp;CHAR(34)&amp;",",CHAR(34)&amp;"smallc"&amp;CHAR(34)&amp;",")),"")</f>
        <v/>
      </c>
      <c r="DW2" s="44" t="str">
        <f t="shared" ref="DW2:DZ3" si="1">IF(CL2="y",CHAR(34)&amp;CL$1&amp;CHAR(34)&amp;",","")</f>
        <v>"NoBand",</v>
      </c>
      <c r="DX2" s="44" t="str">
        <f t="shared" si="1"/>
        <v/>
      </c>
      <c r="DY2" s="44" t="str">
        <f t="shared" si="1"/>
        <v/>
      </c>
      <c r="DZ2" s="44" t="str">
        <f t="shared" si="1"/>
        <v/>
      </c>
      <c r="EA2" s="44" t="str">
        <f t="shared" ref="EA2:EE3" si="2">IF(T2="y",CHAR(34)&amp;T$1&amp;CHAR(34)&amp;",","")</f>
        <v/>
      </c>
      <c r="EB2" s="44" t="str">
        <f t="shared" si="2"/>
        <v/>
      </c>
      <c r="EC2" s="44" t="str">
        <f t="shared" si="2"/>
        <v/>
      </c>
      <c r="ED2" s="44" t="str">
        <f t="shared" si="2"/>
        <v/>
      </c>
      <c r="EE2" s="44" t="str">
        <f t="shared" si="2"/>
        <v>"Circle",</v>
      </c>
      <c r="EF2" s="44" t="str">
        <f>IF(AND(Y2&lt;&gt;"n",Y2&lt;&gt;""),CHAR(34)&amp;Y$1&amp;CHAR(34)&amp;",","")</f>
        <v/>
      </c>
      <c r="EG2" s="44" t="str">
        <f t="shared" ref="EG2:EP3" si="3">IF(Z2="y",CHAR(34)&amp;Z$1&amp;CHAR(34)&amp;",","")</f>
        <v/>
      </c>
      <c r="EH2" s="44" t="str">
        <f t="shared" si="3"/>
        <v>"Plants",</v>
      </c>
      <c r="EI2" s="44" t="str">
        <f t="shared" si="3"/>
        <v/>
      </c>
      <c r="EJ2" s="44" t="str">
        <f t="shared" si="3"/>
        <v/>
      </c>
      <c r="EK2" s="44" t="str">
        <f t="shared" si="3"/>
        <v>"HasSun",</v>
      </c>
      <c r="EL2" s="44" t="str">
        <f t="shared" si="3"/>
        <v>"IsMoon",</v>
      </c>
      <c r="EM2" s="44" t="str">
        <f t="shared" si="3"/>
        <v/>
      </c>
      <c r="EN2" s="44" t="str">
        <f t="shared" si="3"/>
        <v/>
      </c>
      <c r="EO2" s="44" t="str">
        <f t="shared" si="3"/>
        <v/>
      </c>
      <c r="EP2" s="44" t="str">
        <f t="shared" si="3"/>
        <v/>
      </c>
      <c r="EQ2" s="44" t="str">
        <f t="shared" ref="EQ2:EZ3" si="4">IF(AJ2="y",CHAR(34)&amp;AJ$1&amp;CHAR(34)&amp;",","")</f>
        <v/>
      </c>
      <c r="ER2" s="44" t="str">
        <f t="shared" si="4"/>
        <v/>
      </c>
      <c r="ES2" s="44" t="str">
        <f t="shared" si="4"/>
        <v/>
      </c>
      <c r="ET2" s="44" t="str">
        <f t="shared" si="4"/>
        <v/>
      </c>
      <c r="EU2" s="44" t="str">
        <f t="shared" si="4"/>
        <v/>
      </c>
      <c r="EV2" s="44" t="str">
        <f t="shared" si="4"/>
        <v/>
      </c>
      <c r="EW2" s="44" t="str">
        <f t="shared" si="4"/>
        <v/>
      </c>
      <c r="EX2" s="44" t="str">
        <f t="shared" si="4"/>
        <v/>
      </c>
      <c r="EY2" s="44" t="str">
        <f t="shared" si="4"/>
        <v/>
      </c>
      <c r="EZ2" s="44" t="str">
        <f t="shared" si="4"/>
        <v/>
      </c>
      <c r="FA2" s="44" t="str">
        <f>IF(AT2&gt;0,CHAR(34)&amp;"sta"&amp;AZ2&amp;CHAR(34)&amp;",","")</f>
        <v>"staYEL",</v>
      </c>
      <c r="FB2" s="44" t="str">
        <f>IF(AND(AT2&gt;0,BA2&lt;&gt;""),CHAR(34)&amp;"sta"&amp;BA2&amp;CHAR(34)&amp;",","")</f>
        <v/>
      </c>
      <c r="FC2" s="44" t="str">
        <f>IF(AND(AT2&gt;0,BB2&lt;&gt;""),CHAR(34)&amp;"sta"&amp;BB2&amp;CHAR(34)&amp;",","")</f>
        <v/>
      </c>
      <c r="FD2" s="44" t="str">
        <f>IF(BV2="n",CHAR(34)&amp;"tcWHYE"&amp;CHAR(34)&amp;",",IF(BV2="y",CHAR(34)&amp;FD$1&amp;CHAR(34)&amp;",",""))</f>
        <v/>
      </c>
      <c r="FE2" s="44" t="str">
        <f>IF(COUNTIF(BL2:BT2,"BLU")=0,CHAR(34)&amp;"NO_BLU"&amp;CHAR(34)&amp;",", "")</f>
        <v>"NO_BLU",</v>
      </c>
      <c r="FF2" s="44" t="str">
        <f>IF(COUNTIF(BL2:BT2,"WHI")=0,CHAR(34)&amp;"NO_WHI"&amp;CHAR(34)&amp;",", "")</f>
        <v>"NO_WHI",</v>
      </c>
      <c r="FG2" s="44" t="str">
        <f>IF(COUNTIF(BL2:BT2,"RED")=0,CHAR(34)&amp;"NO_RED"&amp;CHAR(34)&amp;",", "")</f>
        <v>"NO_RED",</v>
      </c>
      <c r="FH2" s="44" t="str">
        <f>IF(COUNTIF(BL2:BS2,"GRE")=0,CHAR(34)&amp;"NO_GRE"&amp;CHAR(34)&amp;",", "")</f>
        <v/>
      </c>
      <c r="FI2" s="44" t="str">
        <f>IF(COUNTIF(BL2:BT2,"YEL")=0,CHAR(34)&amp;"NO_YEL"&amp;CHAR(34)&amp;",", "")</f>
        <v/>
      </c>
      <c r="FJ2" s="44" t="str">
        <f>IF(COUNTIF(BL2:BT2,"BLA")=0,CHAR(34)&amp;"NO_BLA"&amp;CHAR(34)&amp;",", "")</f>
        <v>"NO_BLA",</v>
      </c>
      <c r="FK2" s="44" t="str">
        <f>IF(AND(FH2&lt;&gt;"",FF2&lt;&gt;""),CHAR(34)&amp;"WHGRNO"&amp;CHAR(34)&amp;",","")</f>
        <v/>
      </c>
      <c r="FL2" s="44" t="str">
        <f>IF(AND(FI2&lt;&gt;"",FF2&lt;&gt;""),CHAR(34)&amp;"WHYENO"&amp;CHAR(34)&amp;",","")</f>
        <v/>
      </c>
      <c r="FM2" s="44" t="str">
        <f>IF(AND(FJ2&lt;&gt;"",FF2&lt;&gt;""),CHAR(34)&amp;"BAWHNO"&amp;CHAR(34)&amp;",","")</f>
        <v>"BAWHNO",</v>
      </c>
      <c r="FN2" s="44" t="str">
        <f>IF(AND(FE2&lt;&gt;"",FF2&lt;&gt;""),CHAR(34)&amp;"BLWHNO"&amp;CHAR(34)&amp;",","")</f>
        <v>"BLWHNO",</v>
      </c>
      <c r="FO2" s="44" t="str">
        <f>IF(AND(FE2&lt;&gt;"",FG2&lt;&gt;""),CHAR(34)&amp;"BLRENO"&amp;CHAR(34)&amp;",","")</f>
        <v>"BLRENO",</v>
      </c>
      <c r="FP2" s="44" t="str">
        <f>IF(AND(FF2&lt;&gt;"",FF2&lt;&gt;""),CHAR(34)&amp;"WHRENO"&amp;CHAR(34)&amp;",","")</f>
        <v>"WHRENO",</v>
      </c>
      <c r="FQ2" s="44" t="str">
        <f>IF(LEN(BF2)=3,CHAR(34)&amp;"001"&amp;BF2&amp;CHAR(34)&amp;",","")</f>
        <v/>
      </c>
      <c r="FR2" s="44" t="str">
        <f>IF(LEN(BG2)=3,CHAR(34)&amp;"002"&amp;BG2&amp;CHAR(34)&amp;",","")</f>
        <v/>
      </c>
      <c r="FS2" s="44" t="str">
        <f>IF(LEN(BH2)=3,CHAR(34)&amp;"003"&amp;BH2&amp;CHAR(34)&amp;",","")</f>
        <v/>
      </c>
      <c r="FT2" s="44" t="str">
        <f>CHAR(34)&amp;"myr"&amp;BD2&amp;CHAR(34)&amp;","</f>
        <v>"myrGRE",</v>
      </c>
      <c r="FU2" s="44" t="str">
        <f>IF(AY2="y",CHAR(34)&amp;"island"&amp;CHAR(34)&amp;",","")</f>
        <v>"island",</v>
      </c>
      <c r="FV2" s="44" t="str">
        <f>IF(BZ2="y",CHAR(34)&amp;"landlo"&amp;CHAR(34)&amp;",","")</f>
        <v/>
      </c>
      <c r="FW2" s="44" t="str">
        <f>IF(CA2="y",CHAR(34)&amp;"eunion"&amp;CHAR(34)&amp;",","")</f>
        <v/>
      </c>
      <c r="FX2" s="44" t="str">
        <f>SUBSTITUTE(IFERROR(SEARCH("[",A2),IFERROR(IF(AND(CA2&lt;&gt;"y",SEARCH("Europe",R2)&gt;0),CHAR(34)&amp;"noeuni"&amp;CHAR(34)&amp;",",""),"")),"1","")</f>
        <v/>
      </c>
      <c r="FY2" s="44" t="str">
        <f>IFERROR(IF(SEARCH("Arabic",CB2)&gt;0,CHAR(34)&amp;"arabic"&amp;CHAR(34)&amp;",",""),"")</f>
        <v/>
      </c>
      <c r="FZ2" s="44" t="str">
        <f>IFERROR(IF(SEARCH("English",CB2)&gt;0,CHAR(34)&amp;"englis"&amp;CHAR(34)&amp;",",""),"")</f>
        <v>"englis",</v>
      </c>
      <c r="GA2" s="44" t="str">
        <f>IFERROR(IF(SEARCH("French",CB2)&gt;0,CHAR(34)&amp;"french"&amp;CHAR(34)&amp;",",""),"")</f>
        <v/>
      </c>
      <c r="GB2" s="44" t="str">
        <f>IFERROR(IF(SEARCH("Spanish",CB2)&gt;0,CHAR(34)&amp;"spanis"&amp;CHAR(34)&amp;",",""),"")</f>
        <v/>
      </c>
      <c r="GC2" s="44" t="str">
        <f>IFERROR(IF(SEARCH("Portuguese",CB2)&gt;0,CHAR(34)&amp;"portug"&amp;CHAR(34)&amp;",",""),"")</f>
        <v/>
      </c>
      <c r="GD2" s="44" t="str">
        <f>IFERROR(IF(SEARCH("German",CB2)&gt;0,CHAR(34)&amp;"german"&amp;CHAR(34)&amp;",",""),"")</f>
        <v/>
      </c>
      <c r="GE2" s="44" t="str">
        <f>IFERROR(IF(SEARCH("Dutch",CB2)&gt;0,CHAR(34)&amp;"dutchs"&amp;CHAR(34)&amp;",",""),"")</f>
        <v/>
      </c>
      <c r="GF2" s="44" t="str">
        <f>IFERROR(IF(SEARCH("Histor",AU2)&gt;0,CHAR(34)&amp;"histor"&amp;CHAR(34)&amp;",",""),"")</f>
        <v/>
      </c>
      <c r="GG2" s="44" t="str">
        <f>IF(BU2="y",CHAR(34)&amp;"unjack"&amp;CHAR(34)&amp;",","")</f>
        <v/>
      </c>
      <c r="GH2" s="44" t="str">
        <f>IF(CD2=1,CHAR(34)&amp;"southc"&amp;CHAR(34)&amp;",","")</f>
        <v/>
      </c>
      <c r="GI2" s="44" t="str">
        <f>IF(CE2=1,CHAR(34)&amp;"hasmap"&amp;CHAR(34)&amp;",","")</f>
        <v/>
      </c>
      <c r="GJ2" s="44" t="str">
        <f>IF(CP2="y",CHAR(34)&amp;CP$1&amp;CHAR(34)&amp;",","")</f>
        <v/>
      </c>
      <c r="GK2" s="44" t="str">
        <f>IF(GJ2="",CHAR(34)&amp;"HasSta"&amp;CHAR(34)&amp;",","")</f>
        <v>"HasSta",</v>
      </c>
      <c r="GL2" s="44" t="str">
        <f t="shared" ref="GL2:GN3" si="5">IF(CQ2="y",CHAR(34)&amp;CQ$1&amp;CHAR(34)&amp;",","")</f>
        <v/>
      </c>
      <c r="GM2" s="44" t="str">
        <f t="shared" si="5"/>
        <v/>
      </c>
      <c r="GN2" s="44" t="str">
        <f t="shared" si="5"/>
        <v>"3+Star",</v>
      </c>
      <c r="GP2" s="44" t="str">
        <f>CHAR(34)&amp;AU2&amp;CHAR(34)</f>
        <v>""</v>
      </c>
      <c r="GS2" s="44" t="str">
        <f>SUBSTITUTE("["&amp;_xlfn.CONCAT(CW2:GN2)&amp;"]",",]","]")</f>
        <v>["3Color","words2","exact2","lets12","startC","REELRO","year00","NoBand","Circle","Plants","HasSun","IsMoon","staYEL","NO_BLU","NO_WHI","NO_RED","NO_BLA","BAWHNO","BLWHNO","BLRENO","WHRENO","myrGRE","island","englis","HasSta","3+Star"]</v>
      </c>
      <c r="GT2" s="44" t="str">
        <f t="shared" ref="GT2:HB3" si="6">IF(BL2&lt;&gt;"",CHAR(34)&amp;"cl_"&amp;BL2&amp;CHAR(34)&amp;",","")</f>
        <v>"cl_GRE",</v>
      </c>
      <c r="GU2" s="44" t="str">
        <f t="shared" si="6"/>
        <v>"cl_YEL",</v>
      </c>
      <c r="GV2" s="44" t="str">
        <f t="shared" si="6"/>
        <v>"cl_BRO",</v>
      </c>
      <c r="GW2" s="44" t="str">
        <f t="shared" si="6"/>
        <v/>
      </c>
      <c r="GX2" s="44" t="str">
        <f t="shared" si="6"/>
        <v/>
      </c>
      <c r="GY2" s="44" t="str">
        <f t="shared" si="6"/>
        <v/>
      </c>
      <c r="GZ2" s="44" t="str">
        <f t="shared" si="6"/>
        <v/>
      </c>
      <c r="HA2" s="44" t="str">
        <f t="shared" si="6"/>
        <v/>
      </c>
      <c r="HB2" s="44" t="str">
        <f t="shared" si="6"/>
        <v/>
      </c>
      <c r="HC2" s="44" t="str">
        <f>SUBSTITUTE("["&amp;_xlfn.CONCAT(GT2:HB2)&amp;"]",",]","]")</f>
        <v>["cl_GRE","cl_YEL","cl_BRO"]</v>
      </c>
      <c r="HE2" s="64"/>
      <c r="HF2" s="65" t="str">
        <f>"{couname:"&amp;CT2&amp;(IF(HK2&lt;&gt;"",",subtype:"&amp;CHAR(34)&amp;HK2&amp;CHAR(34),""))&amp;",year:"&amp;HJ2&amp;",region:"&amp;CU2&amp;",Colors:"&amp;HC2&amp;",Items:"&amp;GS2&amp;",Flag:"&amp;CV2&amp;",HDFlag:"&amp;CHAR(34)&amp;E2&amp;CHAR(34)&amp;",type:"&amp;GP2&amp;", describe: "&amp;HH2&amp;", isnew:"&amp;CHAR(34)&amp;F2&amp;CHAR(34)&amp;", links: "&amp;HL2&amp;"},"</f>
        <v>{couname:"Cocos Islands",year:"2004 ",region:"rgn_Oceania, rgn_Asia",Colors:["cl_GRE","cl_YEL","cl_BRO"],Items:["3Color","words2","exact2","lets12","startC","REELRO","year00","NoBand","Circle","Plants","HasSun","IsMoon","staYEL","NO_BLU","NO_WHI","NO_RED","NO_BLA","BAWHNO","BLWHNO","BLRENO","WHRENO","myrGRE","island","englis","HasSta","3+Star"],Flag:"https://upload.wikimedia.org/wikipedia/commons/thumb/7/74/Flag_of_the_Cocos_%28Keeling%29_Islands.svg/1920px-Flag_of_the_Cocos_%28Keeling%29_Islands.svg.png",HDFlag:"https://upload.wikimedia.org/wikipedia/commons/thumb/7/74/Flag_of_the_Cocos_%28Keeling%29_Islands.svg/2560px-Flag_of_the_Cocos_%28Keeling%29_Islands.svg.png",type:"", describe: "\nThe palm tree represents the islands' tropical flora; the colours are Australia's national colours; the crescent represents Islam, the religion of the Cocos Malays who make up a majority of the islands' population; and the Southern Cross is a symbol of Australia and the Southern Hemisphere.", isnew:".", links: "https://en.wikipedia.org/wiki/Flag_of_the_Cocos_(Keeling)_Islands"},</v>
      </c>
      <c r="HG2" s="66" t="str">
        <f>"{couname:"&amp;CT2&amp;(IF(HK2&lt;&gt;"",",subtype:"&amp;CHAR(34)&amp;HK2&amp;CHAR(34),""))&amp;",year:"&amp;HJ2&amp;",region:"&amp;CU2&amp;",Colors:"&amp;HC2&amp;",Items:"&amp;GS2&amp;",Flag:"&amp;CV2&amp;",HDFlag:"&amp;CHAR(34)&amp;E2&amp;CHAR(34)&amp;",type:"&amp;GP2&amp;", describe: "&amp;HI2&amp;", links: "&amp;HL2&amp;"},"</f>
        <v>{couname:"Cocos Islands",year:"2004 ",region:"rgn_Oceania, rgn_Asia",Colors:["cl_GRE","cl_YEL","cl_BRO"],Items:["3Color","words2","exact2","lets12","startC","REELRO","year00","NoBand","Circle","Plants","HasSun","IsMoon","staYEL","NO_BLU","NO_WHI","NO_RED","NO_BLA","BAWHNO","BLWHNO","BLRENO","WHRENO","myrGRE","island","englis","HasSta","3+Star"],Flag:"https://upload.wikimedia.org/wikipedia/commons/thumb/7/74/Flag_of_the_Cocos_%28Keeling%29_Islands.svg/1920px-Flag_of_the_Cocos_%28Keeling%29_Islands.svg.png",HDFlag:"https://upload.wikimedia.org/wikipedia/commons/thumb/7/74/Flag_of_the_Cocos_%28Keeling%29_Islands.svg/2560px-Flag_of_the_Cocos_%28Keeling%29_Islands.svg.png",type:"", describe: "\nThe palm tree represents the islands' tropical flora; the colours are Australia's national colours; the crescent represents Islam, the religion of the Cocos Malays who make up a majority of the islands' population; and the Southern Cross is a symbol of Australia and the Southern Hemisphere.", links: "https://en.wikipedia.org/wiki/Flag_of_the_Cocos_(Keeling)_Islands"},</v>
      </c>
      <c r="HH2" s="44" t="str">
        <f>IF(P2&lt;&gt;"",CHAR(34)&amp;"\n"&amp;P2&amp;CHAR(34),CHAR(34)&amp;CHAR(34))</f>
        <v>"\nThe palm tree represents the islands' tropical flora; the colours are Australia's national colours; the crescent represents Islam, the religion of the Cocos Malays who make up a majority of the islands' population; and the Southern Cross is a symbol of Australia and the Southern Hemisphere."</v>
      </c>
      <c r="HI2" s="44" t="str">
        <f>IF(J2=0,CHAR(34)&amp;CHAR(34),HH2)</f>
        <v>"\nThe palm tree represents the islands' tropical flora; the colours are Australia's national colours; the crescent represents Islam, the religion of the Cocos Malays who make up a majority of the islands' population; and the Southern Cross is a symbol of Australia and the Southern Hemisphere."</v>
      </c>
      <c r="HJ2" s="44" t="str">
        <f>CHAR(34)&amp;O2&amp;CHAR(34)</f>
        <v>"2004 "</v>
      </c>
      <c r="HL2" s="44" t="str">
        <f>CHAR(34)&amp;I2&amp;CHAR(34)</f>
        <v>"https://en.wikipedia.org/wiki/Flag_of_the_Cocos_(Keeling)_Islands"</v>
      </c>
      <c r="HM2" s="65"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{"couname":"Cocos Islands","year":"2004 ","region":"rgn_Oceania, rgn_Asia","Colors":["cl_GRE","cl_YEL","cl_BRO"],"Items":["3Color","words2","exact2","lets12","startC","REELRO","year00","NoBand","Circle","Plants","HasSun","IsMoon","staYEL","NO_BLU","NO_WHI","NO_RED","NO_BLA","BAWHNO","BLWHNO","BLRENO","WHRENO","myrGRE","island","englis","HasSta","3+Star"],"Flag":"https://upload.wikimedia.org/wikipedia/commons/thumb/7/74/Flag_of_the_Cocos_%28Keeling%29_Islands.svg/1920px-Flag_of_the_Cocos_%28Keeling%29_Islands.svg.png","HDFlag":"https://upload.wikimedia.org/wikipedia/commons/thumb/7/74/Flag_of_the_Cocos_%28Keeling%29_Islands.svg/2560px-Flag_of_the_Cocos_%28Keeling%29_Islands.svg.png","type":"", "describe": "\nThe palm tree represents the islands' tropical flora; the colours are Australia's national colours; the crescent represents Islam, the religion of the Cocos Malays who make up a majority of the islands' population; and the Southern Cross is a symbol of Australia and the Southern Hemisphere.", "isnew": ".", "links": "https://en.wikipedia.org/wiki/Flag_of_the_Cocos_(Keeling)_Islands"},</v>
      </c>
      <c r="HN2" s="67"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{"couname":"Cocos Islands","year":"2004 ","region":"rgn_Oceania, rgn_Asia","Colors":["cl_GRE","cl_YEL","cl_BRO"],"Items":["3Color","words2","exact2","lets12","startC","REELRO","year00","NoBand","Circle","Plants","HasSun","IsMoon","staYEL","NO_BLU","NO_WHI","NO_RED","NO_BLA","BAWHNO","BLWHNO","BLRENO","WHRENO","myrGRE","island","englis","HasSta","3+Star"],"Flag":"https://upload.wikimedia.org/wikipedia/commons/thumb/7/74/Flag_of_the_Cocos_%28Keeling%29_Islands.svg/1920px-Flag_of_the_Cocos_%28Keeling%29_Islands.svg.png","HDFlag":"https://upload.wikimedia.org/wikipedia/commons/thumb/7/74/Flag_of_the_Cocos_%28Keeling%29_Islands.svg/2560px-Flag_of_the_Cocos_%28Keeling%29_Islands.svg.png","type":"", "describe": "\nThe palm tree represents the islands' tropical flora; the colours are Australia's national colours; the crescent represents Islam, the religion of the Cocos Malays who make up a majority of the islands' population; and the Southern Cross is a symbol of Australia and the Southern Hemisphere.", "isnew": ".", "links": "https://en.wikipedia.org/wiki/Flag_of_the_Cocos_(Keeling)_Islands"},</v>
      </c>
      <c r="HO2" s="71"/>
      <c r="HP2" s="44" t="str" cm="1">
        <f t="array" ref="HP2">IF(_xlfn.TEXTJOIN(", ", TRUE, IF(ISNUMBER(SEARCH("BLA", BL2:BT2)), COLUMN(BL2:BT2) - COLUMN(BL2) + 1, ""))&lt;&gt;"","BLA","")</f>
        <v/>
      </c>
      <c r="HQ2" s="44" t="str" cm="1">
        <f t="array" ref="HQ2">IF(_xlfn.TEXTJOIN(", ", TRUE, IF(ISNUMBER(SEARCH("BLU", BL2:BT2)), COLUMN(BL2:BT2) - COLUMN(BL2) + 1, ""))&lt;&gt;"","BLU","")</f>
        <v/>
      </c>
      <c r="HR2" s="44" t="str" cm="1">
        <f t="array" ref="HR2">IF(_xlfn.TEXTJOIN(", ", TRUE, IF(ISNUMBER(SEARCH("GRE", BL2:BT2)), COLUMN(BL2:BT2) - COLUMN(BL2) + 1, ""))&lt;&gt;"","GRE","")</f>
        <v>GRE</v>
      </c>
      <c r="HS2" s="44" t="str" cm="1">
        <f t="array" ref="HS2">IF(_xlfn.TEXTJOIN(", ", TRUE, IF(ISNUMBER(SEARCH("RED", BL2:BT2)), COLUMN(BL2:BT2) - COLUMN(BL2) + 1, ""))&lt;&gt;"","RED","")</f>
        <v/>
      </c>
      <c r="HT2" s="44" t="str" cm="1">
        <f t="array" ref="HT2">IF(_xlfn.TEXTJOIN(", ", TRUE, IF(ISNUMBER(SEARCH("YEL", BL2:BT2)), COLUMN(BL2:BT2) - COLUMN(BL2) + 1, ""))&lt;&gt;"","YEL","")</f>
        <v>YEL</v>
      </c>
      <c r="HU2" s="44" t="str" cm="1">
        <f t="array" ref="HU2">IF(_xlfn.TEXTJOIN(", ", TRUE, IF(ISNUMBER(SEARCH("ORA", BL2:BT2)), COLUMN(BL2:BT2) - COLUMN(BL2) + 1, ""))&lt;&gt;"","ORA","")</f>
        <v/>
      </c>
      <c r="HV2" s="44" t="str" cm="1">
        <f t="array" ref="HV2">IF(_xlfn.TEXTJOIN(", ", TRUE, IF(ISNUMBER(SEARCH("BRO", BL2:BT2)), COLUMN(BL2:BT2) - COLUMN(BL2) + 1, ""))&lt;&gt;"","BRO","")</f>
        <v>BRO</v>
      </c>
      <c r="HW2" s="44" t="str" cm="1">
        <f t="array" ref="HW2">IF(_xlfn.TEXTJOIN(", ", TRUE, IF(ISNUMBER(SEARCH("PUR", BL2:BT2)), COLUMN(BL2:BT2) - COLUMN(BL2) + 1, ""))&lt;&gt;"","PUR","")</f>
        <v/>
      </c>
      <c r="HX2" s="44" t="str" cm="1">
        <f t="array" ref="HX2">IF(_xlfn.TEXTJOIN(", ", TRUE, IF(ISNUMBER(SEARCH("WHI", BL2:BT2)), COLUMN(BL2:BT2) - COLUMN(BL2) + 1, ""))&lt;&gt;"","WHI","")</f>
        <v/>
      </c>
      <c r="HY2" s="72"/>
      <c r="HZ2" s="72"/>
      <c r="IA2" s="5"/>
      <c r="IB2" s="5"/>
      <c r="IC2" s="68"/>
      <c r="ID2" s="68"/>
      <c r="IE2" s="68"/>
      <c r="IF2" s="68"/>
      <c r="IG2" s="68"/>
      <c r="IH2" s="68"/>
      <c r="II2" s="68"/>
      <c r="IJ2" s="68"/>
      <c r="IK2" s="68"/>
      <c r="IL2" s="44">
        <f>SUM(IC2:IK2)</f>
        <v>0</v>
      </c>
      <c r="IM2" s="42">
        <f>COUNTIF(IC2:IK2,"&gt;0")-CG2</f>
        <v>-3</v>
      </c>
      <c r="IN2" s="69" t="str">
        <f>"http://mkweb.bcgsc.ca/color-summarizer/?url="&amp;D2&amp;"&amp;precision=low&amp;num_clusters="&amp;CG2&amp;"&amp;text=1"</f>
        <v>http://mkweb.bcgsc.ca/color-summarizer/?url=https://upload.wikimedia.org/wikipedia/commons/thumb/7/74/Flag_of_the_Cocos_%28Keeling%29_Islands.svg/1920px-Flag_of_the_Cocos_%28Keeling%29_Islands.svg.png&amp;precision=low&amp;num_clusters=3&amp;text=1</v>
      </c>
      <c r="IO2" s="44" t="str">
        <f>IF(HP2&lt;&gt;"",CHAR(34)&amp;"black"&amp;CHAR(34),"")</f>
        <v/>
      </c>
      <c r="IP2" s="44" t="str">
        <f>IF(HQ2&lt;&gt;"",CHAR(34)&amp;"blue"&amp;CHAR(34),"")</f>
        <v/>
      </c>
      <c r="IQ2" s="44" t="str">
        <f>IF(HR2&lt;&gt;"",CHAR(34)&amp;"green"&amp;CHAR(34),"")</f>
        <v>"green"</v>
      </c>
      <c r="IR2" s="44" t="str">
        <f>IF(HS2&lt;&gt;"",CHAR(34)&amp;"red"&amp;CHAR(34),"")</f>
        <v/>
      </c>
      <c r="IS2" s="44" t="str">
        <f>IF(HT2&lt;&gt;"",CHAR(34)&amp;"yellow"&amp;CHAR(34),"")</f>
        <v>"yellow"</v>
      </c>
      <c r="IT2" s="44" t="str">
        <f>IF(HU2&lt;&gt;"",CHAR(34)&amp;"orange"&amp;CHAR(34),"")</f>
        <v/>
      </c>
      <c r="IU2" s="44" t="str">
        <f>IF(HV2&lt;&gt;"",CHAR(34)&amp;"brown"&amp;CHAR(34),"")</f>
        <v>"brown"</v>
      </c>
      <c r="IV2" s="44" t="str">
        <f>IF(HW2&lt;&gt;"",CHAR(34)&amp;"purple"&amp;CHAR(34),"")</f>
        <v/>
      </c>
      <c r="IW2" s="44" t="str">
        <f>IF(HX2&lt;&gt;"",CHAR(34)&amp;"white"&amp;CHAR(34),"")</f>
        <v/>
      </c>
      <c r="IX2" s="44" t="str">
        <f>"{"&amp;CHAR(34)&amp;"url"&amp;CHAR(34)&amp;":"&amp;CHAR(34)&amp;IN2&amp;CHAR(34)&amp;","&amp;CHAR(34)&amp;"name"&amp;CHAR(34)&amp;":"&amp;CHAR(34)&amp;A2&amp;CHAR(34)&amp;"},"</f>
        <v>{"url":"http://mkweb.bcgsc.ca/color-summarizer/?url=https://upload.wikimedia.org/wikipedia/commons/thumb/7/74/Flag_of_the_Cocos_%28Keeling%29_Islands.svg/1920px-Flag_of_the_Cocos_%28Keeling%29_Islands.svg.png&amp;precision=low&amp;num_clusters=3&amp;text=1","name":"Cocos Islands"},</v>
      </c>
      <c r="IY2" s="44">
        <v>48</v>
      </c>
    </row>
    <row r="3" spans="1:259" s="44" customFormat="1" ht="38.4" customHeight="1" thickBot="1" x14ac:dyDescent="0.35">
      <c r="A3" s="80" t="s">
        <v>648</v>
      </c>
      <c r="B3" s="78" t="e" vm="25">
        <v>#VALUE!</v>
      </c>
      <c r="C3" s="39">
        <v>2</v>
      </c>
      <c r="D3" s="70" t="s">
        <v>649</v>
      </c>
      <c r="E3" s="40" t="s">
        <v>649</v>
      </c>
      <c r="F3" s="41" t="s">
        <v>647</v>
      </c>
      <c r="G3" s="42">
        <f>COUNTIF($A$1:$A$8266,A3)</f>
        <v>1</v>
      </c>
      <c r="H3" s="43"/>
      <c r="I3" s="59" t="s">
        <v>650</v>
      </c>
      <c r="J3" s="44" t="str">
        <f>""</f>
        <v/>
      </c>
      <c r="K3" s="45"/>
      <c r="L3" s="46"/>
      <c r="M3" s="46"/>
      <c r="N3" s="47" t="s">
        <v>177</v>
      </c>
      <c r="O3" s="74" t="s">
        <v>230</v>
      </c>
      <c r="P3" s="48" t="s">
        <v>651</v>
      </c>
      <c r="Q3" s="73">
        <v>4</v>
      </c>
      <c r="R3" s="49" t="s">
        <v>195</v>
      </c>
      <c r="S3" s="50">
        <v>0</v>
      </c>
      <c r="T3" s="51" t="s">
        <v>166</v>
      </c>
      <c r="U3" s="52" t="s">
        <v>166</v>
      </c>
      <c r="V3" s="52" t="s">
        <v>166</v>
      </c>
      <c r="W3" s="52" t="s">
        <v>166</v>
      </c>
      <c r="X3" s="52" t="s">
        <v>166</v>
      </c>
      <c r="Y3" s="52" t="s">
        <v>167</v>
      </c>
      <c r="Z3" s="52" t="s">
        <v>166</v>
      </c>
      <c r="AA3" s="52" t="s">
        <v>167</v>
      </c>
      <c r="AB3" s="52" t="s">
        <v>167</v>
      </c>
      <c r="AC3" s="52" t="s">
        <v>166</v>
      </c>
      <c r="AD3" s="52" t="s">
        <v>166</v>
      </c>
      <c r="AE3" s="52" t="s">
        <v>166</v>
      </c>
      <c r="AF3" s="53" t="s">
        <v>166</v>
      </c>
      <c r="AG3" s="53" t="s">
        <v>166</v>
      </c>
      <c r="AH3" s="53" t="s">
        <v>166</v>
      </c>
      <c r="AI3" s="53" t="s">
        <v>166</v>
      </c>
      <c r="AJ3" s="53" t="s">
        <v>166</v>
      </c>
      <c r="AK3" s="53" t="s">
        <v>166</v>
      </c>
      <c r="AL3" s="53" t="s">
        <v>166</v>
      </c>
      <c r="AM3" s="53" t="s">
        <v>166</v>
      </c>
      <c r="AN3" s="53" t="s">
        <v>166</v>
      </c>
      <c r="AO3" s="53" t="s">
        <v>166</v>
      </c>
      <c r="AP3" s="53" t="s">
        <v>167</v>
      </c>
      <c r="AQ3" s="53" t="s">
        <v>166</v>
      </c>
      <c r="AR3" s="53" t="s">
        <v>166</v>
      </c>
      <c r="AS3" s="53" t="s">
        <v>167</v>
      </c>
      <c r="AT3" s="54">
        <v>0</v>
      </c>
      <c r="AU3" s="53" t="s">
        <v>652</v>
      </c>
      <c r="AV3" s="53" t="str">
        <f>IF(LEFT(A3,1)="[",LEFT(A3,5)&amp;AU3&amp;A3,"")</f>
        <v>[CCK]Government[CCK] Shire of Cocos Islands</v>
      </c>
      <c r="AW3" s="53" t="str">
        <f>C3&amp;H3&amp;A3</f>
        <v>2[CCK] Shire of Cocos Islands</v>
      </c>
      <c r="AX3" s="55"/>
      <c r="AY3" s="55"/>
      <c r="AZ3" s="56"/>
      <c r="BA3" s="56"/>
      <c r="BB3" s="56"/>
      <c r="BC3" s="57"/>
      <c r="BD3" s="58" t="s">
        <v>161</v>
      </c>
      <c r="BE3" s="59"/>
      <c r="BF3" s="58"/>
      <c r="BG3" s="58"/>
      <c r="BH3" s="58"/>
      <c r="BI3" s="58"/>
      <c r="BJ3" s="58"/>
      <c r="BK3" s="59"/>
      <c r="BL3" s="58" t="s">
        <v>161</v>
      </c>
      <c r="BM3" s="58" t="s">
        <v>154</v>
      </c>
      <c r="BN3" s="58" t="s">
        <v>157</v>
      </c>
      <c r="BO3" s="58" t="s">
        <v>156</v>
      </c>
      <c r="BP3" s="58" t="s">
        <v>155</v>
      </c>
      <c r="BQ3" s="58"/>
      <c r="BR3" s="58"/>
      <c r="BS3" s="58"/>
      <c r="BT3" s="58"/>
      <c r="BU3" s="60"/>
      <c r="BV3" s="61"/>
      <c r="BW3" s="61">
        <v>0</v>
      </c>
      <c r="BX3" s="59"/>
      <c r="CB3" s="5"/>
      <c r="CC3" s="5"/>
      <c r="CD3" s="62">
        <v>0</v>
      </c>
      <c r="CE3" s="62">
        <v>0</v>
      </c>
      <c r="CF3" s="62" t="e">
        <v>#REF!</v>
      </c>
      <c r="CG3" s="75" cm="1">
        <f t="array" ref="CG3">SUMPRODUCT(--(LEN(TRIM(BL3:BT3))&gt;0))</f>
        <v>5</v>
      </c>
      <c r="CH3" s="53" t="str">
        <f>IF(CG3=2,"y","n")</f>
        <v>n</v>
      </c>
      <c r="CI3" s="53" t="str">
        <f>IF(CG3=3,"y","n")</f>
        <v>n</v>
      </c>
      <c r="CJ3" s="53" t="str">
        <f>IF(CG3=4,"y","n")</f>
        <v>n</v>
      </c>
      <c r="CK3" s="53" t="str">
        <f>IF(CG3&gt;4,"y","n")</f>
        <v>y</v>
      </c>
      <c r="CL3" s="53" t="str">
        <f>IF(S3=0,"y","n")</f>
        <v>y</v>
      </c>
      <c r="CM3" s="53" t="str">
        <f>IF(S3=2,"y","n")</f>
        <v>n</v>
      </c>
      <c r="CN3" s="53" t="str">
        <f>IF(S3=3,"y","n")</f>
        <v>n</v>
      </c>
      <c r="CO3" s="53" t="str">
        <f>IF(S3&gt;=4,"y","n")</f>
        <v>n</v>
      </c>
      <c r="CP3" s="53" t="str">
        <f>IF(AT3=0,"y","n")</f>
        <v>y</v>
      </c>
      <c r="CQ3" s="53" t="str">
        <f>IF(AT3=1,"y","n")</f>
        <v>n</v>
      </c>
      <c r="CR3" s="53" t="str">
        <f>IF(AT3=2,"y","n")</f>
        <v>n</v>
      </c>
      <c r="CS3" s="53" t="str">
        <f>IF(AT3&gt;=3,"y","n")</f>
        <v>n</v>
      </c>
      <c r="CT3" s="38" t="str">
        <f>CHAR(34)&amp;A3&amp;CHAR(34)</f>
        <v>"[CCK] Shire of Cocos Islands"</v>
      </c>
      <c r="CU3" s="63" t="str">
        <f>CHAR(34)&amp;"rgn_"&amp;R3&amp;CHAR(34)</f>
        <v>"rgn_Oceania, rgn_Asia"</v>
      </c>
      <c r="CV3" s="44" t="str">
        <f>CHAR(34)&amp;D3&amp;CHAR(34)</f>
        <v>"https://upload.wikimedia.org/wikipedia/en/3/3e/Cocos_shire_logo.png"</v>
      </c>
      <c r="CW3" s="44" t="str">
        <f t="shared" si="0"/>
        <v/>
      </c>
      <c r="CX3" s="44" t="str">
        <f t="shared" si="0"/>
        <v/>
      </c>
      <c r="CY3" s="44" t="str">
        <f t="shared" si="0"/>
        <v/>
      </c>
      <c r="CZ3" s="44" t="str">
        <f t="shared" si="0"/>
        <v>"5+Colo",</v>
      </c>
      <c r="DA3" s="44" t="str">
        <f>IF(Q3&gt;1,CHAR(34)&amp;"words2"&amp;CHAR(34)&amp;",","")</f>
        <v>"words2",</v>
      </c>
      <c r="DB3" s="44" t="str">
        <f>IF(Q3&gt;2,CHAR(34)&amp;"words3"&amp;CHAR(34)&amp;",","")</f>
        <v>"words3",</v>
      </c>
      <c r="DD3" s="44"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"lets19",</v>
      </c>
      <c r="DE3" s="44" t="str">
        <f>CHAR(34)&amp;"start"&amp;IFERROR(LEFT(SUBSTITUTE(A3,"["&amp;MID(A3,FIND("[",A3)+1,FIND("]",A3)-FIND("[",A3)-1)&amp;"] ",""),1),LEFT(A3,1))&amp;CHAR(34)&amp;","</f>
        <v>"startS",</v>
      </c>
      <c r="DF3" s="44" t="str">
        <f>IFERROR(IF(SEARCH("tan",A3)&gt;0,CHAR(34)&amp;"withtn"&amp;CHAR(34)&amp;",",""),"")</f>
        <v/>
      </c>
      <c r="DG3" s="44" t="str">
        <f>IFERROR(IF(SEARCH("q",A3)&gt;0,CHAR(34)&amp;"with_q"&amp;CHAR(34)&amp;",",""),"")</f>
        <v/>
      </c>
      <c r="DH3" s="44" t="str">
        <f>IFERROR(IF(SEARCH("v",A3)&gt;0,CHAR(34)&amp;"with_v"&amp;CHAR(34)&amp;",",""),"")</f>
        <v/>
      </c>
      <c r="DI3" s="44" t="str">
        <f>IFERROR(IF(SEARCH("w",A3)&gt;0,CHAR(34)&amp;"with_w"&amp;CHAR(34)&amp;",",""),"")</f>
        <v/>
      </c>
      <c r="DJ3" s="44" t="str">
        <f>IFERROR(IF(SEARCH("y",A3)&gt;0,CHAR(34)&amp;"with_y"&amp;CHAR(34)&amp;",",""),"")</f>
        <v/>
      </c>
      <c r="DK3" s="44" t="str">
        <f>IFERROR(IF(SEARCH("z",A3)&gt;0,CHAR(34)&amp;"with_z"&amp;CHAR(34)&amp;",",""),"")</f>
        <v/>
      </c>
      <c r="DL3" s="44" t="str">
        <f>IF(CG3=2, CHAR(34) &amp; _xlfn.TEXTJOIN("", TRUE, _xlfn._xlws.SORT(HP3:HX3)) &amp; CHAR(34) &amp; ",", "")</f>
        <v/>
      </c>
      <c r="DM3" s="44" t="str" cm="1">
        <f t="array" ref="DM3">IF(CG3=3,CHAR(34) &amp; _xlfn.TEXTJOIN("", TRUE, RIGHT(HP3:HX3, 2)) &amp; CHAR(34) &amp; ",", "")</f>
        <v/>
      </c>
      <c r="DN3" s="44" t="str">
        <f>IF(AND(ISNUMBER(SEARCH("18", O3)), ISERROR(SEARCH("1918", O3)), ISERROR(SEARCH("2018", O3))), CHAR(34) &amp; "year18" &amp; CHAR(34) &amp; ",", "")</f>
        <v/>
      </c>
      <c r="DO3" s="44" t="str">
        <f>IF(AND(ISNUMBER(SEARCH("19", O3)), ISERROR(SEARCH("1819", O3)),  ISERROR(SEARCH("1219", O3)),ISERROR(SEARCH("1119", O3)),ISERROR(SEARCH("1190", O3)),ISERROR(SEARCH("2019", O3))), CHAR(34) &amp; "year19" &amp; CHAR(34) &amp; ",", "")</f>
        <v/>
      </c>
      <c r="DP3" s="5" t="str">
        <f>IF(AND(ISNUMBER(SEARCH("20", O3)), ISERROR(SEARCH("1920", O3))), CHAR(34)&amp;"year00"&amp;CHAR(34)&amp;",", "")</f>
        <v/>
      </c>
      <c r="DQ3" s="5" t="str">
        <f>IF(CC3="y",CHAR(34)&amp;"soviet"&amp;CHAR(34)&amp;",","")</f>
        <v/>
      </c>
      <c r="DR3" s="5" t="str">
        <f>IF(BY3="y",CHAR(34)&amp;"dgband"&amp;CHAR(34)&amp;",","")</f>
        <v/>
      </c>
      <c r="DS3" s="5" t="str">
        <f>IF(W3="y",IF(AND(V3="n",BY3&lt;&gt;"y"),CHAR(34)&amp;"allver"&amp;CHAR(34)&amp;",",""),"")</f>
        <v/>
      </c>
      <c r="DT3" s="5" t="str">
        <f>IF(V3="y",IF(AND(W3="n",BY3&lt;&gt;"y"),CHAR(34)&amp;"allhor"&amp;CHAR(34)&amp;",",""),"")</f>
        <v/>
      </c>
      <c r="DU3" s="5" t="str">
        <f>IF(BY3="y",IF(AND(W3="n",V3="n"),CHAR(34)&amp;"alldia"&amp;CHAR(34)&amp;",",""),"")</f>
        <v/>
      </c>
      <c r="DW3" s="44" t="str">
        <f t="shared" si="1"/>
        <v>"NoBand",</v>
      </c>
      <c r="DX3" s="44" t="str">
        <f t="shared" si="1"/>
        <v/>
      </c>
      <c r="DY3" s="44" t="str">
        <f t="shared" si="1"/>
        <v/>
      </c>
      <c r="DZ3" s="44" t="str">
        <f t="shared" si="1"/>
        <v/>
      </c>
      <c r="EA3" s="44" t="str">
        <f t="shared" si="2"/>
        <v/>
      </c>
      <c r="EB3" s="44" t="str">
        <f t="shared" si="2"/>
        <v/>
      </c>
      <c r="EC3" s="44" t="str">
        <f t="shared" si="2"/>
        <v/>
      </c>
      <c r="ED3" s="44" t="str">
        <f t="shared" si="2"/>
        <v/>
      </c>
      <c r="EE3" s="44" t="str">
        <f t="shared" si="2"/>
        <v/>
      </c>
      <c r="EF3" s="44" t="str">
        <f>IF(AND(Y3&lt;&gt;"n",Y3&lt;&gt;""),CHAR(34)&amp;Y$1&amp;CHAR(34)&amp;",","")</f>
        <v>"Animal",</v>
      </c>
      <c r="EG3" s="44" t="str">
        <f t="shared" si="3"/>
        <v/>
      </c>
      <c r="EH3" s="44" t="str">
        <f t="shared" si="3"/>
        <v>"Plants",</v>
      </c>
      <c r="EI3" s="44" t="str">
        <f t="shared" si="3"/>
        <v>"Texted",</v>
      </c>
      <c r="EJ3" s="44" t="str">
        <f t="shared" si="3"/>
        <v/>
      </c>
      <c r="EK3" s="44" t="str">
        <f t="shared" si="3"/>
        <v/>
      </c>
      <c r="EL3" s="44" t="str">
        <f t="shared" si="3"/>
        <v/>
      </c>
      <c r="EM3" s="44" t="str">
        <f t="shared" si="3"/>
        <v/>
      </c>
      <c r="EN3" s="44" t="str">
        <f t="shared" si="3"/>
        <v/>
      </c>
      <c r="EO3" s="44" t="str">
        <f t="shared" si="3"/>
        <v/>
      </c>
      <c r="EP3" s="44" t="str">
        <f t="shared" si="3"/>
        <v/>
      </c>
      <c r="EQ3" s="44" t="str">
        <f t="shared" si="4"/>
        <v/>
      </c>
      <c r="ER3" s="44" t="str">
        <f t="shared" si="4"/>
        <v/>
      </c>
      <c r="ES3" s="44" t="str">
        <f t="shared" si="4"/>
        <v/>
      </c>
      <c r="ET3" s="44" t="str">
        <f t="shared" si="4"/>
        <v/>
      </c>
      <c r="EU3" s="44" t="str">
        <f t="shared" si="4"/>
        <v/>
      </c>
      <c r="EV3" s="44" t="str">
        <f t="shared" si="4"/>
        <v/>
      </c>
      <c r="EW3" s="44" t="str">
        <f t="shared" si="4"/>
        <v>"Ships!",</v>
      </c>
      <c r="EX3" s="44" t="str">
        <f t="shared" si="4"/>
        <v/>
      </c>
      <c r="EY3" s="44" t="str">
        <f t="shared" si="4"/>
        <v/>
      </c>
      <c r="EZ3" s="44" t="str">
        <f t="shared" si="4"/>
        <v>"Waters",</v>
      </c>
      <c r="FA3" s="44" t="str">
        <f>IF(AT3&gt;0,CHAR(34)&amp;"sta"&amp;AZ3&amp;CHAR(34)&amp;",","")</f>
        <v/>
      </c>
      <c r="FB3" s="44" t="str">
        <f>IF(AND(AT3&gt;0,BA3&lt;&gt;""),CHAR(34)&amp;"sta"&amp;BA3&amp;CHAR(34)&amp;",","")</f>
        <v/>
      </c>
      <c r="FD3" s="44" t="str">
        <f>IF(BV3="n",CHAR(34)&amp;"tcWHYE"&amp;CHAR(34)&amp;",",IF(BV3="y",CHAR(34)&amp;FD$1&amp;CHAR(34)&amp;",",""))</f>
        <v/>
      </c>
      <c r="FE3" s="44" t="str">
        <f>IF(COUNTIF(BL3:BT3,"BLU")=0,CHAR(34)&amp;"NO_BLU"&amp;CHAR(34)&amp;",", "")</f>
        <v/>
      </c>
      <c r="FF3" s="44" t="str">
        <f>IF(COUNTIF(BL3:BT3,"WHI")=0,CHAR(34)&amp;"NO_WHI"&amp;CHAR(34)&amp;",", "")</f>
        <v/>
      </c>
      <c r="FG3" s="44" t="str">
        <f>IF(COUNTIF(BL3:BT3,"RED")=0,CHAR(34)&amp;"NO_RED"&amp;CHAR(34)&amp;",", "")</f>
        <v/>
      </c>
      <c r="FH3" s="44" t="str">
        <f>IF(COUNTIF(BL3:BS3,"GRE")=0,CHAR(34)&amp;"NO_GRE"&amp;CHAR(34)&amp;",", "")</f>
        <v/>
      </c>
      <c r="FI3" s="44" t="str">
        <f>IF(COUNTIF(BL3:BT3,"YEL")=0,CHAR(34)&amp;"NO_YEL"&amp;CHAR(34)&amp;",", "")</f>
        <v/>
      </c>
      <c r="FJ3" s="44" t="str">
        <f>IF(COUNTIF(BL3:BT3,"BLA")=0,CHAR(34)&amp;"NO_BLA"&amp;CHAR(34)&amp;",", "")</f>
        <v>"NO_BLA",</v>
      </c>
      <c r="FK3" s="44" t="str">
        <f>IF(AND(FH3&lt;&gt;"",FF3&lt;&gt;""),CHAR(34)&amp;"WHGRNO"&amp;CHAR(34)&amp;",","")</f>
        <v/>
      </c>
      <c r="FL3" s="44" t="str">
        <f>IF(AND(FI3&lt;&gt;"",FF3&lt;&gt;""),CHAR(34)&amp;"WHYENO"&amp;CHAR(34)&amp;",","")</f>
        <v/>
      </c>
      <c r="FM3" s="44" t="str">
        <f>IF(AND(FJ3&lt;&gt;"",FF3&lt;&gt;""),CHAR(34)&amp;"BAWHNO"&amp;CHAR(34)&amp;",","")</f>
        <v/>
      </c>
      <c r="FN3" s="44" t="str">
        <f>IF(AND(FE3&lt;&gt;"",FF3&lt;&gt;""),CHAR(34)&amp;"BLWHNO"&amp;CHAR(34)&amp;",","")</f>
        <v/>
      </c>
      <c r="FO3" s="44" t="str">
        <f>IF(AND(FE3&lt;&gt;"",FG3&lt;&gt;""),CHAR(34)&amp;"BLRENO"&amp;CHAR(34)&amp;",","")</f>
        <v/>
      </c>
      <c r="FP3" s="44" t="str">
        <f>IF(AND(FF3&lt;&gt;"",FF3&lt;&gt;""),CHAR(34)&amp;"WHRENO"&amp;CHAR(34)&amp;",","")</f>
        <v/>
      </c>
      <c r="FQ3" s="44" t="str">
        <f>IF(LEN(BF3)=3,CHAR(34)&amp;"001"&amp;BF3&amp;CHAR(34)&amp;",","")</f>
        <v/>
      </c>
      <c r="FR3" s="44" t="str">
        <f>IF(LEN(BG3)=3,CHAR(34)&amp;"002"&amp;BG3&amp;CHAR(34)&amp;",","")</f>
        <v/>
      </c>
      <c r="FS3" s="44" t="str">
        <f>IF(LEN(BH3)=3,CHAR(34)&amp;"003"&amp;BH3&amp;CHAR(34)&amp;",","")</f>
        <v/>
      </c>
      <c r="FT3" s="44" t="str">
        <f>CHAR(34)&amp;"myr"&amp;BD3&amp;CHAR(34)&amp;","</f>
        <v>"myrWHI",</v>
      </c>
      <c r="FU3" s="44" t="str">
        <f>IF(AY3="y",CHAR(34)&amp;"island"&amp;CHAR(34)&amp;",","")</f>
        <v/>
      </c>
      <c r="FV3" s="44" t="str">
        <f>IF(BZ3="y",CHAR(34)&amp;"landlo"&amp;CHAR(34)&amp;",","")</f>
        <v/>
      </c>
      <c r="FW3" s="44" t="str">
        <f>IF(CA3="y",CHAR(34)&amp;"eunion"&amp;CHAR(34)&amp;",","")</f>
        <v/>
      </c>
      <c r="FY3" s="44" t="str">
        <f>IFERROR(IF(SEARCH("Arabic",CB3)&gt;0,CHAR(34)&amp;"arabic"&amp;CHAR(34)&amp;",",""),"")</f>
        <v/>
      </c>
      <c r="FZ3" s="44" t="str">
        <f>IFERROR(IF(SEARCH("English",CB3)&gt;0,CHAR(34)&amp;"englis"&amp;CHAR(34)&amp;",",""),"")</f>
        <v/>
      </c>
      <c r="GA3" s="44" t="str">
        <f>IFERROR(IF(SEARCH("French",CB3)&gt;0,CHAR(34)&amp;"french"&amp;CHAR(34)&amp;",",""),"")</f>
        <v/>
      </c>
      <c r="GB3" s="44" t="str">
        <f>IFERROR(IF(SEARCH("Spanish",CB3)&gt;0,CHAR(34)&amp;"spanis"&amp;CHAR(34)&amp;",",""),"")</f>
        <v/>
      </c>
      <c r="GE3" s="44" t="str">
        <f>IFERROR(IF(SEARCH("Dutch",CB3)&gt;0,CHAR(34)&amp;"dutchs"&amp;CHAR(34)&amp;",",""),"")</f>
        <v/>
      </c>
      <c r="GF3" s="44" t="str">
        <f>IFERROR(IF(SEARCH("Historical",AU3)&gt;0,CHAR(34)&amp;"histor"&amp;CHAR(34)&amp;",",""),"")</f>
        <v/>
      </c>
      <c r="GG3" s="44" t="str">
        <f>IF(BU3="y",CHAR(34)&amp;"unjack"&amp;CHAR(34)&amp;",","")</f>
        <v/>
      </c>
      <c r="GH3" s="44" t="str">
        <f>IF(CD3=1,CHAR(34)&amp;"southc"&amp;CHAR(34)&amp;",","")</f>
        <v/>
      </c>
      <c r="GI3" s="44" t="str">
        <f>IF(CE3=1,CHAR(34)&amp;"hasmap"&amp;CHAR(34)&amp;",","")</f>
        <v/>
      </c>
      <c r="GJ3" s="44" t="str">
        <f>IF(CP3="y",CHAR(34)&amp;CP$1&amp;CHAR(34)&amp;",","")</f>
        <v>"NoStar",</v>
      </c>
      <c r="GK3" s="44" t="str">
        <f>IF(GJ3="",CHAR(34)&amp;"HasSta"&amp;CHAR(34)&amp;",","")</f>
        <v/>
      </c>
      <c r="GL3" s="44" t="str">
        <f t="shared" si="5"/>
        <v/>
      </c>
      <c r="GM3" s="44" t="str">
        <f t="shared" si="5"/>
        <v/>
      </c>
      <c r="GN3" s="44" t="str">
        <f t="shared" si="5"/>
        <v/>
      </c>
      <c r="GP3" s="44" t="str">
        <f>CHAR(34)&amp;AU3&amp;CHAR(34)</f>
        <v>"Government"</v>
      </c>
      <c r="GS3" s="44" t="str">
        <f>SUBSTITUTE("["&amp;_xlfn.CONCAT(CW3:GN3)&amp;"]",",]","]")</f>
        <v>["5+Colo","words2","words3","lets19","startS","NoBand","Animal","Plants","Texted","Ships!","Waters","NO_BLA","myrWHI","NoStar"]</v>
      </c>
      <c r="GT3" s="44" t="str">
        <f t="shared" si="6"/>
        <v>"cl_WHI",</v>
      </c>
      <c r="GU3" s="44" t="str">
        <f t="shared" si="6"/>
        <v>"cl_BLU",</v>
      </c>
      <c r="GV3" s="44" t="str">
        <f t="shared" si="6"/>
        <v>"cl_YEL",</v>
      </c>
      <c r="GW3" s="44" t="str">
        <f t="shared" si="6"/>
        <v>"cl_RED",</v>
      </c>
      <c r="GX3" s="44" t="str">
        <f t="shared" si="6"/>
        <v>"cl_GRE",</v>
      </c>
      <c r="GY3" s="44" t="str">
        <f t="shared" si="6"/>
        <v/>
      </c>
      <c r="GZ3" s="44" t="str">
        <f t="shared" si="6"/>
        <v/>
      </c>
      <c r="HA3" s="44" t="str">
        <f t="shared" si="6"/>
        <v/>
      </c>
      <c r="HB3" s="44" t="str">
        <f t="shared" si="6"/>
        <v/>
      </c>
      <c r="HC3" s="44" t="str">
        <f>SUBSTITUTE("["&amp;_xlfn.CONCAT(GT3:HB3)&amp;"]",",]","]")</f>
        <v>["cl_WHI","cl_BLU","cl_YEL","cl_RED","cl_GRE"]</v>
      </c>
      <c r="HE3" s="64"/>
      <c r="HF3" s="65" t="str">
        <f>"{couname:"&amp;CT3&amp;(IF(HK3&lt;&gt;"",",subtype:"&amp;CHAR(34)&amp;HK3&amp;CHAR(34),""))&amp;",year:"&amp;HJ3&amp;",region:"&amp;CU3&amp;",Colors:"&amp;HC3&amp;",Items:"&amp;GS3&amp;",Flag:"&amp;CV3&amp;",HDFlag:"&amp;CHAR(34)&amp;E3&amp;CHAR(34)&amp;",type:"&amp;GP3&amp;", describe: "&amp;HH3&amp;", isnew:"&amp;CHAR(34)&amp;F3&amp;CHAR(34)&amp;", links: "&amp;HL3&amp;"},"</f>
        <v>{couname:"[CCK] Shire of Cocos Islands",year:"???",region:"rgn_Oceania, rgn_Asia",Colors:["cl_WHI","cl_BLU","cl_YEL","cl_RED","cl_GRE"],Items:["5+Colo","words2","words3","lets19","startS","NoBand","Animal","Plants","Texted","Ships!","Waters","NO_BLA","myrWHI","NoStar"],Flag:"https://upload.wikimedia.org/wikipedia/en/3/3e/Cocos_shire_logo.png",HDFlag:"https://upload.wikimedia.org/wikipedia/en/3/3e/Cocos_shire_logo.png",type:"Government", describe: "\nThe Shire of Cocos (Keeling) Islands is a local government area which manages local affairs on the Australian external territory of Cocos (Keeling) Islands", isnew:"www", links: "https://en.wikipedia.org/wiki/Shire_of_Cocos_(Keeling)_Islands"},</v>
      </c>
      <c r="HG3" s="66" t="str">
        <f>"{couname:"&amp;CT3&amp;(IF(HK3&lt;&gt;"",",subtype:"&amp;CHAR(34)&amp;HK3&amp;CHAR(34),""))&amp;",year:"&amp;HJ3&amp;",region:"&amp;CU3&amp;",Colors:"&amp;HC3&amp;",Items:"&amp;GS3&amp;",Flag:"&amp;CV3&amp;",HDFlag:"&amp;CHAR(34)&amp;E3&amp;CHAR(34)&amp;",type:"&amp;GP3&amp;", describe: "&amp;HI3&amp;", links: "&amp;HL3&amp;"},"</f>
        <v>{couname:"[CCK] Shire of Cocos Islands",year:"???",region:"rgn_Oceania, rgn_Asia",Colors:["cl_WHI","cl_BLU","cl_YEL","cl_RED","cl_GRE"],Items:["5+Colo","words2","words3","lets19","startS","NoBand","Animal","Plants","Texted","Ships!","Waters","NO_BLA","myrWHI","NoStar"],Flag:"https://upload.wikimedia.org/wikipedia/en/3/3e/Cocos_shire_logo.png",HDFlag:"https://upload.wikimedia.org/wikipedia/en/3/3e/Cocos_shire_logo.png",type:"Government", describe: "\nThe Shire of Cocos (Keeling) Islands is a local government area which manages local affairs on the Australian external territory of Cocos (Keeling) Islands", links: "https://en.wikipedia.org/wiki/Shire_of_Cocos_(Keeling)_Islands"},</v>
      </c>
      <c r="HH3" s="44" t="str">
        <f>IF(P3&lt;&gt;"",CHAR(34)&amp;"\n"&amp;P3&amp;CHAR(34),CHAR(34)&amp;CHAR(34))</f>
        <v>"\nThe Shire of Cocos (Keeling) Islands is a local government area which manages local affairs on the Australian external territory of Cocos (Keeling) Islands"</v>
      </c>
      <c r="HI3" s="44" t="str">
        <f>IF(J3=0,CHAR(34)&amp;CHAR(34),HH3)</f>
        <v>"\nThe Shire of Cocos (Keeling) Islands is a local government area which manages local affairs on the Australian external territory of Cocos (Keeling) Islands"</v>
      </c>
      <c r="HJ3" s="44" t="str">
        <f>CHAR(34)&amp;O3&amp;CHAR(34)</f>
        <v>"???"</v>
      </c>
      <c r="HL3" s="44" t="str">
        <f>CHAR(34)&amp;I3&amp;CHAR(34)</f>
        <v>"https://en.wikipedia.org/wiki/Shire_of_Cocos_(Keeling)_Islands"</v>
      </c>
      <c r="HM3" s="65"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{"couname":"[CCK] Shire of Cocos Islands","year":"???","region":"rgn_Oceania, rgn_Asia","Colors":["cl_WHI","cl_BLU","cl_YEL","cl_RED","cl_GRE"],"Items":["5+Colo","words2","words3","lets19","startS","NoBand","Animal","Plants","Texted","Ships!","Waters","NO_BLA","myrWHI","NoStar"],"Flag":"https://upload.wikimedia.org/wikipedia/en/3/3e/Cocos_shire_logo.png","HDFlag":"https://upload.wikimedia.org/wikipedia/en/3/3e/Cocos_shire_logo.png","type":"Government", "describe": "\nThe Shire of Cocos (Keeling) Islands is a local government area which manages local affairs on the Australian external territory of Cocos (Keeling) Islands", "isnew": "www", "links": "https://en.wikipedia.org/wiki/Shire_of_Cocos_(Keeling)_Islands"},</v>
      </c>
      <c r="HN3" s="67"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{"couname":"[CCK] Shire of Cocos Islands","year":"???","region":"rgn_Oceania, rgn_Asia","Colors":["cl_WHI","cl_BLU","cl_YEL","cl_RED","cl_GRE"],"Items":["5+Colo","words2","words3","lets19","startS","NoBand","Animal","Plants","Texted","Ships!","Waters","NO_BLA","myrWHI","NoStar"],"Flag":"https://upload.wikimedia.org/wikipedia/en/3/3e/Cocos_shire_logo.png","HDFlag":"https://upload.wikimedia.org/wikipedia/en/3/3e/Cocos_shire_logo.png","type":"Government", "describe": "\nThe Shire of Cocos (Keeling) Islands is a local government area which manages local affairs on the Australian external territory of Cocos (Keeling) Islands", "isnew": "www", "links": "https://en.wikipedia.org/wiki/Shire_of_Cocos_(Keeling)_Islands"},</v>
      </c>
      <c r="HO3" s="71">
        <v>45653</v>
      </c>
      <c r="HP3" s="44" t="str" cm="1">
        <f t="array" ref="HP3">IF(_xlfn.TEXTJOIN(", ", TRUE, IF(ISNUMBER(SEARCH("BLA", BL3:BT3)), COLUMN(BL3:BT3) - COLUMN(BL3) + 1, ""))&lt;&gt;"","BLA","")</f>
        <v/>
      </c>
      <c r="HQ3" s="44" t="str" cm="1">
        <f t="array" ref="HQ3">IF(_xlfn.TEXTJOIN(", ", TRUE, IF(ISNUMBER(SEARCH("BLU", BL3:BT3)), COLUMN(BL3:BT3) - COLUMN(BL3) + 1, ""))&lt;&gt;"","BLU","")</f>
        <v>BLU</v>
      </c>
      <c r="HR3" s="44" t="str" cm="1">
        <f t="array" ref="HR3">IF(_xlfn.TEXTJOIN(", ", TRUE, IF(ISNUMBER(SEARCH("GRE", BL3:BT3)), COLUMN(BL3:BT3) - COLUMN(BL3) + 1, ""))&lt;&gt;"","GRE","")</f>
        <v>GRE</v>
      </c>
      <c r="HS3" s="44" t="str" cm="1">
        <f t="array" ref="HS3">IF(_xlfn.TEXTJOIN(", ", TRUE, IF(ISNUMBER(SEARCH("RED", BL3:BT3)), COLUMN(BL3:BT3) - COLUMN(BL3) + 1, ""))&lt;&gt;"","RED","")</f>
        <v>RED</v>
      </c>
      <c r="HT3" s="44" t="str" cm="1">
        <f t="array" ref="HT3">IF(_xlfn.TEXTJOIN(", ", TRUE, IF(ISNUMBER(SEARCH("YEL", BL3:BT3)), COLUMN(BL3:BT3) - COLUMN(BL3) + 1, ""))&lt;&gt;"","YEL","")</f>
        <v>YEL</v>
      </c>
      <c r="HU3" s="44" t="str" cm="1">
        <f t="array" ref="HU3">IF(_xlfn.TEXTJOIN(", ", TRUE, IF(ISNUMBER(SEARCH("ORA", BL3:BT3)), COLUMN(BL3:BT3) - COLUMN(BL3) + 1, ""))&lt;&gt;"","ORA","")</f>
        <v/>
      </c>
      <c r="HV3" s="44" t="str" cm="1">
        <f t="array" ref="HV3">IF(_xlfn.TEXTJOIN(", ", TRUE, IF(ISNUMBER(SEARCH("BRO", BL3:BT3)), COLUMN(BL3:BT3) - COLUMN(BL3) + 1, ""))&lt;&gt;"","BRO","")</f>
        <v/>
      </c>
      <c r="HW3" s="44" t="str" cm="1">
        <f t="array" ref="HW3">IF(_xlfn.TEXTJOIN(", ", TRUE, IF(ISNUMBER(SEARCH("PUR", BL3:BT3)), COLUMN(BL3:BT3) - COLUMN(BL3) + 1, ""))&lt;&gt;"","PUR","")</f>
        <v/>
      </c>
      <c r="HX3" s="44" t="str" cm="1">
        <f t="array" ref="HX3">IF(_xlfn.TEXTJOIN(", ", TRUE, IF(ISNUMBER(SEARCH("WHI", BL3:BT3)), COLUMN(BL3:BT3) - COLUMN(BL3) + 1, ""))&lt;&gt;"","WHI","")</f>
        <v>WHI</v>
      </c>
      <c r="HY3" s="72"/>
      <c r="HZ3" s="72"/>
      <c r="IA3" s="5"/>
      <c r="IB3" s="5"/>
      <c r="IC3" s="68"/>
      <c r="ID3" s="68"/>
      <c r="IE3" s="68"/>
      <c r="IF3" s="68"/>
      <c r="IG3" s="68"/>
      <c r="IH3" s="68"/>
      <c r="II3" s="68"/>
      <c r="IJ3" s="68"/>
      <c r="IK3" s="68"/>
      <c r="IM3" s="42">
        <f>COUNTIF(IC3:IK3,"&gt;0")-CG3</f>
        <v>-5</v>
      </c>
      <c r="IN3" s="69" t="str">
        <f>"http://mkweb.bcgsc.ca/color-summarizer/?url="&amp;D3&amp;"&amp;precision=low&amp;num_clusters="&amp;CG3&amp;"&amp;text=1"</f>
        <v>http://mkweb.bcgsc.ca/color-summarizer/?url=https://upload.wikimedia.org/wikipedia/en/3/3e/Cocos_shire_logo.png&amp;precision=low&amp;num_clusters=5&amp;text=1</v>
      </c>
      <c r="IO3" s="44" t="str">
        <f>IF(HP3&lt;&gt;"",CHAR(34)&amp;"black"&amp;CHAR(34),"")</f>
        <v/>
      </c>
      <c r="IP3" s="44" t="str">
        <f>IF(HQ3&lt;&gt;"",CHAR(34)&amp;"blue"&amp;CHAR(34),"")</f>
        <v>"blue"</v>
      </c>
      <c r="IQ3" s="44" t="str">
        <f>IF(HR3&lt;&gt;"",CHAR(34)&amp;"green"&amp;CHAR(34),"")</f>
        <v>"green"</v>
      </c>
      <c r="IR3" s="44" t="str">
        <f>IF(HS3&lt;&gt;"",CHAR(34)&amp;"red"&amp;CHAR(34),"")</f>
        <v>"red"</v>
      </c>
      <c r="IS3" s="44" t="str">
        <f>IF(HT3&lt;&gt;"",CHAR(34)&amp;"yellow"&amp;CHAR(34),"")</f>
        <v>"yellow"</v>
      </c>
      <c r="IT3" s="44" t="str">
        <f>IF(HU3&lt;&gt;"",CHAR(34)&amp;"orange"&amp;CHAR(34),"")</f>
        <v/>
      </c>
      <c r="IU3" s="44" t="str">
        <f>IF(HV3&lt;&gt;"",CHAR(34)&amp;"brown"&amp;CHAR(34),"")</f>
        <v/>
      </c>
      <c r="IV3" s="44" t="str">
        <f>IF(HW3&lt;&gt;"",CHAR(34)&amp;"purple"&amp;CHAR(34),"")</f>
        <v/>
      </c>
      <c r="IW3" s="44" t="str">
        <f>IF(HX3&lt;&gt;"",CHAR(34)&amp;"white"&amp;CHAR(34),"")</f>
        <v>"white"</v>
      </c>
      <c r="IX3" s="44" t="str">
        <f>"{"&amp;CHAR(34)&amp;"url"&amp;CHAR(34)&amp;":"&amp;CHAR(34)&amp;IN3&amp;CHAR(34)&amp;","&amp;CHAR(34)&amp;"name"&amp;CHAR(34)&amp;":"&amp;CHAR(34)&amp;A3&amp;CHAR(34)&amp;"},"</f>
        <v>{"url":"http://mkweb.bcgsc.ca/color-summarizer/?url=https://upload.wikimedia.org/wikipedia/en/3/3e/Cocos_shire_logo.png&amp;precision=low&amp;num_clusters=5&amp;text=1","name":"[CCK] Shire of Cocos Islands"},</v>
      </c>
      <c r="IY3" s="44">
        <v>1503</v>
      </c>
    </row>
  </sheetData>
  <autoFilter ref="A1:IY3" xr:uid="{A1051193-A95B-4CFB-A73C-F0184620C81F}">
    <sortState xmlns:xlrd2="http://schemas.microsoft.com/office/spreadsheetml/2017/richdata2" ref="A2:IY3">
      <sortCondition ref="AW1:AW3"/>
    </sortState>
  </autoFilter>
  <conditionalFormatting sqref="H1 CW1:GS1 IA1:IB1">
    <cfRule type="cellIs" dxfId="1771" priority="66" operator="greaterThan">
      <formula>0</formula>
    </cfRule>
  </conditionalFormatting>
  <conditionalFormatting sqref="H1:H1048576">
    <cfRule type="cellIs" dxfId="1770" priority="6" stopIfTrue="1" operator="notEqual">
      <formula>""</formula>
    </cfRule>
  </conditionalFormatting>
  <conditionalFormatting sqref="R2:R3 CU2:CU3">
    <cfRule type="cellIs" dxfId="1769" priority="8" operator="greaterThan">
      <formula>0</formula>
    </cfRule>
  </conditionalFormatting>
  <conditionalFormatting sqref="T2:AS3 CH2:CS3">
    <cfRule type="cellIs" dxfId="1768" priority="3" stopIfTrue="1" operator="equal">
      <formula>"n"</formula>
    </cfRule>
    <cfRule type="cellIs" dxfId="1767" priority="4" stopIfTrue="1" operator="equal">
      <formula>"y"</formula>
    </cfRule>
    <cfRule type="cellIs" dxfId="1766" priority="5" operator="greaterThan">
      <formula>0</formula>
    </cfRule>
  </conditionalFormatting>
  <conditionalFormatting sqref="T1:BK1">
    <cfRule type="cellIs" dxfId="1765" priority="69" operator="greaterThan">
      <formula>0</formula>
    </cfRule>
  </conditionalFormatting>
  <conditionalFormatting sqref="AZ2:BB3">
    <cfRule type="expression" dxfId="1764" priority="2">
      <formula>$AT2=0</formula>
    </cfRule>
  </conditionalFormatting>
  <conditionalFormatting sqref="AZ2:BU3">
    <cfRule type="cellIs" dxfId="1763" priority="44" operator="equal">
      <formula>"PIN"</formula>
    </cfRule>
    <cfRule type="cellIs" dxfId="1762" priority="45" operator="equal">
      <formula>"ORA"</formula>
    </cfRule>
    <cfRule type="cellIs" dxfId="1761" priority="46" operator="equal">
      <formula>"GRA"</formula>
    </cfRule>
    <cfRule type="cellIs" dxfId="1760" priority="47" operator="equal">
      <formula>"PUR"</formula>
    </cfRule>
    <cfRule type="cellIs" dxfId="1759" priority="48" operator="equal">
      <formula>"BRO"</formula>
    </cfRule>
    <cfRule type="cellIs" dxfId="1758" priority="49" operator="equal">
      <formula>"YEL"</formula>
    </cfRule>
    <cfRule type="cellIs" dxfId="1757" priority="50" operator="equal">
      <formula>"BLU"</formula>
    </cfRule>
    <cfRule type="cellIs" dxfId="1756" priority="51" operator="equal">
      <formula>"WHI"</formula>
    </cfRule>
    <cfRule type="cellIs" dxfId="1755" priority="52" operator="equal">
      <formula>"GRE"</formula>
    </cfRule>
    <cfRule type="cellIs" dxfId="1754" priority="53" operator="equal">
      <formula>"RED"</formula>
    </cfRule>
    <cfRule type="cellIs" dxfId="1753" priority="54" operator="equal">
      <formula>"BLA"</formula>
    </cfRule>
  </conditionalFormatting>
  <conditionalFormatting sqref="BV1:BW1 BV2 BV3:BW1048576">
    <cfRule type="cellIs" dxfId="1752" priority="68" operator="equal">
      <formula>"nc"</formula>
    </cfRule>
  </conditionalFormatting>
  <conditionalFormatting sqref="BX2:CA3 CD2:CF3">
    <cfRule type="cellIs" dxfId="1751" priority="7" operator="equal">
      <formula>"y"</formula>
    </cfRule>
    <cfRule type="cellIs" dxfId="1750" priority="55" operator="equal">
      <formula>"PIN"</formula>
    </cfRule>
    <cfRule type="cellIs" dxfId="1749" priority="56" operator="equal">
      <formula>"ORA"</formula>
    </cfRule>
    <cfRule type="cellIs" dxfId="1748" priority="57" operator="equal">
      <formula>"GRA"</formula>
    </cfRule>
    <cfRule type="cellIs" dxfId="1747" priority="58" operator="equal">
      <formula>"PUR"</formula>
    </cfRule>
    <cfRule type="cellIs" dxfId="1746" priority="59" operator="equal">
      <formula>"BRO"</formula>
    </cfRule>
    <cfRule type="cellIs" dxfId="1745" priority="60" operator="equal">
      <formula>"YEL"</formula>
    </cfRule>
    <cfRule type="cellIs" dxfId="1744" priority="61" operator="equal">
      <formula>"BLU"</formula>
    </cfRule>
    <cfRule type="cellIs" dxfId="1743" priority="62" operator="equal">
      <formula>"WHI"</formula>
    </cfRule>
    <cfRule type="cellIs" dxfId="1742" priority="63" operator="equal">
      <formula>"GRE"</formula>
    </cfRule>
    <cfRule type="cellIs" dxfId="1741" priority="64" operator="equal">
      <formula>"RED"</formula>
    </cfRule>
    <cfRule type="cellIs" dxfId="1740" priority="65" operator="equal">
      <formula>"BLA"</formula>
    </cfRule>
  </conditionalFormatting>
  <conditionalFormatting sqref="BZ2:CA3 CD2:CF3">
    <cfRule type="cellIs" dxfId="1739" priority="9" operator="greaterThan">
      <formula>0</formula>
    </cfRule>
  </conditionalFormatting>
  <conditionalFormatting sqref="HF1:HG1">
    <cfRule type="cellIs" dxfId="1738" priority="70" operator="greaterThan">
      <formula>0</formula>
    </cfRule>
  </conditionalFormatting>
  <conditionalFormatting sqref="HK1">
    <cfRule type="cellIs" dxfId="1737" priority="67" operator="greaterThan">
      <formula>0</formula>
    </cfRule>
  </conditionalFormatting>
  <conditionalFormatting sqref="HP1:HX1">
    <cfRule type="cellIs" dxfId="1736" priority="21" operator="equal">
      <formula>"PIN"</formula>
    </cfRule>
    <cfRule type="cellIs" dxfId="1735" priority="22" operator="equal">
      <formula>"ORA"</formula>
    </cfRule>
    <cfRule type="cellIs" dxfId="1734" priority="23" operator="equal">
      <formula>"GRA"</formula>
    </cfRule>
    <cfRule type="cellIs" dxfId="1733" priority="24" operator="equal">
      <formula>"PUR"</formula>
    </cfRule>
    <cfRule type="cellIs" dxfId="1732" priority="25" operator="equal">
      <formula>"BRO"</formula>
    </cfRule>
    <cfRule type="cellIs" dxfId="1731" priority="26" operator="equal">
      <formula>"YEL"</formula>
    </cfRule>
    <cfRule type="cellIs" dxfId="1730" priority="27" operator="equal">
      <formula>"BLU"</formula>
    </cfRule>
    <cfRule type="cellIs" dxfId="1729" priority="28" operator="equal">
      <formula>"WHI"</formula>
    </cfRule>
    <cfRule type="cellIs" dxfId="1728" priority="29" operator="equal">
      <formula>"GRE"</formula>
    </cfRule>
    <cfRule type="cellIs" dxfId="1727" priority="30" operator="equal">
      <formula>"RED"</formula>
    </cfRule>
    <cfRule type="cellIs" dxfId="1726" priority="31" operator="equal">
      <formula>"BLA"</formula>
    </cfRule>
  </conditionalFormatting>
  <conditionalFormatting sqref="IC1:IK1">
    <cfRule type="cellIs" dxfId="1725" priority="33" operator="equal">
      <formula>"PIN"</formula>
    </cfRule>
    <cfRule type="cellIs" dxfId="1724" priority="34" operator="equal">
      <formula>"ORA"</formula>
    </cfRule>
    <cfRule type="cellIs" dxfId="1723" priority="35" operator="equal">
      <formula>"GRA"</formula>
    </cfRule>
    <cfRule type="cellIs" dxfId="1722" priority="36" operator="equal">
      <formula>"PUR"</formula>
    </cfRule>
    <cfRule type="cellIs" dxfId="1721" priority="37" operator="equal">
      <formula>"BRO"</formula>
    </cfRule>
    <cfRule type="cellIs" dxfId="1720" priority="38" operator="equal">
      <formula>"YEL"</formula>
    </cfRule>
    <cfRule type="cellIs" dxfId="1719" priority="39" operator="equal">
      <formula>"BLU"</formula>
    </cfRule>
    <cfRule type="cellIs" dxfId="1718" priority="40" operator="equal">
      <formula>"WHI"</formula>
    </cfRule>
    <cfRule type="cellIs" dxfId="1717" priority="41" operator="equal">
      <formula>"GRE"</formula>
    </cfRule>
    <cfRule type="cellIs" dxfId="1716" priority="42" operator="equal">
      <formula>"RED"</formula>
    </cfRule>
    <cfRule type="cellIs" dxfId="1715" priority="43" operator="equal">
      <formula>"BLA"</formula>
    </cfRule>
  </conditionalFormatting>
  <conditionalFormatting sqref="IC2:IK3">
    <cfRule type="expression" dxfId="1714" priority="32">
      <formula>$IL2&gt;0</formula>
    </cfRule>
  </conditionalFormatting>
  <conditionalFormatting sqref="IO1:IW1">
    <cfRule type="cellIs" dxfId="1713" priority="10" operator="equal">
      <formula>"PIN"</formula>
    </cfRule>
    <cfRule type="cellIs" dxfId="1712" priority="11" operator="equal">
      <formula>"ORA"</formula>
    </cfRule>
    <cfRule type="cellIs" dxfId="1711" priority="12" operator="equal">
      <formula>"GRA"</formula>
    </cfRule>
    <cfRule type="cellIs" dxfId="1710" priority="13" operator="equal">
      <formula>"PUR"</formula>
    </cfRule>
    <cfRule type="cellIs" dxfId="1709" priority="14" operator="equal">
      <formula>"BRO"</formula>
    </cfRule>
    <cfRule type="cellIs" dxfId="1708" priority="15" operator="equal">
      <formula>"YEL"</formula>
    </cfRule>
    <cfRule type="cellIs" dxfId="1707" priority="16" operator="equal">
      <formula>"BLU"</formula>
    </cfRule>
    <cfRule type="cellIs" dxfId="1706" priority="17" operator="equal">
      <formula>"WHI"</formula>
    </cfRule>
    <cfRule type="cellIs" dxfId="1705" priority="18" operator="equal">
      <formula>"GRE"</formula>
    </cfRule>
    <cfRule type="cellIs" dxfId="1704" priority="19" operator="equal">
      <formula>"RED"</formula>
    </cfRule>
    <cfRule type="cellIs" dxfId="1703" priority="20" operator="equal">
      <formula>"BLA"</formula>
    </cfRule>
  </conditionalFormatting>
  <conditionalFormatting sqref="S2:S3">
    <cfRule type="colorScale" priority="3911">
      <colorScale>
        <cfvo type="min"/>
        <cfvo type="max"/>
        <color rgb="FFFCFCFF"/>
        <color rgb="FF754BFB"/>
      </colorScale>
    </cfRule>
  </conditionalFormatting>
  <conditionalFormatting sqref="AT2:AT3">
    <cfRule type="colorScale" priority="3912">
      <colorScale>
        <cfvo type="min"/>
        <cfvo type="max"/>
        <color rgb="FFFCFCFF"/>
        <color theme="8" tint="0.39997558519241921"/>
      </colorScale>
    </cfRule>
  </conditionalFormatting>
  <conditionalFormatting sqref="CG2:CG3">
    <cfRule type="colorScale" priority="3913">
      <colorScale>
        <cfvo type="min"/>
        <cfvo type="max"/>
        <color rgb="FFFCFCFF"/>
        <color rgb="FF63BE7B"/>
      </colorScale>
    </cfRule>
  </conditionalFormatting>
  <conditionalFormatting sqref="J2:J3">
    <cfRule type="colorScale" priority="1">
      <colorScale>
        <cfvo type="min"/>
        <cfvo type="percentile" val="50"/>
        <cfvo type="max"/>
        <color rgb="FFF8696B"/>
        <color rgb="FFFFEB84"/>
        <color rgb="FF63BE7B"/>
      </colorScale>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InsertImagesFromSelectedRange">
                <anchor moveWithCells="1" sizeWithCells="1">
                  <from>
                    <xdr:col>1</xdr:col>
                    <xdr:colOff>76200</xdr:colOff>
                    <xdr:row>0</xdr:row>
                    <xdr:rowOff>7620</xdr:rowOff>
                  </from>
                  <to>
                    <xdr:col>2</xdr:col>
                    <xdr:colOff>0</xdr:colOff>
                    <xdr:row>0</xdr:row>
                    <xdr:rowOff>487680</xdr:rowOff>
                  </to>
                </anchor>
              </controlPr>
            </control>
          </mc:Choice>
        </mc:AlternateContent>
        <mc:AlternateContent xmlns:mc="http://schemas.openxmlformats.org/markup-compatibility/2006">
          <mc:Choice Requires="x14">
            <control shapeId="26626" r:id="rId5" name="Button 2">
              <controlPr defaultSize="0" print="0" autoFill="0" autoPict="0" macro="[0]!ReplaceLineBreaksWithNewLineManualRange">
                <anchor moveWithCells="1" sizeWithCells="1">
                  <from>
                    <xdr:col>7</xdr:col>
                    <xdr:colOff>15240</xdr:colOff>
                    <xdr:row>0</xdr:row>
                    <xdr:rowOff>45720</xdr:rowOff>
                  </from>
                  <to>
                    <xdr:col>7</xdr:col>
                    <xdr:colOff>685800</xdr:colOff>
                    <xdr:row>0</xdr:row>
                    <xdr:rowOff>403860</xdr:rowOff>
                  </to>
                </anchor>
              </controlPr>
            </control>
          </mc:Choice>
        </mc:AlternateContent>
        <mc:AlternateContent xmlns:mc="http://schemas.openxmlformats.org/markup-compatibility/2006">
          <mc:Choice Requires="x14">
            <control shapeId="26627" r:id="rId6" name="Button 3">
              <controlPr defaultSize="0" print="0" autoFill="0" autoPict="0" macro="[0]!GoToSheet">
                <anchor moveWithCells="1" sizeWithCells="1">
                  <from>
                    <xdr:col>0</xdr:col>
                    <xdr:colOff>137160</xdr:colOff>
                    <xdr:row>0</xdr:row>
                    <xdr:rowOff>114300</xdr:rowOff>
                  </from>
                  <to>
                    <xdr:col>0</xdr:col>
                    <xdr:colOff>762000</xdr:colOff>
                    <xdr:row>0</xdr:row>
                    <xdr:rowOff>419100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A7AF96-7471-4FF6-B227-4393A3E509F0}">
  <sheetPr codeName="Sheet13"/>
  <dimension ref="A1:IY5"/>
  <sheetViews>
    <sheetView zoomScale="70" zoomScaleNormal="70" workbookViewId="0">
      <pane xSplit="5" ySplit="1" topLeftCell="F2" activePane="bottomRight" state="frozen"/>
      <selection activeCell="A2" sqref="A2"/>
      <selection pane="topRight" activeCell="A2" sqref="A2"/>
      <selection pane="bottomLeft" activeCell="A2" sqref="A2"/>
      <selection pane="bottomRight" activeCell="B2" sqref="B2"/>
    </sheetView>
  </sheetViews>
  <sheetFormatPr defaultRowHeight="38.4" customHeight="1" x14ac:dyDescent="0.3"/>
  <cols>
    <col min="1" max="1" width="52.44140625" style="82" bestFit="1" customWidth="1"/>
    <col min="2" max="2" width="10.109375" style="82" customWidth="1"/>
    <col min="3" max="3" width="7.44140625" style="83" customWidth="1"/>
    <col min="4" max="4" width="4.77734375" style="84" customWidth="1"/>
    <col min="5" max="5" width="4.5546875" style="84" customWidth="1"/>
    <col min="6" max="6" width="5.77734375" style="84" customWidth="1"/>
    <col min="7" max="7" width="7.44140625" style="82" customWidth="1"/>
    <col min="8" max="8" width="11.44140625" style="82" customWidth="1"/>
    <col min="9" max="9" width="10" style="82" customWidth="1"/>
    <col min="10" max="10" width="4.21875" style="82" customWidth="1"/>
    <col min="11" max="11" width="5.6640625" style="84" customWidth="1"/>
    <col min="12" max="12" width="2.88671875" style="84" customWidth="1"/>
    <col min="13" max="13" width="6.44140625" style="84" customWidth="1"/>
    <col min="14" max="14" width="4.5546875" style="84" customWidth="1"/>
    <col min="15" max="15" width="10.5546875" style="85" customWidth="1"/>
    <col min="16" max="16" width="6.88671875" style="84" customWidth="1"/>
    <col min="17" max="17" width="4.77734375" style="84" customWidth="1"/>
    <col min="18" max="18" width="13.109375" style="83" customWidth="1"/>
    <col min="19" max="19" width="6.77734375" style="83" customWidth="1"/>
    <col min="20" max="46" width="8.44140625" style="82" customWidth="1"/>
    <col min="47" max="47" width="24.5546875" style="82" customWidth="1"/>
    <col min="48" max="51" width="16.6640625" style="82" customWidth="1"/>
    <col min="52" max="52" width="6.5546875" style="82" customWidth="1"/>
    <col min="53" max="54" width="5.88671875" style="82" customWidth="1"/>
    <col min="55" max="55" width="1.33203125" style="82" customWidth="1"/>
    <col min="56" max="56" width="7.44140625" style="82" customWidth="1"/>
    <col min="57" max="57" width="2.33203125" style="82" customWidth="1"/>
    <col min="58" max="62" width="6.109375" style="82" customWidth="1"/>
    <col min="63" max="63" width="2.33203125" style="82" customWidth="1"/>
    <col min="64" max="64" width="7" style="82" bestFit="1" customWidth="1"/>
    <col min="65" max="65" width="6.44140625" style="82" bestFit="1" customWidth="1"/>
    <col min="66" max="66" width="7.109375" style="82" bestFit="1" customWidth="1"/>
    <col min="67" max="71" width="6.44140625" style="82" bestFit="1" customWidth="1"/>
    <col min="72" max="73" width="6.44140625" style="82" customWidth="1"/>
    <col min="74" max="75" width="13.44140625" style="82" customWidth="1"/>
    <col min="76" max="84" width="14.6640625" style="82" customWidth="1"/>
    <col min="85" max="85" width="6.44140625" style="82" customWidth="1"/>
    <col min="86" max="87" width="11.6640625" style="82" bestFit="1" customWidth="1"/>
    <col min="88" max="88" width="11.6640625" style="82" customWidth="1"/>
    <col min="89" max="89" width="12.77734375" style="82" bestFit="1" customWidth="1"/>
    <col min="90" max="90" width="16.44140625" style="83" bestFit="1" customWidth="1"/>
    <col min="91" max="92" width="14.88671875" style="83" bestFit="1" customWidth="1"/>
    <col min="93" max="93" width="16" style="83" bestFit="1" customWidth="1"/>
    <col min="94" max="97" width="7.77734375" style="82" customWidth="1"/>
    <col min="98" max="98" width="33.21875" style="82" customWidth="1"/>
    <col min="99" max="99" width="18" style="82" customWidth="1"/>
    <col min="100" max="100" width="75.6640625" style="82" customWidth="1"/>
    <col min="101" max="125" width="33" style="82" customWidth="1"/>
    <col min="126" max="126" width="8.88671875" style="82"/>
    <col min="127" max="128" width="9.44140625" style="82" bestFit="1" customWidth="1"/>
    <col min="129" max="129" width="10.77734375" style="82" bestFit="1" customWidth="1"/>
    <col min="130" max="134" width="10.77734375" style="82" customWidth="1"/>
    <col min="135" max="135" width="10.109375" style="82" bestFit="1" customWidth="1"/>
    <col min="136" max="136" width="7.77734375" style="82" bestFit="1" customWidth="1"/>
    <col min="137" max="137" width="7.77734375" style="82" customWidth="1"/>
    <col min="138" max="138" width="9" style="82" bestFit="1" customWidth="1"/>
    <col min="139" max="139" width="11.33203125" style="82" bestFit="1" customWidth="1"/>
    <col min="140" max="140" width="9.109375" style="82" bestFit="1" customWidth="1"/>
    <col min="141" max="141" width="9" style="82" bestFit="1" customWidth="1"/>
    <col min="142" max="142" width="12" style="82" bestFit="1" customWidth="1"/>
    <col min="143" max="166" width="12" style="82" customWidth="1"/>
    <col min="167" max="167" width="17.21875" style="82" customWidth="1"/>
    <col min="168" max="191" width="12" style="82" customWidth="1"/>
    <col min="192" max="192" width="8.5546875" style="82" bestFit="1" customWidth="1"/>
    <col min="193" max="193" width="8.5546875" style="82" customWidth="1"/>
    <col min="194" max="194" width="7.109375" style="82" bestFit="1" customWidth="1"/>
    <col min="195" max="195" width="7.5546875" style="82" bestFit="1" customWidth="1"/>
    <col min="196" max="196" width="8.5546875" style="82" bestFit="1" customWidth="1"/>
    <col min="197" max="200" width="8.5546875" style="82" customWidth="1"/>
    <col min="201" max="201" width="188.88671875" style="82" customWidth="1"/>
    <col min="202" max="202" width="9.5546875" style="82" bestFit="1" customWidth="1"/>
    <col min="203" max="203" width="10.44140625" style="82" bestFit="1" customWidth="1"/>
    <col min="204" max="204" width="11.109375" style="82" bestFit="1" customWidth="1"/>
    <col min="205" max="205" width="10.44140625" style="82" bestFit="1" customWidth="1"/>
    <col min="206" max="210" width="10.44140625" style="82" customWidth="1"/>
    <col min="211" max="211" width="45.44140625" style="82" customWidth="1"/>
    <col min="212" max="212" width="47.5546875" style="82" bestFit="1" customWidth="1"/>
    <col min="213" max="213" width="9.33203125" style="86" customWidth="1"/>
    <col min="214" max="214" width="119.5546875" style="82" customWidth="1"/>
    <col min="215" max="215" width="69.6640625" style="82" customWidth="1"/>
    <col min="216" max="218" width="8.88671875" style="82"/>
    <col min="219" max="219" width="37.109375" style="82" customWidth="1"/>
    <col min="220" max="220" width="16.33203125" style="82" customWidth="1"/>
    <col min="221" max="222" width="8.88671875" style="82"/>
    <col min="223" max="223" width="10.109375" style="82" bestFit="1" customWidth="1"/>
    <col min="224" max="232" width="10.88671875" style="82" customWidth="1"/>
    <col min="233" max="234" width="30.77734375" style="82" customWidth="1"/>
    <col min="235" max="235" width="5.109375" style="82" customWidth="1"/>
    <col min="236" max="236" width="3" style="82" customWidth="1"/>
    <col min="237" max="245" width="6.77734375" style="76" customWidth="1"/>
    <col min="246" max="247" width="8.88671875" style="82"/>
    <col min="248" max="248" width="61.5546875" style="82" customWidth="1"/>
    <col min="249" max="253" width="8.88671875" style="82"/>
    <col min="254" max="254" width="9" style="82" customWidth="1"/>
    <col min="255" max="16384" width="8.88671875" style="82"/>
  </cols>
  <sheetData>
    <row r="1" spans="1:259" s="5" customFormat="1" ht="38.4" customHeight="1" thickBot="1" x14ac:dyDescent="0.35">
      <c r="A1" s="1" t="s">
        <v>0</v>
      </c>
      <c r="B1" s="79" t="s">
        <v>1</v>
      </c>
      <c r="C1" s="2" t="s">
        <v>2</v>
      </c>
      <c r="D1" s="3"/>
      <c r="E1" s="3" t="s">
        <v>3</v>
      </c>
      <c r="F1" s="4"/>
      <c r="H1" s="6" t="s">
        <v>4</v>
      </c>
      <c r="J1" s="5" t="s">
        <v>5</v>
      </c>
      <c r="K1" s="7" t="s">
        <v>6</v>
      </c>
      <c r="L1" s="8" t="s">
        <v>7</v>
      </c>
      <c r="M1" s="8" t="s">
        <v>8</v>
      </c>
      <c r="N1" s="9" t="s">
        <v>9</v>
      </c>
      <c r="O1" s="10" t="s">
        <v>10</v>
      </c>
      <c r="P1" s="11" t="s">
        <v>11</v>
      </c>
      <c r="Q1" s="11" t="s">
        <v>12</v>
      </c>
      <c r="R1" s="12" t="s">
        <v>0</v>
      </c>
      <c r="S1" s="13" t="s">
        <v>13</v>
      </c>
      <c r="T1" s="14" t="s">
        <v>14</v>
      </c>
      <c r="U1" s="14" t="s">
        <v>15</v>
      </c>
      <c r="V1" s="15" t="s">
        <v>16</v>
      </c>
      <c r="W1" s="14" t="s">
        <v>17</v>
      </c>
      <c r="X1" s="14" t="s">
        <v>18</v>
      </c>
      <c r="Y1" s="14" t="s">
        <v>19</v>
      </c>
      <c r="Z1" s="14" t="s">
        <v>20</v>
      </c>
      <c r="AA1" s="14" t="s">
        <v>21</v>
      </c>
      <c r="AB1" s="14" t="s">
        <v>22</v>
      </c>
      <c r="AC1" s="14" t="s">
        <v>23</v>
      </c>
      <c r="AD1" s="14" t="s">
        <v>24</v>
      </c>
      <c r="AE1" s="14" t="s">
        <v>25</v>
      </c>
      <c r="AF1" s="16" t="s">
        <v>26</v>
      </c>
      <c r="AG1" s="16" t="s">
        <v>27</v>
      </c>
      <c r="AH1" s="16" t="s">
        <v>28</v>
      </c>
      <c r="AI1" s="16" t="s">
        <v>29</v>
      </c>
      <c r="AJ1" s="16" t="s">
        <v>30</v>
      </c>
      <c r="AK1" s="16" t="s">
        <v>31</v>
      </c>
      <c r="AL1" s="16" t="s">
        <v>32</v>
      </c>
      <c r="AM1" s="16" t="s">
        <v>33</v>
      </c>
      <c r="AN1" s="16" t="s">
        <v>34</v>
      </c>
      <c r="AO1" s="16" t="s">
        <v>35</v>
      </c>
      <c r="AP1" s="16" t="s">
        <v>36</v>
      </c>
      <c r="AQ1" s="16" t="s">
        <v>37</v>
      </c>
      <c r="AR1" s="16" t="s">
        <v>38</v>
      </c>
      <c r="AS1" s="16" t="s">
        <v>39</v>
      </c>
      <c r="AT1" s="17" t="s">
        <v>40</v>
      </c>
      <c r="AU1" s="18" t="s">
        <v>41</v>
      </c>
      <c r="AV1" s="18" t="s">
        <v>42</v>
      </c>
      <c r="AW1" s="18" t="s">
        <v>43</v>
      </c>
      <c r="AX1" s="19"/>
      <c r="AY1" s="20" t="s">
        <v>44</v>
      </c>
      <c r="AZ1" s="19" t="s">
        <v>45</v>
      </c>
      <c r="BA1" s="19"/>
      <c r="BB1" s="19"/>
      <c r="BC1" s="21"/>
      <c r="BD1" s="19" t="s">
        <v>46</v>
      </c>
      <c r="BE1" s="21"/>
      <c r="BF1" s="19" t="s">
        <v>47</v>
      </c>
      <c r="BG1" s="19" t="s">
        <v>48</v>
      </c>
      <c r="BH1" s="19" t="s">
        <v>49</v>
      </c>
      <c r="BI1" s="19" t="s">
        <v>50</v>
      </c>
      <c r="BJ1" s="19" t="s">
        <v>51</v>
      </c>
      <c r="BK1" s="21"/>
      <c r="BL1" s="22" t="s">
        <v>52</v>
      </c>
      <c r="BM1" s="22"/>
      <c r="BN1" s="22"/>
      <c r="BO1" s="22"/>
      <c r="BP1" s="22"/>
      <c r="BQ1" s="22"/>
      <c r="BR1" s="22"/>
      <c r="BS1" s="22"/>
      <c r="BT1" s="23"/>
      <c r="BU1" s="23" t="s">
        <v>53</v>
      </c>
      <c r="BV1" s="23" t="s">
        <v>54</v>
      </c>
      <c r="BW1" s="23" t="s">
        <v>55</v>
      </c>
      <c r="BX1" s="23"/>
      <c r="BY1" s="23" t="s">
        <v>56</v>
      </c>
      <c r="BZ1" s="23" t="s">
        <v>57</v>
      </c>
      <c r="CA1" s="23" t="s">
        <v>58</v>
      </c>
      <c r="CB1" s="23" t="s">
        <v>59</v>
      </c>
      <c r="CC1" s="23" t="s">
        <v>60</v>
      </c>
      <c r="CD1" s="23" t="s">
        <v>61</v>
      </c>
      <c r="CE1" s="23" t="s">
        <v>62</v>
      </c>
      <c r="CF1" s="23" t="s">
        <v>63</v>
      </c>
      <c r="CG1" s="23"/>
      <c r="CH1" s="23" t="s">
        <v>64</v>
      </c>
      <c r="CI1" s="23" t="s">
        <v>65</v>
      </c>
      <c r="CJ1" s="23" t="s">
        <v>66</v>
      </c>
      <c r="CK1" s="23" t="s">
        <v>67</v>
      </c>
      <c r="CL1" s="24" t="s">
        <v>68</v>
      </c>
      <c r="CM1" s="24" t="s">
        <v>69</v>
      </c>
      <c r="CN1" s="24" t="s">
        <v>70</v>
      </c>
      <c r="CO1" s="24" t="s">
        <v>71</v>
      </c>
      <c r="CP1" s="24" t="s">
        <v>72</v>
      </c>
      <c r="CQ1" s="24" t="s">
        <v>73</v>
      </c>
      <c r="CR1" s="24" t="s">
        <v>74</v>
      </c>
      <c r="CS1" s="24" t="s">
        <v>75</v>
      </c>
      <c r="CT1" s="1" t="s">
        <v>76</v>
      </c>
      <c r="CU1" s="25" t="s">
        <v>0</v>
      </c>
      <c r="CV1" s="5" t="s">
        <v>77</v>
      </c>
      <c r="CW1" s="14" t="s">
        <v>78</v>
      </c>
      <c r="CX1" s="14" t="s">
        <v>79</v>
      </c>
      <c r="CY1" s="14" t="s">
        <v>66</v>
      </c>
      <c r="CZ1" s="14" t="s">
        <v>80</v>
      </c>
      <c r="DA1" s="14" t="s">
        <v>81</v>
      </c>
      <c r="DB1" s="14" t="s">
        <v>82</v>
      </c>
      <c r="DC1" s="14" t="s">
        <v>83</v>
      </c>
      <c r="DD1" s="14" t="s">
        <v>84</v>
      </c>
      <c r="DE1" s="14" t="s">
        <v>85</v>
      </c>
      <c r="DF1" s="14" t="s">
        <v>86</v>
      </c>
      <c r="DG1" s="14" t="s">
        <v>87</v>
      </c>
      <c r="DH1" s="14" t="s">
        <v>88</v>
      </c>
      <c r="DI1" s="14" t="s">
        <v>89</v>
      </c>
      <c r="DJ1" s="14" t="s">
        <v>90</v>
      </c>
      <c r="DK1" s="14" t="s">
        <v>91</v>
      </c>
      <c r="DL1" s="14" t="s">
        <v>92</v>
      </c>
      <c r="DM1" s="14" t="s">
        <v>93</v>
      </c>
      <c r="DN1" s="14" t="s">
        <v>94</v>
      </c>
      <c r="DO1" s="14" t="s">
        <v>95</v>
      </c>
      <c r="DP1" s="14" t="s">
        <v>96</v>
      </c>
      <c r="DQ1" s="14" t="s">
        <v>97</v>
      </c>
      <c r="DR1" s="14" t="s">
        <v>56</v>
      </c>
      <c r="DS1" s="14" t="s">
        <v>98</v>
      </c>
      <c r="DT1" s="14" t="s">
        <v>99</v>
      </c>
      <c r="DU1" s="14" t="s">
        <v>100</v>
      </c>
      <c r="DV1" s="14" t="s">
        <v>101</v>
      </c>
      <c r="DW1" s="14" t="s">
        <v>102</v>
      </c>
      <c r="DX1" s="14" t="s">
        <v>103</v>
      </c>
      <c r="DY1" s="14" t="s">
        <v>104</v>
      </c>
      <c r="DZ1" s="14" t="s">
        <v>105</v>
      </c>
      <c r="EA1" s="14" t="s">
        <v>106</v>
      </c>
      <c r="EB1" s="14" t="s">
        <v>107</v>
      </c>
      <c r="EC1" s="14" t="s">
        <v>108</v>
      </c>
      <c r="ED1" s="14" t="s">
        <v>109</v>
      </c>
      <c r="EE1" s="15" t="s">
        <v>18</v>
      </c>
      <c r="EF1" s="14" t="s">
        <v>19</v>
      </c>
      <c r="EG1" s="14" t="s">
        <v>20</v>
      </c>
      <c r="EH1" s="14" t="s">
        <v>21</v>
      </c>
      <c r="EI1" s="14" t="s">
        <v>110</v>
      </c>
      <c r="EJ1" s="14" t="s">
        <v>23</v>
      </c>
      <c r="EK1" s="14" t="s">
        <v>111</v>
      </c>
      <c r="EL1" s="14" t="s">
        <v>112</v>
      </c>
      <c r="EM1" s="14" t="s">
        <v>26</v>
      </c>
      <c r="EN1" s="16" t="s">
        <v>27</v>
      </c>
      <c r="EO1" s="16" t="s">
        <v>28</v>
      </c>
      <c r="EP1" s="16" t="s">
        <v>29</v>
      </c>
      <c r="EQ1" s="16" t="s">
        <v>113</v>
      </c>
      <c r="ER1" s="16" t="s">
        <v>31</v>
      </c>
      <c r="ES1" s="16" t="s">
        <v>32</v>
      </c>
      <c r="ET1" s="16" t="s">
        <v>114</v>
      </c>
      <c r="EU1" s="16" t="s">
        <v>34</v>
      </c>
      <c r="EV1" s="16" t="s">
        <v>35</v>
      </c>
      <c r="EW1" s="16" t="s">
        <v>115</v>
      </c>
      <c r="EX1" s="16" t="s">
        <v>37</v>
      </c>
      <c r="EY1" s="16" t="s">
        <v>38</v>
      </c>
      <c r="EZ1" s="16" t="s">
        <v>39</v>
      </c>
      <c r="FA1" s="16" t="s">
        <v>116</v>
      </c>
      <c r="FB1" s="16" t="s">
        <v>117</v>
      </c>
      <c r="FC1" s="16" t="s">
        <v>118</v>
      </c>
      <c r="FD1" s="16" t="s">
        <v>54</v>
      </c>
      <c r="FE1" s="16" t="s">
        <v>119</v>
      </c>
      <c r="FF1" s="16" t="s">
        <v>120</v>
      </c>
      <c r="FG1" s="16" t="s">
        <v>121</v>
      </c>
      <c r="FH1" s="16" t="s">
        <v>122</v>
      </c>
      <c r="FI1" s="16" t="s">
        <v>123</v>
      </c>
      <c r="FJ1" s="16" t="s">
        <v>124</v>
      </c>
      <c r="FK1" s="16" t="s">
        <v>125</v>
      </c>
      <c r="FL1" s="16" t="s">
        <v>126</v>
      </c>
      <c r="FM1" s="16" t="s">
        <v>127</v>
      </c>
      <c r="FN1" s="16" t="s">
        <v>128</v>
      </c>
      <c r="FO1" s="16" t="s">
        <v>129</v>
      </c>
      <c r="FP1" s="16" t="s">
        <v>130</v>
      </c>
      <c r="FQ1" s="16" t="s">
        <v>131</v>
      </c>
      <c r="FR1" s="16" t="s">
        <v>132</v>
      </c>
      <c r="FS1" s="16" t="s">
        <v>133</v>
      </c>
      <c r="FT1" s="16" t="s">
        <v>134</v>
      </c>
      <c r="FU1" s="16" t="s">
        <v>44</v>
      </c>
      <c r="FV1" s="16" t="s">
        <v>135</v>
      </c>
      <c r="FW1" s="16" t="s">
        <v>58</v>
      </c>
      <c r="FX1" s="16" t="s">
        <v>136</v>
      </c>
      <c r="FY1" s="16" t="s">
        <v>137</v>
      </c>
      <c r="FZ1" s="16" t="s">
        <v>138</v>
      </c>
      <c r="GA1" s="16" t="s">
        <v>139</v>
      </c>
      <c r="GB1" s="16" t="s">
        <v>140</v>
      </c>
      <c r="GC1" s="16" t="s">
        <v>141</v>
      </c>
      <c r="GD1" s="16" t="s">
        <v>142</v>
      </c>
      <c r="GE1" s="16" t="s">
        <v>143</v>
      </c>
      <c r="GF1" s="16" t="s">
        <v>144</v>
      </c>
      <c r="GG1" s="16" t="s">
        <v>145</v>
      </c>
      <c r="GH1" s="16" t="s">
        <v>61</v>
      </c>
      <c r="GI1" s="16" t="s">
        <v>62</v>
      </c>
      <c r="GJ1" s="14" t="s">
        <v>146</v>
      </c>
      <c r="GK1" s="14" t="s">
        <v>147</v>
      </c>
      <c r="GL1" s="14" t="s">
        <v>148</v>
      </c>
      <c r="GM1" s="17" t="s">
        <v>149</v>
      </c>
      <c r="GN1" s="26" t="s">
        <v>150</v>
      </c>
      <c r="GO1" s="26" t="s">
        <v>151</v>
      </c>
      <c r="GP1" s="18" t="s">
        <v>41</v>
      </c>
      <c r="GQ1" s="18" t="s">
        <v>42</v>
      </c>
      <c r="GR1" s="18" t="s">
        <v>43</v>
      </c>
      <c r="GS1" s="21"/>
      <c r="GT1" s="27" t="s">
        <v>52</v>
      </c>
      <c r="GU1" s="27"/>
      <c r="GV1" s="27"/>
      <c r="GW1" s="27"/>
      <c r="GX1" s="28"/>
      <c r="GY1" s="28"/>
      <c r="GZ1" s="28"/>
      <c r="HA1" s="28"/>
      <c r="HB1" s="28"/>
      <c r="HC1" s="28"/>
      <c r="HD1" s="29" t="s">
        <v>13</v>
      </c>
      <c r="HE1" s="30" t="s">
        <v>152</v>
      </c>
      <c r="HF1" s="31"/>
      <c r="HG1" s="32"/>
      <c r="HK1" s="32" t="s">
        <v>4</v>
      </c>
      <c r="HP1" s="33" t="s">
        <v>153</v>
      </c>
      <c r="HQ1" s="33" t="s">
        <v>154</v>
      </c>
      <c r="HR1" s="33" t="s">
        <v>155</v>
      </c>
      <c r="HS1" s="33" t="s">
        <v>156</v>
      </c>
      <c r="HT1" s="33" t="s">
        <v>157</v>
      </c>
      <c r="HU1" s="33" t="s">
        <v>158</v>
      </c>
      <c r="HV1" s="33" t="s">
        <v>159</v>
      </c>
      <c r="HW1" s="33" t="s">
        <v>160</v>
      </c>
      <c r="HX1" s="34" t="s">
        <v>161</v>
      </c>
      <c r="IA1" s="14" t="s">
        <v>162</v>
      </c>
      <c r="IB1" s="35" t="s">
        <v>163</v>
      </c>
      <c r="IC1" s="36" t="s">
        <v>153</v>
      </c>
      <c r="ID1" s="36" t="s">
        <v>154</v>
      </c>
      <c r="IE1" s="36" t="s">
        <v>156</v>
      </c>
      <c r="IF1" s="37" t="s">
        <v>161</v>
      </c>
      <c r="IG1" s="36" t="s">
        <v>157</v>
      </c>
      <c r="IH1" s="36" t="s">
        <v>158</v>
      </c>
      <c r="II1" s="36" t="s">
        <v>155</v>
      </c>
      <c r="IJ1" s="36" t="s">
        <v>159</v>
      </c>
      <c r="IK1" s="36" t="s">
        <v>160</v>
      </c>
      <c r="IO1" s="33" t="s">
        <v>153</v>
      </c>
      <c r="IP1" s="33" t="s">
        <v>154</v>
      </c>
      <c r="IQ1" s="33" t="s">
        <v>155</v>
      </c>
      <c r="IR1" s="33" t="s">
        <v>156</v>
      </c>
      <c r="IS1" s="33" t="s">
        <v>157</v>
      </c>
      <c r="IT1" s="33" t="s">
        <v>158</v>
      </c>
      <c r="IU1" s="33" t="s">
        <v>159</v>
      </c>
      <c r="IV1" s="33" t="s">
        <v>160</v>
      </c>
      <c r="IW1" s="34" t="s">
        <v>161</v>
      </c>
      <c r="IY1" s="5" t="s">
        <v>164</v>
      </c>
    </row>
    <row r="2" spans="1:259" s="44" customFormat="1" ht="38.4" customHeight="1" thickBot="1" x14ac:dyDescent="0.35">
      <c r="A2" s="77" t="s">
        <v>204</v>
      </c>
      <c r="B2" s="78" t="e" vm="26">
        <v>#VALUE!</v>
      </c>
      <c r="C2" s="39">
        <v>1</v>
      </c>
      <c r="D2" s="70" t="s">
        <v>205</v>
      </c>
      <c r="E2" s="40" t="s">
        <v>206</v>
      </c>
      <c r="F2" s="41" t="s">
        <v>165</v>
      </c>
      <c r="G2" s="42">
        <f>COUNTIF($A$1:$A$8270,A2)</f>
        <v>1</v>
      </c>
      <c r="H2" s="43"/>
      <c r="I2" s="59" t="s">
        <v>207</v>
      </c>
      <c r="J2" s="44" t="str">
        <f>""</f>
        <v/>
      </c>
      <c r="K2" s="45">
        <v>17044</v>
      </c>
      <c r="L2" s="46">
        <v>130000</v>
      </c>
      <c r="M2" s="46" t="s">
        <v>1146</v>
      </c>
      <c r="N2" s="47" t="s">
        <v>177</v>
      </c>
      <c r="O2" s="74" t="s">
        <v>208</v>
      </c>
      <c r="P2" s="48" t="s">
        <v>209</v>
      </c>
      <c r="Q2" s="73">
        <v>2</v>
      </c>
      <c r="R2" s="49" t="s">
        <v>177</v>
      </c>
      <c r="S2" s="50">
        <v>0</v>
      </c>
      <c r="T2" s="51" t="s">
        <v>166</v>
      </c>
      <c r="U2" s="52" t="s">
        <v>167</v>
      </c>
      <c r="V2" s="52" t="s">
        <v>166</v>
      </c>
      <c r="W2" s="52" t="s">
        <v>166</v>
      </c>
      <c r="X2" s="52" t="s">
        <v>167</v>
      </c>
      <c r="Y2" s="52" t="s">
        <v>166</v>
      </c>
      <c r="Z2" s="52" t="s">
        <v>166</v>
      </c>
      <c r="AA2" s="52" t="s">
        <v>166</v>
      </c>
      <c r="AB2" s="52" t="s">
        <v>166</v>
      </c>
      <c r="AC2" s="52" t="s">
        <v>166</v>
      </c>
      <c r="AD2" s="52" t="s">
        <v>166</v>
      </c>
      <c r="AE2" s="52" t="s">
        <v>166</v>
      </c>
      <c r="AF2" s="53" t="s">
        <v>166</v>
      </c>
      <c r="AG2" s="53" t="s">
        <v>166</v>
      </c>
      <c r="AH2" s="53" t="s">
        <v>166</v>
      </c>
      <c r="AI2" s="53" t="s">
        <v>167</v>
      </c>
      <c r="AJ2" s="53" t="s">
        <v>166</v>
      </c>
      <c r="AK2" s="53" t="s">
        <v>166</v>
      </c>
      <c r="AL2" s="53" t="s">
        <v>166</v>
      </c>
      <c r="AM2" s="53" t="s">
        <v>166</v>
      </c>
      <c r="AN2" s="53" t="s">
        <v>166</v>
      </c>
      <c r="AO2" s="53" t="s">
        <v>166</v>
      </c>
      <c r="AP2" s="53" t="s">
        <v>166</v>
      </c>
      <c r="AQ2" s="53" t="s">
        <v>166</v>
      </c>
      <c r="AR2" s="53" t="s">
        <v>166</v>
      </c>
      <c r="AS2" s="53" t="s">
        <v>166</v>
      </c>
      <c r="AT2" s="54">
        <v>15</v>
      </c>
      <c r="AU2" s="53"/>
      <c r="AV2" s="53" t="str">
        <f>IF(LEFT(A2,1)="[",LEFT(A2,5)&amp;AU2&amp;A2,"")</f>
        <v/>
      </c>
      <c r="AW2" s="53" t="str">
        <f>C2&amp;H2&amp;A2</f>
        <v>1Cook Islands</v>
      </c>
      <c r="AX2" s="55" t="str">
        <f>_xlfn.TEXTJOIN(";",TRUE,AU2:AW2)</f>
        <v>1Cook Islands</v>
      </c>
      <c r="AY2" s="55" t="s">
        <v>167</v>
      </c>
      <c r="AZ2" s="56" t="s">
        <v>161</v>
      </c>
      <c r="BA2" s="56"/>
      <c r="BB2" s="56"/>
      <c r="BC2" s="57"/>
      <c r="BD2" s="58" t="s">
        <v>154</v>
      </c>
      <c r="BE2" s="59"/>
      <c r="BF2" s="58"/>
      <c r="BG2" s="58"/>
      <c r="BH2" s="58"/>
      <c r="BI2" s="58"/>
      <c r="BJ2" s="58"/>
      <c r="BK2" s="59"/>
      <c r="BL2" s="58" t="s">
        <v>154</v>
      </c>
      <c r="BM2" s="58" t="s">
        <v>161</v>
      </c>
      <c r="BN2" s="58" t="s">
        <v>156</v>
      </c>
      <c r="BO2" s="58"/>
      <c r="BP2" s="58"/>
      <c r="BQ2" s="58"/>
      <c r="BR2" s="58"/>
      <c r="BS2" s="58"/>
      <c r="BT2" s="58"/>
      <c r="BU2" s="60" t="s">
        <v>167</v>
      </c>
      <c r="BV2" s="61" t="s">
        <v>168</v>
      </c>
      <c r="BW2" s="61" t="s">
        <v>170</v>
      </c>
      <c r="BX2" s="59"/>
      <c r="CB2" s="5" t="s">
        <v>210</v>
      </c>
      <c r="CC2" s="5"/>
      <c r="CD2" s="62">
        <v>0</v>
      </c>
      <c r="CE2" s="62">
        <v>0</v>
      </c>
      <c r="CF2" s="62" t="e">
        <v>#REF!</v>
      </c>
      <c r="CG2" s="75" cm="1">
        <f t="array" ref="CG2">SUMPRODUCT(--(LEN(TRIM(BL2:BT2))&gt;0))</f>
        <v>3</v>
      </c>
      <c r="CH2" s="53" t="str">
        <f>IF(CG2=2,"y","n")</f>
        <v>n</v>
      </c>
      <c r="CI2" s="53" t="str">
        <f>IF(CG2=3,"y","n")</f>
        <v>y</v>
      </c>
      <c r="CJ2" s="53" t="str">
        <f>IF(CG2=4,"y","n")</f>
        <v>n</v>
      </c>
      <c r="CK2" s="53" t="str">
        <f>IF(CG2&gt;4,"y","n")</f>
        <v>n</v>
      </c>
      <c r="CL2" s="53" t="str">
        <f>IF(S2=0,"y","n")</f>
        <v>y</v>
      </c>
      <c r="CM2" s="53" t="str">
        <f>IF(S2=2,"y","n")</f>
        <v>n</v>
      </c>
      <c r="CN2" s="53" t="str">
        <f>IF(S2=3,"y","n")</f>
        <v>n</v>
      </c>
      <c r="CO2" s="53" t="str">
        <f>IF(S2&gt;=4,"y","n")</f>
        <v>n</v>
      </c>
      <c r="CP2" s="53" t="str">
        <f>IF(AT2=0,"y","n")</f>
        <v>n</v>
      </c>
      <c r="CQ2" s="53" t="str">
        <f>IF(AT2=1,"y","n")</f>
        <v>n</v>
      </c>
      <c r="CR2" s="53" t="str">
        <f>IF(AT2=2,"y","n")</f>
        <v>n</v>
      </c>
      <c r="CS2" s="53" t="str">
        <f>IF(AT2&gt;=3,"y","n")</f>
        <v>y</v>
      </c>
      <c r="CT2" s="38" t="str">
        <f>CHAR(34)&amp;A2&amp;CHAR(34)</f>
        <v>"Cook Islands"</v>
      </c>
      <c r="CU2" s="63" t="str">
        <f>CHAR(34)&amp;"rgn_"&amp;R2&amp;CHAR(34)</f>
        <v>"rgn_Oceania"</v>
      </c>
      <c r="CV2" s="44" t="str">
        <f>CHAR(34)&amp;D2&amp;CHAR(34)</f>
        <v>"https://i.ibb.co/d23ftXX/Cook-Islands-Flag.png"</v>
      </c>
      <c r="CW2" s="44" t="str">
        <f t="shared" ref="CW2:CZ5" si="0">IF(CH2="y",CHAR(34)&amp;CH$1&amp;CHAR(34)&amp;",","")</f>
        <v/>
      </c>
      <c r="CX2" s="44" t="str">
        <f t="shared" si="0"/>
        <v>"3Color",</v>
      </c>
      <c r="CY2" s="44" t="str">
        <f t="shared" si="0"/>
        <v/>
      </c>
      <c r="CZ2" s="44" t="str">
        <f t="shared" si="0"/>
        <v/>
      </c>
      <c r="DA2" s="44" t="str">
        <f>IF(Q2&gt;1,CHAR(34)&amp;"words2"&amp;CHAR(34)&amp;",","")</f>
        <v>"words2",</v>
      </c>
      <c r="DB2" s="44" t="str">
        <f>IF(Q2&gt;2,CHAR(34)&amp;"words3"&amp;CHAR(34)&amp;",","")</f>
        <v/>
      </c>
      <c r="DC2" s="44" t="str">
        <f>IF(Q2=2,CHAR(34)&amp;"exact2"&amp;CHAR(34)&amp;",","")</f>
        <v>"exact2",</v>
      </c>
      <c r="DD2" s="44"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"lets11",</v>
      </c>
      <c r="DE2" s="44"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"startC",</v>
      </c>
      <c r="DF2" s="44" t="str">
        <f>IFERROR(IF(SEARCH("tan",A2)&gt;0,CHAR(34)&amp;"withtn"&amp;CHAR(34)&amp;",",""),"")</f>
        <v/>
      </c>
      <c r="DG2" s="44" t="str">
        <f>IFERROR(IF(SEARCH("q",A2)&gt;0,CHAR(34)&amp;"with_q"&amp;CHAR(34)&amp;",",""),"")</f>
        <v/>
      </c>
      <c r="DH2" s="44" t="str">
        <f>IFERROR(IF(SEARCH("v",A2)&gt;0,CHAR(34)&amp;"with_v"&amp;CHAR(34)&amp;",",""),"")</f>
        <v/>
      </c>
      <c r="DI2" s="44" t="str">
        <f>IFERROR(IF(SEARCH("w",A2)&gt;0,CHAR(34)&amp;"with_w"&amp;CHAR(34)&amp;",",""),"")</f>
        <v/>
      </c>
      <c r="DJ2" s="44" t="str">
        <f>IFERROR(IF(SEARCH("y",A2)&gt;0,CHAR(34)&amp;"with_y"&amp;CHAR(34)&amp;",",""),"")</f>
        <v/>
      </c>
      <c r="DK2" s="44" t="str">
        <f>IFERROR(IF(SEARCH("z",A2)&gt;0,CHAR(34)&amp;"with_z"&amp;CHAR(34)&amp;",",""),"")</f>
        <v/>
      </c>
      <c r="DL2" s="44" t="str">
        <f>IF(CG2=2, CHAR(34) &amp; _xlfn.TEXTJOIN("", TRUE, _xlfn._xlws.SORT(HP2:HX2)) &amp; CHAR(34) &amp; ",", "")</f>
        <v/>
      </c>
      <c r="DM2" s="44" t="str" cm="1">
        <f t="array" ref="DM2">IF(CG2=3,CHAR(34) &amp; _xlfn.TEXTJOIN("", TRUE, RIGHT(HP2:HX2, 2)) &amp; CHAR(34) &amp; ",", "")</f>
        <v>"LUEDHI",</v>
      </c>
      <c r="DN2" s="44" t="str">
        <f>IF(AND(ISNUMBER(SEARCH("18", O2)), ISERROR(SEARCH("1918", O2)), ISERROR(SEARCH("2018", O2))), CHAR(34) &amp; "year18" &amp; CHAR(34) &amp; ",", "")</f>
        <v/>
      </c>
      <c r="DO2" s="44" t="str">
        <f>IF(AND(ISNUMBER(SEARCH("19", O2)), ISERROR(SEARCH("1819", O2)),  ISERROR(SEARCH("1219", O2)),ISERROR(SEARCH("1119", O2)),ISERROR(SEARCH("1190", O2)),ISERROR(SEARCH("2019", O2))), CHAR(34) &amp; "year19" &amp; CHAR(34) &amp; ",", "")</f>
        <v>"year19",</v>
      </c>
      <c r="DP2" s="5" t="str">
        <f>IF(AND(ISNUMBER(SEARCH("20", O2)), ISERROR(SEARCH("1920", O2))), CHAR(34)&amp;"year00"&amp;CHAR(34)&amp;",", "")</f>
        <v/>
      </c>
      <c r="DQ2" s="5" t="str">
        <f>IF(CC2="y",CHAR(34)&amp;"soviet"&amp;CHAR(34)&amp;",","")</f>
        <v/>
      </c>
      <c r="DR2" s="5" t="str">
        <f>IF(BY2="y",CHAR(34)&amp;"dgband"&amp;CHAR(34)&amp;",","")</f>
        <v/>
      </c>
      <c r="DS2" s="5" t="str">
        <f>IF(W2="y",IF(AND(V2="n",BY2&lt;&gt;"y"),CHAR(34)&amp;"allver"&amp;CHAR(34)&amp;",",""),"")</f>
        <v/>
      </c>
      <c r="DT2" s="5" t="str">
        <f>IF(V2="y",IF(AND(W2="n",BY2&lt;&gt;"y"),CHAR(34)&amp;"allhor"&amp;CHAR(34)&amp;",",""),"")</f>
        <v/>
      </c>
      <c r="DU2" s="5" t="str">
        <f>IF(BY2="y",IF(AND(W2="n",V2="n"),CHAR(34)&amp;"alldia"&amp;CHAR(34)&amp;",",""),"")</f>
        <v/>
      </c>
      <c r="DV2" s="44" t="str">
        <f>IF(IA2&lt;&gt;"",(IF(IA2="y",CHAR(34)&amp;"largec"&amp;CHAR(34)&amp;",",CHAR(34)&amp;"smallc"&amp;CHAR(34)&amp;",")),"")</f>
        <v>"smallc",</v>
      </c>
      <c r="DW2" s="44" t="str">
        <f t="shared" ref="DW2:DZ5" si="1">IF(CL2="y",CHAR(34)&amp;CL$1&amp;CHAR(34)&amp;",","")</f>
        <v>"NoBand",</v>
      </c>
      <c r="DX2" s="44" t="str">
        <f t="shared" si="1"/>
        <v/>
      </c>
      <c r="DY2" s="44" t="str">
        <f t="shared" si="1"/>
        <v/>
      </c>
      <c r="DZ2" s="44" t="str">
        <f t="shared" si="1"/>
        <v/>
      </c>
      <c r="EA2" s="44" t="str">
        <f t="shared" ref="EA2:EE5" si="2">IF(T2="y",CHAR(34)&amp;T$1&amp;CHAR(34)&amp;",","")</f>
        <v/>
      </c>
      <c r="EB2" s="44" t="str">
        <f t="shared" si="2"/>
        <v>"Crosse",</v>
      </c>
      <c r="EC2" s="44" t="str">
        <f t="shared" si="2"/>
        <v/>
      </c>
      <c r="ED2" s="44" t="str">
        <f t="shared" si="2"/>
        <v/>
      </c>
      <c r="EE2" s="44" t="str">
        <f t="shared" si="2"/>
        <v>"Circle",</v>
      </c>
      <c r="EF2" s="44" t="str">
        <f>IF(AND(Y2&lt;&gt;"n",Y2&lt;&gt;""),CHAR(34)&amp;Y$1&amp;CHAR(34)&amp;",","")</f>
        <v/>
      </c>
      <c r="EG2" s="44" t="str">
        <f t="shared" ref="EG2:EP5" si="3">IF(Z2="y",CHAR(34)&amp;Z$1&amp;CHAR(34)&amp;",","")</f>
        <v/>
      </c>
      <c r="EH2" s="44" t="str">
        <f t="shared" si="3"/>
        <v/>
      </c>
      <c r="EI2" s="44" t="str">
        <f t="shared" si="3"/>
        <v/>
      </c>
      <c r="EJ2" s="44" t="str">
        <f t="shared" si="3"/>
        <v/>
      </c>
      <c r="EK2" s="44" t="str">
        <f t="shared" si="3"/>
        <v/>
      </c>
      <c r="EL2" s="44" t="str">
        <f t="shared" si="3"/>
        <v/>
      </c>
      <c r="EM2" s="44" t="str">
        <f t="shared" si="3"/>
        <v/>
      </c>
      <c r="EN2" s="44" t="str">
        <f t="shared" si="3"/>
        <v/>
      </c>
      <c r="EO2" s="44" t="str">
        <f t="shared" si="3"/>
        <v/>
      </c>
      <c r="EP2" s="44" t="str">
        <f t="shared" si="3"/>
        <v>"Canton",</v>
      </c>
      <c r="EQ2" s="44" t="str">
        <f t="shared" ref="EQ2:EZ5" si="4">IF(AJ2="y",CHAR(34)&amp;AJ$1&amp;CHAR(34)&amp;",","")</f>
        <v/>
      </c>
      <c r="ER2" s="44" t="str">
        <f t="shared" si="4"/>
        <v/>
      </c>
      <c r="ES2" s="44" t="str">
        <f t="shared" si="4"/>
        <v/>
      </c>
      <c r="ET2" s="44" t="str">
        <f t="shared" si="4"/>
        <v/>
      </c>
      <c r="EU2" s="44" t="str">
        <f t="shared" si="4"/>
        <v/>
      </c>
      <c r="EV2" s="44" t="str">
        <f t="shared" si="4"/>
        <v/>
      </c>
      <c r="EW2" s="44" t="str">
        <f t="shared" si="4"/>
        <v/>
      </c>
      <c r="EX2" s="44" t="str">
        <f t="shared" si="4"/>
        <v/>
      </c>
      <c r="EY2" s="44" t="str">
        <f t="shared" si="4"/>
        <v/>
      </c>
      <c r="EZ2" s="44" t="str">
        <f t="shared" si="4"/>
        <v/>
      </c>
      <c r="FA2" s="44" t="str">
        <f>IF(AT2&gt;0,CHAR(34)&amp;"sta"&amp;AZ2&amp;CHAR(34)&amp;",","")</f>
        <v>"staWHI",</v>
      </c>
      <c r="FB2" s="44" t="str">
        <f>IF(AND(AT2&gt;0,BA2&lt;&gt;""),CHAR(34)&amp;"sta"&amp;BA2&amp;CHAR(34)&amp;",","")</f>
        <v/>
      </c>
      <c r="FC2" s="44" t="str">
        <f>IF(AND(AT2&gt;0,BB2&lt;&gt;""),CHAR(34)&amp;"sta"&amp;BB2&amp;CHAR(34)&amp;",","")</f>
        <v/>
      </c>
      <c r="FD2" s="44" t="str">
        <f>IF(BV2="n",CHAR(34)&amp;"tcWHYE"&amp;CHAR(34)&amp;",",IF(BV2="y",CHAR(34)&amp;FD$1&amp;CHAR(34)&amp;",",""))</f>
        <v/>
      </c>
      <c r="FE2" s="44" t="str">
        <f>IF(COUNTIF(BL2:BT2,"BLU")=0,CHAR(34)&amp;"NO_BLU"&amp;CHAR(34)&amp;",", "")</f>
        <v/>
      </c>
      <c r="FF2" s="44" t="str">
        <f>IF(COUNTIF(BL2:BT2,"WHI")=0,CHAR(34)&amp;"NO_WHI"&amp;CHAR(34)&amp;",", "")</f>
        <v/>
      </c>
      <c r="FG2" s="44" t="str">
        <f>IF(COUNTIF(BL2:BT2,"RED")=0,CHAR(34)&amp;"NO_RED"&amp;CHAR(34)&amp;",", "")</f>
        <v/>
      </c>
      <c r="FH2" s="44" t="str">
        <f>IF(COUNTIF(BL2:BS2,"GRE")=0,CHAR(34)&amp;"NO_GRE"&amp;CHAR(34)&amp;",", "")</f>
        <v>"NO_GRE",</v>
      </c>
      <c r="FI2" s="44" t="str">
        <f>IF(COUNTIF(BL2:BT2,"YEL")=0,CHAR(34)&amp;"NO_YEL"&amp;CHAR(34)&amp;",", "")</f>
        <v>"NO_YEL",</v>
      </c>
      <c r="FJ2" s="44" t="str">
        <f>IF(COUNTIF(BL2:BT2,"BLA")=0,CHAR(34)&amp;"NO_BLA"&amp;CHAR(34)&amp;",", "")</f>
        <v>"NO_BLA",</v>
      </c>
      <c r="FK2" s="44" t="str">
        <f>IF(AND(FH2&lt;&gt;"",FF2&lt;&gt;""),CHAR(34)&amp;"WHGRNO"&amp;CHAR(34)&amp;",","")</f>
        <v/>
      </c>
      <c r="FL2" s="44" t="str">
        <f>IF(AND(FI2&lt;&gt;"",FF2&lt;&gt;""),CHAR(34)&amp;"WHYENO"&amp;CHAR(34)&amp;",","")</f>
        <v/>
      </c>
      <c r="FM2" s="44" t="str">
        <f>IF(AND(FJ2&lt;&gt;"",FF2&lt;&gt;""),CHAR(34)&amp;"BAWHNO"&amp;CHAR(34)&amp;",","")</f>
        <v/>
      </c>
      <c r="FN2" s="44" t="str">
        <f>IF(AND(FE2&lt;&gt;"",FF2&lt;&gt;""),CHAR(34)&amp;"BLWHNO"&amp;CHAR(34)&amp;",","")</f>
        <v/>
      </c>
      <c r="FO2" s="44" t="str">
        <f>IF(AND(FE2&lt;&gt;"",FG2&lt;&gt;""),CHAR(34)&amp;"BLRENO"&amp;CHAR(34)&amp;",","")</f>
        <v/>
      </c>
      <c r="FP2" s="44" t="str">
        <f>IF(AND(FF2&lt;&gt;"",FF2&lt;&gt;""),CHAR(34)&amp;"WHRENO"&amp;CHAR(34)&amp;",","")</f>
        <v/>
      </c>
      <c r="FQ2" s="44" t="str">
        <f>IF(LEN(BF2)=3,CHAR(34)&amp;"001"&amp;BF2&amp;CHAR(34)&amp;",","")</f>
        <v/>
      </c>
      <c r="FR2" s="44" t="str">
        <f>IF(LEN(BG2)=3,CHAR(34)&amp;"002"&amp;BG2&amp;CHAR(34)&amp;",","")</f>
        <v/>
      </c>
      <c r="FS2" s="44" t="str">
        <f>IF(LEN(BH2)=3,CHAR(34)&amp;"003"&amp;BH2&amp;CHAR(34)&amp;",","")</f>
        <v/>
      </c>
      <c r="FT2" s="44" t="str">
        <f>CHAR(34)&amp;"myr"&amp;BD2&amp;CHAR(34)&amp;","</f>
        <v>"myrBLU",</v>
      </c>
      <c r="FU2" s="44" t="str">
        <f>IF(AY2="y",CHAR(34)&amp;"island"&amp;CHAR(34)&amp;",","")</f>
        <v>"island",</v>
      </c>
      <c r="FV2" s="44" t="str">
        <f>IF(BZ2="y",CHAR(34)&amp;"landlo"&amp;CHAR(34)&amp;",","")</f>
        <v/>
      </c>
      <c r="FW2" s="44" t="str">
        <f>IF(CA2="y",CHAR(34)&amp;"eunion"&amp;CHAR(34)&amp;",","")</f>
        <v/>
      </c>
      <c r="FX2" s="44" t="str">
        <f>SUBSTITUTE(IFERROR(SEARCH("[",A2),IFERROR(IF(AND(CA2&lt;&gt;"y",SEARCH("Europe",R2)&gt;0),CHAR(34)&amp;"noeuni"&amp;CHAR(34)&amp;",",""),"")),"1","")</f>
        <v/>
      </c>
      <c r="FY2" s="44" t="str">
        <f>IFERROR(IF(SEARCH("Arabic",CB2)&gt;0,CHAR(34)&amp;"arabic"&amp;CHAR(34)&amp;",",""),"")</f>
        <v/>
      </c>
      <c r="FZ2" s="44" t="str">
        <f>IFERROR(IF(SEARCH("English",CB2)&gt;0,CHAR(34)&amp;"englis"&amp;CHAR(34)&amp;",",""),"")</f>
        <v>"englis",</v>
      </c>
      <c r="GA2" s="44" t="str">
        <f>IFERROR(IF(SEARCH("French",CB2)&gt;0,CHAR(34)&amp;"french"&amp;CHAR(34)&amp;",",""),"")</f>
        <v/>
      </c>
      <c r="GB2" s="44" t="str">
        <f>IFERROR(IF(SEARCH("Spanish",CB2)&gt;0,CHAR(34)&amp;"spanis"&amp;CHAR(34)&amp;",",""),"")</f>
        <v/>
      </c>
      <c r="GC2" s="44" t="str">
        <f>IFERROR(IF(SEARCH("Portuguese",CB2)&gt;0,CHAR(34)&amp;"portug"&amp;CHAR(34)&amp;",",""),"")</f>
        <v/>
      </c>
      <c r="GD2" s="44" t="str">
        <f>IFERROR(IF(SEARCH("German",CB2)&gt;0,CHAR(34)&amp;"german"&amp;CHAR(34)&amp;",",""),"")</f>
        <v/>
      </c>
      <c r="GE2" s="44" t="str">
        <f>IFERROR(IF(SEARCH("Dutch",CB2)&gt;0,CHAR(34)&amp;"dutchs"&amp;CHAR(34)&amp;",",""),"")</f>
        <v/>
      </c>
      <c r="GF2" s="44" t="str">
        <f>IFERROR(IF(SEARCH("Histor",AU2)&gt;0,CHAR(34)&amp;"histor"&amp;CHAR(34)&amp;",",""),"")</f>
        <v/>
      </c>
      <c r="GG2" s="44" t="str">
        <f>IF(BU2="y",CHAR(34)&amp;"unjack"&amp;CHAR(34)&amp;",","")</f>
        <v>"unjack",</v>
      </c>
      <c r="GH2" s="44" t="str">
        <f>IF(CD2=1,CHAR(34)&amp;"southc"&amp;CHAR(34)&amp;",","")</f>
        <v/>
      </c>
      <c r="GI2" s="44" t="str">
        <f>IF(CE2=1,CHAR(34)&amp;"hasmap"&amp;CHAR(34)&amp;",","")</f>
        <v/>
      </c>
      <c r="GJ2" s="44" t="str">
        <f>IF(CP2="y",CHAR(34)&amp;CP$1&amp;CHAR(34)&amp;",","")</f>
        <v/>
      </c>
      <c r="GK2" s="44" t="str">
        <f>IF(GJ2="",CHAR(34)&amp;"HasSta"&amp;CHAR(34)&amp;",","")</f>
        <v>"HasSta",</v>
      </c>
      <c r="GL2" s="44" t="str">
        <f t="shared" ref="GL2:GN5" si="5">IF(CQ2="y",CHAR(34)&amp;CQ$1&amp;CHAR(34)&amp;",","")</f>
        <v/>
      </c>
      <c r="GM2" s="44" t="str">
        <f t="shared" si="5"/>
        <v/>
      </c>
      <c r="GN2" s="44" t="str">
        <f t="shared" si="5"/>
        <v>"3+Star",</v>
      </c>
      <c r="GP2" s="44" t="str">
        <f>CHAR(34)&amp;AU2&amp;CHAR(34)</f>
        <v>""</v>
      </c>
      <c r="GS2" s="44" t="str">
        <f>SUBSTITUTE("["&amp;_xlfn.CONCAT(CW2:GN2)&amp;"]",",]","]")</f>
        <v>["3Color","words2","exact2","lets11","startC","LUEDHI","year19","smallc","NoBand","Crosse","Circle","Canton","staWHI","NO_GRE","NO_YEL","NO_BLA","myrBLU","island","englis","unjack","HasSta","3+Star"]</v>
      </c>
      <c r="GT2" s="44" t="str">
        <f t="shared" ref="GT2:HB5" si="6">IF(BL2&lt;&gt;"",CHAR(34)&amp;"cl_"&amp;BL2&amp;CHAR(34)&amp;",","")</f>
        <v>"cl_BLU",</v>
      </c>
      <c r="GU2" s="44" t="str">
        <f t="shared" si="6"/>
        <v>"cl_WHI",</v>
      </c>
      <c r="GV2" s="44" t="str">
        <f t="shared" si="6"/>
        <v>"cl_RED",</v>
      </c>
      <c r="GW2" s="44" t="str">
        <f t="shared" si="6"/>
        <v/>
      </c>
      <c r="GX2" s="44" t="str">
        <f t="shared" si="6"/>
        <v/>
      </c>
      <c r="GY2" s="44" t="str">
        <f t="shared" si="6"/>
        <v/>
      </c>
      <c r="GZ2" s="44" t="str">
        <f t="shared" si="6"/>
        <v/>
      </c>
      <c r="HA2" s="44" t="str">
        <f t="shared" si="6"/>
        <v/>
      </c>
      <c r="HB2" s="44" t="str">
        <f t="shared" si="6"/>
        <v/>
      </c>
      <c r="HC2" s="44" t="str">
        <f>SUBSTITUTE("["&amp;_xlfn.CONCAT(GT2:HB2)&amp;"]",",]","]")</f>
        <v>["cl_BLU","cl_WHI","cl_RED"]</v>
      </c>
      <c r="HE2" s="64"/>
      <c r="HF2" s="65" t="str">
        <f>"{couname:"&amp;CT2&amp;(IF(HK2&lt;&gt;"",",subtype:"&amp;CHAR(34)&amp;HK2&amp;CHAR(34),""))&amp;",year:"&amp;HJ2&amp;",region:"&amp;CU2&amp;",Colors:"&amp;HC2&amp;",Items:"&amp;GS2&amp;",Flag:"&amp;CV2&amp;",HDFlag:"&amp;CHAR(34)&amp;E2&amp;CHAR(34)&amp;",type:"&amp;GP2&amp;", describe: "&amp;HH2&amp;", isnew:"&amp;CHAR(34)&amp;F2&amp;CHAR(34)&amp;", links: "&amp;HL2&amp;"},"</f>
        <v>{couname:"Cook Islands",year:"1979 ",region:"rgn_Oceania",Colors:["cl_BLU","cl_WHI","cl_RED"],Items:["3Color","words2","exact2","lets11","startC","LUEDHI","year19","smallc","NoBand","Crosse","Circle","Canton","staWHI","NO_GRE","NO_YEL","NO_BLA","myrBLU","island","englis","unjack","HasSta","3+Star"],Flag:"https://i.ibb.co/d23ftXX/Cook-Islands-Flag.png",HDFlag:"https://upload.wikimedia.org/wikipedia/commons/thumb/3/35/Flag_of_the_Cook_Islands.svg/2560px-Flag_of_the_Cook_Islands.svg.png",type:"", describe: "\nThe Union Flag is symbolic of the nation's historic ties to the United Kingdom and to the Commonwealth of Nations. The stars stand for the fifteen islands that make up the Cook Islands. The blue represents the ocean and the peaceful nature of the inhabitants.", isnew:".", links: "https://en.wikipedia.org/wiki/Flag_of_Cook_Islands"},</v>
      </c>
      <c r="HG2" s="66" t="str">
        <f>"{couname:"&amp;CT2&amp;(IF(HK2&lt;&gt;"",",subtype:"&amp;CHAR(34)&amp;HK2&amp;CHAR(34),""))&amp;",year:"&amp;HJ2&amp;",region:"&amp;CU2&amp;",Colors:"&amp;HC2&amp;",Items:"&amp;GS2&amp;",Flag:"&amp;CV2&amp;",HDFlag:"&amp;CHAR(34)&amp;E2&amp;CHAR(34)&amp;",type:"&amp;GP2&amp;", describe: "&amp;HI2&amp;", links: "&amp;HL2&amp;"},"</f>
        <v>{couname:"Cook Islands",year:"1979 ",region:"rgn_Oceania",Colors:["cl_BLU","cl_WHI","cl_RED"],Items:["3Color","words2","exact2","lets11","startC","LUEDHI","year19","smallc","NoBand","Crosse","Circle","Canton","staWHI","NO_GRE","NO_YEL","NO_BLA","myrBLU","island","englis","unjack","HasSta","3+Star"],Flag:"https://i.ibb.co/d23ftXX/Cook-Islands-Flag.png",HDFlag:"https://upload.wikimedia.org/wikipedia/commons/thumb/3/35/Flag_of_the_Cook_Islands.svg/2560px-Flag_of_the_Cook_Islands.svg.png",type:"", describe: "\nThe Union Flag is symbolic of the nation's historic ties to the United Kingdom and to the Commonwealth of Nations. The stars stand for the fifteen islands that make up the Cook Islands. The blue represents the ocean and the peaceful nature of the inhabitants.", links: "https://en.wikipedia.org/wiki/Flag_of_Cook_Islands"},</v>
      </c>
      <c r="HH2" s="44" t="str">
        <f>IF(P2&lt;&gt;"",CHAR(34)&amp;"\n"&amp;P2&amp;CHAR(34),CHAR(34)&amp;CHAR(34))</f>
        <v>"\nThe Union Flag is symbolic of the nation's historic ties to the United Kingdom and to the Commonwealth of Nations. The stars stand for the fifteen islands that make up the Cook Islands. The blue represents the ocean and the peaceful nature of the inhabitants."</v>
      </c>
      <c r="HI2" s="44" t="str">
        <f>IF(J2=0,CHAR(34)&amp;CHAR(34),HH2)</f>
        <v>"\nThe Union Flag is symbolic of the nation's historic ties to the United Kingdom and to the Commonwealth of Nations. The stars stand for the fifteen islands that make up the Cook Islands. The blue represents the ocean and the peaceful nature of the inhabitants."</v>
      </c>
      <c r="HJ2" s="44" t="str">
        <f>CHAR(34)&amp;O2&amp;CHAR(34)</f>
        <v>"1979 "</v>
      </c>
      <c r="HL2" s="44" t="str">
        <f>CHAR(34)&amp;I2&amp;CHAR(34)</f>
        <v>"https://en.wikipedia.org/wiki/Flag_of_Cook_Islands"</v>
      </c>
      <c r="HM2" s="65"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{"couname":"Cook Islands","year":"1979 ","region":"rgn_Oceania","Colors":["cl_BLU","cl_WHI","cl_RED"],"Items":["3Color","words2","exact2","lets11","startC","LUEDHI","year19","smallc","NoBand","Crosse","Circle","Canton","staWHI","NO_GRE","NO_YEL","NO_BLA","myrBLU","island","englis","unjack","HasSta","3+Star"],"Flag":"https://i.ibb.co/d23ftXX/Cook-Islands-Flag.png","HDFlag":"https://upload.wikimedia.org/wikipedia/commons/thumb/3/35/Flag_of_the_Cook_Islands.svg/2560px-Flag_of_the_Cook_Islands.svg.png","type":"", "describe": "\nThe Union Flag is symbolic of the nation's historic ties to the United Kingdom and to the Commonwealth of Nations. The stars stand for the fifteen islands that make up the Cook Islands. The blue represents the ocean and the peaceful nature of the inhabitants.", "isnew": ".", "links": "https://en.wikipedia.org/wiki/Flag_of_Cook_Islands"},</v>
      </c>
      <c r="HN2" s="67"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{"couname":"Cook Islands","year":"1979 ","region":"rgn_Oceania","Colors":["cl_BLU","cl_WHI","cl_RED"],"Items":["3Color","words2","exact2","lets11","startC","LUEDHI","year19","smallc","NoBand","Crosse","Circle","Canton","staWHI","NO_GRE","NO_YEL","NO_BLA","myrBLU","island","englis","unjack","HasSta","3+Star"],"Flag":"https://i.ibb.co/d23ftXX/Cook-Islands-Flag.png","HDFlag":"https://upload.wikimedia.org/wikipedia/commons/thumb/3/35/Flag_of_the_Cook_Islands.svg/2560px-Flag_of_the_Cook_Islands.svg.png","type":"", "describe": "\nThe Union Flag is symbolic of the nation's historic ties to the United Kingdom and to the Commonwealth of Nations. The stars stand for the fifteen islands that make up the Cook Islands. The blue represents the ocean and the peaceful nature of the inhabitants.", "isnew": ".", "links": "https://en.wikipedia.org/wiki/Flag_of_Cook_Islands"},</v>
      </c>
      <c r="HO2" s="71"/>
      <c r="HP2" s="44" t="str" cm="1">
        <f t="array" ref="HP2">IF(_xlfn.TEXTJOIN(", ", TRUE, IF(ISNUMBER(SEARCH("BLA", BL2:BT2)), COLUMN(BL2:BT2) - COLUMN(BL2) + 1, ""))&lt;&gt;"","BLA","")</f>
        <v/>
      </c>
      <c r="HQ2" s="44" t="str" cm="1">
        <f t="array" ref="HQ2">IF(_xlfn.TEXTJOIN(", ", TRUE, IF(ISNUMBER(SEARCH("BLU", BL2:BT2)), COLUMN(BL2:BT2) - COLUMN(BL2) + 1, ""))&lt;&gt;"","BLU","")</f>
        <v>BLU</v>
      </c>
      <c r="HR2" s="44" t="str" cm="1">
        <f t="array" ref="HR2">IF(_xlfn.TEXTJOIN(", ", TRUE, IF(ISNUMBER(SEARCH("GRE", BL2:BT2)), COLUMN(BL2:BT2) - COLUMN(BL2) + 1, ""))&lt;&gt;"","GRE","")</f>
        <v/>
      </c>
      <c r="HS2" s="44" t="str" cm="1">
        <f t="array" ref="HS2">IF(_xlfn.TEXTJOIN(", ", TRUE, IF(ISNUMBER(SEARCH("RED", BL2:BT2)), COLUMN(BL2:BT2) - COLUMN(BL2) + 1, ""))&lt;&gt;"","RED","")</f>
        <v>RED</v>
      </c>
      <c r="HT2" s="44" t="str" cm="1">
        <f t="array" ref="HT2">IF(_xlfn.TEXTJOIN(", ", TRUE, IF(ISNUMBER(SEARCH("YEL", BL2:BT2)), COLUMN(BL2:BT2) - COLUMN(BL2) + 1, ""))&lt;&gt;"","YEL","")</f>
        <v/>
      </c>
      <c r="HU2" s="44" t="str" cm="1">
        <f t="array" ref="HU2">IF(_xlfn.TEXTJOIN(", ", TRUE, IF(ISNUMBER(SEARCH("ORA", BL2:BT2)), COLUMN(BL2:BT2) - COLUMN(BL2) + 1, ""))&lt;&gt;"","ORA","")</f>
        <v/>
      </c>
      <c r="HV2" s="44" t="str" cm="1">
        <f t="array" ref="HV2">IF(_xlfn.TEXTJOIN(", ", TRUE, IF(ISNUMBER(SEARCH("BRO", BL2:BT2)), COLUMN(BL2:BT2) - COLUMN(BL2) + 1, ""))&lt;&gt;"","BRO","")</f>
        <v/>
      </c>
      <c r="HW2" s="44" t="str" cm="1">
        <f t="array" ref="HW2">IF(_xlfn.TEXTJOIN(", ", TRUE, IF(ISNUMBER(SEARCH("PUR", BL2:BT2)), COLUMN(BL2:BT2) - COLUMN(BL2) + 1, ""))&lt;&gt;"","PUR","")</f>
        <v/>
      </c>
      <c r="HX2" s="44" t="str" cm="1">
        <f t="array" ref="HX2">IF(_xlfn.TEXTJOIN(", ", TRUE, IF(ISNUMBER(SEARCH("WHI", BL2:BT2)), COLUMN(BL2:BT2) - COLUMN(BL2) + 1, ""))&lt;&gt;"","WHI","")</f>
        <v>WHI</v>
      </c>
      <c r="HY2" s="72"/>
      <c r="HZ2" s="72"/>
      <c r="IA2" s="5" t="s">
        <v>166</v>
      </c>
      <c r="IB2" s="5" t="s">
        <v>166</v>
      </c>
      <c r="IC2" s="68"/>
      <c r="ID2" s="68"/>
      <c r="IE2" s="68"/>
      <c r="IF2" s="68"/>
      <c r="IG2" s="68"/>
      <c r="IH2" s="68"/>
      <c r="II2" s="68"/>
      <c r="IJ2" s="68"/>
      <c r="IK2" s="68"/>
      <c r="IL2" s="44">
        <f>SUM(IC2:IK2)</f>
        <v>0</v>
      </c>
      <c r="IM2" s="42">
        <f>COUNTIF(IC2:IK2,"&gt;0")-CG2</f>
        <v>-3</v>
      </c>
      <c r="IN2" s="69" t="str">
        <f>"http://mkweb.bcgsc.ca/color-summarizer/?url="&amp;D2&amp;"&amp;precision=low&amp;num_clusters="&amp;CG2&amp;"&amp;text=1"</f>
        <v>http://mkweb.bcgsc.ca/color-summarizer/?url=https://i.ibb.co/d23ftXX/Cook-Islands-Flag.png&amp;precision=low&amp;num_clusters=3&amp;text=1</v>
      </c>
      <c r="IO2" s="44" t="str">
        <f>IF(HP2&lt;&gt;"",CHAR(34)&amp;"black"&amp;CHAR(34),"")</f>
        <v/>
      </c>
      <c r="IP2" s="44" t="str">
        <f>IF(HQ2&lt;&gt;"",CHAR(34)&amp;"blue"&amp;CHAR(34),"")</f>
        <v>"blue"</v>
      </c>
      <c r="IQ2" s="44" t="str">
        <f>IF(HR2&lt;&gt;"",CHAR(34)&amp;"green"&amp;CHAR(34),"")</f>
        <v/>
      </c>
      <c r="IR2" s="44" t="str">
        <f>IF(HS2&lt;&gt;"",CHAR(34)&amp;"red"&amp;CHAR(34),"")</f>
        <v>"red"</v>
      </c>
      <c r="IS2" s="44" t="str">
        <f>IF(HT2&lt;&gt;"",CHAR(34)&amp;"yellow"&amp;CHAR(34),"")</f>
        <v/>
      </c>
      <c r="IT2" s="44" t="str">
        <f>IF(HU2&lt;&gt;"",CHAR(34)&amp;"orange"&amp;CHAR(34),"")</f>
        <v/>
      </c>
      <c r="IU2" s="44" t="str">
        <f>IF(HV2&lt;&gt;"",CHAR(34)&amp;"brown"&amp;CHAR(34),"")</f>
        <v/>
      </c>
      <c r="IV2" s="44" t="str">
        <f>IF(HW2&lt;&gt;"",CHAR(34)&amp;"purple"&amp;CHAR(34),"")</f>
        <v/>
      </c>
      <c r="IW2" s="44" t="str">
        <f>IF(HX2&lt;&gt;"",CHAR(34)&amp;"white"&amp;CHAR(34),"")</f>
        <v>"white"</v>
      </c>
      <c r="IX2" s="44" t="str">
        <f>"{"&amp;CHAR(34)&amp;"url"&amp;CHAR(34)&amp;":"&amp;CHAR(34)&amp;IN2&amp;CHAR(34)&amp;","&amp;CHAR(34)&amp;"name"&amp;CHAR(34)&amp;":"&amp;CHAR(34)&amp;A2&amp;CHAR(34)&amp;"},"</f>
        <v>{"url":"http://mkweb.bcgsc.ca/color-summarizer/?url=https://i.ibb.co/d23ftXX/Cook-Islands-Flag.png&amp;precision=low&amp;num_clusters=3&amp;text=1","name":"Cook Islands"},</v>
      </c>
      <c r="IY2" s="44">
        <v>52</v>
      </c>
    </row>
    <row r="3" spans="1:259" s="44" customFormat="1" ht="38.4" customHeight="1" thickBot="1" x14ac:dyDescent="0.35">
      <c r="A3" s="81" t="s">
        <v>582</v>
      </c>
      <c r="B3" s="78" t="e" vm="27">
        <v>#VALUE!</v>
      </c>
      <c r="C3" s="39">
        <v>3</v>
      </c>
      <c r="D3" s="70" t="s">
        <v>583</v>
      </c>
      <c r="E3" s="40" t="s">
        <v>584</v>
      </c>
      <c r="F3" s="41" t="s">
        <v>165</v>
      </c>
      <c r="G3" s="42">
        <f>COUNTIF($A$1:$A$8270,A3)</f>
        <v>1</v>
      </c>
      <c r="H3" s="43"/>
      <c r="I3" s="59" t="s">
        <v>585</v>
      </c>
      <c r="J3" s="44" t="str">
        <f>""</f>
        <v/>
      </c>
      <c r="K3" s="45"/>
      <c r="L3" s="46"/>
      <c r="M3" s="46"/>
      <c r="N3" s="47" t="s">
        <v>177</v>
      </c>
      <c r="O3" s="74">
        <v>1891</v>
      </c>
      <c r="P3" s="48" t="s">
        <v>586</v>
      </c>
      <c r="Q3" s="73">
        <v>4</v>
      </c>
      <c r="R3" s="49" t="s">
        <v>177</v>
      </c>
      <c r="S3" s="50">
        <v>3</v>
      </c>
      <c r="T3" s="51" t="s">
        <v>167</v>
      </c>
      <c r="U3" s="52" t="s">
        <v>167</v>
      </c>
      <c r="V3" s="52" t="s">
        <v>167</v>
      </c>
      <c r="W3" s="52" t="s">
        <v>167</v>
      </c>
      <c r="X3" s="52" t="s">
        <v>167</v>
      </c>
      <c r="Y3" s="52" t="s">
        <v>166</v>
      </c>
      <c r="Z3" s="52" t="s">
        <v>166</v>
      </c>
      <c r="AA3" s="52" t="s">
        <v>167</v>
      </c>
      <c r="AB3" s="52" t="s">
        <v>166</v>
      </c>
      <c r="AC3" s="52" t="s">
        <v>166</v>
      </c>
      <c r="AD3" s="52" t="s">
        <v>166</v>
      </c>
      <c r="AE3" s="52" t="s">
        <v>166</v>
      </c>
      <c r="AF3" s="53" t="s">
        <v>166</v>
      </c>
      <c r="AG3" s="53" t="s">
        <v>167</v>
      </c>
      <c r="AH3" s="53" t="s">
        <v>166</v>
      </c>
      <c r="AI3" s="53" t="s">
        <v>167</v>
      </c>
      <c r="AJ3" s="53" t="s">
        <v>166</v>
      </c>
      <c r="AK3" s="53" t="s">
        <v>166</v>
      </c>
      <c r="AL3" s="53" t="s">
        <v>166</v>
      </c>
      <c r="AM3" s="53" t="s">
        <v>167</v>
      </c>
      <c r="AN3" s="53" t="s">
        <v>166</v>
      </c>
      <c r="AO3" s="53" t="s">
        <v>166</v>
      </c>
      <c r="AP3" s="53" t="s">
        <v>166</v>
      </c>
      <c r="AQ3" s="53" t="s">
        <v>166</v>
      </c>
      <c r="AR3" s="53" t="s">
        <v>166</v>
      </c>
      <c r="AS3" s="53" t="s">
        <v>166</v>
      </c>
      <c r="AT3" s="54">
        <v>0</v>
      </c>
      <c r="AU3" s="53" t="s">
        <v>587</v>
      </c>
      <c r="AV3" s="53" t="str">
        <f>IF(LEFT(A3,1)="[",LEFT(A3,5)&amp;AU3&amp;A3,"")</f>
        <v>[CKI]Historical, Colony[CKI] Cook Islands Federation</v>
      </c>
      <c r="AW3" s="53" t="str">
        <f>C3&amp;H3&amp;A3</f>
        <v>3[CKI] Cook Islands Federation</v>
      </c>
      <c r="AX3" s="55"/>
      <c r="AY3" s="55"/>
      <c r="AZ3" s="56" t="s">
        <v>231</v>
      </c>
      <c r="BA3" s="56" t="s">
        <v>231</v>
      </c>
      <c r="BB3" s="56"/>
      <c r="BC3" s="57"/>
      <c r="BD3" s="58" t="s">
        <v>156</v>
      </c>
      <c r="BE3" s="59"/>
      <c r="BF3" s="58" t="s">
        <v>156</v>
      </c>
      <c r="BG3" s="58" t="s">
        <v>161</v>
      </c>
      <c r="BH3" s="58" t="s">
        <v>156</v>
      </c>
      <c r="BI3" s="58"/>
      <c r="BJ3" s="58"/>
      <c r="BK3" s="59"/>
      <c r="BL3" s="58" t="s">
        <v>231</v>
      </c>
      <c r="BM3" s="58" t="s">
        <v>154</v>
      </c>
      <c r="BN3" s="58" t="s">
        <v>155</v>
      </c>
      <c r="BO3" s="58" t="s">
        <v>156</v>
      </c>
      <c r="BP3" s="58" t="s">
        <v>157</v>
      </c>
      <c r="BQ3" s="58" t="s">
        <v>231</v>
      </c>
      <c r="BR3" s="58" t="s">
        <v>159</v>
      </c>
      <c r="BS3" s="58" t="s">
        <v>231</v>
      </c>
      <c r="BT3" s="58" t="s">
        <v>161</v>
      </c>
      <c r="BU3" s="60" t="s">
        <v>167</v>
      </c>
      <c r="BV3" s="61"/>
      <c r="BW3" s="61">
        <v>0</v>
      </c>
      <c r="BX3" s="59"/>
      <c r="BY3" s="44" t="s">
        <v>166</v>
      </c>
      <c r="CB3" s="5"/>
      <c r="CC3" s="5"/>
      <c r="CD3" s="62">
        <v>0</v>
      </c>
      <c r="CE3" s="62">
        <v>0</v>
      </c>
      <c r="CF3" s="62" t="e">
        <v>#REF!</v>
      </c>
      <c r="CG3" s="75" cm="1">
        <f t="array" ref="CG3">SUMPRODUCT(--(LEN(TRIM(BL3:BT3))&gt;0))</f>
        <v>6</v>
      </c>
      <c r="CH3" s="53" t="str">
        <f>IF(CG3=2,"y","n")</f>
        <v>n</v>
      </c>
      <c r="CI3" s="53" t="str">
        <f>IF(CG3=3,"y","n")</f>
        <v>n</v>
      </c>
      <c r="CJ3" s="53" t="str">
        <f>IF(CG3=4,"y","n")</f>
        <v>n</v>
      </c>
      <c r="CK3" s="53" t="str">
        <f>IF(CG3&gt;4,"y","n")</f>
        <v>y</v>
      </c>
      <c r="CL3" s="53" t="str">
        <f>IF(S3=0,"y","n")</f>
        <v>n</v>
      </c>
      <c r="CM3" s="53" t="str">
        <f>IF(S3=2,"y","n")</f>
        <v>n</v>
      </c>
      <c r="CN3" s="53" t="str">
        <f>IF(S3=3,"y","n")</f>
        <v>y</v>
      </c>
      <c r="CO3" s="53" t="str">
        <f>IF(S3&gt;=4,"y","n")</f>
        <v>n</v>
      </c>
      <c r="CP3" s="53" t="str">
        <f>IF(AT3=0,"y","n")</f>
        <v>y</v>
      </c>
      <c r="CQ3" s="53" t="str">
        <f>IF(AT3=1,"y","n")</f>
        <v>n</v>
      </c>
      <c r="CR3" s="53" t="str">
        <f>IF(AT3=2,"y","n")</f>
        <v>n</v>
      </c>
      <c r="CS3" s="53" t="str">
        <f>IF(AT3&gt;=3,"y","n")</f>
        <v>n</v>
      </c>
      <c r="CT3" s="38" t="str">
        <f>CHAR(34)&amp;A3&amp;CHAR(34)</f>
        <v>"[CKI] Cook Islands Federation"</v>
      </c>
      <c r="CU3" s="63" t="str">
        <f>CHAR(34)&amp;"rgn_"&amp;R3&amp;CHAR(34)</f>
        <v>"rgn_Oceania"</v>
      </c>
      <c r="CV3" s="44" t="str">
        <f>CHAR(34)&amp;D3&amp;CHAR(34)</f>
        <v>"https://upload.wikimedia.org/wikipedia/commons/thumb/2/26/Flag_of_the_Cook_Islands_Federation.svg/640px-Flag_of_the_Cook_Islands_Federation.svg.png"</v>
      </c>
      <c r="CW3" s="44" t="str">
        <f t="shared" si="0"/>
        <v/>
      </c>
      <c r="CX3" s="44" t="str">
        <f t="shared" si="0"/>
        <v/>
      </c>
      <c r="CY3" s="44" t="str">
        <f t="shared" si="0"/>
        <v/>
      </c>
      <c r="CZ3" s="44" t="str">
        <f t="shared" si="0"/>
        <v>"5+Colo",</v>
      </c>
      <c r="DA3" s="44" t="str">
        <f>IF(Q3&gt;1,CHAR(34)&amp;"words2"&amp;CHAR(34)&amp;",","")</f>
        <v>"words2",</v>
      </c>
      <c r="DB3" s="44" t="str">
        <f>IF(Q3&gt;2,CHAR(34)&amp;"words3"&amp;CHAR(34)&amp;",","")</f>
        <v>"words3",</v>
      </c>
      <c r="DD3" s="44"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"lets21",</v>
      </c>
      <c r="DE3" s="44" t="str">
        <f>CHAR(34)&amp;"start"&amp;IFERROR(LEFT(SUBSTITUTE(A3,"["&amp;MID(A3,FIND("[",A3)+1,FIND("]",A3)-FIND("[",A3)-1)&amp;"] ",""),1),LEFT(A3,1))&amp;CHAR(34)&amp;","</f>
        <v>"startC",</v>
      </c>
      <c r="DF3" s="44" t="str">
        <f>IFERROR(IF(SEARCH("tan",A3)&gt;0,CHAR(34)&amp;"withtn"&amp;CHAR(34)&amp;",",""),"")</f>
        <v/>
      </c>
      <c r="DG3" s="44" t="str">
        <f>IFERROR(IF(SEARCH("q",A3)&gt;0,CHAR(34)&amp;"with_q"&amp;CHAR(34)&amp;",",""),"")</f>
        <v/>
      </c>
      <c r="DH3" s="44" t="str">
        <f>IFERROR(IF(SEARCH("v",A3)&gt;0,CHAR(34)&amp;"with_v"&amp;CHAR(34)&amp;",",""),"")</f>
        <v/>
      </c>
      <c r="DI3" s="44" t="str">
        <f>IFERROR(IF(SEARCH("w",A3)&gt;0,CHAR(34)&amp;"with_w"&amp;CHAR(34)&amp;",",""),"")</f>
        <v/>
      </c>
      <c r="DJ3" s="44" t="str">
        <f>IFERROR(IF(SEARCH("y",A3)&gt;0,CHAR(34)&amp;"with_y"&amp;CHAR(34)&amp;",",""),"")</f>
        <v/>
      </c>
      <c r="DK3" s="44" t="str">
        <f>IFERROR(IF(SEARCH("z",A3)&gt;0,CHAR(34)&amp;"with_z"&amp;CHAR(34)&amp;",",""),"")</f>
        <v/>
      </c>
      <c r="DL3" s="44" t="str">
        <f>IF(CG3=2, CHAR(34) &amp; _xlfn.TEXTJOIN("", TRUE, _xlfn._xlws.SORT(HP3:HX3)) &amp; CHAR(34) &amp; ",", "")</f>
        <v/>
      </c>
      <c r="DM3" s="44" t="str" cm="1">
        <f t="array" ref="DM3">IF(CG3=3,CHAR(34) &amp; _xlfn.TEXTJOIN("", TRUE, RIGHT(HP3:HX3, 2)) &amp; CHAR(34) &amp; ",", "")</f>
        <v/>
      </c>
      <c r="DN3" s="44" t="str">
        <f>IF(AND(ISNUMBER(SEARCH("18", O3)), ISERROR(SEARCH("1918", O3)), ISERROR(SEARCH("2018", O3))), CHAR(34) &amp; "year18" &amp; CHAR(34) &amp; ",", "")</f>
        <v>"year18",</v>
      </c>
      <c r="DO3" s="44" t="str">
        <f>IF(AND(ISNUMBER(SEARCH("19", O3)), ISERROR(SEARCH("1819", O3)),  ISERROR(SEARCH("1219", O3)),ISERROR(SEARCH("1119", O3)),ISERROR(SEARCH("1190", O3)),ISERROR(SEARCH("2019", O3))), CHAR(34) &amp; "year19" &amp; CHAR(34) &amp; ",", "")</f>
        <v/>
      </c>
      <c r="DP3" s="5" t="str">
        <f>IF(AND(ISNUMBER(SEARCH("20", O3)), ISERROR(SEARCH("1920", O3))), CHAR(34)&amp;"year00"&amp;CHAR(34)&amp;",", "")</f>
        <v/>
      </c>
      <c r="DQ3" s="5" t="str">
        <f>IF(CC3="y",CHAR(34)&amp;"soviet"&amp;CHAR(34)&amp;",","")</f>
        <v/>
      </c>
      <c r="DR3" s="5" t="str">
        <f>IF(BY3="y",CHAR(34)&amp;"dgband"&amp;CHAR(34)&amp;",","")</f>
        <v/>
      </c>
      <c r="DS3" s="5" t="str">
        <f>IF(W3="y",IF(AND(V3="n",BY3&lt;&gt;"y"),CHAR(34)&amp;"allver"&amp;CHAR(34)&amp;",",""),"")</f>
        <v/>
      </c>
      <c r="DT3" s="5" t="str">
        <f>IF(V3="y",IF(AND(W3="n",BY3&lt;&gt;"y"),CHAR(34)&amp;"allhor"&amp;CHAR(34)&amp;",",""),"")</f>
        <v/>
      </c>
      <c r="DU3" s="5" t="str">
        <f>IF(BY3="y",IF(AND(W3="n",V3="n"),CHAR(34)&amp;"alldia"&amp;CHAR(34)&amp;",",""),"")</f>
        <v/>
      </c>
      <c r="DW3" s="44" t="str">
        <f t="shared" si="1"/>
        <v/>
      </c>
      <c r="DX3" s="44" t="str">
        <f t="shared" si="1"/>
        <v/>
      </c>
      <c r="DY3" s="44" t="str">
        <f t="shared" si="1"/>
        <v>"3Bands",</v>
      </c>
      <c r="DZ3" s="44" t="str">
        <f t="shared" si="1"/>
        <v/>
      </c>
      <c r="EA3" s="44" t="str">
        <f t="shared" si="2"/>
        <v>"Diagon",</v>
      </c>
      <c r="EB3" s="44" t="str">
        <f t="shared" si="2"/>
        <v>"Crosse",</v>
      </c>
      <c r="EC3" s="44" t="str">
        <f t="shared" si="2"/>
        <v>"Horizo",</v>
      </c>
      <c r="ED3" s="44" t="str">
        <f t="shared" si="2"/>
        <v>"Vertic",</v>
      </c>
      <c r="EE3" s="44" t="str">
        <f t="shared" si="2"/>
        <v>"Circle",</v>
      </c>
      <c r="EF3" s="44" t="str">
        <f>IF(AND(Y3&lt;&gt;"n",Y3&lt;&gt;""),CHAR(34)&amp;Y$1&amp;CHAR(34)&amp;",","")</f>
        <v/>
      </c>
      <c r="EG3" s="44" t="str">
        <f t="shared" si="3"/>
        <v/>
      </c>
      <c r="EH3" s="44" t="str">
        <f t="shared" si="3"/>
        <v>"Plants",</v>
      </c>
      <c r="EI3" s="44" t="str">
        <f t="shared" si="3"/>
        <v/>
      </c>
      <c r="EJ3" s="44" t="str">
        <f t="shared" si="3"/>
        <v/>
      </c>
      <c r="EK3" s="44" t="str">
        <f t="shared" si="3"/>
        <v/>
      </c>
      <c r="EL3" s="44" t="str">
        <f t="shared" si="3"/>
        <v/>
      </c>
      <c r="EM3" s="44" t="str">
        <f t="shared" si="3"/>
        <v/>
      </c>
      <c r="EN3" s="44" t="str">
        <f t="shared" si="3"/>
        <v>"Unequa",</v>
      </c>
      <c r="EO3" s="44" t="str">
        <f t="shared" si="3"/>
        <v/>
      </c>
      <c r="EP3" s="44" t="str">
        <f t="shared" si="3"/>
        <v>"Canton",</v>
      </c>
      <c r="EQ3" s="44" t="str">
        <f t="shared" si="4"/>
        <v/>
      </c>
      <c r="ER3" s="44" t="str">
        <f t="shared" si="4"/>
        <v/>
      </c>
      <c r="ES3" s="44" t="str">
        <f t="shared" si="4"/>
        <v/>
      </c>
      <c r="ET3" s="44" t="str">
        <f t="shared" si="4"/>
        <v>"Geogrh",</v>
      </c>
      <c r="EU3" s="44" t="str">
        <f t="shared" si="4"/>
        <v/>
      </c>
      <c r="EV3" s="44" t="str">
        <f t="shared" si="4"/>
        <v/>
      </c>
      <c r="EW3" s="44" t="str">
        <f t="shared" si="4"/>
        <v/>
      </c>
      <c r="EX3" s="44" t="str">
        <f t="shared" si="4"/>
        <v/>
      </c>
      <c r="EY3" s="44" t="str">
        <f t="shared" si="4"/>
        <v/>
      </c>
      <c r="EZ3" s="44" t="str">
        <f t="shared" si="4"/>
        <v/>
      </c>
      <c r="FA3" s="44" t="str">
        <f>IF(AT3&gt;0,CHAR(34)&amp;"sta"&amp;AZ3&amp;CHAR(34)&amp;",","")</f>
        <v/>
      </c>
      <c r="FB3" s="44" t="str">
        <f>IF(AND(AT3&gt;0,BA3&lt;&gt;""),CHAR(34)&amp;"sta"&amp;BA3&amp;CHAR(34)&amp;",","")</f>
        <v/>
      </c>
      <c r="FD3" s="44" t="str">
        <f>IF(BV3="n",CHAR(34)&amp;"tcWHYE"&amp;CHAR(34)&amp;",",IF(BV3="y",CHAR(34)&amp;FD$1&amp;CHAR(34)&amp;",",""))</f>
        <v/>
      </c>
      <c r="FE3" s="44" t="str">
        <f>IF(COUNTIF(BL3:BT3,"BLU")=0,CHAR(34)&amp;"NO_BLU"&amp;CHAR(34)&amp;",", "")</f>
        <v/>
      </c>
      <c r="FF3" s="44" t="str">
        <f>IF(COUNTIF(BL3:BT3,"WHI")=0,CHAR(34)&amp;"NO_WHI"&amp;CHAR(34)&amp;",", "")</f>
        <v/>
      </c>
      <c r="FG3" s="44" t="str">
        <f>IF(COUNTIF(BL3:BT3,"RED")=0,CHAR(34)&amp;"NO_RED"&amp;CHAR(34)&amp;",", "")</f>
        <v/>
      </c>
      <c r="FH3" s="44" t="str">
        <f>IF(COUNTIF(BL3:BS3,"GRE")=0,CHAR(34)&amp;"NO_GRE"&amp;CHAR(34)&amp;",", "")</f>
        <v/>
      </c>
      <c r="FI3" s="44" t="str">
        <f>IF(COUNTIF(BL3:BT3,"YEL")=0,CHAR(34)&amp;"NO_YEL"&amp;CHAR(34)&amp;",", "")</f>
        <v/>
      </c>
      <c r="FJ3" s="44" t="str">
        <f>IF(COUNTIF(BL3:BT3,"BLA")=0,CHAR(34)&amp;"NO_BLA"&amp;CHAR(34)&amp;",", "")</f>
        <v>"NO_BLA",</v>
      </c>
      <c r="FK3" s="44" t="str">
        <f>IF(AND(FH3&lt;&gt;"",FF3&lt;&gt;""),CHAR(34)&amp;"WHGRNO"&amp;CHAR(34)&amp;",","")</f>
        <v/>
      </c>
      <c r="FL3" s="44" t="str">
        <f>IF(AND(FI3&lt;&gt;"",FF3&lt;&gt;""),CHAR(34)&amp;"WHYENO"&amp;CHAR(34)&amp;",","")</f>
        <v/>
      </c>
      <c r="FM3" s="44" t="str">
        <f>IF(AND(FJ3&lt;&gt;"",FF3&lt;&gt;""),CHAR(34)&amp;"BAWHNO"&amp;CHAR(34)&amp;",","")</f>
        <v/>
      </c>
      <c r="FN3" s="44" t="str">
        <f>IF(AND(FE3&lt;&gt;"",FF3&lt;&gt;""),CHAR(34)&amp;"BLWHNO"&amp;CHAR(34)&amp;",","")</f>
        <v/>
      </c>
      <c r="FO3" s="44" t="str">
        <f>IF(AND(FE3&lt;&gt;"",FG3&lt;&gt;""),CHAR(34)&amp;"BLRENO"&amp;CHAR(34)&amp;",","")</f>
        <v/>
      </c>
      <c r="FP3" s="44" t="str">
        <f>IF(AND(FF3&lt;&gt;"",FF3&lt;&gt;""),CHAR(34)&amp;"WHRENO"&amp;CHAR(34)&amp;",","")</f>
        <v/>
      </c>
      <c r="FQ3" s="44" t="str">
        <f>IF(LEN(BF3)=3,CHAR(34)&amp;"001"&amp;BF3&amp;CHAR(34)&amp;",","")</f>
        <v>"001RED",</v>
      </c>
      <c r="FR3" s="44" t="str">
        <f>IF(LEN(BG3)=3,CHAR(34)&amp;"002"&amp;BG3&amp;CHAR(34)&amp;",","")</f>
        <v>"002WHI",</v>
      </c>
      <c r="FS3" s="44" t="str">
        <f>IF(LEN(BH3)=3,CHAR(34)&amp;"003"&amp;BH3&amp;CHAR(34)&amp;",","")</f>
        <v>"003RED",</v>
      </c>
      <c r="FT3" s="44" t="str">
        <f>CHAR(34)&amp;"myr"&amp;BD3&amp;CHAR(34)&amp;","</f>
        <v>"myrRED",</v>
      </c>
      <c r="FU3" s="44" t="str">
        <f>IF(AY3="y",CHAR(34)&amp;"island"&amp;CHAR(34)&amp;",","")</f>
        <v/>
      </c>
      <c r="FV3" s="44" t="str">
        <f>IF(BZ3="y",CHAR(34)&amp;"landlo"&amp;CHAR(34)&amp;",","")</f>
        <v/>
      </c>
      <c r="FW3" s="44" t="str">
        <f>IF(CA3="y",CHAR(34)&amp;"eunion"&amp;CHAR(34)&amp;",","")</f>
        <v/>
      </c>
      <c r="FY3" s="44" t="str">
        <f>IFERROR(IF(SEARCH("Arabic",CB3)&gt;0,CHAR(34)&amp;"arabic"&amp;CHAR(34)&amp;",",""),"")</f>
        <v/>
      </c>
      <c r="FZ3" s="44" t="str">
        <f>IFERROR(IF(SEARCH("English",CB3)&gt;0,CHAR(34)&amp;"englis"&amp;CHAR(34)&amp;",",""),"")</f>
        <v/>
      </c>
      <c r="GA3" s="44" t="str">
        <f>IFERROR(IF(SEARCH("French",CB3)&gt;0,CHAR(34)&amp;"french"&amp;CHAR(34)&amp;",",""),"")</f>
        <v/>
      </c>
      <c r="GB3" s="44" t="str">
        <f>IFERROR(IF(SEARCH("Spanish",CB3)&gt;0,CHAR(34)&amp;"spanis"&amp;CHAR(34)&amp;",",""),"")</f>
        <v/>
      </c>
      <c r="GE3" s="44" t="str">
        <f>IFERROR(IF(SEARCH("Dutch",CB3)&gt;0,CHAR(34)&amp;"dutchs"&amp;CHAR(34)&amp;",",""),"")</f>
        <v/>
      </c>
      <c r="GF3" s="44" t="str">
        <f>IFERROR(IF(SEARCH("Historical",AU3)&gt;0,CHAR(34)&amp;"histor"&amp;CHAR(34)&amp;",",""),"")</f>
        <v>"histor",</v>
      </c>
      <c r="GG3" s="44" t="str">
        <f>IF(BU3="y",CHAR(34)&amp;"unjack"&amp;CHAR(34)&amp;",","")</f>
        <v>"unjack",</v>
      </c>
      <c r="GH3" s="44" t="str">
        <f>IF(CD3=1,CHAR(34)&amp;"southc"&amp;CHAR(34)&amp;",","")</f>
        <v/>
      </c>
      <c r="GI3" s="44" t="str">
        <f>IF(CE3=1,CHAR(34)&amp;"hasmap"&amp;CHAR(34)&amp;",","")</f>
        <v/>
      </c>
      <c r="GJ3" s="44" t="str">
        <f>IF(CP3="y",CHAR(34)&amp;CP$1&amp;CHAR(34)&amp;",","")</f>
        <v>"NoStar",</v>
      </c>
      <c r="GK3" s="44" t="str">
        <f>IF(GJ3="",CHAR(34)&amp;"HasSta"&amp;CHAR(34)&amp;",","")</f>
        <v/>
      </c>
      <c r="GL3" s="44" t="str">
        <f t="shared" si="5"/>
        <v/>
      </c>
      <c r="GM3" s="44" t="str">
        <f t="shared" si="5"/>
        <v/>
      </c>
      <c r="GN3" s="44" t="str">
        <f t="shared" si="5"/>
        <v/>
      </c>
      <c r="GP3" s="44" t="str">
        <f>CHAR(34)&amp;AU3&amp;CHAR(34)</f>
        <v>"Historical, Colony"</v>
      </c>
      <c r="GS3" s="44" t="str">
        <f>SUBSTITUTE("["&amp;_xlfn.CONCAT(CW3:GN3)&amp;"]",",]","]")</f>
        <v>["5+Colo","words2","words3","lets21","startC","year18","3Bands","Diagon","Crosse","Horizo","Vertic","Circle","Plants","Unequa","Canton","Geogrh","NO_BLA","001RED","002WHI","003RED","myrRED","histor","unjack","NoStar"]</v>
      </c>
      <c r="GT3" s="44" t="str">
        <f t="shared" si="6"/>
        <v/>
      </c>
      <c r="GU3" s="44" t="str">
        <f t="shared" si="6"/>
        <v>"cl_BLU",</v>
      </c>
      <c r="GV3" s="44" t="str">
        <f t="shared" si="6"/>
        <v>"cl_GRE",</v>
      </c>
      <c r="GW3" s="44" t="str">
        <f t="shared" si="6"/>
        <v>"cl_RED",</v>
      </c>
      <c r="GX3" s="44" t="str">
        <f t="shared" si="6"/>
        <v>"cl_YEL",</v>
      </c>
      <c r="GY3" s="44" t="str">
        <f t="shared" si="6"/>
        <v/>
      </c>
      <c r="GZ3" s="44" t="str">
        <f t="shared" si="6"/>
        <v>"cl_BRO",</v>
      </c>
      <c r="HA3" s="44" t="str">
        <f t="shared" si="6"/>
        <v/>
      </c>
      <c r="HB3" s="44" t="str">
        <f t="shared" si="6"/>
        <v>"cl_WHI",</v>
      </c>
      <c r="HC3" s="44" t="str">
        <f>SUBSTITUTE("["&amp;_xlfn.CONCAT(GT3:HB3)&amp;"]",",]","]")</f>
        <v>["cl_BLU","cl_GRE","cl_RED","cl_YEL","cl_BRO","cl_WHI"]</v>
      </c>
      <c r="HE3" s="64"/>
      <c r="HF3" s="65" t="str">
        <f>"{couname:"&amp;CT3&amp;(IF(HK3&lt;&gt;"",",subtype:"&amp;CHAR(34)&amp;HK3&amp;CHAR(34),""))&amp;",year:"&amp;HJ3&amp;",region:"&amp;CU3&amp;",Colors:"&amp;HC3&amp;",Items:"&amp;GS3&amp;",Flag:"&amp;CV3&amp;",HDFlag:"&amp;CHAR(34)&amp;E3&amp;CHAR(34)&amp;",type:"&amp;GP3&amp;", describe: "&amp;HH3&amp;", isnew:"&amp;CHAR(34)&amp;F3&amp;CHAR(34)&amp;", links: "&amp;HL3&amp;"},"</f>
        <v>{couname:"[CKI] Cook Islands Federation",year:"1891",region:"rgn_Oceania",Colors:["cl_BLU","cl_GRE","cl_RED","cl_YEL","cl_BRO","cl_WHI"],Items:["5+Colo","words2","words3","lets21","startC","year18","3Bands","Diagon","Crosse","Horizo","Vertic","Circle","Plants","Unequa","Canton","Geogrh","NO_BLA","001RED","002WHI","003RED","myrRED","histor","unjack","NoStar"],Flag:"https://upload.wikimedia.org/wikipedia/commons/thumb/2/26/Flag_of_the_Cook_Islands_Federation.svg/640px-Flag_of_the_Cook_Islands_Federation.svg.png",HDFlag:"https://upload.wikimedia.org/wikipedia/commons/thumb/2/26/Flag_of_the_Cook_Islands_Federation.svg/1280px-Flag_of_the_Cook_Islands_Federation.svg.png",type:"Historical, Colony", describe: "\nA horizontal triband of red, white, and red with the British Union Jack in the canton of the flag. The Union Jack has a palm tree superimposed on it. ", isnew:".", links: "https://en.m.wikipedia.org/wiki/Cook_Islands_Federation"},</v>
      </c>
      <c r="HG3" s="66" t="str">
        <f>"{couname:"&amp;CT3&amp;(IF(HK3&lt;&gt;"",",subtype:"&amp;CHAR(34)&amp;HK3&amp;CHAR(34),""))&amp;",year:"&amp;HJ3&amp;",region:"&amp;CU3&amp;",Colors:"&amp;HC3&amp;",Items:"&amp;GS3&amp;",Flag:"&amp;CV3&amp;",HDFlag:"&amp;CHAR(34)&amp;E3&amp;CHAR(34)&amp;",type:"&amp;GP3&amp;", describe: "&amp;HI3&amp;", links: "&amp;HL3&amp;"},"</f>
        <v>{couname:"[CKI] Cook Islands Federation",year:"1891",region:"rgn_Oceania",Colors:["cl_BLU","cl_GRE","cl_RED","cl_YEL","cl_BRO","cl_WHI"],Items:["5+Colo","words2","words3","lets21","startC","year18","3Bands","Diagon","Crosse","Horizo","Vertic","Circle","Plants","Unequa","Canton","Geogrh","NO_BLA","001RED","002WHI","003RED","myrRED","histor","unjack","NoStar"],Flag:"https://upload.wikimedia.org/wikipedia/commons/thumb/2/26/Flag_of_the_Cook_Islands_Federation.svg/640px-Flag_of_the_Cook_Islands_Federation.svg.png",HDFlag:"https://upload.wikimedia.org/wikipedia/commons/thumb/2/26/Flag_of_the_Cook_Islands_Federation.svg/1280px-Flag_of_the_Cook_Islands_Federation.svg.png",type:"Historical, Colony", describe: "\nA horizontal triband of red, white, and red with the British Union Jack in the canton of the flag. The Union Jack has a palm tree superimposed on it. ", links: "https://en.m.wikipedia.org/wiki/Cook_Islands_Federation"},</v>
      </c>
      <c r="HH3" s="44" t="str">
        <f>IF(P3&lt;&gt;"",CHAR(34)&amp;"\n"&amp;P3&amp;CHAR(34),CHAR(34)&amp;CHAR(34))</f>
        <v>"\nA horizontal triband of red, white, and red with the British Union Jack in the canton of the flag. The Union Jack has a palm tree superimposed on it. "</v>
      </c>
      <c r="HI3" s="44" t="str">
        <f>IF(J3=0,CHAR(34)&amp;CHAR(34),HH3)</f>
        <v>"\nA horizontal triband of red, white, and red with the British Union Jack in the canton of the flag. The Union Jack has a palm tree superimposed on it. "</v>
      </c>
      <c r="HJ3" s="44" t="str">
        <f>CHAR(34)&amp;O3&amp;CHAR(34)</f>
        <v>"1891"</v>
      </c>
      <c r="HL3" s="44" t="str">
        <f>CHAR(34)&amp;I3&amp;CHAR(34)</f>
        <v>"https://en.m.wikipedia.org/wiki/Cook_Islands_Federation"</v>
      </c>
      <c r="HM3" s="65"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{"couname":"[CKI] Cook Islands Federation","year":"1891","region":"rgn_Oceania","Colors":["cl_BLU","cl_GRE","cl_RED","cl_YEL","cl_BRO","cl_WHI"],"Items":["5+Colo","words2","words3","lets21","startC","year18","3Bands","Diagon","Crosse","Horizo","Vertic","Circle","Plants","Unequa","Canton","Geogrh","NO_BLA","001RED","002WHI","003RED","myrRED","histor","unjack","NoStar"],"Flag":"https://upload.wikimedia.org/wikipedia/commons/thumb/2/26/Flag_of_the_Cook_Islands_Federation.svg/640px-Flag_of_the_Cook_Islands_Federation.svg.png","HDFlag":"https://upload.wikimedia.org/wikipedia/commons/thumb/2/26/Flag_of_the_Cook_Islands_Federation.svg/1280px-Flag_of_the_Cook_Islands_Federation.svg.png","type":"Historical, Colony", "describe": "\nA horizontal triband of red, white, and red with the British Union Jack in the canton of the flag. The Union Jack has a palm tree superimposed on it. ", "isnew": ".", "links": "https://en.m.wikipedia.org/wiki/Cook_Islands_Federation"},</v>
      </c>
      <c r="HN3" s="67"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{"couname":"[CKI] Cook Islands Federation","year":"1891","region":"rgn_Oceania","Colors":["cl_BLU","cl_GRE","cl_RED","cl_YEL","cl_BRO","cl_WHI"],"Items":["5+Colo","words2","words3","lets21","startC","year18","3Bands","Diagon","Crosse","Horizo","Vertic","Circle","Plants","Unequa","Canton","Geogrh","NO_BLA","001RED","002WHI","003RED","myrRED","histor","unjack","NoStar"],"Flag":"https://upload.wikimedia.org/wikipedia/commons/thumb/2/26/Flag_of_the_Cook_Islands_Federation.svg/640px-Flag_of_the_Cook_Islands_Federation.svg.png","HDFlag":"https://upload.wikimedia.org/wikipedia/commons/thumb/2/26/Flag_of_the_Cook_Islands_Federation.svg/1280px-Flag_of_the_Cook_Islands_Federation.svg.png","type":"Historical, Colony", "describe": "\nA horizontal triband of red, white, and red with the British Union Jack in the canton of the flag. The Union Jack has a palm tree superimposed on it. ", "isnew": ".", "links": "https://en.m.wikipedia.org/wiki/Cook_Islands_Federation"},</v>
      </c>
      <c r="HO3" s="71">
        <v>45618</v>
      </c>
      <c r="HP3" s="44" t="str" cm="1">
        <f t="array" ref="HP3">IF(_xlfn.TEXTJOIN(", ", TRUE, IF(ISNUMBER(SEARCH("BLA", BL3:BT3)), COLUMN(BL3:BT3) - COLUMN(BL3) + 1, ""))&lt;&gt;"","BLA","")</f>
        <v/>
      </c>
      <c r="HQ3" s="44" t="str" cm="1">
        <f t="array" ref="HQ3">IF(_xlfn.TEXTJOIN(", ", TRUE, IF(ISNUMBER(SEARCH("BLU", BL3:BT3)), COLUMN(BL3:BT3) - COLUMN(BL3) + 1, ""))&lt;&gt;"","BLU","")</f>
        <v>BLU</v>
      </c>
      <c r="HR3" s="44" t="str" cm="1">
        <f t="array" ref="HR3">IF(_xlfn.TEXTJOIN(", ", TRUE, IF(ISNUMBER(SEARCH("GRE", BL3:BT3)), COLUMN(BL3:BT3) - COLUMN(BL3) + 1, ""))&lt;&gt;"","GRE","")</f>
        <v>GRE</v>
      </c>
      <c r="HS3" s="44" t="str" cm="1">
        <f t="array" ref="HS3">IF(_xlfn.TEXTJOIN(", ", TRUE, IF(ISNUMBER(SEARCH("RED", BL3:BT3)), COLUMN(BL3:BT3) - COLUMN(BL3) + 1, ""))&lt;&gt;"","RED","")</f>
        <v>RED</v>
      </c>
      <c r="HT3" s="44" t="str" cm="1">
        <f t="array" ref="HT3">IF(_xlfn.TEXTJOIN(", ", TRUE, IF(ISNUMBER(SEARCH("YEL", BL3:BT3)), COLUMN(BL3:BT3) - COLUMN(BL3) + 1, ""))&lt;&gt;"","YEL","")</f>
        <v>YEL</v>
      </c>
      <c r="HU3" s="44" t="str" cm="1">
        <f t="array" ref="HU3">IF(_xlfn.TEXTJOIN(", ", TRUE, IF(ISNUMBER(SEARCH("ORA", BL3:BT3)), COLUMN(BL3:BT3) - COLUMN(BL3) + 1, ""))&lt;&gt;"","ORA","")</f>
        <v/>
      </c>
      <c r="HV3" s="44" t="str" cm="1">
        <f t="array" ref="HV3">IF(_xlfn.TEXTJOIN(", ", TRUE, IF(ISNUMBER(SEARCH("BRO", BL3:BT3)), COLUMN(BL3:BT3) - COLUMN(BL3) + 1, ""))&lt;&gt;"","BRO","")</f>
        <v>BRO</v>
      </c>
      <c r="HW3" s="44" t="str" cm="1">
        <f t="array" ref="HW3">IF(_xlfn.TEXTJOIN(", ", TRUE, IF(ISNUMBER(SEARCH("PUR", BL3:BT3)), COLUMN(BL3:BT3) - COLUMN(BL3) + 1, ""))&lt;&gt;"","PUR","")</f>
        <v/>
      </c>
      <c r="HX3" s="44" t="str" cm="1">
        <f t="array" ref="HX3">IF(_xlfn.TEXTJOIN(", ", TRUE, IF(ISNUMBER(SEARCH("WHI", BL3:BT3)), COLUMN(BL3:BT3) - COLUMN(BL3) + 1, ""))&lt;&gt;"","WHI","")</f>
        <v>WHI</v>
      </c>
      <c r="HY3" s="72"/>
      <c r="HZ3" s="72"/>
      <c r="IA3" s="5"/>
      <c r="IB3" s="5"/>
      <c r="IC3" s="68"/>
      <c r="ID3" s="68"/>
      <c r="IE3" s="68"/>
      <c r="IF3" s="68"/>
      <c r="IG3" s="68"/>
      <c r="IH3" s="68"/>
      <c r="II3" s="68"/>
      <c r="IJ3" s="68"/>
      <c r="IK3" s="68"/>
      <c r="IM3" s="42">
        <f>COUNTIF(IC3:IK3,"&gt;0")-CG3</f>
        <v>-6</v>
      </c>
      <c r="IN3" s="69" t="str">
        <f>"http://mkweb.bcgsc.ca/color-summarizer/?url="&amp;D3&amp;"&amp;precision=low&amp;num_clusters="&amp;CG3&amp;"&amp;text=1"</f>
        <v>http://mkweb.bcgsc.ca/color-summarizer/?url=https://upload.wikimedia.org/wikipedia/commons/thumb/2/26/Flag_of_the_Cook_Islands_Federation.svg/640px-Flag_of_the_Cook_Islands_Federation.svg.png&amp;precision=low&amp;num_clusters=6&amp;text=1</v>
      </c>
      <c r="IO3" s="44" t="str">
        <f>IF(HP3&lt;&gt;"",CHAR(34)&amp;"black"&amp;CHAR(34),"")</f>
        <v/>
      </c>
      <c r="IP3" s="44" t="str">
        <f>IF(HQ3&lt;&gt;"",CHAR(34)&amp;"blue"&amp;CHAR(34),"")</f>
        <v>"blue"</v>
      </c>
      <c r="IQ3" s="44" t="str">
        <f>IF(HR3&lt;&gt;"",CHAR(34)&amp;"green"&amp;CHAR(34),"")</f>
        <v>"green"</v>
      </c>
      <c r="IR3" s="44" t="str">
        <f>IF(HS3&lt;&gt;"",CHAR(34)&amp;"red"&amp;CHAR(34),"")</f>
        <v>"red"</v>
      </c>
      <c r="IS3" s="44" t="str">
        <f>IF(HT3&lt;&gt;"",CHAR(34)&amp;"yellow"&amp;CHAR(34),"")</f>
        <v>"yellow"</v>
      </c>
      <c r="IT3" s="44" t="str">
        <f>IF(HU3&lt;&gt;"",CHAR(34)&amp;"orange"&amp;CHAR(34),"")</f>
        <v/>
      </c>
      <c r="IU3" s="44" t="str">
        <f>IF(HV3&lt;&gt;"",CHAR(34)&amp;"brown"&amp;CHAR(34),"")</f>
        <v>"brown"</v>
      </c>
      <c r="IV3" s="44" t="str">
        <f>IF(HW3&lt;&gt;"",CHAR(34)&amp;"purple"&amp;CHAR(34),"")</f>
        <v/>
      </c>
      <c r="IW3" s="44" t="str">
        <f>IF(HX3&lt;&gt;"",CHAR(34)&amp;"white"&amp;CHAR(34),"")</f>
        <v>"white"</v>
      </c>
      <c r="IX3" s="44" t="str">
        <f>"{"&amp;CHAR(34)&amp;"url"&amp;CHAR(34)&amp;":"&amp;CHAR(34)&amp;IN3&amp;CHAR(34)&amp;","&amp;CHAR(34)&amp;"name"&amp;CHAR(34)&amp;":"&amp;CHAR(34)&amp;A3&amp;CHAR(34)&amp;"},"</f>
        <v>{"url":"http://mkweb.bcgsc.ca/color-summarizer/?url=https://upload.wikimedia.org/wikipedia/commons/thumb/2/26/Flag_of_the_Cook_Islands_Federation.svg/640px-Flag_of_the_Cook_Islands_Federation.svg.png&amp;precision=low&amp;num_clusters=6&amp;text=1","name":"[CKI] Cook Islands Federation"},</v>
      </c>
      <c r="IY3" s="44">
        <v>968</v>
      </c>
    </row>
    <row r="4" spans="1:259" s="44" customFormat="1" ht="38.4" customHeight="1" thickBot="1" x14ac:dyDescent="0.35">
      <c r="A4" s="81" t="s">
        <v>588</v>
      </c>
      <c r="B4" s="78" t="e" vm="28">
        <v>#VALUE!</v>
      </c>
      <c r="C4" s="39">
        <v>3</v>
      </c>
      <c r="D4" s="70" t="s">
        <v>589</v>
      </c>
      <c r="E4" s="40" t="s">
        <v>590</v>
      </c>
      <c r="F4" s="41" t="s">
        <v>165</v>
      </c>
      <c r="G4" s="42">
        <f>COUNTIF($A$1:$A$8270,A4)</f>
        <v>1</v>
      </c>
      <c r="H4" s="43"/>
      <c r="I4" s="59" t="s">
        <v>591</v>
      </c>
      <c r="J4" s="44" t="str">
        <f>""</f>
        <v/>
      </c>
      <c r="K4" s="45"/>
      <c r="L4" s="46"/>
      <c r="M4" s="46"/>
      <c r="N4" s="47" t="s">
        <v>177</v>
      </c>
      <c r="O4" s="74">
        <v>1858</v>
      </c>
      <c r="P4" s="48" t="s">
        <v>592</v>
      </c>
      <c r="Q4" s="73">
        <v>5</v>
      </c>
      <c r="R4" s="49" t="s">
        <v>177</v>
      </c>
      <c r="S4" s="50">
        <v>3</v>
      </c>
      <c r="T4" s="51" t="s">
        <v>166</v>
      </c>
      <c r="U4" s="52" t="s">
        <v>166</v>
      </c>
      <c r="V4" s="52" t="s">
        <v>167</v>
      </c>
      <c r="W4" s="52" t="s">
        <v>166</v>
      </c>
      <c r="X4" s="52" t="s">
        <v>166</v>
      </c>
      <c r="Y4" s="52" t="s">
        <v>166</v>
      </c>
      <c r="Z4" s="52" t="s">
        <v>166</v>
      </c>
      <c r="AA4" s="52" t="s">
        <v>166</v>
      </c>
      <c r="AB4" s="52" t="s">
        <v>166</v>
      </c>
      <c r="AC4" s="52" t="s">
        <v>166</v>
      </c>
      <c r="AD4" s="52" t="s">
        <v>166</v>
      </c>
      <c r="AE4" s="52" t="s">
        <v>166</v>
      </c>
      <c r="AF4" s="53" t="s">
        <v>166</v>
      </c>
      <c r="AG4" s="53" t="s">
        <v>167</v>
      </c>
      <c r="AH4" s="53" t="s">
        <v>166</v>
      </c>
      <c r="AI4" s="53" t="s">
        <v>166</v>
      </c>
      <c r="AJ4" s="53" t="s">
        <v>166</v>
      </c>
      <c r="AK4" s="53" t="s">
        <v>166</v>
      </c>
      <c r="AL4" s="53" t="s">
        <v>166</v>
      </c>
      <c r="AM4" s="53" t="s">
        <v>166</v>
      </c>
      <c r="AN4" s="53" t="s">
        <v>166</v>
      </c>
      <c r="AO4" s="53" t="s">
        <v>166</v>
      </c>
      <c r="AP4" s="53" t="s">
        <v>166</v>
      </c>
      <c r="AQ4" s="53" t="s">
        <v>166</v>
      </c>
      <c r="AR4" s="53" t="s">
        <v>166</v>
      </c>
      <c r="AS4" s="53" t="s">
        <v>166</v>
      </c>
      <c r="AT4" s="54">
        <v>3</v>
      </c>
      <c r="AU4" s="53" t="s">
        <v>409</v>
      </c>
      <c r="AV4" s="53" t="str">
        <f>IF(LEFT(A4,1)="[",LEFT(A4,5)&amp;AU4&amp;A4,"")</f>
        <v>[CKI]Historical, Country[CKI] Kingdom of Rarotonga (1858-1888)</v>
      </c>
      <c r="AW4" s="53" t="str">
        <f>C4&amp;H4&amp;A4</f>
        <v>3[CKI] Kingdom of Rarotonga (1858-1888)</v>
      </c>
      <c r="AX4" s="55"/>
      <c r="AY4" s="55"/>
      <c r="AZ4" s="56" t="s">
        <v>154</v>
      </c>
      <c r="BA4" s="56" t="s">
        <v>231</v>
      </c>
      <c r="BB4" s="56"/>
      <c r="BC4" s="57"/>
      <c r="BD4" s="58" t="s">
        <v>156</v>
      </c>
      <c r="BE4" s="59"/>
      <c r="BF4" s="58" t="s">
        <v>156</v>
      </c>
      <c r="BG4" s="58" t="s">
        <v>161</v>
      </c>
      <c r="BH4" s="58" t="s">
        <v>156</v>
      </c>
      <c r="BI4" s="58"/>
      <c r="BJ4" s="58"/>
      <c r="BK4" s="59"/>
      <c r="BL4" s="58" t="s">
        <v>231</v>
      </c>
      <c r="BM4" s="58" t="s">
        <v>154</v>
      </c>
      <c r="BN4" s="58" t="s">
        <v>231</v>
      </c>
      <c r="BO4" s="58" t="s">
        <v>156</v>
      </c>
      <c r="BP4" s="58" t="s">
        <v>231</v>
      </c>
      <c r="BQ4" s="58" t="s">
        <v>231</v>
      </c>
      <c r="BR4" s="58" t="s">
        <v>231</v>
      </c>
      <c r="BS4" s="58" t="s">
        <v>231</v>
      </c>
      <c r="BT4" s="58" t="s">
        <v>161</v>
      </c>
      <c r="BU4" s="60"/>
      <c r="BV4" s="61"/>
      <c r="BW4" s="61">
        <v>0</v>
      </c>
      <c r="BX4" s="59"/>
      <c r="CB4" s="5"/>
      <c r="CC4" s="5"/>
      <c r="CD4" s="62">
        <v>0</v>
      </c>
      <c r="CE4" s="62">
        <v>0</v>
      </c>
      <c r="CF4" s="62" t="e">
        <v>#REF!</v>
      </c>
      <c r="CG4" s="75" cm="1">
        <f t="array" ref="CG4">SUMPRODUCT(--(LEN(TRIM(BL4:BT4))&gt;0))</f>
        <v>3</v>
      </c>
      <c r="CH4" s="53" t="str">
        <f>IF(CG4=2,"y","n")</f>
        <v>n</v>
      </c>
      <c r="CI4" s="53" t="str">
        <f>IF(CG4=3,"y","n")</f>
        <v>y</v>
      </c>
      <c r="CJ4" s="53" t="str">
        <f>IF(CG4=4,"y","n")</f>
        <v>n</v>
      </c>
      <c r="CK4" s="53" t="str">
        <f>IF(CG4&gt;4,"y","n")</f>
        <v>n</v>
      </c>
      <c r="CL4" s="53" t="str">
        <f>IF(S4=0,"y","n")</f>
        <v>n</v>
      </c>
      <c r="CM4" s="53" t="str">
        <f>IF(S4=2,"y","n")</f>
        <v>n</v>
      </c>
      <c r="CN4" s="53" t="str">
        <f>IF(S4=3,"y","n")</f>
        <v>y</v>
      </c>
      <c r="CO4" s="53" t="str">
        <f>IF(S4&gt;=4,"y","n")</f>
        <v>n</v>
      </c>
      <c r="CP4" s="53" t="str">
        <f>IF(AT4=0,"y","n")</f>
        <v>n</v>
      </c>
      <c r="CQ4" s="53" t="str">
        <f>IF(AT4=1,"y","n")</f>
        <v>n</v>
      </c>
      <c r="CR4" s="53" t="str">
        <f>IF(AT4=2,"y","n")</f>
        <v>n</v>
      </c>
      <c r="CS4" s="53" t="str">
        <f>IF(AT4&gt;=3,"y","n")</f>
        <v>y</v>
      </c>
      <c r="CT4" s="38" t="str">
        <f>CHAR(34)&amp;A4&amp;CHAR(34)</f>
        <v>"[CKI] Kingdom of Rarotonga (1858-1888)"</v>
      </c>
      <c r="CU4" s="63" t="str">
        <f>CHAR(34)&amp;"rgn_"&amp;R4&amp;CHAR(34)</f>
        <v>"rgn_Oceania"</v>
      </c>
      <c r="CV4" s="44" t="str">
        <f>CHAR(34)&amp;D4&amp;CHAR(34)</f>
        <v>"https://upload.wikimedia.org/wikipedia/commons/thumb/c/c3/Flag_of_Rarotonga_1858-1888.svg/640px-Flag_of_Rarotonga_1858-1888.svg.png"</v>
      </c>
      <c r="CW4" s="44" t="str">
        <f t="shared" si="0"/>
        <v/>
      </c>
      <c r="CX4" s="44" t="str">
        <f t="shared" si="0"/>
        <v>"3Color",</v>
      </c>
      <c r="CY4" s="44" t="str">
        <f t="shared" si="0"/>
        <v/>
      </c>
      <c r="CZ4" s="44" t="str">
        <f t="shared" si="0"/>
        <v/>
      </c>
      <c r="DA4" s="44" t="str">
        <f>IF(Q4&gt;1,CHAR(34)&amp;"words2"&amp;CHAR(34)&amp;",","")</f>
        <v>"words2",</v>
      </c>
      <c r="DB4" s="44" t="str">
        <f>IF(Q4&gt;2,CHAR(34)&amp;"words3"&amp;CHAR(34)&amp;",","")</f>
        <v>"words3",</v>
      </c>
      <c r="DD4" s="44" t="str">
        <f>IF(LEN(CHAR(34)&amp;"lets"&amp;LEN(SUBSTITUTE(SUBSTITUTE(IFERROR(TRIM(SUBSTITUTE(A4,MID(A4,FIND("[",A4),FIND("]",A4)-FIND("[",A4)+1),"")),A4)," ",""),"-",""))&amp;CHAR(34)&amp;",")=9,CHAR(34)&amp;"lets"&amp;LEN(SUBSTITUTE(SUBSTITUTE(IFERROR(TRIM(SUBSTITUTE(A4,MID(A4,FIND("[",A4),FIND("]",A4)-FIND("[",A4)+1),"")),A4)," ",""),"-",""))&amp;CHAR(34)&amp;",",CHAR(34)&amp;"lets0"&amp;LEN(SUBSTITUTE(SUBSTITUTE(IFERROR(TRIM(SUBSTITUTE(A4,MID(A4,FIND("[",A4),FIND("]",A4)-FIND("[",A4)+1),"")),A4)," ",""),"-",""))&amp;CHAR(34)&amp;",")</f>
        <v>"lets28",</v>
      </c>
      <c r="DE4" s="44" t="str">
        <f>CHAR(34)&amp;"start"&amp;IFERROR(LEFT(SUBSTITUTE(A4,"["&amp;MID(A4,FIND("[",A4)+1,FIND("]",A4)-FIND("[",A4)-1)&amp;"] ",""),1),LEFT(A4,1))&amp;CHAR(34)&amp;","</f>
        <v>"startK",</v>
      </c>
      <c r="DF4" s="44" t="str">
        <f>IFERROR(IF(SEARCH("tan",A4)&gt;0,CHAR(34)&amp;"withtn"&amp;CHAR(34)&amp;",",""),"")</f>
        <v/>
      </c>
      <c r="DG4" s="44" t="str">
        <f>IFERROR(IF(SEARCH("q",A4)&gt;0,CHAR(34)&amp;"with_q"&amp;CHAR(34)&amp;",",""),"")</f>
        <v/>
      </c>
      <c r="DH4" s="44" t="str">
        <f>IFERROR(IF(SEARCH("v",A4)&gt;0,CHAR(34)&amp;"with_v"&amp;CHAR(34)&amp;",",""),"")</f>
        <v/>
      </c>
      <c r="DI4" s="44" t="str">
        <f>IFERROR(IF(SEARCH("w",A4)&gt;0,CHAR(34)&amp;"with_w"&amp;CHAR(34)&amp;",",""),"")</f>
        <v/>
      </c>
      <c r="DJ4" s="44" t="str">
        <f>IFERROR(IF(SEARCH("y",A4)&gt;0,CHAR(34)&amp;"with_y"&amp;CHAR(34)&amp;",",""),"")</f>
        <v/>
      </c>
      <c r="DK4" s="44" t="str">
        <f>IFERROR(IF(SEARCH("z",A4)&gt;0,CHAR(34)&amp;"with_z"&amp;CHAR(34)&amp;",",""),"")</f>
        <v/>
      </c>
      <c r="DL4" s="44" t="str">
        <f>IF(CG4=2, CHAR(34) &amp; _xlfn.TEXTJOIN("", TRUE, _xlfn._xlws.SORT(HP4:HX4)) &amp; CHAR(34) &amp; ",", "")</f>
        <v/>
      </c>
      <c r="DM4" s="44" t="str" cm="1">
        <f t="array" ref="DM4">IF(CG4=3,CHAR(34) &amp; _xlfn.TEXTJOIN("", TRUE, RIGHT(HP4:HX4, 2)) &amp; CHAR(34) &amp; ",", "")</f>
        <v>"LUEDHI",</v>
      </c>
      <c r="DN4" s="44" t="str">
        <f>IF(AND(ISNUMBER(SEARCH("18", O4)), ISERROR(SEARCH("1918", O4)), ISERROR(SEARCH("2018", O4))), CHAR(34) &amp; "year18" &amp; CHAR(34) &amp; ",", "")</f>
        <v>"year18",</v>
      </c>
      <c r="DO4" s="44" t="str">
        <f>IF(AND(ISNUMBER(SEARCH("19", O4)), ISERROR(SEARCH("1819", O4)),  ISERROR(SEARCH("1219", O4)),ISERROR(SEARCH("1119", O4)),ISERROR(SEARCH("1190", O4)),ISERROR(SEARCH("2019", O4))), CHAR(34) &amp; "year19" &amp; CHAR(34) &amp; ",", "")</f>
        <v/>
      </c>
      <c r="DP4" s="5" t="str">
        <f>IF(AND(ISNUMBER(SEARCH("20", O4)), ISERROR(SEARCH("1920", O4))), CHAR(34)&amp;"year00"&amp;CHAR(34)&amp;",", "")</f>
        <v/>
      </c>
      <c r="DQ4" s="5" t="str">
        <f>IF(CC4="y",CHAR(34)&amp;"soviet"&amp;CHAR(34)&amp;",","")</f>
        <v/>
      </c>
      <c r="DR4" s="5" t="str">
        <f>IF(BY4="y",CHAR(34)&amp;"dgband"&amp;CHAR(34)&amp;",","")</f>
        <v/>
      </c>
      <c r="DS4" s="5" t="str">
        <f>IF(W4="y",IF(AND(V4="n",BY4&lt;&gt;"y"),CHAR(34)&amp;"allver"&amp;CHAR(34)&amp;",",""),"")</f>
        <v/>
      </c>
      <c r="DT4" s="5" t="str">
        <f>IF(V4="y",IF(AND(W4="n",BY4&lt;&gt;"y"),CHAR(34)&amp;"allhor"&amp;CHAR(34)&amp;",",""),"")</f>
        <v>"allhor",</v>
      </c>
      <c r="DU4" s="5" t="str">
        <f>IF(BY4="y",IF(AND(W4="n",V4="n"),CHAR(34)&amp;"alldia"&amp;CHAR(34)&amp;",",""),"")</f>
        <v/>
      </c>
      <c r="DW4" s="44" t="str">
        <f t="shared" si="1"/>
        <v/>
      </c>
      <c r="DX4" s="44" t="str">
        <f t="shared" si="1"/>
        <v/>
      </c>
      <c r="DY4" s="44" t="str">
        <f t="shared" si="1"/>
        <v>"3Bands",</v>
      </c>
      <c r="DZ4" s="44" t="str">
        <f t="shared" si="1"/>
        <v/>
      </c>
      <c r="EA4" s="44" t="str">
        <f t="shared" si="2"/>
        <v/>
      </c>
      <c r="EB4" s="44" t="str">
        <f t="shared" si="2"/>
        <v/>
      </c>
      <c r="EC4" s="44" t="str">
        <f t="shared" si="2"/>
        <v>"Horizo",</v>
      </c>
      <c r="ED4" s="44" t="str">
        <f t="shared" si="2"/>
        <v/>
      </c>
      <c r="EE4" s="44" t="str">
        <f t="shared" si="2"/>
        <v/>
      </c>
      <c r="EF4" s="44" t="str">
        <f>IF(AND(Y4&lt;&gt;"n",Y4&lt;&gt;""),CHAR(34)&amp;Y$1&amp;CHAR(34)&amp;",","")</f>
        <v/>
      </c>
      <c r="EG4" s="44" t="str">
        <f t="shared" si="3"/>
        <v/>
      </c>
      <c r="EH4" s="44" t="str">
        <f t="shared" si="3"/>
        <v/>
      </c>
      <c r="EI4" s="44" t="str">
        <f t="shared" si="3"/>
        <v/>
      </c>
      <c r="EJ4" s="44" t="str">
        <f t="shared" si="3"/>
        <v/>
      </c>
      <c r="EK4" s="44" t="str">
        <f t="shared" si="3"/>
        <v/>
      </c>
      <c r="EL4" s="44" t="str">
        <f t="shared" si="3"/>
        <v/>
      </c>
      <c r="EM4" s="44" t="str">
        <f t="shared" si="3"/>
        <v/>
      </c>
      <c r="EN4" s="44" t="str">
        <f t="shared" si="3"/>
        <v>"Unequa",</v>
      </c>
      <c r="EO4" s="44" t="str">
        <f t="shared" si="3"/>
        <v/>
      </c>
      <c r="EP4" s="44" t="str">
        <f t="shared" si="3"/>
        <v/>
      </c>
      <c r="EQ4" s="44" t="str">
        <f t="shared" si="4"/>
        <v/>
      </c>
      <c r="ER4" s="44" t="str">
        <f t="shared" si="4"/>
        <v/>
      </c>
      <c r="ES4" s="44" t="str">
        <f t="shared" si="4"/>
        <v/>
      </c>
      <c r="ET4" s="44" t="str">
        <f t="shared" si="4"/>
        <v/>
      </c>
      <c r="EU4" s="44" t="str">
        <f t="shared" si="4"/>
        <v/>
      </c>
      <c r="EV4" s="44" t="str">
        <f t="shared" si="4"/>
        <v/>
      </c>
      <c r="EW4" s="44" t="str">
        <f t="shared" si="4"/>
        <v/>
      </c>
      <c r="EX4" s="44" t="str">
        <f t="shared" si="4"/>
        <v/>
      </c>
      <c r="EY4" s="44" t="str">
        <f t="shared" si="4"/>
        <v/>
      </c>
      <c r="EZ4" s="44" t="str">
        <f t="shared" si="4"/>
        <v/>
      </c>
      <c r="FA4" s="44" t="str">
        <f>IF(AT4&gt;0,CHAR(34)&amp;"sta"&amp;AZ4&amp;CHAR(34)&amp;",","")</f>
        <v>"staBLU",</v>
      </c>
      <c r="FB4" s="44" t="str">
        <f>IF(AND(AT4&gt;0,BA4&lt;&gt;""),CHAR(34)&amp;"sta"&amp;BA4&amp;CHAR(34)&amp;",","")</f>
        <v/>
      </c>
      <c r="FD4" s="44" t="str">
        <f>IF(BV4="n",CHAR(34)&amp;"tcWHYE"&amp;CHAR(34)&amp;",",IF(BV4="y",CHAR(34)&amp;FD$1&amp;CHAR(34)&amp;",",""))</f>
        <v/>
      </c>
      <c r="FE4" s="44" t="str">
        <f>IF(COUNTIF(BL4:BT4,"BLU")=0,CHAR(34)&amp;"NO_BLU"&amp;CHAR(34)&amp;",", "")</f>
        <v/>
      </c>
      <c r="FF4" s="44" t="str">
        <f>IF(COUNTIF(BL4:BT4,"WHI")=0,CHAR(34)&amp;"NO_WHI"&amp;CHAR(34)&amp;",", "")</f>
        <v/>
      </c>
      <c r="FG4" s="44" t="str">
        <f>IF(COUNTIF(BL4:BT4,"RED")=0,CHAR(34)&amp;"NO_RED"&amp;CHAR(34)&amp;",", "")</f>
        <v/>
      </c>
      <c r="FH4" s="44" t="str">
        <f>IF(COUNTIF(BL4:BS4,"GRE")=0,CHAR(34)&amp;"NO_GRE"&amp;CHAR(34)&amp;",", "")</f>
        <v>"NO_GRE",</v>
      </c>
      <c r="FI4" s="44" t="str">
        <f>IF(COUNTIF(BL4:BT4,"YEL")=0,CHAR(34)&amp;"NO_YEL"&amp;CHAR(34)&amp;",", "")</f>
        <v>"NO_YEL",</v>
      </c>
      <c r="FJ4" s="44" t="str">
        <f>IF(COUNTIF(BL4:BT4,"BLA")=0,CHAR(34)&amp;"NO_BLA"&amp;CHAR(34)&amp;",", "")</f>
        <v>"NO_BLA",</v>
      </c>
      <c r="FK4" s="44" t="str">
        <f>IF(AND(FH4&lt;&gt;"",FF4&lt;&gt;""),CHAR(34)&amp;"WHGRNO"&amp;CHAR(34)&amp;",","")</f>
        <v/>
      </c>
      <c r="FL4" s="44" t="str">
        <f>IF(AND(FI4&lt;&gt;"",FF4&lt;&gt;""),CHAR(34)&amp;"WHYENO"&amp;CHAR(34)&amp;",","")</f>
        <v/>
      </c>
      <c r="FM4" s="44" t="str">
        <f>IF(AND(FJ4&lt;&gt;"",FF4&lt;&gt;""),CHAR(34)&amp;"BAWHNO"&amp;CHAR(34)&amp;",","")</f>
        <v/>
      </c>
      <c r="FN4" s="44" t="str">
        <f>IF(AND(FE4&lt;&gt;"",FF4&lt;&gt;""),CHAR(34)&amp;"BLWHNO"&amp;CHAR(34)&amp;",","")</f>
        <v/>
      </c>
      <c r="FO4" s="44" t="str">
        <f>IF(AND(FE4&lt;&gt;"",FG4&lt;&gt;""),CHAR(34)&amp;"BLRENO"&amp;CHAR(34)&amp;",","")</f>
        <v/>
      </c>
      <c r="FP4" s="44" t="str">
        <f>IF(AND(FF4&lt;&gt;"",FF4&lt;&gt;""),CHAR(34)&amp;"WHRENO"&amp;CHAR(34)&amp;",","")</f>
        <v/>
      </c>
      <c r="FQ4" s="44" t="str">
        <f>IF(LEN(BF4)=3,CHAR(34)&amp;"001"&amp;BF4&amp;CHAR(34)&amp;",","")</f>
        <v>"001RED",</v>
      </c>
      <c r="FR4" s="44" t="str">
        <f>IF(LEN(BG4)=3,CHAR(34)&amp;"002"&amp;BG4&amp;CHAR(34)&amp;",","")</f>
        <v>"002WHI",</v>
      </c>
      <c r="FS4" s="44" t="str">
        <f>IF(LEN(BH4)=3,CHAR(34)&amp;"003"&amp;BH4&amp;CHAR(34)&amp;",","")</f>
        <v>"003RED",</v>
      </c>
      <c r="FT4" s="44" t="str">
        <f>CHAR(34)&amp;"myr"&amp;BD4&amp;CHAR(34)&amp;","</f>
        <v>"myrRED",</v>
      </c>
      <c r="FU4" s="44" t="str">
        <f>IF(AY4="y",CHAR(34)&amp;"island"&amp;CHAR(34)&amp;",","")</f>
        <v/>
      </c>
      <c r="FV4" s="44" t="str">
        <f>IF(BZ4="y",CHAR(34)&amp;"landlo"&amp;CHAR(34)&amp;",","")</f>
        <v/>
      </c>
      <c r="FW4" s="44" t="str">
        <f>IF(CA4="y",CHAR(34)&amp;"eunion"&amp;CHAR(34)&amp;",","")</f>
        <v/>
      </c>
      <c r="FY4" s="44" t="str">
        <f>IFERROR(IF(SEARCH("Arabic",CB4)&gt;0,CHAR(34)&amp;"arabic"&amp;CHAR(34)&amp;",",""),"")</f>
        <v/>
      </c>
      <c r="FZ4" s="44" t="str">
        <f>IFERROR(IF(SEARCH("English",CB4)&gt;0,CHAR(34)&amp;"englis"&amp;CHAR(34)&amp;",",""),"")</f>
        <v/>
      </c>
      <c r="GA4" s="44" t="str">
        <f>IFERROR(IF(SEARCH("French",CB4)&gt;0,CHAR(34)&amp;"french"&amp;CHAR(34)&amp;",",""),"")</f>
        <v/>
      </c>
      <c r="GB4" s="44" t="str">
        <f>IFERROR(IF(SEARCH("Spanish",CB4)&gt;0,CHAR(34)&amp;"spanis"&amp;CHAR(34)&amp;",",""),"")</f>
        <v/>
      </c>
      <c r="GE4" s="44" t="str">
        <f>IFERROR(IF(SEARCH("Dutch",CB4)&gt;0,CHAR(34)&amp;"dutchs"&amp;CHAR(34)&amp;",",""),"")</f>
        <v/>
      </c>
      <c r="GF4" s="44" t="str">
        <f>IFERROR(IF(SEARCH("Historical",AU4)&gt;0,CHAR(34)&amp;"histor"&amp;CHAR(34)&amp;",",""),"")</f>
        <v>"histor",</v>
      </c>
      <c r="GG4" s="44" t="str">
        <f>IF(BU4="y",CHAR(34)&amp;"unjack"&amp;CHAR(34)&amp;",","")</f>
        <v/>
      </c>
      <c r="GH4" s="44" t="str">
        <f>IF(CD4=1,CHAR(34)&amp;"southc"&amp;CHAR(34)&amp;",","")</f>
        <v/>
      </c>
      <c r="GI4" s="44" t="str">
        <f>IF(CE4=1,CHAR(34)&amp;"hasmap"&amp;CHAR(34)&amp;",","")</f>
        <v/>
      </c>
      <c r="GJ4" s="44" t="str">
        <f>IF(CP4="y",CHAR(34)&amp;CP$1&amp;CHAR(34)&amp;",","")</f>
        <v/>
      </c>
      <c r="GK4" s="44" t="str">
        <f>IF(GJ4="",CHAR(34)&amp;"HasSta"&amp;CHAR(34)&amp;",","")</f>
        <v>"HasSta",</v>
      </c>
      <c r="GL4" s="44" t="str">
        <f t="shared" si="5"/>
        <v/>
      </c>
      <c r="GM4" s="44" t="str">
        <f t="shared" si="5"/>
        <v/>
      </c>
      <c r="GN4" s="44" t="str">
        <f t="shared" si="5"/>
        <v>"3+Star",</v>
      </c>
      <c r="GP4" s="44" t="str">
        <f>CHAR(34)&amp;AU4&amp;CHAR(34)</f>
        <v>"Historical, Country"</v>
      </c>
      <c r="GS4" s="44" t="str">
        <f>SUBSTITUTE("["&amp;_xlfn.CONCAT(CW4:GN4)&amp;"]",",]","]")</f>
        <v>["3Color","words2","words3","lets28","startK","LUEDHI","year18","allhor","3Bands","Horizo","Unequa","staBLU","NO_GRE","NO_YEL","NO_BLA","001RED","002WHI","003RED","myrRED","histor","HasSta","3+Star"]</v>
      </c>
      <c r="GT4" s="44" t="str">
        <f t="shared" si="6"/>
        <v/>
      </c>
      <c r="GU4" s="44" t="str">
        <f t="shared" si="6"/>
        <v>"cl_BLU",</v>
      </c>
      <c r="GV4" s="44" t="str">
        <f t="shared" si="6"/>
        <v/>
      </c>
      <c r="GW4" s="44" t="str">
        <f t="shared" si="6"/>
        <v>"cl_RED",</v>
      </c>
      <c r="GX4" s="44" t="str">
        <f t="shared" si="6"/>
        <v/>
      </c>
      <c r="GY4" s="44" t="str">
        <f t="shared" si="6"/>
        <v/>
      </c>
      <c r="GZ4" s="44" t="str">
        <f t="shared" si="6"/>
        <v/>
      </c>
      <c r="HA4" s="44" t="str">
        <f t="shared" si="6"/>
        <v/>
      </c>
      <c r="HB4" s="44" t="str">
        <f t="shared" si="6"/>
        <v>"cl_WHI",</v>
      </c>
      <c r="HC4" s="44" t="str">
        <f>SUBSTITUTE("["&amp;_xlfn.CONCAT(GT4:HB4)&amp;"]",",]","]")</f>
        <v>["cl_BLU","cl_RED","cl_WHI"]</v>
      </c>
      <c r="HE4" s="64"/>
      <c r="HF4" s="65" t="str">
        <f>"{couname:"&amp;CT4&amp;(IF(HK4&lt;&gt;"",",subtype:"&amp;CHAR(34)&amp;HK4&amp;CHAR(34),""))&amp;",year:"&amp;HJ4&amp;",region:"&amp;CU4&amp;",Colors:"&amp;HC4&amp;",Items:"&amp;GS4&amp;",Flag:"&amp;CV4&amp;",HDFlag:"&amp;CHAR(34)&amp;E4&amp;CHAR(34)&amp;",type:"&amp;GP4&amp;", describe: "&amp;HH4&amp;", isnew:"&amp;CHAR(34)&amp;F4&amp;CHAR(34)&amp;", links: "&amp;HL4&amp;"},"</f>
        <v>{couname:"[CKI] Kingdom of Rarotonga (1858-1888)",year:"1858",region:"rgn_Oceania",Colors:["cl_BLU","cl_RED","cl_WHI"],Items:["3Color","words2","words3","lets28","startK","LUEDHI","year18","allhor","3Bands","Horizo","Unequa","staBLU","NO_GRE","NO_YEL","NO_BLA","001RED","002WHI","003RED","myrRED","histor","HasSta","3+Star"],Flag:"https://upload.wikimedia.org/wikipedia/commons/thumb/c/c3/Flag_of_Rarotonga_1858-1888.svg/640px-Flag_of_Rarotonga_1858-1888.svg.png",HDFlag:"https://upload.wikimedia.org/wikipedia/commons/thumb/c/c3/Flag_of_Rarotonga_1858-1888.svg/1280px-Flag_of_Rarotonga_1858-1888.svg.png",type:"Historical, Country", describe: "\nA horizontal triband of red, white, and red with three blue stars on the white band.", isnew:".", links: "https://en.m.wikipedia.org/wiki/Kingdom_of_Rarotonga"},</v>
      </c>
      <c r="HG4" s="66" t="str">
        <f>"{couname:"&amp;CT4&amp;(IF(HK4&lt;&gt;"",",subtype:"&amp;CHAR(34)&amp;HK4&amp;CHAR(34),""))&amp;",year:"&amp;HJ4&amp;",region:"&amp;CU4&amp;",Colors:"&amp;HC4&amp;",Items:"&amp;GS4&amp;",Flag:"&amp;CV4&amp;",HDFlag:"&amp;CHAR(34)&amp;E4&amp;CHAR(34)&amp;",type:"&amp;GP4&amp;", describe: "&amp;HI4&amp;", links: "&amp;HL4&amp;"},"</f>
        <v>{couname:"[CKI] Kingdom of Rarotonga (1858-1888)",year:"1858",region:"rgn_Oceania",Colors:["cl_BLU","cl_RED","cl_WHI"],Items:["3Color","words2","words3","lets28","startK","LUEDHI","year18","allhor","3Bands","Horizo","Unequa","staBLU","NO_GRE","NO_YEL","NO_BLA","001RED","002WHI","003RED","myrRED","histor","HasSta","3+Star"],Flag:"https://upload.wikimedia.org/wikipedia/commons/thumb/c/c3/Flag_of_Rarotonga_1858-1888.svg/640px-Flag_of_Rarotonga_1858-1888.svg.png",HDFlag:"https://upload.wikimedia.org/wikipedia/commons/thumb/c/c3/Flag_of_Rarotonga_1858-1888.svg/1280px-Flag_of_Rarotonga_1858-1888.svg.png",type:"Historical, Country", describe: "\nA horizontal triband of red, white, and red with three blue stars on the white band.", links: "https://en.m.wikipedia.org/wiki/Kingdom_of_Rarotonga"},</v>
      </c>
      <c r="HH4" s="44" t="str">
        <f>IF(P4&lt;&gt;"",CHAR(34)&amp;"\n"&amp;P4&amp;CHAR(34),CHAR(34)&amp;CHAR(34))</f>
        <v>"\nA horizontal triband of red, white, and red with three blue stars on the white band."</v>
      </c>
      <c r="HI4" s="44" t="str">
        <f>IF(J4=0,CHAR(34)&amp;CHAR(34),HH4)</f>
        <v>"\nA horizontal triband of red, white, and red with three blue stars on the white band."</v>
      </c>
      <c r="HJ4" s="44" t="str">
        <f>CHAR(34)&amp;O4&amp;CHAR(34)</f>
        <v>"1858"</v>
      </c>
      <c r="HL4" s="44" t="str">
        <f>CHAR(34)&amp;I4&amp;CHAR(34)</f>
        <v>"https://en.m.wikipedia.org/wiki/Kingdom_of_Rarotonga"</v>
      </c>
      <c r="HM4" s="65"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"&amp;HH4&amp;", "&amp;CHAR(34)&amp;"isnew"&amp;CHAR(34)&amp;": "&amp;CHAR(34)&amp;F4&amp;CHAR(34)&amp;", "&amp;CHAR(34)&amp;"links"&amp;CHAR(34)&amp;": "&amp;HL4&amp;"},"</f>
        <v>{"couname":"[CKI] Kingdom of Rarotonga (1858-1888)","year":"1858","region":"rgn_Oceania","Colors":["cl_BLU","cl_RED","cl_WHI"],"Items":["3Color","words2","words3","lets28","startK","LUEDHI","year18","allhor","3Bands","Horizo","Unequa","staBLU","NO_GRE","NO_YEL","NO_BLA","001RED","002WHI","003RED","myrRED","histor","HasSta","3+Star"],"Flag":"https://upload.wikimedia.org/wikipedia/commons/thumb/c/c3/Flag_of_Rarotonga_1858-1888.svg/640px-Flag_of_Rarotonga_1858-1888.svg.png","HDFlag":"https://upload.wikimedia.org/wikipedia/commons/thumb/c/c3/Flag_of_Rarotonga_1858-1888.svg/1280px-Flag_of_Rarotonga_1858-1888.svg.png","type":"Historical, Country", "describe": "\nA horizontal triband of red, white, and red with three blue stars on the white band.", "isnew": ".", "links": "https://en.m.wikipedia.org/wiki/Kingdom_of_Rarotonga"},</v>
      </c>
      <c r="HN4" s="67"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"&amp;HI4&amp;", "&amp;CHAR(34)&amp;"isnew"&amp;CHAR(34)&amp;": "&amp;CHAR(34)&amp;F4&amp;CHAR(34)&amp;", "&amp;CHAR(34)&amp;"links"&amp;CHAR(34)&amp;": "&amp;HL4&amp;"},"</f>
        <v>{"couname":"[CKI] Kingdom of Rarotonga (1858-1888)","year":"1858","region":"rgn_Oceania","Colors":["cl_BLU","cl_RED","cl_WHI"],"Items":["3Color","words2","words3","lets28","startK","LUEDHI","year18","allhor","3Bands","Horizo","Unequa","staBLU","NO_GRE","NO_YEL","NO_BLA","001RED","002WHI","003RED","myrRED","histor","HasSta","3+Star"],"Flag":"https://upload.wikimedia.org/wikipedia/commons/thumb/c/c3/Flag_of_Rarotonga_1858-1888.svg/640px-Flag_of_Rarotonga_1858-1888.svg.png","HDFlag":"https://upload.wikimedia.org/wikipedia/commons/thumb/c/c3/Flag_of_Rarotonga_1858-1888.svg/1280px-Flag_of_Rarotonga_1858-1888.svg.png","type":"Historical, Country", "describe": "\nA horizontal triband of red, white, and red with three blue stars on the white band.", "isnew": ".", "links": "https://en.m.wikipedia.org/wiki/Kingdom_of_Rarotonga"},</v>
      </c>
      <c r="HO4" s="71">
        <v>45618</v>
      </c>
      <c r="HP4" s="44" t="str" cm="1">
        <f t="array" ref="HP4">IF(_xlfn.TEXTJOIN(", ", TRUE, IF(ISNUMBER(SEARCH("BLA", BL4:BT4)), COLUMN(BL4:BT4) - COLUMN(BL4) + 1, ""))&lt;&gt;"","BLA","")</f>
        <v/>
      </c>
      <c r="HQ4" s="44" t="str" cm="1">
        <f t="array" ref="HQ4">IF(_xlfn.TEXTJOIN(", ", TRUE, IF(ISNUMBER(SEARCH("BLU", BL4:BT4)), COLUMN(BL4:BT4) - COLUMN(BL4) + 1, ""))&lt;&gt;"","BLU","")</f>
        <v>BLU</v>
      </c>
      <c r="HR4" s="44" t="str" cm="1">
        <f t="array" ref="HR4">IF(_xlfn.TEXTJOIN(", ", TRUE, IF(ISNUMBER(SEARCH("GRE", BL4:BT4)), COLUMN(BL4:BT4) - COLUMN(BL4) + 1, ""))&lt;&gt;"","GRE","")</f>
        <v/>
      </c>
      <c r="HS4" s="44" t="str" cm="1">
        <f t="array" ref="HS4">IF(_xlfn.TEXTJOIN(", ", TRUE, IF(ISNUMBER(SEARCH("RED", BL4:BT4)), COLUMN(BL4:BT4) - COLUMN(BL4) + 1, ""))&lt;&gt;"","RED","")</f>
        <v>RED</v>
      </c>
      <c r="HT4" s="44" t="str" cm="1">
        <f t="array" ref="HT4">IF(_xlfn.TEXTJOIN(", ", TRUE, IF(ISNUMBER(SEARCH("YEL", BL4:BT4)), COLUMN(BL4:BT4) - COLUMN(BL4) + 1, ""))&lt;&gt;"","YEL","")</f>
        <v/>
      </c>
      <c r="HU4" s="44" t="str" cm="1">
        <f t="array" ref="HU4">IF(_xlfn.TEXTJOIN(", ", TRUE, IF(ISNUMBER(SEARCH("ORA", BL4:BT4)), COLUMN(BL4:BT4) - COLUMN(BL4) + 1, ""))&lt;&gt;"","ORA","")</f>
        <v/>
      </c>
      <c r="HV4" s="44" t="str" cm="1">
        <f t="array" ref="HV4">IF(_xlfn.TEXTJOIN(", ", TRUE, IF(ISNUMBER(SEARCH("BRO", BL4:BT4)), COLUMN(BL4:BT4) - COLUMN(BL4) + 1, ""))&lt;&gt;"","BRO","")</f>
        <v/>
      </c>
      <c r="HW4" s="44" t="str" cm="1">
        <f t="array" ref="HW4">IF(_xlfn.TEXTJOIN(", ", TRUE, IF(ISNUMBER(SEARCH("PUR", BL4:BT4)), COLUMN(BL4:BT4) - COLUMN(BL4) + 1, ""))&lt;&gt;"","PUR","")</f>
        <v/>
      </c>
      <c r="HX4" s="44" t="str" cm="1">
        <f t="array" ref="HX4">IF(_xlfn.TEXTJOIN(", ", TRUE, IF(ISNUMBER(SEARCH("WHI", BL4:BT4)), COLUMN(BL4:BT4) - COLUMN(BL4) + 1, ""))&lt;&gt;"","WHI","")</f>
        <v>WHI</v>
      </c>
      <c r="HY4" s="72"/>
      <c r="HZ4" s="72"/>
      <c r="IA4" s="5"/>
      <c r="IB4" s="5"/>
      <c r="IC4" s="68"/>
      <c r="ID4" s="68"/>
      <c r="IE4" s="68"/>
      <c r="IF4" s="68"/>
      <c r="IG4" s="68"/>
      <c r="IH4" s="68"/>
      <c r="II4" s="68"/>
      <c r="IJ4" s="68"/>
      <c r="IK4" s="68"/>
      <c r="IM4" s="42">
        <f>COUNTIF(IC4:IK4,"&gt;0")-CG4</f>
        <v>-3</v>
      </c>
      <c r="IN4" s="69" t="str">
        <f>"http://mkweb.bcgsc.ca/color-summarizer/?url="&amp;D4&amp;"&amp;precision=low&amp;num_clusters="&amp;CG4&amp;"&amp;text=1"</f>
        <v>http://mkweb.bcgsc.ca/color-summarizer/?url=https://upload.wikimedia.org/wikipedia/commons/thumb/c/c3/Flag_of_Rarotonga_1858-1888.svg/640px-Flag_of_Rarotonga_1858-1888.svg.png&amp;precision=low&amp;num_clusters=3&amp;text=1</v>
      </c>
      <c r="IO4" s="44" t="str">
        <f>IF(HP4&lt;&gt;"",CHAR(34)&amp;"black"&amp;CHAR(34),"")</f>
        <v/>
      </c>
      <c r="IP4" s="44" t="str">
        <f>IF(HQ4&lt;&gt;"",CHAR(34)&amp;"blue"&amp;CHAR(34),"")</f>
        <v>"blue"</v>
      </c>
      <c r="IQ4" s="44" t="str">
        <f>IF(HR4&lt;&gt;"",CHAR(34)&amp;"green"&amp;CHAR(34),"")</f>
        <v/>
      </c>
      <c r="IR4" s="44" t="str">
        <f>IF(HS4&lt;&gt;"",CHAR(34)&amp;"red"&amp;CHAR(34),"")</f>
        <v>"red"</v>
      </c>
      <c r="IS4" s="44" t="str">
        <f>IF(HT4&lt;&gt;"",CHAR(34)&amp;"yellow"&amp;CHAR(34),"")</f>
        <v/>
      </c>
      <c r="IT4" s="44" t="str">
        <f>IF(HU4&lt;&gt;"",CHAR(34)&amp;"orange"&amp;CHAR(34),"")</f>
        <v/>
      </c>
      <c r="IU4" s="44" t="str">
        <f>IF(HV4&lt;&gt;"",CHAR(34)&amp;"brown"&amp;CHAR(34),"")</f>
        <v/>
      </c>
      <c r="IV4" s="44" t="str">
        <f>IF(HW4&lt;&gt;"",CHAR(34)&amp;"purple"&amp;CHAR(34),"")</f>
        <v/>
      </c>
      <c r="IW4" s="44" t="str">
        <f>IF(HX4&lt;&gt;"",CHAR(34)&amp;"white"&amp;CHAR(34),"")</f>
        <v>"white"</v>
      </c>
      <c r="IX4" s="44" t="str">
        <f>"{"&amp;CHAR(34)&amp;"url"&amp;CHAR(34)&amp;":"&amp;CHAR(34)&amp;IN4&amp;CHAR(34)&amp;","&amp;CHAR(34)&amp;"name"&amp;CHAR(34)&amp;":"&amp;CHAR(34)&amp;A4&amp;CHAR(34)&amp;"},"</f>
        <v>{"url":"http://mkweb.bcgsc.ca/color-summarizer/?url=https://upload.wikimedia.org/wikipedia/commons/thumb/c/c3/Flag_of_Rarotonga_1858-1888.svg/640px-Flag_of_Rarotonga_1858-1888.svg.png&amp;precision=low&amp;num_clusters=3&amp;text=1","name":"[CKI] Kingdom of Rarotonga (1858-1888)"},</v>
      </c>
      <c r="IY4" s="44">
        <v>969</v>
      </c>
    </row>
    <row r="5" spans="1:259" s="44" customFormat="1" ht="38.4" customHeight="1" thickBot="1" x14ac:dyDescent="0.35">
      <c r="A5" s="81" t="s">
        <v>593</v>
      </c>
      <c r="B5" s="78" t="e" vm="29">
        <v>#VALUE!</v>
      </c>
      <c r="C5" s="39">
        <v>3</v>
      </c>
      <c r="D5" s="70" t="s">
        <v>594</v>
      </c>
      <c r="E5" s="40" t="s">
        <v>595</v>
      </c>
      <c r="F5" s="41" t="s">
        <v>165</v>
      </c>
      <c r="G5" s="42">
        <f>COUNTIF($A$1:$A$8270,A5)</f>
        <v>1</v>
      </c>
      <c r="H5" s="43"/>
      <c r="I5" s="59" t="s">
        <v>591</v>
      </c>
      <c r="J5" s="44" t="str">
        <f>""</f>
        <v/>
      </c>
      <c r="K5" s="45"/>
      <c r="L5" s="46"/>
      <c r="M5" s="46"/>
      <c r="N5" s="47" t="s">
        <v>177</v>
      </c>
      <c r="O5" s="74">
        <v>1888</v>
      </c>
      <c r="P5" s="48" t="s">
        <v>596</v>
      </c>
      <c r="Q5" s="73">
        <v>5</v>
      </c>
      <c r="R5" s="49" t="s">
        <v>177</v>
      </c>
      <c r="S5" s="50">
        <v>3</v>
      </c>
      <c r="T5" s="51" t="s">
        <v>167</v>
      </c>
      <c r="U5" s="52" t="s">
        <v>167</v>
      </c>
      <c r="V5" s="52" t="s">
        <v>167</v>
      </c>
      <c r="W5" s="52" t="s">
        <v>167</v>
      </c>
      <c r="X5" s="52" t="s">
        <v>166</v>
      </c>
      <c r="Y5" s="52" t="s">
        <v>166</v>
      </c>
      <c r="Z5" s="52" t="s">
        <v>166</v>
      </c>
      <c r="AA5" s="52" t="s">
        <v>166</v>
      </c>
      <c r="AB5" s="52" t="s">
        <v>166</v>
      </c>
      <c r="AC5" s="52" t="s">
        <v>166</v>
      </c>
      <c r="AD5" s="52" t="s">
        <v>166</v>
      </c>
      <c r="AE5" s="52" t="s">
        <v>166</v>
      </c>
      <c r="AF5" s="53" t="s">
        <v>166</v>
      </c>
      <c r="AG5" s="53" t="s">
        <v>167</v>
      </c>
      <c r="AH5" s="53" t="s">
        <v>166</v>
      </c>
      <c r="AI5" s="53" t="s">
        <v>167</v>
      </c>
      <c r="AJ5" s="53" t="s">
        <v>166</v>
      </c>
      <c r="AK5" s="53" t="s">
        <v>166</v>
      </c>
      <c r="AL5" s="53" t="s">
        <v>166</v>
      </c>
      <c r="AM5" s="53" t="s">
        <v>166</v>
      </c>
      <c r="AN5" s="53" t="s">
        <v>166</v>
      </c>
      <c r="AO5" s="53" t="s">
        <v>166</v>
      </c>
      <c r="AP5" s="53" t="s">
        <v>166</v>
      </c>
      <c r="AQ5" s="53" t="s">
        <v>166</v>
      </c>
      <c r="AR5" s="53" t="s">
        <v>166</v>
      </c>
      <c r="AS5" s="53" t="s">
        <v>166</v>
      </c>
      <c r="AT5" s="54">
        <v>3</v>
      </c>
      <c r="AU5" s="53" t="s">
        <v>597</v>
      </c>
      <c r="AV5" s="53" t="str">
        <f>IF(LEFT(A5,1)="[",LEFT(A5,5)&amp;AU5&amp;A5,"")</f>
        <v>[CKI]Historical, Protectorate[CKI] Kingdom of Rarotonga (1888-1893)</v>
      </c>
      <c r="AW5" s="53" t="str">
        <f>C5&amp;H5&amp;A5</f>
        <v>3[CKI] Kingdom of Rarotonga (1888-1893)</v>
      </c>
      <c r="AX5" s="55"/>
      <c r="AY5" s="55"/>
      <c r="AZ5" s="56" t="s">
        <v>154</v>
      </c>
      <c r="BA5" s="56" t="s">
        <v>231</v>
      </c>
      <c r="BB5" s="56"/>
      <c r="BC5" s="57"/>
      <c r="BD5" s="58" t="s">
        <v>156</v>
      </c>
      <c r="BE5" s="59"/>
      <c r="BF5" s="58" t="s">
        <v>156</v>
      </c>
      <c r="BG5" s="58" t="s">
        <v>161</v>
      </c>
      <c r="BH5" s="58" t="s">
        <v>156</v>
      </c>
      <c r="BI5" s="58"/>
      <c r="BJ5" s="58"/>
      <c r="BK5" s="59"/>
      <c r="BL5" s="58" t="s">
        <v>231</v>
      </c>
      <c r="BM5" s="58" t="s">
        <v>154</v>
      </c>
      <c r="BN5" s="58" t="s">
        <v>231</v>
      </c>
      <c r="BO5" s="58" t="s">
        <v>156</v>
      </c>
      <c r="BP5" s="58" t="s">
        <v>231</v>
      </c>
      <c r="BQ5" s="58" t="s">
        <v>231</v>
      </c>
      <c r="BR5" s="58" t="s">
        <v>231</v>
      </c>
      <c r="BS5" s="58" t="s">
        <v>231</v>
      </c>
      <c r="BT5" s="58" t="s">
        <v>161</v>
      </c>
      <c r="BU5" s="60" t="s">
        <v>167</v>
      </c>
      <c r="BV5" s="61"/>
      <c r="BW5" s="61">
        <v>0</v>
      </c>
      <c r="BX5" s="59"/>
      <c r="BY5" s="44" t="s">
        <v>166</v>
      </c>
      <c r="CB5" s="5"/>
      <c r="CC5" s="5"/>
      <c r="CD5" s="62">
        <v>0</v>
      </c>
      <c r="CE5" s="62">
        <v>0</v>
      </c>
      <c r="CF5" s="62" t="e">
        <v>#REF!</v>
      </c>
      <c r="CG5" s="75" cm="1">
        <f t="array" ref="CG5">SUMPRODUCT(--(LEN(TRIM(BL5:BT5))&gt;0))</f>
        <v>3</v>
      </c>
      <c r="CH5" s="53" t="str">
        <f>IF(CG5=2,"y","n")</f>
        <v>n</v>
      </c>
      <c r="CI5" s="53" t="str">
        <f>IF(CG5=3,"y","n")</f>
        <v>y</v>
      </c>
      <c r="CJ5" s="53" t="str">
        <f>IF(CG5=4,"y","n")</f>
        <v>n</v>
      </c>
      <c r="CK5" s="53" t="str">
        <f>IF(CG5&gt;4,"y","n")</f>
        <v>n</v>
      </c>
      <c r="CL5" s="53" t="str">
        <f>IF(S5=0,"y","n")</f>
        <v>n</v>
      </c>
      <c r="CM5" s="53" t="str">
        <f>IF(S5=2,"y","n")</f>
        <v>n</v>
      </c>
      <c r="CN5" s="53" t="str">
        <f>IF(S5=3,"y","n")</f>
        <v>y</v>
      </c>
      <c r="CO5" s="53" t="str">
        <f>IF(S5&gt;=4,"y","n")</f>
        <v>n</v>
      </c>
      <c r="CP5" s="53" t="str">
        <f>IF(AT5=0,"y","n")</f>
        <v>n</v>
      </c>
      <c r="CQ5" s="53" t="str">
        <f>IF(AT5=1,"y","n")</f>
        <v>n</v>
      </c>
      <c r="CR5" s="53" t="str">
        <f>IF(AT5=2,"y","n")</f>
        <v>n</v>
      </c>
      <c r="CS5" s="53" t="str">
        <f>IF(AT5&gt;=3,"y","n")</f>
        <v>y</v>
      </c>
      <c r="CT5" s="38" t="str">
        <f>CHAR(34)&amp;A5&amp;CHAR(34)</f>
        <v>"[CKI] Kingdom of Rarotonga (1888-1893)"</v>
      </c>
      <c r="CU5" s="63" t="str">
        <f>CHAR(34)&amp;"rgn_"&amp;R5&amp;CHAR(34)</f>
        <v>"rgn_Oceania"</v>
      </c>
      <c r="CV5" s="44" t="str">
        <f>CHAR(34)&amp;D5&amp;CHAR(34)</f>
        <v>"https://upload.wikimedia.org/wikipedia/commons/thumb/b/b7/Flag_of_Rarotonga_1888-1893.svg/640px-Flag_of_Rarotonga_1888-1893.svg.png"</v>
      </c>
      <c r="CW5" s="44" t="str">
        <f t="shared" si="0"/>
        <v/>
      </c>
      <c r="CX5" s="44" t="str">
        <f t="shared" si="0"/>
        <v>"3Color",</v>
      </c>
      <c r="CY5" s="44" t="str">
        <f t="shared" si="0"/>
        <v/>
      </c>
      <c r="CZ5" s="44" t="str">
        <f t="shared" si="0"/>
        <v/>
      </c>
      <c r="DA5" s="44" t="str">
        <f>IF(Q5&gt;1,CHAR(34)&amp;"words2"&amp;CHAR(34)&amp;",","")</f>
        <v>"words2",</v>
      </c>
      <c r="DB5" s="44" t="str">
        <f>IF(Q5&gt;2,CHAR(34)&amp;"words3"&amp;CHAR(34)&amp;",","")</f>
        <v>"words3",</v>
      </c>
      <c r="DD5" s="44" t="str">
        <f>IF(LEN(CHAR(34)&amp;"lets"&amp;LEN(SUBSTITUTE(SUBSTITUTE(IFERROR(TRIM(SUBSTITUTE(A5,MID(A5,FIND("[",A5),FIND("]",A5)-FIND("[",A5)+1),"")),A5)," ",""),"-",""))&amp;CHAR(34)&amp;",")=9,CHAR(34)&amp;"lets"&amp;LEN(SUBSTITUTE(SUBSTITUTE(IFERROR(TRIM(SUBSTITUTE(A5,MID(A5,FIND("[",A5),FIND("]",A5)-FIND("[",A5)+1),"")),A5)," ",""),"-",""))&amp;CHAR(34)&amp;",",CHAR(34)&amp;"lets0"&amp;LEN(SUBSTITUTE(SUBSTITUTE(IFERROR(TRIM(SUBSTITUTE(A5,MID(A5,FIND("[",A5),FIND("]",A5)-FIND("[",A5)+1),"")),A5)," ",""),"-",""))&amp;CHAR(34)&amp;",")</f>
        <v>"lets28",</v>
      </c>
      <c r="DE5" s="44" t="str">
        <f>CHAR(34)&amp;"start"&amp;IFERROR(LEFT(SUBSTITUTE(A5,"["&amp;MID(A5,FIND("[",A5)+1,FIND("]",A5)-FIND("[",A5)-1)&amp;"] ",""),1),LEFT(A5,1))&amp;CHAR(34)&amp;","</f>
        <v>"startK",</v>
      </c>
      <c r="DF5" s="44" t="str">
        <f>IFERROR(IF(SEARCH("tan",A5)&gt;0,CHAR(34)&amp;"withtn"&amp;CHAR(34)&amp;",",""),"")</f>
        <v/>
      </c>
      <c r="DG5" s="44" t="str">
        <f>IFERROR(IF(SEARCH("q",A5)&gt;0,CHAR(34)&amp;"with_q"&amp;CHAR(34)&amp;",",""),"")</f>
        <v/>
      </c>
      <c r="DH5" s="44" t="str">
        <f>IFERROR(IF(SEARCH("v",A5)&gt;0,CHAR(34)&amp;"with_v"&amp;CHAR(34)&amp;",",""),"")</f>
        <v/>
      </c>
      <c r="DI5" s="44" t="str">
        <f>IFERROR(IF(SEARCH("w",A5)&gt;0,CHAR(34)&amp;"with_w"&amp;CHAR(34)&amp;",",""),"")</f>
        <v/>
      </c>
      <c r="DJ5" s="44" t="str">
        <f>IFERROR(IF(SEARCH("y",A5)&gt;0,CHAR(34)&amp;"with_y"&amp;CHAR(34)&amp;",",""),"")</f>
        <v/>
      </c>
      <c r="DK5" s="44" t="str">
        <f>IFERROR(IF(SEARCH("z",A5)&gt;0,CHAR(34)&amp;"with_z"&amp;CHAR(34)&amp;",",""),"")</f>
        <v/>
      </c>
      <c r="DL5" s="44" t="str">
        <f>IF(CG5=2, CHAR(34) &amp; _xlfn.TEXTJOIN("", TRUE, _xlfn._xlws.SORT(HP5:HX5)) &amp; CHAR(34) &amp; ",", "")</f>
        <v/>
      </c>
      <c r="DM5" s="44" t="str" cm="1">
        <f t="array" ref="DM5">IF(CG5=3,CHAR(34) &amp; _xlfn.TEXTJOIN("", TRUE, RIGHT(HP5:HX5, 2)) &amp; CHAR(34) &amp; ",", "")</f>
        <v>"LUEDHI",</v>
      </c>
      <c r="DN5" s="44" t="str">
        <f>IF(AND(ISNUMBER(SEARCH("18", O5)), ISERROR(SEARCH("1918", O5)), ISERROR(SEARCH("2018", O5))), CHAR(34) &amp; "year18" &amp; CHAR(34) &amp; ",", "")</f>
        <v>"year18",</v>
      </c>
      <c r="DO5" s="44" t="str">
        <f>IF(AND(ISNUMBER(SEARCH("19", O5)), ISERROR(SEARCH("1819", O5)),  ISERROR(SEARCH("1219", O5)),ISERROR(SEARCH("1119", O5)),ISERROR(SEARCH("1190", O5)),ISERROR(SEARCH("2019", O5))), CHAR(34) &amp; "year19" &amp; CHAR(34) &amp; ",", "")</f>
        <v/>
      </c>
      <c r="DP5" s="5" t="str">
        <f>IF(AND(ISNUMBER(SEARCH("20", O5)), ISERROR(SEARCH("1920", O5))), CHAR(34)&amp;"year00"&amp;CHAR(34)&amp;",", "")</f>
        <v/>
      </c>
      <c r="DQ5" s="5" t="str">
        <f>IF(CC5="y",CHAR(34)&amp;"soviet"&amp;CHAR(34)&amp;",","")</f>
        <v/>
      </c>
      <c r="DR5" s="5" t="str">
        <f>IF(BY5="y",CHAR(34)&amp;"dgband"&amp;CHAR(34)&amp;",","")</f>
        <v/>
      </c>
      <c r="DS5" s="5" t="str">
        <f>IF(W5="y",IF(AND(V5="n",BY5&lt;&gt;"y"),CHAR(34)&amp;"allver"&amp;CHAR(34)&amp;",",""),"")</f>
        <v/>
      </c>
      <c r="DT5" s="5" t="str">
        <f>IF(V5="y",IF(AND(W5="n",BY5&lt;&gt;"y"),CHAR(34)&amp;"allhor"&amp;CHAR(34)&amp;",",""),"")</f>
        <v/>
      </c>
      <c r="DU5" s="5" t="str">
        <f>IF(BY5="y",IF(AND(W5="n",V5="n"),CHAR(34)&amp;"alldia"&amp;CHAR(34)&amp;",",""),"")</f>
        <v/>
      </c>
      <c r="DW5" s="44" t="str">
        <f t="shared" si="1"/>
        <v/>
      </c>
      <c r="DX5" s="44" t="str">
        <f t="shared" si="1"/>
        <v/>
      </c>
      <c r="DY5" s="44" t="str">
        <f t="shared" si="1"/>
        <v>"3Bands",</v>
      </c>
      <c r="DZ5" s="44" t="str">
        <f t="shared" si="1"/>
        <v/>
      </c>
      <c r="EA5" s="44" t="str">
        <f t="shared" si="2"/>
        <v>"Diagon",</v>
      </c>
      <c r="EB5" s="44" t="str">
        <f t="shared" si="2"/>
        <v>"Crosse",</v>
      </c>
      <c r="EC5" s="44" t="str">
        <f t="shared" si="2"/>
        <v>"Horizo",</v>
      </c>
      <c r="ED5" s="44" t="str">
        <f t="shared" si="2"/>
        <v>"Vertic",</v>
      </c>
      <c r="EE5" s="44" t="str">
        <f t="shared" si="2"/>
        <v/>
      </c>
      <c r="EF5" s="44" t="str">
        <f>IF(AND(Y5&lt;&gt;"n",Y5&lt;&gt;""),CHAR(34)&amp;Y$1&amp;CHAR(34)&amp;",","")</f>
        <v/>
      </c>
      <c r="EG5" s="44" t="str">
        <f t="shared" si="3"/>
        <v/>
      </c>
      <c r="EH5" s="44" t="str">
        <f t="shared" si="3"/>
        <v/>
      </c>
      <c r="EI5" s="44" t="str">
        <f t="shared" si="3"/>
        <v/>
      </c>
      <c r="EJ5" s="44" t="str">
        <f t="shared" si="3"/>
        <v/>
      </c>
      <c r="EK5" s="44" t="str">
        <f t="shared" si="3"/>
        <v/>
      </c>
      <c r="EL5" s="44" t="str">
        <f t="shared" si="3"/>
        <v/>
      </c>
      <c r="EM5" s="44" t="str">
        <f t="shared" si="3"/>
        <v/>
      </c>
      <c r="EN5" s="44" t="str">
        <f t="shared" si="3"/>
        <v>"Unequa",</v>
      </c>
      <c r="EO5" s="44" t="str">
        <f t="shared" si="3"/>
        <v/>
      </c>
      <c r="EP5" s="44" t="str">
        <f t="shared" si="3"/>
        <v>"Canton",</v>
      </c>
      <c r="EQ5" s="44" t="str">
        <f t="shared" si="4"/>
        <v/>
      </c>
      <c r="ER5" s="44" t="str">
        <f t="shared" si="4"/>
        <v/>
      </c>
      <c r="ES5" s="44" t="str">
        <f t="shared" si="4"/>
        <v/>
      </c>
      <c r="ET5" s="44" t="str">
        <f t="shared" si="4"/>
        <v/>
      </c>
      <c r="EU5" s="44" t="str">
        <f t="shared" si="4"/>
        <v/>
      </c>
      <c r="EV5" s="44" t="str">
        <f t="shared" si="4"/>
        <v/>
      </c>
      <c r="EW5" s="44" t="str">
        <f t="shared" si="4"/>
        <v/>
      </c>
      <c r="EX5" s="44" t="str">
        <f t="shared" si="4"/>
        <v/>
      </c>
      <c r="EY5" s="44" t="str">
        <f t="shared" si="4"/>
        <v/>
      </c>
      <c r="EZ5" s="44" t="str">
        <f t="shared" si="4"/>
        <v/>
      </c>
      <c r="FA5" s="44" t="str">
        <f>IF(AT5&gt;0,CHAR(34)&amp;"sta"&amp;AZ5&amp;CHAR(34)&amp;",","")</f>
        <v>"staBLU",</v>
      </c>
      <c r="FB5" s="44" t="str">
        <f>IF(AND(AT5&gt;0,BA5&lt;&gt;""),CHAR(34)&amp;"sta"&amp;BA5&amp;CHAR(34)&amp;",","")</f>
        <v/>
      </c>
      <c r="FD5" s="44" t="str">
        <f>IF(BV5="n",CHAR(34)&amp;"tcWHYE"&amp;CHAR(34)&amp;",",IF(BV5="y",CHAR(34)&amp;FD$1&amp;CHAR(34)&amp;",",""))</f>
        <v/>
      </c>
      <c r="FE5" s="44" t="str">
        <f>IF(COUNTIF(BL5:BT5,"BLU")=0,CHAR(34)&amp;"NO_BLU"&amp;CHAR(34)&amp;",", "")</f>
        <v/>
      </c>
      <c r="FF5" s="44" t="str">
        <f>IF(COUNTIF(BL5:BT5,"WHI")=0,CHAR(34)&amp;"NO_WHI"&amp;CHAR(34)&amp;",", "")</f>
        <v/>
      </c>
      <c r="FG5" s="44" t="str">
        <f>IF(COUNTIF(BL5:BT5,"RED")=0,CHAR(34)&amp;"NO_RED"&amp;CHAR(34)&amp;",", "")</f>
        <v/>
      </c>
      <c r="FH5" s="44" t="str">
        <f>IF(COUNTIF(BL5:BS5,"GRE")=0,CHAR(34)&amp;"NO_GRE"&amp;CHAR(34)&amp;",", "")</f>
        <v>"NO_GRE",</v>
      </c>
      <c r="FI5" s="44" t="str">
        <f>IF(COUNTIF(BL5:BT5,"YEL")=0,CHAR(34)&amp;"NO_YEL"&amp;CHAR(34)&amp;",", "")</f>
        <v>"NO_YEL",</v>
      </c>
      <c r="FJ5" s="44" t="str">
        <f>IF(COUNTIF(BL5:BT5,"BLA")=0,CHAR(34)&amp;"NO_BLA"&amp;CHAR(34)&amp;",", "")</f>
        <v>"NO_BLA",</v>
      </c>
      <c r="FK5" s="44" t="str">
        <f>IF(AND(FH5&lt;&gt;"",FF5&lt;&gt;""),CHAR(34)&amp;"WHGRNO"&amp;CHAR(34)&amp;",","")</f>
        <v/>
      </c>
      <c r="FL5" s="44" t="str">
        <f>IF(AND(FI5&lt;&gt;"",FF5&lt;&gt;""),CHAR(34)&amp;"WHYENO"&amp;CHAR(34)&amp;",","")</f>
        <v/>
      </c>
      <c r="FM5" s="44" t="str">
        <f>IF(AND(FJ5&lt;&gt;"",FF5&lt;&gt;""),CHAR(34)&amp;"BAWHNO"&amp;CHAR(34)&amp;",","")</f>
        <v/>
      </c>
      <c r="FN5" s="44" t="str">
        <f>IF(AND(FE5&lt;&gt;"",FF5&lt;&gt;""),CHAR(34)&amp;"BLWHNO"&amp;CHAR(34)&amp;",","")</f>
        <v/>
      </c>
      <c r="FO5" s="44" t="str">
        <f>IF(AND(FE5&lt;&gt;"",FG5&lt;&gt;""),CHAR(34)&amp;"BLRENO"&amp;CHAR(34)&amp;",","")</f>
        <v/>
      </c>
      <c r="FP5" s="44" t="str">
        <f>IF(AND(FF5&lt;&gt;"",FF5&lt;&gt;""),CHAR(34)&amp;"WHRENO"&amp;CHAR(34)&amp;",","")</f>
        <v/>
      </c>
      <c r="FQ5" s="44" t="str">
        <f>IF(LEN(BF5)=3,CHAR(34)&amp;"001"&amp;BF5&amp;CHAR(34)&amp;",","")</f>
        <v>"001RED",</v>
      </c>
      <c r="FR5" s="44" t="str">
        <f>IF(LEN(BG5)=3,CHAR(34)&amp;"002"&amp;BG5&amp;CHAR(34)&amp;",","")</f>
        <v>"002WHI",</v>
      </c>
      <c r="FS5" s="44" t="str">
        <f>IF(LEN(BH5)=3,CHAR(34)&amp;"003"&amp;BH5&amp;CHAR(34)&amp;",","")</f>
        <v>"003RED",</v>
      </c>
      <c r="FT5" s="44" t="str">
        <f>CHAR(34)&amp;"myr"&amp;BD5&amp;CHAR(34)&amp;","</f>
        <v>"myrRED",</v>
      </c>
      <c r="FU5" s="44" t="str">
        <f>IF(AY5="y",CHAR(34)&amp;"island"&amp;CHAR(34)&amp;",","")</f>
        <v/>
      </c>
      <c r="FV5" s="44" t="str">
        <f>IF(BZ5="y",CHAR(34)&amp;"landlo"&amp;CHAR(34)&amp;",","")</f>
        <v/>
      </c>
      <c r="FW5" s="44" t="str">
        <f>IF(CA5="y",CHAR(34)&amp;"eunion"&amp;CHAR(34)&amp;",","")</f>
        <v/>
      </c>
      <c r="FY5" s="44" t="str">
        <f>IFERROR(IF(SEARCH("Arabic",CB5)&gt;0,CHAR(34)&amp;"arabic"&amp;CHAR(34)&amp;",",""),"")</f>
        <v/>
      </c>
      <c r="FZ5" s="44" t="str">
        <f>IFERROR(IF(SEARCH("English",CB5)&gt;0,CHAR(34)&amp;"englis"&amp;CHAR(34)&amp;",",""),"")</f>
        <v/>
      </c>
      <c r="GA5" s="44" t="str">
        <f>IFERROR(IF(SEARCH("French",CB5)&gt;0,CHAR(34)&amp;"french"&amp;CHAR(34)&amp;",",""),"")</f>
        <v/>
      </c>
      <c r="GB5" s="44" t="str">
        <f>IFERROR(IF(SEARCH("Spanish",CB5)&gt;0,CHAR(34)&amp;"spanis"&amp;CHAR(34)&amp;",",""),"")</f>
        <v/>
      </c>
      <c r="GE5" s="44" t="str">
        <f>IFERROR(IF(SEARCH("Dutch",CB5)&gt;0,CHAR(34)&amp;"dutchs"&amp;CHAR(34)&amp;",",""),"")</f>
        <v/>
      </c>
      <c r="GF5" s="44" t="str">
        <f>IFERROR(IF(SEARCH("Historical",AU5)&gt;0,CHAR(34)&amp;"histor"&amp;CHAR(34)&amp;",",""),"")</f>
        <v>"histor",</v>
      </c>
      <c r="GG5" s="44" t="str">
        <f>IF(BU5="y",CHAR(34)&amp;"unjack"&amp;CHAR(34)&amp;",","")</f>
        <v>"unjack",</v>
      </c>
      <c r="GH5" s="44" t="str">
        <f>IF(CD5=1,CHAR(34)&amp;"southc"&amp;CHAR(34)&amp;",","")</f>
        <v/>
      </c>
      <c r="GI5" s="44" t="str">
        <f>IF(CE5=1,CHAR(34)&amp;"hasmap"&amp;CHAR(34)&amp;",","")</f>
        <v/>
      </c>
      <c r="GJ5" s="44" t="str">
        <f>IF(CP5="y",CHAR(34)&amp;CP$1&amp;CHAR(34)&amp;",","")</f>
        <v/>
      </c>
      <c r="GK5" s="44" t="str">
        <f>IF(GJ5="",CHAR(34)&amp;"HasSta"&amp;CHAR(34)&amp;",","")</f>
        <v>"HasSta",</v>
      </c>
      <c r="GL5" s="44" t="str">
        <f t="shared" si="5"/>
        <v/>
      </c>
      <c r="GM5" s="44" t="str">
        <f t="shared" si="5"/>
        <v/>
      </c>
      <c r="GN5" s="44" t="str">
        <f t="shared" si="5"/>
        <v>"3+Star",</v>
      </c>
      <c r="GP5" s="44" t="str">
        <f>CHAR(34)&amp;AU5&amp;CHAR(34)</f>
        <v>"Historical, Protectorate"</v>
      </c>
      <c r="GS5" s="44" t="str">
        <f>SUBSTITUTE("["&amp;_xlfn.CONCAT(CW5:GN5)&amp;"]",",]","]")</f>
        <v>["3Color","words2","words3","lets28","startK","LUEDHI","year18","3Bands","Diagon","Crosse","Horizo","Vertic","Unequa","Canton","staBLU","NO_GRE","NO_YEL","NO_BLA","001RED","002WHI","003RED","myrRED","histor","unjack","HasSta","3+Star"]</v>
      </c>
      <c r="GT5" s="44" t="str">
        <f t="shared" si="6"/>
        <v/>
      </c>
      <c r="GU5" s="44" t="str">
        <f t="shared" si="6"/>
        <v>"cl_BLU",</v>
      </c>
      <c r="GV5" s="44" t="str">
        <f t="shared" si="6"/>
        <v/>
      </c>
      <c r="GW5" s="44" t="str">
        <f t="shared" si="6"/>
        <v>"cl_RED",</v>
      </c>
      <c r="GX5" s="44" t="str">
        <f t="shared" si="6"/>
        <v/>
      </c>
      <c r="GY5" s="44" t="str">
        <f t="shared" si="6"/>
        <v/>
      </c>
      <c r="GZ5" s="44" t="str">
        <f t="shared" si="6"/>
        <v/>
      </c>
      <c r="HA5" s="44" t="str">
        <f t="shared" si="6"/>
        <v/>
      </c>
      <c r="HB5" s="44" t="str">
        <f t="shared" si="6"/>
        <v>"cl_WHI",</v>
      </c>
      <c r="HC5" s="44" t="str">
        <f>SUBSTITUTE("["&amp;_xlfn.CONCAT(GT5:HB5)&amp;"]",",]","]")</f>
        <v>["cl_BLU","cl_RED","cl_WHI"]</v>
      </c>
      <c r="HE5" s="64"/>
      <c r="HF5" s="65" t="str">
        <f>"{couname:"&amp;CT5&amp;(IF(HK5&lt;&gt;"",",subtype:"&amp;CHAR(34)&amp;HK5&amp;CHAR(34),""))&amp;",year:"&amp;HJ5&amp;",region:"&amp;CU5&amp;",Colors:"&amp;HC5&amp;",Items:"&amp;GS5&amp;",Flag:"&amp;CV5&amp;",HDFlag:"&amp;CHAR(34)&amp;E5&amp;CHAR(34)&amp;",type:"&amp;GP5&amp;", describe: "&amp;HH5&amp;", isnew:"&amp;CHAR(34)&amp;F5&amp;CHAR(34)&amp;", links: "&amp;HL5&amp;"},"</f>
        <v>{couname:"[CKI] Kingdom of Rarotonga (1888-1893)",year:"1888",region:"rgn_Oceania",Colors:["cl_BLU","cl_RED","cl_WHI"],Items:["3Color","words2","words3","lets28","startK","LUEDHI","year18","3Bands","Diagon","Crosse","Horizo","Vertic","Unequa","Canton","staBLU","NO_GRE","NO_YEL","NO_BLA","001RED","002WHI","003RED","myrRED","histor","unjack","HasSta","3+Star"],Flag:"https://upload.wikimedia.org/wikipedia/commons/thumb/b/b7/Flag_of_Rarotonga_1888-1893.svg/640px-Flag_of_Rarotonga_1888-1893.svg.png",HDFlag:"https://upload.wikimedia.org/wikipedia/commons/thumb/b/b7/Flag_of_Rarotonga_1888-1893.svg/1280px-Flag_of_Rarotonga_1888-1893.svg.png",type:"Historical, Protectorate", describe: "\nA horizontal triband of red, white, and red with three blue stars off set on the right side of the white band. There's a British Union Jack in the canton of the flag.", isnew:".", links: "https://en.m.wikipedia.org/wiki/Kingdom_of_Rarotonga"},</v>
      </c>
      <c r="HG5" s="66" t="str">
        <f>"{couname:"&amp;CT5&amp;(IF(HK5&lt;&gt;"",",subtype:"&amp;CHAR(34)&amp;HK5&amp;CHAR(34),""))&amp;",year:"&amp;HJ5&amp;",region:"&amp;CU5&amp;",Colors:"&amp;HC5&amp;",Items:"&amp;GS5&amp;",Flag:"&amp;CV5&amp;",HDFlag:"&amp;CHAR(34)&amp;E5&amp;CHAR(34)&amp;",type:"&amp;GP5&amp;", describe: "&amp;HI5&amp;", links: "&amp;HL5&amp;"},"</f>
        <v>{couname:"[CKI] Kingdom of Rarotonga (1888-1893)",year:"1888",region:"rgn_Oceania",Colors:["cl_BLU","cl_RED","cl_WHI"],Items:["3Color","words2","words3","lets28","startK","LUEDHI","year18","3Bands","Diagon","Crosse","Horizo","Vertic","Unequa","Canton","staBLU","NO_GRE","NO_YEL","NO_BLA","001RED","002WHI","003RED","myrRED","histor","unjack","HasSta","3+Star"],Flag:"https://upload.wikimedia.org/wikipedia/commons/thumb/b/b7/Flag_of_Rarotonga_1888-1893.svg/640px-Flag_of_Rarotonga_1888-1893.svg.png",HDFlag:"https://upload.wikimedia.org/wikipedia/commons/thumb/b/b7/Flag_of_Rarotonga_1888-1893.svg/1280px-Flag_of_Rarotonga_1888-1893.svg.png",type:"Historical, Protectorate", describe: "\nA horizontal triband of red, white, and red with three blue stars off set on the right side of the white band. There's a British Union Jack in the canton of the flag.", links: "https://en.m.wikipedia.org/wiki/Kingdom_of_Rarotonga"},</v>
      </c>
      <c r="HH5" s="44" t="str">
        <f>IF(P5&lt;&gt;"",CHAR(34)&amp;"\n"&amp;P5&amp;CHAR(34),CHAR(34)&amp;CHAR(34))</f>
        <v>"\nA horizontal triband of red, white, and red with three blue stars off set on the right side of the white band. There's a British Union Jack in the canton of the flag."</v>
      </c>
      <c r="HI5" s="44" t="str">
        <f>IF(J5=0,CHAR(34)&amp;CHAR(34),HH5)</f>
        <v>"\nA horizontal triband of red, white, and red with three blue stars off set on the right side of the white band. There's a British Union Jack in the canton of the flag."</v>
      </c>
      <c r="HJ5" s="44" t="str">
        <f>CHAR(34)&amp;O5&amp;CHAR(34)</f>
        <v>"1888"</v>
      </c>
      <c r="HL5" s="44" t="str">
        <f>CHAR(34)&amp;I5&amp;CHAR(34)</f>
        <v>"https://en.m.wikipedia.org/wiki/Kingdom_of_Rarotonga"</v>
      </c>
      <c r="HM5" s="65" t="str">
        <f>"{"&amp;CHAR(34)&amp;"couname"&amp;CHAR(34)&amp;":"&amp;CT5&amp;(IF(H5&lt;&gt;"",","&amp;CHAR(34)&amp;"subtype"&amp;CHAR(34)&amp;":"&amp;CHAR(34)&amp;H5&amp;CHAR(34),""))&amp;","&amp;CHAR(34)&amp;"year"&amp;CHAR(34)&amp;":"&amp;HJ5&amp;","&amp;CHAR(34)&amp;"region"&amp;CHAR(34)&amp;":"&amp;CU5&amp;","&amp;CHAR(34)&amp;"Colors"&amp;CHAR(34)&amp;":"&amp;HC5&amp;","&amp;CHAR(34)&amp;"Items"&amp;CHAR(34)&amp;":"&amp;GS5&amp;","&amp;CHAR(34)&amp;"Flag"&amp;CHAR(34)&amp;":"&amp;CV5&amp;","&amp;CHAR(34)&amp;"HDFlag"&amp;CHAR(34)&amp;":"&amp;CHAR(34)&amp;E5&amp;CHAR(34)&amp;","&amp;CHAR(34)&amp;"type"&amp;CHAR(34)&amp;":"&amp;GP5&amp;", "&amp;CHAR(34)&amp;"describe"&amp;CHAR(34)&amp;": "&amp;HH5&amp;", "&amp;CHAR(34)&amp;"isnew"&amp;CHAR(34)&amp;": "&amp;CHAR(34)&amp;F5&amp;CHAR(34)&amp;", "&amp;CHAR(34)&amp;"links"&amp;CHAR(34)&amp;": "&amp;HL5&amp;"},"</f>
        <v>{"couname":"[CKI] Kingdom of Rarotonga (1888-1893)","year":"1888","region":"rgn_Oceania","Colors":["cl_BLU","cl_RED","cl_WHI"],"Items":["3Color","words2","words3","lets28","startK","LUEDHI","year18","3Bands","Diagon","Crosse","Horizo","Vertic","Unequa","Canton","staBLU","NO_GRE","NO_YEL","NO_BLA","001RED","002WHI","003RED","myrRED","histor","unjack","HasSta","3+Star"],"Flag":"https://upload.wikimedia.org/wikipedia/commons/thumb/b/b7/Flag_of_Rarotonga_1888-1893.svg/640px-Flag_of_Rarotonga_1888-1893.svg.png","HDFlag":"https://upload.wikimedia.org/wikipedia/commons/thumb/b/b7/Flag_of_Rarotonga_1888-1893.svg/1280px-Flag_of_Rarotonga_1888-1893.svg.png","type":"Historical, Protectorate", "describe": "\nA horizontal triband of red, white, and red with three blue stars off set on the right side of the white band. There's a British Union Jack in the canton of the flag.", "isnew": ".", "links": "https://en.m.wikipedia.org/wiki/Kingdom_of_Rarotonga"},</v>
      </c>
      <c r="HN5" s="67" t="str">
        <f>"{"&amp;CHAR(34)&amp;"couname"&amp;CHAR(34)&amp;":"&amp;CT5&amp;(IF(H5&lt;&gt;"",","&amp;CHAR(34)&amp;"subtype"&amp;CHAR(34)&amp;":"&amp;CHAR(34)&amp;H5&amp;CHAR(34),""))&amp;","&amp;CHAR(34)&amp;"year"&amp;CHAR(34)&amp;":"&amp;HJ5&amp;","&amp;CHAR(34)&amp;"region"&amp;CHAR(34)&amp;":"&amp;CU5&amp;","&amp;CHAR(34)&amp;"Colors"&amp;CHAR(34)&amp;":"&amp;HC5&amp;","&amp;CHAR(34)&amp;"Items"&amp;CHAR(34)&amp;":"&amp;GS5&amp;","&amp;CHAR(34)&amp;"Flag"&amp;CHAR(34)&amp;":"&amp;CV5&amp;","&amp;CHAR(34)&amp;"HDFlag"&amp;CHAR(34)&amp;":"&amp;CHAR(34)&amp;E5&amp;CHAR(34)&amp;","&amp;CHAR(34)&amp;"type"&amp;CHAR(34)&amp;":"&amp;GP5&amp;", "&amp;CHAR(34)&amp;"describe"&amp;CHAR(34)&amp;": "&amp;HI5&amp;", "&amp;CHAR(34)&amp;"isnew"&amp;CHAR(34)&amp;": "&amp;CHAR(34)&amp;F5&amp;CHAR(34)&amp;", "&amp;CHAR(34)&amp;"links"&amp;CHAR(34)&amp;": "&amp;HL5&amp;"},"</f>
        <v>{"couname":"[CKI] Kingdom of Rarotonga (1888-1893)","year":"1888","region":"rgn_Oceania","Colors":["cl_BLU","cl_RED","cl_WHI"],"Items":["3Color","words2","words3","lets28","startK","LUEDHI","year18","3Bands","Diagon","Crosse","Horizo","Vertic","Unequa","Canton","staBLU","NO_GRE","NO_YEL","NO_BLA","001RED","002WHI","003RED","myrRED","histor","unjack","HasSta","3+Star"],"Flag":"https://upload.wikimedia.org/wikipedia/commons/thumb/b/b7/Flag_of_Rarotonga_1888-1893.svg/640px-Flag_of_Rarotonga_1888-1893.svg.png","HDFlag":"https://upload.wikimedia.org/wikipedia/commons/thumb/b/b7/Flag_of_Rarotonga_1888-1893.svg/1280px-Flag_of_Rarotonga_1888-1893.svg.png","type":"Historical, Protectorate", "describe": "\nA horizontal triband of red, white, and red with three blue stars off set on the right side of the white band. There's a British Union Jack in the canton of the flag.", "isnew": ".", "links": "https://en.m.wikipedia.org/wiki/Kingdom_of_Rarotonga"},</v>
      </c>
      <c r="HO5" s="71">
        <v>45618</v>
      </c>
      <c r="HP5" s="44" t="str" cm="1">
        <f t="array" ref="HP5">IF(_xlfn.TEXTJOIN(", ", TRUE, IF(ISNUMBER(SEARCH("BLA", BL5:BT5)), COLUMN(BL5:BT5) - COLUMN(BL5) + 1, ""))&lt;&gt;"","BLA","")</f>
        <v/>
      </c>
      <c r="HQ5" s="44" t="str" cm="1">
        <f t="array" ref="HQ5">IF(_xlfn.TEXTJOIN(", ", TRUE, IF(ISNUMBER(SEARCH("BLU", BL5:BT5)), COLUMN(BL5:BT5) - COLUMN(BL5) + 1, ""))&lt;&gt;"","BLU","")</f>
        <v>BLU</v>
      </c>
      <c r="HR5" s="44" t="str" cm="1">
        <f t="array" ref="HR5">IF(_xlfn.TEXTJOIN(", ", TRUE, IF(ISNUMBER(SEARCH("GRE", BL5:BT5)), COLUMN(BL5:BT5) - COLUMN(BL5) + 1, ""))&lt;&gt;"","GRE","")</f>
        <v/>
      </c>
      <c r="HS5" s="44" t="str" cm="1">
        <f t="array" ref="HS5">IF(_xlfn.TEXTJOIN(", ", TRUE, IF(ISNUMBER(SEARCH("RED", BL5:BT5)), COLUMN(BL5:BT5) - COLUMN(BL5) + 1, ""))&lt;&gt;"","RED","")</f>
        <v>RED</v>
      </c>
      <c r="HT5" s="44" t="str" cm="1">
        <f t="array" ref="HT5">IF(_xlfn.TEXTJOIN(", ", TRUE, IF(ISNUMBER(SEARCH("YEL", BL5:BT5)), COLUMN(BL5:BT5) - COLUMN(BL5) + 1, ""))&lt;&gt;"","YEL","")</f>
        <v/>
      </c>
      <c r="HU5" s="44" t="str" cm="1">
        <f t="array" ref="HU5">IF(_xlfn.TEXTJOIN(", ", TRUE, IF(ISNUMBER(SEARCH("ORA", BL5:BT5)), COLUMN(BL5:BT5) - COLUMN(BL5) + 1, ""))&lt;&gt;"","ORA","")</f>
        <v/>
      </c>
      <c r="HV5" s="44" t="str" cm="1">
        <f t="array" ref="HV5">IF(_xlfn.TEXTJOIN(", ", TRUE, IF(ISNUMBER(SEARCH("BRO", BL5:BT5)), COLUMN(BL5:BT5) - COLUMN(BL5) + 1, ""))&lt;&gt;"","BRO","")</f>
        <v/>
      </c>
      <c r="HW5" s="44" t="str" cm="1">
        <f t="array" ref="HW5">IF(_xlfn.TEXTJOIN(", ", TRUE, IF(ISNUMBER(SEARCH("PUR", BL5:BT5)), COLUMN(BL5:BT5) - COLUMN(BL5) + 1, ""))&lt;&gt;"","PUR","")</f>
        <v/>
      </c>
      <c r="HX5" s="44" t="str" cm="1">
        <f t="array" ref="HX5">IF(_xlfn.TEXTJOIN(", ", TRUE, IF(ISNUMBER(SEARCH("WHI", BL5:BT5)), COLUMN(BL5:BT5) - COLUMN(BL5) + 1, ""))&lt;&gt;"","WHI","")</f>
        <v>WHI</v>
      </c>
      <c r="HY5" s="72"/>
      <c r="HZ5" s="72"/>
      <c r="IA5" s="5"/>
      <c r="IB5" s="5"/>
      <c r="IC5" s="68"/>
      <c r="ID5" s="68"/>
      <c r="IE5" s="68"/>
      <c r="IF5" s="68"/>
      <c r="IG5" s="68"/>
      <c r="IH5" s="68"/>
      <c r="II5" s="68"/>
      <c r="IJ5" s="68"/>
      <c r="IK5" s="68"/>
      <c r="IM5" s="42">
        <f>COUNTIF(IC5:IK5,"&gt;0")-CG5</f>
        <v>-3</v>
      </c>
      <c r="IN5" s="69" t="str">
        <f>"http://mkweb.bcgsc.ca/color-summarizer/?url="&amp;D5&amp;"&amp;precision=low&amp;num_clusters="&amp;CG5&amp;"&amp;text=1"</f>
        <v>http://mkweb.bcgsc.ca/color-summarizer/?url=https://upload.wikimedia.org/wikipedia/commons/thumb/b/b7/Flag_of_Rarotonga_1888-1893.svg/640px-Flag_of_Rarotonga_1888-1893.svg.png&amp;precision=low&amp;num_clusters=3&amp;text=1</v>
      </c>
      <c r="IO5" s="44" t="str">
        <f>IF(HP5&lt;&gt;"",CHAR(34)&amp;"black"&amp;CHAR(34),"")</f>
        <v/>
      </c>
      <c r="IP5" s="44" t="str">
        <f>IF(HQ5&lt;&gt;"",CHAR(34)&amp;"blue"&amp;CHAR(34),"")</f>
        <v>"blue"</v>
      </c>
      <c r="IQ5" s="44" t="str">
        <f>IF(HR5&lt;&gt;"",CHAR(34)&amp;"green"&amp;CHAR(34),"")</f>
        <v/>
      </c>
      <c r="IR5" s="44" t="str">
        <f>IF(HS5&lt;&gt;"",CHAR(34)&amp;"red"&amp;CHAR(34),"")</f>
        <v>"red"</v>
      </c>
      <c r="IS5" s="44" t="str">
        <f>IF(HT5&lt;&gt;"",CHAR(34)&amp;"yellow"&amp;CHAR(34),"")</f>
        <v/>
      </c>
      <c r="IT5" s="44" t="str">
        <f>IF(HU5&lt;&gt;"",CHAR(34)&amp;"orange"&amp;CHAR(34),"")</f>
        <v/>
      </c>
      <c r="IU5" s="44" t="str">
        <f>IF(HV5&lt;&gt;"",CHAR(34)&amp;"brown"&amp;CHAR(34),"")</f>
        <v/>
      </c>
      <c r="IV5" s="44" t="str">
        <f>IF(HW5&lt;&gt;"",CHAR(34)&amp;"purple"&amp;CHAR(34),"")</f>
        <v/>
      </c>
      <c r="IW5" s="44" t="str">
        <f>IF(HX5&lt;&gt;"",CHAR(34)&amp;"white"&amp;CHAR(34),"")</f>
        <v>"white"</v>
      </c>
      <c r="IX5" s="44" t="str">
        <f>"{"&amp;CHAR(34)&amp;"url"&amp;CHAR(34)&amp;":"&amp;CHAR(34)&amp;IN5&amp;CHAR(34)&amp;","&amp;CHAR(34)&amp;"name"&amp;CHAR(34)&amp;":"&amp;CHAR(34)&amp;A5&amp;CHAR(34)&amp;"},"</f>
        <v>{"url":"http://mkweb.bcgsc.ca/color-summarizer/?url=https://upload.wikimedia.org/wikipedia/commons/thumb/b/b7/Flag_of_Rarotonga_1888-1893.svg/640px-Flag_of_Rarotonga_1888-1893.svg.png&amp;precision=low&amp;num_clusters=3&amp;text=1","name":"[CKI] Kingdom of Rarotonga (1888-1893)"},</v>
      </c>
      <c r="IY5" s="44">
        <v>970</v>
      </c>
    </row>
  </sheetData>
  <autoFilter ref="A1:IY5" xr:uid="{A1051193-A95B-4CFB-A73C-F0184620C81F}">
    <sortState xmlns:xlrd2="http://schemas.microsoft.com/office/spreadsheetml/2017/richdata2" ref="A2:IY5">
      <sortCondition ref="AW1:AW5"/>
    </sortState>
  </autoFilter>
  <conditionalFormatting sqref="H1 CW1:GS1 IA1:IB1">
    <cfRule type="cellIs" dxfId="1702" priority="66" operator="greaterThan">
      <formula>0</formula>
    </cfRule>
  </conditionalFormatting>
  <conditionalFormatting sqref="H1:H1048576">
    <cfRule type="cellIs" dxfId="1701" priority="6" stopIfTrue="1" operator="notEqual">
      <formula>""</formula>
    </cfRule>
  </conditionalFormatting>
  <conditionalFormatting sqref="R2:R5 CU2:CU5">
    <cfRule type="cellIs" dxfId="1700" priority="8" operator="greaterThan">
      <formula>0</formula>
    </cfRule>
  </conditionalFormatting>
  <conditionalFormatting sqref="T2:AS5 CH2:CS5">
    <cfRule type="cellIs" dxfId="1699" priority="3" stopIfTrue="1" operator="equal">
      <formula>"n"</formula>
    </cfRule>
    <cfRule type="cellIs" dxfId="1698" priority="4" stopIfTrue="1" operator="equal">
      <formula>"y"</formula>
    </cfRule>
    <cfRule type="cellIs" dxfId="1697" priority="5" operator="greaterThan">
      <formula>0</formula>
    </cfRule>
  </conditionalFormatting>
  <conditionalFormatting sqref="T1:BK1">
    <cfRule type="cellIs" dxfId="1696" priority="69" operator="greaterThan">
      <formula>0</formula>
    </cfRule>
  </conditionalFormatting>
  <conditionalFormatting sqref="AZ2:BB5">
    <cfRule type="expression" dxfId="1695" priority="2">
      <formula>$AT2=0</formula>
    </cfRule>
  </conditionalFormatting>
  <conditionalFormatting sqref="AZ2:BU5">
    <cfRule type="cellIs" dxfId="1694" priority="44" operator="equal">
      <formula>"PIN"</formula>
    </cfRule>
    <cfRule type="cellIs" dxfId="1693" priority="45" operator="equal">
      <formula>"ORA"</formula>
    </cfRule>
    <cfRule type="cellIs" dxfId="1692" priority="46" operator="equal">
      <formula>"GRA"</formula>
    </cfRule>
    <cfRule type="cellIs" dxfId="1691" priority="47" operator="equal">
      <formula>"PUR"</formula>
    </cfRule>
    <cfRule type="cellIs" dxfId="1690" priority="48" operator="equal">
      <formula>"BRO"</formula>
    </cfRule>
    <cfRule type="cellIs" dxfId="1689" priority="49" operator="equal">
      <formula>"YEL"</formula>
    </cfRule>
    <cfRule type="cellIs" dxfId="1688" priority="50" operator="equal">
      <formula>"BLU"</formula>
    </cfRule>
    <cfRule type="cellIs" dxfId="1687" priority="51" operator="equal">
      <formula>"WHI"</formula>
    </cfRule>
    <cfRule type="cellIs" dxfId="1686" priority="52" operator="equal">
      <formula>"GRE"</formula>
    </cfRule>
    <cfRule type="cellIs" dxfId="1685" priority="53" operator="equal">
      <formula>"RED"</formula>
    </cfRule>
    <cfRule type="cellIs" dxfId="1684" priority="54" operator="equal">
      <formula>"BLA"</formula>
    </cfRule>
  </conditionalFormatting>
  <conditionalFormatting sqref="BV1:BW1 BV2 BV3:BW1048576">
    <cfRule type="cellIs" dxfId="1683" priority="68" operator="equal">
      <formula>"nc"</formula>
    </cfRule>
  </conditionalFormatting>
  <conditionalFormatting sqref="BX2:CA5 CD2:CF5">
    <cfRule type="cellIs" dxfId="1682" priority="7" operator="equal">
      <formula>"y"</formula>
    </cfRule>
    <cfRule type="cellIs" dxfId="1681" priority="55" operator="equal">
      <formula>"PIN"</formula>
    </cfRule>
    <cfRule type="cellIs" dxfId="1680" priority="56" operator="equal">
      <formula>"ORA"</formula>
    </cfRule>
    <cfRule type="cellIs" dxfId="1679" priority="57" operator="equal">
      <formula>"GRA"</formula>
    </cfRule>
    <cfRule type="cellIs" dxfId="1678" priority="58" operator="equal">
      <formula>"PUR"</formula>
    </cfRule>
    <cfRule type="cellIs" dxfId="1677" priority="59" operator="equal">
      <formula>"BRO"</formula>
    </cfRule>
    <cfRule type="cellIs" dxfId="1676" priority="60" operator="equal">
      <formula>"YEL"</formula>
    </cfRule>
    <cfRule type="cellIs" dxfId="1675" priority="61" operator="equal">
      <formula>"BLU"</formula>
    </cfRule>
    <cfRule type="cellIs" dxfId="1674" priority="62" operator="equal">
      <formula>"WHI"</formula>
    </cfRule>
    <cfRule type="cellIs" dxfId="1673" priority="63" operator="equal">
      <formula>"GRE"</formula>
    </cfRule>
    <cfRule type="cellIs" dxfId="1672" priority="64" operator="equal">
      <formula>"RED"</formula>
    </cfRule>
    <cfRule type="cellIs" dxfId="1671" priority="65" operator="equal">
      <formula>"BLA"</formula>
    </cfRule>
  </conditionalFormatting>
  <conditionalFormatting sqref="BZ2:CA5 CD2:CF5">
    <cfRule type="cellIs" dxfId="1670" priority="9" operator="greaterThan">
      <formula>0</formula>
    </cfRule>
  </conditionalFormatting>
  <conditionalFormatting sqref="HF1:HG1">
    <cfRule type="cellIs" dxfId="1669" priority="70" operator="greaterThan">
      <formula>0</formula>
    </cfRule>
  </conditionalFormatting>
  <conditionalFormatting sqref="HK1">
    <cfRule type="cellIs" dxfId="1668" priority="67" operator="greaterThan">
      <formula>0</formula>
    </cfRule>
  </conditionalFormatting>
  <conditionalFormatting sqref="HP1:HX1">
    <cfRule type="cellIs" dxfId="1667" priority="21" operator="equal">
      <formula>"PIN"</formula>
    </cfRule>
    <cfRule type="cellIs" dxfId="1666" priority="22" operator="equal">
      <formula>"ORA"</formula>
    </cfRule>
    <cfRule type="cellIs" dxfId="1665" priority="23" operator="equal">
      <formula>"GRA"</formula>
    </cfRule>
    <cfRule type="cellIs" dxfId="1664" priority="24" operator="equal">
      <formula>"PUR"</formula>
    </cfRule>
    <cfRule type="cellIs" dxfId="1663" priority="25" operator="equal">
      <formula>"BRO"</formula>
    </cfRule>
    <cfRule type="cellIs" dxfId="1662" priority="26" operator="equal">
      <formula>"YEL"</formula>
    </cfRule>
    <cfRule type="cellIs" dxfId="1661" priority="27" operator="equal">
      <formula>"BLU"</formula>
    </cfRule>
    <cfRule type="cellIs" dxfId="1660" priority="28" operator="equal">
      <formula>"WHI"</formula>
    </cfRule>
    <cfRule type="cellIs" dxfId="1659" priority="29" operator="equal">
      <formula>"GRE"</formula>
    </cfRule>
    <cfRule type="cellIs" dxfId="1658" priority="30" operator="equal">
      <formula>"RED"</formula>
    </cfRule>
    <cfRule type="cellIs" dxfId="1657" priority="31" operator="equal">
      <formula>"BLA"</formula>
    </cfRule>
  </conditionalFormatting>
  <conditionalFormatting sqref="IC1:IK1">
    <cfRule type="cellIs" dxfId="1656" priority="33" operator="equal">
      <formula>"PIN"</formula>
    </cfRule>
    <cfRule type="cellIs" dxfId="1655" priority="34" operator="equal">
      <formula>"ORA"</formula>
    </cfRule>
    <cfRule type="cellIs" dxfId="1654" priority="35" operator="equal">
      <formula>"GRA"</formula>
    </cfRule>
    <cfRule type="cellIs" dxfId="1653" priority="36" operator="equal">
      <formula>"PUR"</formula>
    </cfRule>
    <cfRule type="cellIs" dxfId="1652" priority="37" operator="equal">
      <formula>"BRO"</formula>
    </cfRule>
    <cfRule type="cellIs" dxfId="1651" priority="38" operator="equal">
      <formula>"YEL"</formula>
    </cfRule>
    <cfRule type="cellIs" dxfId="1650" priority="39" operator="equal">
      <formula>"BLU"</formula>
    </cfRule>
    <cfRule type="cellIs" dxfId="1649" priority="40" operator="equal">
      <formula>"WHI"</formula>
    </cfRule>
    <cfRule type="cellIs" dxfId="1648" priority="41" operator="equal">
      <formula>"GRE"</formula>
    </cfRule>
    <cfRule type="cellIs" dxfId="1647" priority="42" operator="equal">
      <formula>"RED"</formula>
    </cfRule>
    <cfRule type="cellIs" dxfId="1646" priority="43" operator="equal">
      <formula>"BLA"</formula>
    </cfRule>
  </conditionalFormatting>
  <conditionalFormatting sqref="IC2:IK5">
    <cfRule type="expression" dxfId="1645" priority="32">
      <formula>$IL2&gt;0</formula>
    </cfRule>
  </conditionalFormatting>
  <conditionalFormatting sqref="IO1:IW1">
    <cfRule type="cellIs" dxfId="1644" priority="10" operator="equal">
      <formula>"PIN"</formula>
    </cfRule>
    <cfRule type="cellIs" dxfId="1643" priority="11" operator="equal">
      <formula>"ORA"</formula>
    </cfRule>
    <cfRule type="cellIs" dxfId="1642" priority="12" operator="equal">
      <formula>"GRA"</formula>
    </cfRule>
    <cfRule type="cellIs" dxfId="1641" priority="13" operator="equal">
      <formula>"PUR"</formula>
    </cfRule>
    <cfRule type="cellIs" dxfId="1640" priority="14" operator="equal">
      <formula>"BRO"</formula>
    </cfRule>
    <cfRule type="cellIs" dxfId="1639" priority="15" operator="equal">
      <formula>"YEL"</formula>
    </cfRule>
    <cfRule type="cellIs" dxfId="1638" priority="16" operator="equal">
      <formula>"BLU"</formula>
    </cfRule>
    <cfRule type="cellIs" dxfId="1637" priority="17" operator="equal">
      <formula>"WHI"</formula>
    </cfRule>
    <cfRule type="cellIs" dxfId="1636" priority="18" operator="equal">
      <formula>"GRE"</formula>
    </cfRule>
    <cfRule type="cellIs" dxfId="1635" priority="19" operator="equal">
      <formula>"RED"</formula>
    </cfRule>
    <cfRule type="cellIs" dxfId="1634" priority="20" operator="equal">
      <formula>"BLA"</formula>
    </cfRule>
  </conditionalFormatting>
  <conditionalFormatting sqref="S2:S5">
    <cfRule type="colorScale" priority="2255">
      <colorScale>
        <cfvo type="min"/>
        <cfvo type="max"/>
        <color rgb="FFFCFCFF"/>
        <color rgb="FF754BFB"/>
      </colorScale>
    </cfRule>
  </conditionalFormatting>
  <conditionalFormatting sqref="AT2:AT5">
    <cfRule type="colorScale" priority="2256">
      <colorScale>
        <cfvo type="min"/>
        <cfvo type="max"/>
        <color rgb="FFFCFCFF"/>
        <color theme="8" tint="0.39997558519241921"/>
      </colorScale>
    </cfRule>
  </conditionalFormatting>
  <conditionalFormatting sqref="CG2:CG5">
    <cfRule type="colorScale" priority="2257">
      <colorScale>
        <cfvo type="min"/>
        <cfvo type="max"/>
        <color rgb="FFFCFCFF"/>
        <color rgb="FF63BE7B"/>
      </colorScale>
    </cfRule>
  </conditionalFormatting>
  <conditionalFormatting sqref="J2:J5">
    <cfRule type="colorScale" priority="1">
      <colorScale>
        <cfvo type="min"/>
        <cfvo type="percentile" val="50"/>
        <cfvo type="max"/>
        <color rgb="FFF8696B"/>
        <color rgb="FFFFEB84"/>
        <color rgb="FF63BE7B"/>
      </colorScale>
    </cfRule>
  </conditionalFormatting>
  <hyperlinks>
    <hyperlink ref="A2" r:id="rId1" display="https://fbref.com/en/country/COK/Cook-Islands-Football" xr:uid="{82A64523-4768-4354-8440-7242D0D05D0C}"/>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6385" r:id="rId5" name="Button 1">
              <controlPr defaultSize="0" print="0" autoFill="0" autoPict="0" macro="[0]!InsertImagesFromSelectedRange">
                <anchor moveWithCells="1" sizeWithCells="1">
                  <from>
                    <xdr:col>1</xdr:col>
                    <xdr:colOff>76200</xdr:colOff>
                    <xdr:row>0</xdr:row>
                    <xdr:rowOff>7620</xdr:rowOff>
                  </from>
                  <to>
                    <xdr:col>2</xdr:col>
                    <xdr:colOff>0</xdr:colOff>
                    <xdr:row>0</xdr:row>
                    <xdr:rowOff>487680</xdr:rowOff>
                  </to>
                </anchor>
              </controlPr>
            </control>
          </mc:Choice>
        </mc:AlternateContent>
        <mc:AlternateContent xmlns:mc="http://schemas.openxmlformats.org/markup-compatibility/2006">
          <mc:Choice Requires="x14">
            <control shapeId="16386" r:id="rId6" name="Button 2">
              <controlPr defaultSize="0" print="0" autoFill="0" autoPict="0" macro="[0]!ReplaceLineBreaksWithNewLineManualRange">
                <anchor moveWithCells="1" sizeWithCells="1">
                  <from>
                    <xdr:col>7</xdr:col>
                    <xdr:colOff>15240</xdr:colOff>
                    <xdr:row>0</xdr:row>
                    <xdr:rowOff>45720</xdr:rowOff>
                  </from>
                  <to>
                    <xdr:col>7</xdr:col>
                    <xdr:colOff>685800</xdr:colOff>
                    <xdr:row>0</xdr:row>
                    <xdr:rowOff>403860</xdr:rowOff>
                  </to>
                </anchor>
              </controlPr>
            </control>
          </mc:Choice>
        </mc:AlternateContent>
        <mc:AlternateContent xmlns:mc="http://schemas.openxmlformats.org/markup-compatibility/2006">
          <mc:Choice Requires="x14">
            <control shapeId="16387" r:id="rId7" name="Button 3">
              <controlPr defaultSize="0" print="0" autoFill="0" autoPict="0" macro="[0]!GoToSheet">
                <anchor moveWithCells="1" sizeWithCells="1">
                  <from>
                    <xdr:col>0</xdr:col>
                    <xdr:colOff>137160</xdr:colOff>
                    <xdr:row>0</xdr:row>
                    <xdr:rowOff>114300</xdr:rowOff>
                  </from>
                  <to>
                    <xdr:col>0</xdr:col>
                    <xdr:colOff>762000</xdr:colOff>
                    <xdr:row>0</xdr:row>
                    <xdr:rowOff>419100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068A4-3B42-4035-9CFF-7EEB61038717}">
  <sheetPr codeName="Sheet22"/>
  <dimension ref="A1:IY3"/>
  <sheetViews>
    <sheetView zoomScale="70" zoomScaleNormal="70" workbookViewId="0">
      <pane xSplit="5" ySplit="1" topLeftCell="F5" activePane="bottomRight" state="frozen"/>
      <selection activeCell="A2" sqref="A2"/>
      <selection pane="topRight" activeCell="A2" sqref="A2"/>
      <selection pane="bottomLeft" activeCell="A2" sqref="A2"/>
      <selection pane="bottomRight" activeCell="C7" sqref="C7"/>
    </sheetView>
  </sheetViews>
  <sheetFormatPr defaultRowHeight="38.4" customHeight="1" x14ac:dyDescent="0.3"/>
  <cols>
    <col min="1" max="1" width="52.44140625" style="82" bestFit="1" customWidth="1"/>
    <col min="2" max="2" width="10.109375" style="82" customWidth="1"/>
    <col min="3" max="3" width="7.44140625" style="83" customWidth="1"/>
    <col min="4" max="4" width="4.77734375" style="84" customWidth="1"/>
    <col min="5" max="5" width="4.5546875" style="84" customWidth="1"/>
    <col min="6" max="6" width="5.77734375" style="84" customWidth="1"/>
    <col min="7" max="7" width="7.44140625" style="82" customWidth="1"/>
    <col min="8" max="8" width="11.44140625" style="82" customWidth="1"/>
    <col min="9" max="9" width="10" style="82" customWidth="1"/>
    <col min="10" max="10" width="4.21875" style="82" customWidth="1"/>
    <col min="11" max="11" width="5.6640625" style="84" customWidth="1"/>
    <col min="12" max="12" width="2.88671875" style="84" customWidth="1"/>
    <col min="13" max="13" width="6.44140625" style="84" customWidth="1"/>
    <col min="14" max="14" width="4.5546875" style="84" customWidth="1"/>
    <col min="15" max="15" width="10.5546875" style="85" customWidth="1"/>
    <col min="16" max="16" width="6.88671875" style="84" customWidth="1"/>
    <col min="17" max="17" width="4.77734375" style="84" customWidth="1"/>
    <col min="18" max="18" width="13.109375" style="83" customWidth="1"/>
    <col min="19" max="19" width="6.77734375" style="83" customWidth="1"/>
    <col min="20" max="46" width="8.44140625" style="82" customWidth="1"/>
    <col min="47" max="47" width="24.5546875" style="82" customWidth="1"/>
    <col min="48" max="51" width="16.6640625" style="82" customWidth="1"/>
    <col min="52" max="52" width="6.5546875" style="82" customWidth="1"/>
    <col min="53" max="54" width="5.88671875" style="82" customWidth="1"/>
    <col min="55" max="55" width="1.33203125" style="82" customWidth="1"/>
    <col min="56" max="56" width="7.44140625" style="82" customWidth="1"/>
    <col min="57" max="57" width="2.33203125" style="82" customWidth="1"/>
    <col min="58" max="62" width="6.109375" style="82" customWidth="1"/>
    <col min="63" max="63" width="2.33203125" style="82" customWidth="1"/>
    <col min="64" max="64" width="7" style="82" bestFit="1" customWidth="1"/>
    <col min="65" max="65" width="6.44140625" style="82" bestFit="1" customWidth="1"/>
    <col min="66" max="66" width="7.109375" style="82" bestFit="1" customWidth="1"/>
    <col min="67" max="71" width="6.44140625" style="82" bestFit="1" customWidth="1"/>
    <col min="72" max="73" width="6.44140625" style="82" customWidth="1"/>
    <col min="74" max="75" width="13.44140625" style="82" customWidth="1"/>
    <col min="76" max="84" width="14.6640625" style="82" customWidth="1"/>
    <col min="85" max="85" width="6.44140625" style="82" customWidth="1"/>
    <col min="86" max="87" width="11.6640625" style="82" bestFit="1" customWidth="1"/>
    <col min="88" max="88" width="11.6640625" style="82" customWidth="1"/>
    <col min="89" max="89" width="12.77734375" style="82" bestFit="1" customWidth="1"/>
    <col min="90" max="90" width="16.44140625" style="83" bestFit="1" customWidth="1"/>
    <col min="91" max="92" width="14.88671875" style="83" bestFit="1" customWidth="1"/>
    <col min="93" max="93" width="16" style="83" bestFit="1" customWidth="1"/>
    <col min="94" max="97" width="7.77734375" style="82" customWidth="1"/>
    <col min="98" max="98" width="33.21875" style="82" customWidth="1"/>
    <col min="99" max="99" width="18" style="82" customWidth="1"/>
    <col min="100" max="100" width="75.6640625" style="82" customWidth="1"/>
    <col min="101" max="125" width="33" style="82" customWidth="1"/>
    <col min="126" max="126" width="8.88671875" style="82"/>
    <col min="127" max="128" width="9.44140625" style="82" bestFit="1" customWidth="1"/>
    <col min="129" max="129" width="10.77734375" style="82" bestFit="1" customWidth="1"/>
    <col min="130" max="134" width="10.77734375" style="82" customWidth="1"/>
    <col min="135" max="135" width="10.109375" style="82" bestFit="1" customWidth="1"/>
    <col min="136" max="136" width="7.77734375" style="82" bestFit="1" customWidth="1"/>
    <col min="137" max="137" width="7.77734375" style="82" customWidth="1"/>
    <col min="138" max="138" width="9" style="82" bestFit="1" customWidth="1"/>
    <col min="139" max="139" width="11.33203125" style="82" bestFit="1" customWidth="1"/>
    <col min="140" max="140" width="9.109375" style="82" bestFit="1" customWidth="1"/>
    <col min="141" max="141" width="9" style="82" bestFit="1" customWidth="1"/>
    <col min="142" max="142" width="12" style="82" bestFit="1" customWidth="1"/>
    <col min="143" max="166" width="12" style="82" customWidth="1"/>
    <col min="167" max="167" width="17.21875" style="82" customWidth="1"/>
    <col min="168" max="191" width="12" style="82" customWidth="1"/>
    <col min="192" max="192" width="8.5546875" style="82" bestFit="1" customWidth="1"/>
    <col min="193" max="193" width="8.5546875" style="82" customWidth="1"/>
    <col min="194" max="194" width="7.109375" style="82" bestFit="1" customWidth="1"/>
    <col min="195" max="195" width="7.5546875" style="82" bestFit="1" customWidth="1"/>
    <col min="196" max="196" width="8.5546875" style="82" bestFit="1" customWidth="1"/>
    <col min="197" max="200" width="8.5546875" style="82" customWidth="1"/>
    <col min="201" max="201" width="188.88671875" style="82" customWidth="1"/>
    <col min="202" max="202" width="9.5546875" style="82" bestFit="1" customWidth="1"/>
    <col min="203" max="203" width="10.44140625" style="82" bestFit="1" customWidth="1"/>
    <col min="204" max="204" width="11.109375" style="82" bestFit="1" customWidth="1"/>
    <col min="205" max="205" width="10.44140625" style="82" bestFit="1" customWidth="1"/>
    <col min="206" max="210" width="10.44140625" style="82" customWidth="1"/>
    <col min="211" max="211" width="45.44140625" style="82" customWidth="1"/>
    <col min="212" max="212" width="47.5546875" style="82" bestFit="1" customWidth="1"/>
    <col min="213" max="213" width="9.33203125" style="86" customWidth="1"/>
    <col min="214" max="214" width="119.5546875" style="82" customWidth="1"/>
    <col min="215" max="215" width="69.6640625" style="82" customWidth="1"/>
    <col min="216" max="218" width="8.88671875" style="82"/>
    <col min="219" max="219" width="37.109375" style="82" customWidth="1"/>
    <col min="220" max="220" width="16.33203125" style="82" customWidth="1"/>
    <col min="221" max="222" width="8.88671875" style="82"/>
    <col min="223" max="223" width="10.109375" style="82" bestFit="1" customWidth="1"/>
    <col min="224" max="232" width="10.88671875" style="82" customWidth="1"/>
    <col min="233" max="234" width="30.77734375" style="82" customWidth="1"/>
    <col min="235" max="235" width="5.109375" style="82" customWidth="1"/>
    <col min="236" max="236" width="3" style="82" customWidth="1"/>
    <col min="237" max="245" width="6.77734375" style="76" customWidth="1"/>
    <col min="246" max="247" width="8.88671875" style="82"/>
    <col min="248" max="248" width="61.5546875" style="82" customWidth="1"/>
    <col min="249" max="253" width="8.88671875" style="82"/>
    <col min="254" max="254" width="9" style="82" customWidth="1"/>
    <col min="255" max="16384" width="8.88671875" style="82"/>
  </cols>
  <sheetData>
    <row r="1" spans="1:259" s="5" customFormat="1" ht="38.4" customHeight="1" thickBot="1" x14ac:dyDescent="0.35">
      <c r="A1" s="1" t="s">
        <v>0</v>
      </c>
      <c r="B1" s="79" t="s">
        <v>1</v>
      </c>
      <c r="C1" s="2" t="s">
        <v>2</v>
      </c>
      <c r="D1" s="3"/>
      <c r="E1" s="3" t="s">
        <v>3</v>
      </c>
      <c r="F1" s="4"/>
      <c r="H1" s="6" t="s">
        <v>4</v>
      </c>
      <c r="J1" s="5" t="s">
        <v>5</v>
      </c>
      <c r="K1" s="7" t="s">
        <v>6</v>
      </c>
      <c r="L1" s="8" t="s">
        <v>7</v>
      </c>
      <c r="M1" s="8" t="s">
        <v>8</v>
      </c>
      <c r="N1" s="9" t="s">
        <v>9</v>
      </c>
      <c r="O1" s="10" t="s">
        <v>10</v>
      </c>
      <c r="P1" s="11" t="s">
        <v>11</v>
      </c>
      <c r="Q1" s="11" t="s">
        <v>12</v>
      </c>
      <c r="R1" s="12" t="s">
        <v>0</v>
      </c>
      <c r="S1" s="13" t="s">
        <v>13</v>
      </c>
      <c r="T1" s="14" t="s">
        <v>14</v>
      </c>
      <c r="U1" s="14" t="s">
        <v>15</v>
      </c>
      <c r="V1" s="15" t="s">
        <v>16</v>
      </c>
      <c r="W1" s="14" t="s">
        <v>17</v>
      </c>
      <c r="X1" s="14" t="s">
        <v>18</v>
      </c>
      <c r="Y1" s="14" t="s">
        <v>19</v>
      </c>
      <c r="Z1" s="14" t="s">
        <v>20</v>
      </c>
      <c r="AA1" s="14" t="s">
        <v>21</v>
      </c>
      <c r="AB1" s="14" t="s">
        <v>22</v>
      </c>
      <c r="AC1" s="14" t="s">
        <v>23</v>
      </c>
      <c r="AD1" s="14" t="s">
        <v>24</v>
      </c>
      <c r="AE1" s="14" t="s">
        <v>25</v>
      </c>
      <c r="AF1" s="16" t="s">
        <v>26</v>
      </c>
      <c r="AG1" s="16" t="s">
        <v>27</v>
      </c>
      <c r="AH1" s="16" t="s">
        <v>28</v>
      </c>
      <c r="AI1" s="16" t="s">
        <v>29</v>
      </c>
      <c r="AJ1" s="16" t="s">
        <v>30</v>
      </c>
      <c r="AK1" s="16" t="s">
        <v>31</v>
      </c>
      <c r="AL1" s="16" t="s">
        <v>32</v>
      </c>
      <c r="AM1" s="16" t="s">
        <v>33</v>
      </c>
      <c r="AN1" s="16" t="s">
        <v>34</v>
      </c>
      <c r="AO1" s="16" t="s">
        <v>35</v>
      </c>
      <c r="AP1" s="16" t="s">
        <v>36</v>
      </c>
      <c r="AQ1" s="16" t="s">
        <v>37</v>
      </c>
      <c r="AR1" s="16" t="s">
        <v>38</v>
      </c>
      <c r="AS1" s="16" t="s">
        <v>39</v>
      </c>
      <c r="AT1" s="17" t="s">
        <v>40</v>
      </c>
      <c r="AU1" s="18" t="s">
        <v>41</v>
      </c>
      <c r="AV1" s="18" t="s">
        <v>42</v>
      </c>
      <c r="AW1" s="18" t="s">
        <v>43</v>
      </c>
      <c r="AX1" s="19"/>
      <c r="AY1" s="20" t="s">
        <v>44</v>
      </c>
      <c r="AZ1" s="19" t="s">
        <v>45</v>
      </c>
      <c r="BA1" s="19"/>
      <c r="BB1" s="19"/>
      <c r="BC1" s="21"/>
      <c r="BD1" s="19" t="s">
        <v>46</v>
      </c>
      <c r="BE1" s="21"/>
      <c r="BF1" s="19" t="s">
        <v>47</v>
      </c>
      <c r="BG1" s="19" t="s">
        <v>48</v>
      </c>
      <c r="BH1" s="19" t="s">
        <v>49</v>
      </c>
      <c r="BI1" s="19" t="s">
        <v>50</v>
      </c>
      <c r="BJ1" s="19" t="s">
        <v>51</v>
      </c>
      <c r="BK1" s="21"/>
      <c r="BL1" s="22" t="s">
        <v>52</v>
      </c>
      <c r="BM1" s="22"/>
      <c r="BN1" s="22"/>
      <c r="BO1" s="22"/>
      <c r="BP1" s="22"/>
      <c r="BQ1" s="22"/>
      <c r="BR1" s="22"/>
      <c r="BS1" s="22"/>
      <c r="BT1" s="23"/>
      <c r="BU1" s="23" t="s">
        <v>53</v>
      </c>
      <c r="BV1" s="23" t="s">
        <v>54</v>
      </c>
      <c r="BW1" s="23" t="s">
        <v>55</v>
      </c>
      <c r="BX1" s="23"/>
      <c r="BY1" s="23" t="s">
        <v>56</v>
      </c>
      <c r="BZ1" s="23" t="s">
        <v>57</v>
      </c>
      <c r="CA1" s="23" t="s">
        <v>58</v>
      </c>
      <c r="CB1" s="23" t="s">
        <v>59</v>
      </c>
      <c r="CC1" s="23" t="s">
        <v>60</v>
      </c>
      <c r="CD1" s="23" t="s">
        <v>61</v>
      </c>
      <c r="CE1" s="23" t="s">
        <v>62</v>
      </c>
      <c r="CF1" s="23" t="s">
        <v>63</v>
      </c>
      <c r="CG1" s="23"/>
      <c r="CH1" s="23" t="s">
        <v>64</v>
      </c>
      <c r="CI1" s="23" t="s">
        <v>65</v>
      </c>
      <c r="CJ1" s="23" t="s">
        <v>66</v>
      </c>
      <c r="CK1" s="23" t="s">
        <v>67</v>
      </c>
      <c r="CL1" s="24" t="s">
        <v>68</v>
      </c>
      <c r="CM1" s="24" t="s">
        <v>69</v>
      </c>
      <c r="CN1" s="24" t="s">
        <v>70</v>
      </c>
      <c r="CO1" s="24" t="s">
        <v>71</v>
      </c>
      <c r="CP1" s="24" t="s">
        <v>72</v>
      </c>
      <c r="CQ1" s="24" t="s">
        <v>73</v>
      </c>
      <c r="CR1" s="24" t="s">
        <v>74</v>
      </c>
      <c r="CS1" s="24" t="s">
        <v>75</v>
      </c>
      <c r="CT1" s="1" t="s">
        <v>76</v>
      </c>
      <c r="CU1" s="25" t="s">
        <v>0</v>
      </c>
      <c r="CV1" s="5" t="s">
        <v>77</v>
      </c>
      <c r="CW1" s="14" t="s">
        <v>78</v>
      </c>
      <c r="CX1" s="14" t="s">
        <v>79</v>
      </c>
      <c r="CY1" s="14" t="s">
        <v>66</v>
      </c>
      <c r="CZ1" s="14" t="s">
        <v>80</v>
      </c>
      <c r="DA1" s="14" t="s">
        <v>81</v>
      </c>
      <c r="DB1" s="14" t="s">
        <v>82</v>
      </c>
      <c r="DC1" s="14" t="s">
        <v>83</v>
      </c>
      <c r="DD1" s="14" t="s">
        <v>84</v>
      </c>
      <c r="DE1" s="14" t="s">
        <v>85</v>
      </c>
      <c r="DF1" s="14" t="s">
        <v>86</v>
      </c>
      <c r="DG1" s="14" t="s">
        <v>87</v>
      </c>
      <c r="DH1" s="14" t="s">
        <v>88</v>
      </c>
      <c r="DI1" s="14" t="s">
        <v>89</v>
      </c>
      <c r="DJ1" s="14" t="s">
        <v>90</v>
      </c>
      <c r="DK1" s="14" t="s">
        <v>91</v>
      </c>
      <c r="DL1" s="14" t="s">
        <v>92</v>
      </c>
      <c r="DM1" s="14" t="s">
        <v>93</v>
      </c>
      <c r="DN1" s="14" t="s">
        <v>94</v>
      </c>
      <c r="DO1" s="14" t="s">
        <v>95</v>
      </c>
      <c r="DP1" s="14" t="s">
        <v>96</v>
      </c>
      <c r="DQ1" s="14" t="s">
        <v>97</v>
      </c>
      <c r="DR1" s="14" t="s">
        <v>56</v>
      </c>
      <c r="DS1" s="14" t="s">
        <v>98</v>
      </c>
      <c r="DT1" s="14" t="s">
        <v>99</v>
      </c>
      <c r="DU1" s="14" t="s">
        <v>100</v>
      </c>
      <c r="DV1" s="14" t="s">
        <v>101</v>
      </c>
      <c r="DW1" s="14" t="s">
        <v>102</v>
      </c>
      <c r="DX1" s="14" t="s">
        <v>103</v>
      </c>
      <c r="DY1" s="14" t="s">
        <v>104</v>
      </c>
      <c r="DZ1" s="14" t="s">
        <v>105</v>
      </c>
      <c r="EA1" s="14" t="s">
        <v>106</v>
      </c>
      <c r="EB1" s="14" t="s">
        <v>107</v>
      </c>
      <c r="EC1" s="14" t="s">
        <v>108</v>
      </c>
      <c r="ED1" s="14" t="s">
        <v>109</v>
      </c>
      <c r="EE1" s="15" t="s">
        <v>18</v>
      </c>
      <c r="EF1" s="14" t="s">
        <v>19</v>
      </c>
      <c r="EG1" s="14" t="s">
        <v>20</v>
      </c>
      <c r="EH1" s="14" t="s">
        <v>21</v>
      </c>
      <c r="EI1" s="14" t="s">
        <v>110</v>
      </c>
      <c r="EJ1" s="14" t="s">
        <v>23</v>
      </c>
      <c r="EK1" s="14" t="s">
        <v>111</v>
      </c>
      <c r="EL1" s="14" t="s">
        <v>112</v>
      </c>
      <c r="EM1" s="14" t="s">
        <v>26</v>
      </c>
      <c r="EN1" s="16" t="s">
        <v>27</v>
      </c>
      <c r="EO1" s="16" t="s">
        <v>28</v>
      </c>
      <c r="EP1" s="16" t="s">
        <v>29</v>
      </c>
      <c r="EQ1" s="16" t="s">
        <v>113</v>
      </c>
      <c r="ER1" s="16" t="s">
        <v>31</v>
      </c>
      <c r="ES1" s="16" t="s">
        <v>32</v>
      </c>
      <c r="ET1" s="16" t="s">
        <v>114</v>
      </c>
      <c r="EU1" s="16" t="s">
        <v>34</v>
      </c>
      <c r="EV1" s="16" t="s">
        <v>35</v>
      </c>
      <c r="EW1" s="16" t="s">
        <v>115</v>
      </c>
      <c r="EX1" s="16" t="s">
        <v>37</v>
      </c>
      <c r="EY1" s="16" t="s">
        <v>38</v>
      </c>
      <c r="EZ1" s="16" t="s">
        <v>39</v>
      </c>
      <c r="FA1" s="16" t="s">
        <v>116</v>
      </c>
      <c r="FB1" s="16" t="s">
        <v>117</v>
      </c>
      <c r="FC1" s="16" t="s">
        <v>118</v>
      </c>
      <c r="FD1" s="16" t="s">
        <v>54</v>
      </c>
      <c r="FE1" s="16" t="s">
        <v>119</v>
      </c>
      <c r="FF1" s="16" t="s">
        <v>120</v>
      </c>
      <c r="FG1" s="16" t="s">
        <v>121</v>
      </c>
      <c r="FH1" s="16" t="s">
        <v>122</v>
      </c>
      <c r="FI1" s="16" t="s">
        <v>123</v>
      </c>
      <c r="FJ1" s="16" t="s">
        <v>124</v>
      </c>
      <c r="FK1" s="16" t="s">
        <v>125</v>
      </c>
      <c r="FL1" s="16" t="s">
        <v>126</v>
      </c>
      <c r="FM1" s="16" t="s">
        <v>127</v>
      </c>
      <c r="FN1" s="16" t="s">
        <v>128</v>
      </c>
      <c r="FO1" s="16" t="s">
        <v>129</v>
      </c>
      <c r="FP1" s="16" t="s">
        <v>130</v>
      </c>
      <c r="FQ1" s="16" t="s">
        <v>131</v>
      </c>
      <c r="FR1" s="16" t="s">
        <v>132</v>
      </c>
      <c r="FS1" s="16" t="s">
        <v>133</v>
      </c>
      <c r="FT1" s="16" t="s">
        <v>134</v>
      </c>
      <c r="FU1" s="16" t="s">
        <v>44</v>
      </c>
      <c r="FV1" s="16" t="s">
        <v>135</v>
      </c>
      <c r="FW1" s="16" t="s">
        <v>58</v>
      </c>
      <c r="FX1" s="16" t="s">
        <v>136</v>
      </c>
      <c r="FY1" s="16" t="s">
        <v>137</v>
      </c>
      <c r="FZ1" s="16" t="s">
        <v>138</v>
      </c>
      <c r="GA1" s="16" t="s">
        <v>139</v>
      </c>
      <c r="GB1" s="16" t="s">
        <v>140</v>
      </c>
      <c r="GC1" s="16" t="s">
        <v>141</v>
      </c>
      <c r="GD1" s="16" t="s">
        <v>142</v>
      </c>
      <c r="GE1" s="16" t="s">
        <v>143</v>
      </c>
      <c r="GF1" s="16" t="s">
        <v>144</v>
      </c>
      <c r="GG1" s="16" t="s">
        <v>145</v>
      </c>
      <c r="GH1" s="16" t="s">
        <v>61</v>
      </c>
      <c r="GI1" s="16" t="s">
        <v>62</v>
      </c>
      <c r="GJ1" s="14" t="s">
        <v>146</v>
      </c>
      <c r="GK1" s="14" t="s">
        <v>147</v>
      </c>
      <c r="GL1" s="14" t="s">
        <v>148</v>
      </c>
      <c r="GM1" s="17" t="s">
        <v>149</v>
      </c>
      <c r="GN1" s="26" t="s">
        <v>150</v>
      </c>
      <c r="GO1" s="26" t="s">
        <v>151</v>
      </c>
      <c r="GP1" s="18" t="s">
        <v>41</v>
      </c>
      <c r="GQ1" s="18" t="s">
        <v>42</v>
      </c>
      <c r="GR1" s="18" t="s">
        <v>43</v>
      </c>
      <c r="GS1" s="21"/>
      <c r="GT1" s="27" t="s">
        <v>52</v>
      </c>
      <c r="GU1" s="27"/>
      <c r="GV1" s="27"/>
      <c r="GW1" s="27"/>
      <c r="GX1" s="28"/>
      <c r="GY1" s="28"/>
      <c r="GZ1" s="28"/>
      <c r="HA1" s="28"/>
      <c r="HB1" s="28"/>
      <c r="HC1" s="28"/>
      <c r="HD1" s="29" t="s">
        <v>13</v>
      </c>
      <c r="HE1" s="30" t="s">
        <v>152</v>
      </c>
      <c r="HF1" s="31"/>
      <c r="HG1" s="32"/>
      <c r="HK1" s="32" t="s">
        <v>4</v>
      </c>
      <c r="HP1" s="33" t="s">
        <v>153</v>
      </c>
      <c r="HQ1" s="33" t="s">
        <v>154</v>
      </c>
      <c r="HR1" s="33" t="s">
        <v>155</v>
      </c>
      <c r="HS1" s="33" t="s">
        <v>156</v>
      </c>
      <c r="HT1" s="33" t="s">
        <v>157</v>
      </c>
      <c r="HU1" s="33" t="s">
        <v>158</v>
      </c>
      <c r="HV1" s="33" t="s">
        <v>159</v>
      </c>
      <c r="HW1" s="33" t="s">
        <v>160</v>
      </c>
      <c r="HX1" s="34" t="s">
        <v>161</v>
      </c>
      <c r="IA1" s="14" t="s">
        <v>162</v>
      </c>
      <c r="IB1" s="35" t="s">
        <v>163</v>
      </c>
      <c r="IC1" s="36" t="s">
        <v>153</v>
      </c>
      <c r="ID1" s="36" t="s">
        <v>154</v>
      </c>
      <c r="IE1" s="36" t="s">
        <v>156</v>
      </c>
      <c r="IF1" s="37" t="s">
        <v>161</v>
      </c>
      <c r="IG1" s="36" t="s">
        <v>157</v>
      </c>
      <c r="IH1" s="36" t="s">
        <v>158</v>
      </c>
      <c r="II1" s="36" t="s">
        <v>155</v>
      </c>
      <c r="IJ1" s="36" t="s">
        <v>159</v>
      </c>
      <c r="IK1" s="36" t="s">
        <v>160</v>
      </c>
      <c r="IO1" s="33" t="s">
        <v>153</v>
      </c>
      <c r="IP1" s="33" t="s">
        <v>154</v>
      </c>
      <c r="IQ1" s="33" t="s">
        <v>155</v>
      </c>
      <c r="IR1" s="33" t="s">
        <v>156</v>
      </c>
      <c r="IS1" s="33" t="s">
        <v>157</v>
      </c>
      <c r="IT1" s="33" t="s">
        <v>158</v>
      </c>
      <c r="IU1" s="33" t="s">
        <v>159</v>
      </c>
      <c r="IV1" s="33" t="s">
        <v>160</v>
      </c>
      <c r="IW1" s="34" t="s">
        <v>161</v>
      </c>
      <c r="IY1" s="5" t="s">
        <v>164</v>
      </c>
    </row>
    <row r="2" spans="1:259" s="44" customFormat="1" ht="38.4" customHeight="1" thickBot="1" x14ac:dyDescent="0.35">
      <c r="A2" s="77" t="s">
        <v>189</v>
      </c>
      <c r="B2" s="78" t="e" vm="30">
        <v>#VALUE!</v>
      </c>
      <c r="C2" s="39">
        <v>1</v>
      </c>
      <c r="D2" s="70" t="s">
        <v>190</v>
      </c>
      <c r="E2" s="40" t="s">
        <v>191</v>
      </c>
      <c r="F2" s="41" t="s">
        <v>165</v>
      </c>
      <c r="G2" s="42">
        <f>COUNTIF($A$1:$A$8270,A2)</f>
        <v>1</v>
      </c>
      <c r="H2" s="43"/>
      <c r="I2" s="59" t="s">
        <v>192</v>
      </c>
      <c r="J2" s="44" t="str">
        <f>""</f>
        <v/>
      </c>
      <c r="K2" s="45">
        <v>1402</v>
      </c>
      <c r="L2" s="46">
        <v>0</v>
      </c>
      <c r="M2" s="46" t="s">
        <v>1147</v>
      </c>
      <c r="N2" s="47" t="s">
        <v>177</v>
      </c>
      <c r="O2" s="74" t="s">
        <v>193</v>
      </c>
      <c r="P2" s="48" t="s">
        <v>194</v>
      </c>
      <c r="Q2" s="73">
        <v>2</v>
      </c>
      <c r="R2" s="49" t="s">
        <v>195</v>
      </c>
      <c r="S2" s="50">
        <v>2</v>
      </c>
      <c r="T2" s="51" t="s">
        <v>167</v>
      </c>
      <c r="U2" s="52" t="s">
        <v>166</v>
      </c>
      <c r="V2" s="52" t="s">
        <v>166</v>
      </c>
      <c r="W2" s="52" t="s">
        <v>166</v>
      </c>
      <c r="X2" s="52" t="s">
        <v>167</v>
      </c>
      <c r="Y2" s="52" t="s">
        <v>167</v>
      </c>
      <c r="Z2" s="52" t="s">
        <v>167</v>
      </c>
      <c r="AA2" s="52" t="s">
        <v>166</v>
      </c>
      <c r="AB2" s="52" t="s">
        <v>166</v>
      </c>
      <c r="AC2" s="52" t="s">
        <v>166</v>
      </c>
      <c r="AD2" s="52" t="s">
        <v>166</v>
      </c>
      <c r="AE2" s="52" t="s">
        <v>166</v>
      </c>
      <c r="AF2" s="53" t="s">
        <v>166</v>
      </c>
      <c r="AG2" s="53" t="s">
        <v>166</v>
      </c>
      <c r="AH2" s="53" t="s">
        <v>166</v>
      </c>
      <c r="AI2" s="53" t="s">
        <v>166</v>
      </c>
      <c r="AJ2" s="53" t="s">
        <v>166</v>
      </c>
      <c r="AK2" s="53" t="s">
        <v>166</v>
      </c>
      <c r="AL2" s="53" t="s">
        <v>166</v>
      </c>
      <c r="AM2" s="53" t="s">
        <v>167</v>
      </c>
      <c r="AN2" s="53" t="s">
        <v>166</v>
      </c>
      <c r="AO2" s="53" t="s">
        <v>166</v>
      </c>
      <c r="AP2" s="53" t="s">
        <v>166</v>
      </c>
      <c r="AQ2" s="53" t="s">
        <v>166</v>
      </c>
      <c r="AR2" s="53" t="s">
        <v>166</v>
      </c>
      <c r="AS2" s="53" t="s">
        <v>166</v>
      </c>
      <c r="AT2" s="54">
        <v>5</v>
      </c>
      <c r="AU2" s="53"/>
      <c r="AV2" s="53" t="str">
        <f>IF(LEFT(A2,1)="[",LEFT(A2,5)&amp;AU2&amp;A2,"")</f>
        <v/>
      </c>
      <c r="AW2" s="53" t="str">
        <f>C2&amp;H2&amp;A2</f>
        <v>1Christmas Island</v>
      </c>
      <c r="AX2" s="55" t="str">
        <f>_xlfn.TEXTJOIN(";",TRUE,AU2:AW2)</f>
        <v>1Christmas Island</v>
      </c>
      <c r="AY2" s="55" t="s">
        <v>167</v>
      </c>
      <c r="AZ2" s="56" t="s">
        <v>161</v>
      </c>
      <c r="BA2" s="56"/>
      <c r="BB2" s="56"/>
      <c r="BC2" s="57"/>
      <c r="BD2" s="58" t="s">
        <v>169</v>
      </c>
      <c r="BE2" s="59"/>
      <c r="BF2" s="58" t="s">
        <v>155</v>
      </c>
      <c r="BG2" s="58"/>
      <c r="BH2" s="58" t="s">
        <v>154</v>
      </c>
      <c r="BI2" s="58"/>
      <c r="BJ2" s="58"/>
      <c r="BK2" s="59"/>
      <c r="BL2" s="58" t="s">
        <v>154</v>
      </c>
      <c r="BM2" s="58" t="s">
        <v>155</v>
      </c>
      <c r="BN2" s="58" t="s">
        <v>157</v>
      </c>
      <c r="BO2" s="58" t="s">
        <v>161</v>
      </c>
      <c r="BP2" s="58"/>
      <c r="BQ2" s="58"/>
      <c r="BR2" s="58"/>
      <c r="BS2" s="58"/>
      <c r="BT2" s="58"/>
      <c r="BU2" s="60"/>
      <c r="BV2" s="61" t="s">
        <v>167</v>
      </c>
      <c r="BW2" s="61">
        <v>0</v>
      </c>
      <c r="BX2" s="59"/>
      <c r="BY2" s="44" t="s">
        <v>167</v>
      </c>
      <c r="CB2" s="5" t="s">
        <v>196</v>
      </c>
      <c r="CC2" s="5"/>
      <c r="CD2" s="62">
        <v>1</v>
      </c>
      <c r="CE2" s="62">
        <v>0</v>
      </c>
      <c r="CF2" s="62" t="e">
        <v>#REF!</v>
      </c>
      <c r="CG2" s="75" cm="1">
        <f t="array" ref="CG2">SUMPRODUCT(--(LEN(TRIM(BL2:BT2))&gt;0))</f>
        <v>4</v>
      </c>
      <c r="CH2" s="53" t="str">
        <f>IF(CG2=2,"y","n")</f>
        <v>n</v>
      </c>
      <c r="CI2" s="53" t="str">
        <f>IF(CG2=3,"y","n")</f>
        <v>n</v>
      </c>
      <c r="CJ2" s="53" t="str">
        <f>IF(CG2=4,"y","n")</f>
        <v>y</v>
      </c>
      <c r="CK2" s="53" t="str">
        <f>IF(CG2&gt;4,"y","n")</f>
        <v>n</v>
      </c>
      <c r="CL2" s="53" t="str">
        <f>IF(S2=0,"y","n")</f>
        <v>n</v>
      </c>
      <c r="CM2" s="53" t="str">
        <f>IF(S2=2,"y","n")</f>
        <v>y</v>
      </c>
      <c r="CN2" s="53" t="str">
        <f>IF(S2=3,"y","n")</f>
        <v>n</v>
      </c>
      <c r="CO2" s="53" t="str">
        <f>IF(S2&gt;=4,"y","n")</f>
        <v>n</v>
      </c>
      <c r="CP2" s="53" t="str">
        <f>IF(AT2=0,"y","n")</f>
        <v>n</v>
      </c>
      <c r="CQ2" s="53" t="str">
        <f>IF(AT2=1,"y","n")</f>
        <v>n</v>
      </c>
      <c r="CR2" s="53" t="str">
        <f>IF(AT2=2,"y","n")</f>
        <v>n</v>
      </c>
      <c r="CS2" s="53" t="str">
        <f>IF(AT2&gt;=3,"y","n")</f>
        <v>y</v>
      </c>
      <c r="CT2" s="38" t="str">
        <f>CHAR(34)&amp;A2&amp;CHAR(34)</f>
        <v>"Christmas Island"</v>
      </c>
      <c r="CU2" s="63" t="str">
        <f>CHAR(34)&amp;"rgn_"&amp;R2&amp;CHAR(34)</f>
        <v>"rgn_Oceania, rgn_Asia"</v>
      </c>
      <c r="CV2" s="44" t="str">
        <f>CHAR(34)&amp;D2&amp;CHAR(34)</f>
        <v>"https://upload.wikimedia.org/wikipedia/commons/thumb/6/67/Flag_of_Christmas_Island.svg/383px-Flag_of_Christmas_Island.svg.png"</v>
      </c>
      <c r="CW2" s="44" t="str">
        <f t="shared" ref="CW2:CZ3" si="0">IF(CH2="y",CHAR(34)&amp;CH$1&amp;CHAR(34)&amp;",","")</f>
        <v/>
      </c>
      <c r="CX2" s="44" t="str">
        <f t="shared" si="0"/>
        <v/>
      </c>
      <c r="CY2" s="44" t="str">
        <f t="shared" si="0"/>
        <v>"4Color",</v>
      </c>
      <c r="CZ2" s="44" t="str">
        <f t="shared" si="0"/>
        <v/>
      </c>
      <c r="DA2" s="44" t="str">
        <f>IF(Q2&gt;1,CHAR(34)&amp;"words2"&amp;CHAR(34)&amp;",","")</f>
        <v>"words2",</v>
      </c>
      <c r="DB2" s="44" t="str">
        <f>IF(Q2&gt;2,CHAR(34)&amp;"words3"&amp;CHAR(34)&amp;",","")</f>
        <v/>
      </c>
      <c r="DC2" s="44" t="str">
        <f>IF(Q2=2,CHAR(34)&amp;"exact2"&amp;CHAR(34)&amp;",","")</f>
        <v>"exact2",</v>
      </c>
      <c r="DD2" s="44"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"lets15",</v>
      </c>
      <c r="DE2" s="44"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"startC",</v>
      </c>
      <c r="DF2" s="44" t="str">
        <f>IFERROR(IF(SEARCH("tan",A2)&gt;0,CHAR(34)&amp;"withtn"&amp;CHAR(34)&amp;",",""),"")</f>
        <v/>
      </c>
      <c r="DG2" s="44" t="str">
        <f>IFERROR(IF(SEARCH("q",A2)&gt;0,CHAR(34)&amp;"with_q"&amp;CHAR(34)&amp;",",""),"")</f>
        <v/>
      </c>
      <c r="DH2" s="44" t="str">
        <f>IFERROR(IF(SEARCH("v",A2)&gt;0,CHAR(34)&amp;"with_v"&amp;CHAR(34)&amp;",",""),"")</f>
        <v/>
      </c>
      <c r="DI2" s="44" t="str">
        <f>IFERROR(IF(SEARCH("w",A2)&gt;0,CHAR(34)&amp;"with_w"&amp;CHAR(34)&amp;",",""),"")</f>
        <v/>
      </c>
      <c r="DJ2" s="44" t="str">
        <f>IFERROR(IF(SEARCH("y",A2)&gt;0,CHAR(34)&amp;"with_y"&amp;CHAR(34)&amp;",",""),"")</f>
        <v/>
      </c>
      <c r="DK2" s="44" t="str">
        <f>IFERROR(IF(SEARCH("z",A2)&gt;0,CHAR(34)&amp;"with_z"&amp;CHAR(34)&amp;",",""),"")</f>
        <v/>
      </c>
      <c r="DL2" s="44" t="str">
        <f>IF(CG2=2, CHAR(34) &amp; _xlfn.TEXTJOIN("", TRUE, _xlfn._xlws.SORT(HP2:HX2)) &amp; CHAR(34) &amp; ",", "")</f>
        <v/>
      </c>
      <c r="DM2" s="44" t="str" cm="1">
        <f t="array" ref="DM2">IF(CG2=3,CHAR(34) &amp; _xlfn.TEXTJOIN("", TRUE, RIGHT(HP2:HX2, 2)) &amp; CHAR(34) &amp; ",", "")</f>
        <v/>
      </c>
      <c r="DN2" s="44" t="str">
        <f>IF(AND(ISNUMBER(SEARCH("18", O2)), ISERROR(SEARCH("1918", O2)), ISERROR(SEARCH("2018", O2))), CHAR(34) &amp; "year18" &amp; CHAR(34) &amp; ",", "")</f>
        <v/>
      </c>
      <c r="DO2" s="44" t="str">
        <f>IF(AND(ISNUMBER(SEARCH("19", O2)), ISERROR(SEARCH("1819", O2)),  ISERROR(SEARCH("1219", O2)),ISERROR(SEARCH("1119", O2)),ISERROR(SEARCH("1190", O2)),ISERROR(SEARCH("2019", O2))), CHAR(34) &amp; "year19" &amp; CHAR(34) &amp; ",", "")</f>
        <v>"year19",</v>
      </c>
      <c r="DP2" s="5" t="str">
        <f>IF(AND(ISNUMBER(SEARCH("20", O2)), ISERROR(SEARCH("1920", O2))), CHAR(34)&amp;"year00"&amp;CHAR(34)&amp;",", "")</f>
        <v>"year00",</v>
      </c>
      <c r="DQ2" s="5" t="str">
        <f>IF(CC2="y",CHAR(34)&amp;"soviet"&amp;CHAR(34)&amp;",","")</f>
        <v/>
      </c>
      <c r="DR2" s="5" t="str">
        <f>IF(BY2="y",CHAR(34)&amp;"dgband"&amp;CHAR(34)&amp;",","")</f>
        <v>"dgband",</v>
      </c>
      <c r="DS2" s="5" t="str">
        <f>IF(W2="y",IF(AND(V2="n",BY2&lt;&gt;"y"),CHAR(34)&amp;"allver"&amp;CHAR(34)&amp;",",""),"")</f>
        <v/>
      </c>
      <c r="DT2" s="5" t="str">
        <f>IF(V2="y",IF(AND(W2="n",BY2&lt;&gt;"y"),CHAR(34)&amp;"allhor"&amp;CHAR(34)&amp;",",""),"")</f>
        <v/>
      </c>
      <c r="DU2" s="5" t="str">
        <f>IF(BY2="y",IF(AND(W2="n",V2="n"),CHAR(34)&amp;"alldia"&amp;CHAR(34)&amp;",",""),"")</f>
        <v>"alldia",</v>
      </c>
      <c r="DV2" s="44" t="str">
        <f>IF(IA2&lt;&gt;"",(IF(IA2="y",CHAR(34)&amp;"largec"&amp;CHAR(34)&amp;",",CHAR(34)&amp;"smallc"&amp;CHAR(34)&amp;",")),"")</f>
        <v/>
      </c>
      <c r="DW2" s="44" t="str">
        <f t="shared" ref="DW2:DZ3" si="1">IF(CL2="y",CHAR(34)&amp;CL$1&amp;CHAR(34)&amp;",","")</f>
        <v/>
      </c>
      <c r="DX2" s="44" t="str">
        <f t="shared" si="1"/>
        <v>"2Bands",</v>
      </c>
      <c r="DY2" s="44" t="str">
        <f t="shared" si="1"/>
        <v/>
      </c>
      <c r="DZ2" s="44" t="str">
        <f t="shared" si="1"/>
        <v/>
      </c>
      <c r="EA2" s="44" t="str">
        <f t="shared" ref="EA2:EE3" si="2">IF(T2="y",CHAR(34)&amp;T$1&amp;CHAR(34)&amp;",","")</f>
        <v>"Diagon",</v>
      </c>
      <c r="EB2" s="44" t="str">
        <f t="shared" si="2"/>
        <v/>
      </c>
      <c r="EC2" s="44" t="str">
        <f t="shared" si="2"/>
        <v/>
      </c>
      <c r="ED2" s="44" t="str">
        <f t="shared" si="2"/>
        <v/>
      </c>
      <c r="EE2" s="44" t="str">
        <f t="shared" si="2"/>
        <v>"Circle",</v>
      </c>
      <c r="EF2" s="44" t="str">
        <f>IF(AND(Y2&lt;&gt;"n",Y2&lt;&gt;""),CHAR(34)&amp;Y$1&amp;CHAR(34)&amp;",","")</f>
        <v>"Animal",</v>
      </c>
      <c r="EG2" s="44" t="str">
        <f t="shared" ref="EG2:EP3" si="3">IF(Z2="y",CHAR(34)&amp;Z$1&amp;CHAR(34)&amp;",","")</f>
        <v>"Bird",</v>
      </c>
      <c r="EH2" s="44" t="str">
        <f t="shared" si="3"/>
        <v/>
      </c>
      <c r="EI2" s="44" t="str">
        <f t="shared" si="3"/>
        <v/>
      </c>
      <c r="EJ2" s="44" t="str">
        <f t="shared" si="3"/>
        <v/>
      </c>
      <c r="EK2" s="44" t="str">
        <f t="shared" si="3"/>
        <v/>
      </c>
      <c r="EL2" s="44" t="str">
        <f t="shared" si="3"/>
        <v/>
      </c>
      <c r="EM2" s="44" t="str">
        <f t="shared" si="3"/>
        <v/>
      </c>
      <c r="EN2" s="44" t="str">
        <f t="shared" si="3"/>
        <v/>
      </c>
      <c r="EO2" s="44" t="str">
        <f t="shared" si="3"/>
        <v/>
      </c>
      <c r="EP2" s="44" t="str">
        <f t="shared" si="3"/>
        <v/>
      </c>
      <c r="EQ2" s="44" t="str">
        <f t="shared" ref="EQ2:EZ3" si="4">IF(AJ2="y",CHAR(34)&amp;AJ$1&amp;CHAR(34)&amp;",","")</f>
        <v/>
      </c>
      <c r="ER2" s="44" t="str">
        <f t="shared" si="4"/>
        <v/>
      </c>
      <c r="ES2" s="44" t="str">
        <f t="shared" si="4"/>
        <v/>
      </c>
      <c r="ET2" s="44" t="str">
        <f t="shared" si="4"/>
        <v>"Geogrh",</v>
      </c>
      <c r="EU2" s="44" t="str">
        <f t="shared" si="4"/>
        <v/>
      </c>
      <c r="EV2" s="44" t="str">
        <f t="shared" si="4"/>
        <v/>
      </c>
      <c r="EW2" s="44" t="str">
        <f t="shared" si="4"/>
        <v/>
      </c>
      <c r="EX2" s="44" t="str">
        <f t="shared" si="4"/>
        <v/>
      </c>
      <c r="EY2" s="44" t="str">
        <f t="shared" si="4"/>
        <v/>
      </c>
      <c r="EZ2" s="44" t="str">
        <f t="shared" si="4"/>
        <v/>
      </c>
      <c r="FA2" s="44" t="str">
        <f>IF(AT2&gt;0,CHAR(34)&amp;"sta"&amp;AZ2&amp;CHAR(34)&amp;",","")</f>
        <v>"staWHI",</v>
      </c>
      <c r="FB2" s="44" t="str">
        <f>IF(AND(AT2&gt;0,BA2&lt;&gt;""),CHAR(34)&amp;"sta"&amp;BA2&amp;CHAR(34)&amp;",","")</f>
        <v/>
      </c>
      <c r="FC2" s="44" t="str">
        <f>IF(AND(AT2&gt;0,BB2&lt;&gt;""),CHAR(34)&amp;"sta"&amp;BB2&amp;CHAR(34)&amp;",","")</f>
        <v/>
      </c>
      <c r="FD2" s="44" t="str">
        <f>IF(BV2="n",CHAR(34)&amp;"tcWHYE"&amp;CHAR(34)&amp;",",IF(BV2="y",CHAR(34)&amp;FD$1&amp;CHAR(34)&amp;",",""))</f>
        <v>"ntWHYE",</v>
      </c>
      <c r="FE2" s="44" t="str">
        <f>IF(COUNTIF(BL2:BT2,"BLU")=0,CHAR(34)&amp;"NO_BLU"&amp;CHAR(34)&amp;",", "")</f>
        <v/>
      </c>
      <c r="FF2" s="44" t="str">
        <f>IF(COUNTIF(BL2:BT2,"WHI")=0,CHAR(34)&amp;"NO_WHI"&amp;CHAR(34)&amp;",", "")</f>
        <v/>
      </c>
      <c r="FG2" s="44" t="str">
        <f>IF(COUNTIF(BL2:BT2,"RED")=0,CHAR(34)&amp;"NO_RED"&amp;CHAR(34)&amp;",", "")</f>
        <v>"NO_RED",</v>
      </c>
      <c r="FH2" s="44" t="str">
        <f>IF(COUNTIF(BL2:BS2,"GRE")=0,CHAR(34)&amp;"NO_GRE"&amp;CHAR(34)&amp;",", "")</f>
        <v/>
      </c>
      <c r="FI2" s="44" t="str">
        <f>IF(COUNTIF(BL2:BT2,"YEL")=0,CHAR(34)&amp;"NO_YEL"&amp;CHAR(34)&amp;",", "")</f>
        <v/>
      </c>
      <c r="FJ2" s="44" t="str">
        <f>IF(COUNTIF(BL2:BT2,"BLA")=0,CHAR(34)&amp;"NO_BLA"&amp;CHAR(34)&amp;",", "")</f>
        <v>"NO_BLA",</v>
      </c>
      <c r="FK2" s="44" t="str">
        <f>IF(AND(FH2&lt;&gt;"",FF2&lt;&gt;""),CHAR(34)&amp;"WHGRNO"&amp;CHAR(34)&amp;",","")</f>
        <v/>
      </c>
      <c r="FL2" s="44" t="str">
        <f>IF(AND(FI2&lt;&gt;"",FF2&lt;&gt;""),CHAR(34)&amp;"WHYENO"&amp;CHAR(34)&amp;",","")</f>
        <v/>
      </c>
      <c r="FM2" s="44" t="str">
        <f>IF(AND(FJ2&lt;&gt;"",FF2&lt;&gt;""),CHAR(34)&amp;"BAWHNO"&amp;CHAR(34)&amp;",","")</f>
        <v/>
      </c>
      <c r="FN2" s="44" t="str">
        <f>IF(AND(FE2&lt;&gt;"",FF2&lt;&gt;""),CHAR(34)&amp;"BLWHNO"&amp;CHAR(34)&amp;",","")</f>
        <v/>
      </c>
      <c r="FO2" s="44" t="str">
        <f>IF(AND(FE2&lt;&gt;"",FG2&lt;&gt;""),CHAR(34)&amp;"BLRENO"&amp;CHAR(34)&amp;",","")</f>
        <v/>
      </c>
      <c r="FP2" s="44" t="str">
        <f>IF(AND(FF2&lt;&gt;"",FF2&lt;&gt;""),CHAR(34)&amp;"WHRENO"&amp;CHAR(34)&amp;",","")</f>
        <v/>
      </c>
      <c r="FQ2" s="44" t="str">
        <f>IF(LEN(BF2)=3,CHAR(34)&amp;"001"&amp;BF2&amp;CHAR(34)&amp;",","")</f>
        <v>"001GRE",</v>
      </c>
      <c r="FR2" s="44" t="str">
        <f>IF(LEN(BG2)=3,CHAR(34)&amp;"002"&amp;BG2&amp;CHAR(34)&amp;",","")</f>
        <v/>
      </c>
      <c r="FS2" s="44" t="str">
        <f>IF(LEN(BH2)=3,CHAR(34)&amp;"003"&amp;BH2&amp;CHAR(34)&amp;",","")</f>
        <v>"003BLU",</v>
      </c>
      <c r="FT2" s="44" t="str">
        <f>CHAR(34)&amp;"myr"&amp;BD2&amp;CHAR(34)&amp;","</f>
        <v>"myrEQ",</v>
      </c>
      <c r="FU2" s="44" t="str">
        <f>IF(AY2="y",CHAR(34)&amp;"island"&amp;CHAR(34)&amp;",","")</f>
        <v>"island",</v>
      </c>
      <c r="FV2" s="44" t="str">
        <f>IF(BZ2="y",CHAR(34)&amp;"landlo"&amp;CHAR(34)&amp;",","")</f>
        <v/>
      </c>
      <c r="FW2" s="44" t="str">
        <f>IF(CA2="y",CHAR(34)&amp;"eunion"&amp;CHAR(34)&amp;",","")</f>
        <v/>
      </c>
      <c r="FX2" s="44" t="str">
        <f>SUBSTITUTE(IFERROR(SEARCH("[",A2),IFERROR(IF(AND(CA2&lt;&gt;"y",SEARCH("Europe",R2)&gt;0),CHAR(34)&amp;"noeuni"&amp;CHAR(34)&amp;",",""),"")),"1","")</f>
        <v/>
      </c>
      <c r="FY2" s="44" t="str">
        <f>IFERROR(IF(SEARCH("Arabic",CB2)&gt;0,CHAR(34)&amp;"arabic"&amp;CHAR(34)&amp;",",""),"")</f>
        <v/>
      </c>
      <c r="FZ2" s="44" t="str">
        <f>IFERROR(IF(SEARCH("English",CB2)&gt;0,CHAR(34)&amp;"englis"&amp;CHAR(34)&amp;",",""),"")</f>
        <v>"englis",</v>
      </c>
      <c r="GA2" s="44" t="str">
        <f>IFERROR(IF(SEARCH("French",CB2)&gt;0,CHAR(34)&amp;"french"&amp;CHAR(34)&amp;",",""),"")</f>
        <v/>
      </c>
      <c r="GB2" s="44" t="str">
        <f>IFERROR(IF(SEARCH("Spanish",CB2)&gt;0,CHAR(34)&amp;"spanis"&amp;CHAR(34)&amp;",",""),"")</f>
        <v/>
      </c>
      <c r="GC2" s="44" t="str">
        <f>IFERROR(IF(SEARCH("Portuguese",CB2)&gt;0,CHAR(34)&amp;"portug"&amp;CHAR(34)&amp;",",""),"")</f>
        <v/>
      </c>
      <c r="GD2" s="44" t="str">
        <f>IFERROR(IF(SEARCH("German",CB2)&gt;0,CHAR(34)&amp;"german"&amp;CHAR(34)&amp;",",""),"")</f>
        <v/>
      </c>
      <c r="GE2" s="44" t="str">
        <f>IFERROR(IF(SEARCH("Dutch",CB2)&gt;0,CHAR(34)&amp;"dutchs"&amp;CHAR(34)&amp;",",""),"")</f>
        <v/>
      </c>
      <c r="GF2" s="44" t="str">
        <f>IFERROR(IF(SEARCH("Histor",AU2)&gt;0,CHAR(34)&amp;"histor"&amp;CHAR(34)&amp;",",""),"")</f>
        <v/>
      </c>
      <c r="GG2" s="44" t="str">
        <f>IF(BU2="y",CHAR(34)&amp;"unjack"&amp;CHAR(34)&amp;",","")</f>
        <v/>
      </c>
      <c r="GH2" s="44" t="str">
        <f>IF(CD2=1,CHAR(34)&amp;"southc"&amp;CHAR(34)&amp;",","")</f>
        <v>"southc",</v>
      </c>
      <c r="GI2" s="44" t="str">
        <f>IF(CE2=1,CHAR(34)&amp;"hasmap"&amp;CHAR(34)&amp;",","")</f>
        <v/>
      </c>
      <c r="GJ2" s="44" t="str">
        <f>IF(CP2="y",CHAR(34)&amp;CP$1&amp;CHAR(34)&amp;",","")</f>
        <v/>
      </c>
      <c r="GK2" s="44" t="str">
        <f>IF(GJ2="",CHAR(34)&amp;"HasSta"&amp;CHAR(34)&amp;",","")</f>
        <v>"HasSta",</v>
      </c>
      <c r="GL2" s="44" t="str">
        <f t="shared" ref="GL2:GN3" si="5">IF(CQ2="y",CHAR(34)&amp;CQ$1&amp;CHAR(34)&amp;",","")</f>
        <v/>
      </c>
      <c r="GM2" s="44" t="str">
        <f t="shared" si="5"/>
        <v/>
      </c>
      <c r="GN2" s="44" t="str">
        <f t="shared" si="5"/>
        <v>"3+Star",</v>
      </c>
      <c r="GP2" s="44" t="str">
        <f>CHAR(34)&amp;AU2&amp;CHAR(34)</f>
        <v>""</v>
      </c>
      <c r="GS2" s="44" t="str">
        <f>SUBSTITUTE("["&amp;_xlfn.CONCAT(CW2:GN2)&amp;"]",",]","]")</f>
        <v>["4Color","words2","exact2","lets15","startC","year19","year00","dgband","alldia","2Bands","Diagon","Circle","Animal","Bird","Geogrh","staWHI","ntWHYE","NO_RED","NO_BLA","001GRE","003BLU","myrEQ","island","englis","southc","HasSta","3+Star"]</v>
      </c>
      <c r="GT2" s="44" t="str">
        <f t="shared" ref="GT2:HB3" si="6">IF(BL2&lt;&gt;"",CHAR(34)&amp;"cl_"&amp;BL2&amp;CHAR(34)&amp;",","")</f>
        <v>"cl_BLU",</v>
      </c>
      <c r="GU2" s="44" t="str">
        <f t="shared" si="6"/>
        <v>"cl_GRE",</v>
      </c>
      <c r="GV2" s="44" t="str">
        <f t="shared" si="6"/>
        <v>"cl_YEL",</v>
      </c>
      <c r="GW2" s="44" t="str">
        <f t="shared" si="6"/>
        <v>"cl_WHI",</v>
      </c>
      <c r="GX2" s="44" t="str">
        <f t="shared" si="6"/>
        <v/>
      </c>
      <c r="GY2" s="44" t="str">
        <f t="shared" si="6"/>
        <v/>
      </c>
      <c r="GZ2" s="44" t="str">
        <f t="shared" si="6"/>
        <v/>
      </c>
      <c r="HA2" s="44" t="str">
        <f t="shared" si="6"/>
        <v/>
      </c>
      <c r="HB2" s="44" t="str">
        <f t="shared" si="6"/>
        <v/>
      </c>
      <c r="HC2" s="44" t="str">
        <f>SUBSTITUTE("["&amp;_xlfn.CONCAT(GT2:HB2)&amp;"]",",]","]")</f>
        <v>["cl_BLU","cl_GRE","cl_YEL","cl_WHI"]</v>
      </c>
      <c r="HE2" s="64"/>
      <c r="HF2" s="65" t="str">
        <f>"{couname:"&amp;CT2&amp;(IF(HK2&lt;&gt;"",",subtype:"&amp;CHAR(34)&amp;HK2&amp;CHAR(34),""))&amp;",year:"&amp;HJ2&amp;",region:"&amp;CU2&amp;",Colors:"&amp;HC2&amp;",Items:"&amp;GS2&amp;",Flag:"&amp;CV2&amp;",HDFlag:"&amp;CHAR(34)&amp;E2&amp;CHAR(34)&amp;",type:"&amp;GP2&amp;", describe: "&amp;HH2&amp;", isnew:"&amp;CHAR(34)&amp;F2&amp;CHAR(34)&amp;", links: "&amp;HL2&amp;"},"</f>
        <v>{couname:"Christmas Island",year:"1986, 2002 ",region:"rgn_Oceania, rgn_Asia",Colors:["cl_BLU","cl_GRE","cl_YEL","cl_WHI"],Items:["4Color","words2","exact2","lets15","startC","year19","year00","dgband","alldia","2Bands","Diagon","Circle","Animal","Bird","Geogrh","staWHI","ntWHYE","NO_RED","NO_BLA","001GRE","003BLU","myrEQ","island","englis","southc","HasSta","3+Star"],Flag:"https://upload.wikimedia.org/wikipedia/commons/thumb/6/67/Flag_of_Christmas_Island.svg/383px-Flag_of_Christmas_Island.svg.png",HDFlag:"https://upload.wikimedia.org/wikipedia/commons/thumb/6/67/Flag_of_Christmas_Island.svg/2560px-Flag_of_Christmas_Island.svg.png",type:"", describe: "\nThe flag of Christmas Island consists of a green and blue background, split from the top left corner to the bottom right. These colours are intended to represent the land and sea respectively. The Southern Cross constellation appears in the bottom left of the flag similar to the flag of Australia. In the top right, the golden bosun bird (Phaethon lepturus fulvus, one of six subspecies of the white-tailed tropicbird) appears. It is considered to be a symbol of the Island. The last motif appears in the centre of the flag on a golden disc is the map of the island in green. The disc itself was originally only included to offset the green colour of the map, but has become linked to the mining industry.", isnew:".", links: "https://en.wikipedia.org/wiki/Flag_of_Christmas_Island"},</v>
      </c>
      <c r="HG2" s="66" t="str">
        <f>"{couname:"&amp;CT2&amp;(IF(HK2&lt;&gt;"",",subtype:"&amp;CHAR(34)&amp;HK2&amp;CHAR(34),""))&amp;",year:"&amp;HJ2&amp;",region:"&amp;CU2&amp;",Colors:"&amp;HC2&amp;",Items:"&amp;GS2&amp;",Flag:"&amp;CV2&amp;",HDFlag:"&amp;CHAR(34)&amp;E2&amp;CHAR(34)&amp;",type:"&amp;GP2&amp;", describe: "&amp;HI2&amp;", links: "&amp;HL2&amp;"},"</f>
        <v>{couname:"Christmas Island",year:"1986, 2002 ",region:"rgn_Oceania, rgn_Asia",Colors:["cl_BLU","cl_GRE","cl_YEL","cl_WHI"],Items:["4Color","words2","exact2","lets15","startC","year19","year00","dgband","alldia","2Bands","Diagon","Circle","Animal","Bird","Geogrh","staWHI","ntWHYE","NO_RED","NO_BLA","001GRE","003BLU","myrEQ","island","englis","southc","HasSta","3+Star"],Flag:"https://upload.wikimedia.org/wikipedia/commons/thumb/6/67/Flag_of_Christmas_Island.svg/383px-Flag_of_Christmas_Island.svg.png",HDFlag:"https://upload.wikimedia.org/wikipedia/commons/thumb/6/67/Flag_of_Christmas_Island.svg/2560px-Flag_of_Christmas_Island.svg.png",type:"", describe: "\nThe flag of Christmas Island consists of a green and blue background, split from the top left corner to the bottom right. These colours are intended to represent the land and sea respectively. The Southern Cross constellation appears in the bottom left of the flag similar to the flag of Australia. In the top right, the golden bosun bird (Phaethon lepturus fulvus, one of six subspecies of the white-tailed tropicbird) appears. It is considered to be a symbol of the Island. The last motif appears in the centre of the flag on a golden disc is the map of the island in green. The disc itself was originally only included to offset the green colour of the map, but has become linked to the mining industry.", links: "https://en.wikipedia.org/wiki/Flag_of_Christmas_Island"},</v>
      </c>
      <c r="HH2" s="44" t="str">
        <f>IF(P2&lt;&gt;"",CHAR(34)&amp;"\n"&amp;P2&amp;CHAR(34),CHAR(34)&amp;CHAR(34))</f>
        <v>"\nThe flag of Christmas Island consists of a green and blue background, split from the top left corner to the bottom right. These colours are intended to represent the land and sea respectively. The Southern Cross constellation appears in the bottom left of the flag similar to the flag of Australia. In the top right, the golden bosun bird (Phaethon lepturus fulvus, one of six subspecies of the white-tailed tropicbird) appears. It is considered to be a symbol of the Island. The last motif appears in the centre of the flag on a golden disc is the map of the island in green. The disc itself was originally only included to offset the green colour of the map, but has become linked to the mining industry."</v>
      </c>
      <c r="HI2" s="44" t="str">
        <f>IF(J2=0,CHAR(34)&amp;CHAR(34),HH2)</f>
        <v>"\nThe flag of Christmas Island consists of a green and blue background, split from the top left corner to the bottom right. These colours are intended to represent the land and sea respectively. The Southern Cross constellation appears in the bottom left of the flag similar to the flag of Australia. In the top right, the golden bosun bird (Phaethon lepturus fulvus, one of six subspecies of the white-tailed tropicbird) appears. It is considered to be a symbol of the Island. The last motif appears in the centre of the flag on a golden disc is the map of the island in green. The disc itself was originally only included to offset the green colour of the map, but has become linked to the mining industry."</v>
      </c>
      <c r="HJ2" s="44" t="str">
        <f>CHAR(34)&amp;O2&amp;CHAR(34)</f>
        <v>"1986, 2002 "</v>
      </c>
      <c r="HL2" s="44" t="str">
        <f>CHAR(34)&amp;I2&amp;CHAR(34)</f>
        <v>"https://en.wikipedia.org/wiki/Flag_of_Christmas_Island"</v>
      </c>
      <c r="HM2" s="65"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{"couname":"Christmas Island","year":"1986, 2002 ","region":"rgn_Oceania, rgn_Asia","Colors":["cl_BLU","cl_GRE","cl_YEL","cl_WHI"],"Items":["4Color","words2","exact2","lets15","startC","year19","year00","dgband","alldia","2Bands","Diagon","Circle","Animal","Bird","Geogrh","staWHI","ntWHYE","NO_RED","NO_BLA","001GRE","003BLU","myrEQ","island","englis","southc","HasSta","3+Star"],"Flag":"https://upload.wikimedia.org/wikipedia/commons/thumb/6/67/Flag_of_Christmas_Island.svg/383px-Flag_of_Christmas_Island.svg.png","HDFlag":"https://upload.wikimedia.org/wikipedia/commons/thumb/6/67/Flag_of_Christmas_Island.svg/2560px-Flag_of_Christmas_Island.svg.png","type":"", "describe": "\nThe flag of Christmas Island consists of a green and blue background, split from the top left corner to the bottom right. These colours are intended to represent the land and sea respectively. The Southern Cross constellation appears in the bottom left of the flag similar to the flag of Australia. In the top right, the golden bosun bird (Phaethon lepturus fulvus, one of six subspecies of the white-tailed tropicbird) appears. It is considered to be a symbol of the Island. The last motif appears in the centre of the flag on a golden disc is the map of the island in green. The disc itself was originally only included to offset the green colour of the map, but has become linked to the mining industry.", "isnew": ".", "links": "https://en.wikipedia.org/wiki/Flag_of_Christmas_Island"},</v>
      </c>
      <c r="HN2" s="67"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{"couname":"Christmas Island","year":"1986, 2002 ","region":"rgn_Oceania, rgn_Asia","Colors":["cl_BLU","cl_GRE","cl_YEL","cl_WHI"],"Items":["4Color","words2","exact2","lets15","startC","year19","year00","dgband","alldia","2Bands","Diagon","Circle","Animal","Bird","Geogrh","staWHI","ntWHYE","NO_RED","NO_BLA","001GRE","003BLU","myrEQ","island","englis","southc","HasSta","3+Star"],"Flag":"https://upload.wikimedia.org/wikipedia/commons/thumb/6/67/Flag_of_Christmas_Island.svg/383px-Flag_of_Christmas_Island.svg.png","HDFlag":"https://upload.wikimedia.org/wikipedia/commons/thumb/6/67/Flag_of_Christmas_Island.svg/2560px-Flag_of_Christmas_Island.svg.png","type":"", "describe": "\nThe flag of Christmas Island consists of a green and blue background, split from the top left corner to the bottom right. These colours are intended to represent the land and sea respectively. The Southern Cross constellation appears in the bottom left of the flag similar to the flag of Australia. In the top right, the golden bosun bird (Phaethon lepturus fulvus, one of six subspecies of the white-tailed tropicbird) appears. It is considered to be a symbol of the Island. The last motif appears in the centre of the flag on a golden disc is the map of the island in green. The disc itself was originally only included to offset the green colour of the map, but has become linked to the mining industry.", "isnew": ".", "links": "https://en.wikipedia.org/wiki/Flag_of_Christmas_Island"},</v>
      </c>
      <c r="HO2" s="71"/>
      <c r="HP2" s="44" t="str" cm="1">
        <f t="array" ref="HP2">IF(_xlfn.TEXTJOIN(", ", TRUE, IF(ISNUMBER(SEARCH("BLA", BL2:BT2)), COLUMN(BL2:BT2) - COLUMN(BL2) + 1, ""))&lt;&gt;"","BLA","")</f>
        <v/>
      </c>
      <c r="HQ2" s="44" t="str" cm="1">
        <f t="array" ref="HQ2">IF(_xlfn.TEXTJOIN(", ", TRUE, IF(ISNUMBER(SEARCH("BLU", BL2:BT2)), COLUMN(BL2:BT2) - COLUMN(BL2) + 1, ""))&lt;&gt;"","BLU","")</f>
        <v>BLU</v>
      </c>
      <c r="HR2" s="44" t="str" cm="1">
        <f t="array" ref="HR2">IF(_xlfn.TEXTJOIN(", ", TRUE, IF(ISNUMBER(SEARCH("GRE", BL2:BT2)), COLUMN(BL2:BT2) - COLUMN(BL2) + 1, ""))&lt;&gt;"","GRE","")</f>
        <v>GRE</v>
      </c>
      <c r="HS2" s="44" t="str" cm="1">
        <f t="array" ref="HS2">IF(_xlfn.TEXTJOIN(", ", TRUE, IF(ISNUMBER(SEARCH("RED", BL2:BT2)), COLUMN(BL2:BT2) - COLUMN(BL2) + 1, ""))&lt;&gt;"","RED","")</f>
        <v/>
      </c>
      <c r="HT2" s="44" t="str" cm="1">
        <f t="array" ref="HT2">IF(_xlfn.TEXTJOIN(", ", TRUE, IF(ISNUMBER(SEARCH("YEL", BL2:BT2)), COLUMN(BL2:BT2) - COLUMN(BL2) + 1, ""))&lt;&gt;"","YEL","")</f>
        <v>YEL</v>
      </c>
      <c r="HU2" s="44" t="str" cm="1">
        <f t="array" ref="HU2">IF(_xlfn.TEXTJOIN(", ", TRUE, IF(ISNUMBER(SEARCH("ORA", BL2:BT2)), COLUMN(BL2:BT2) - COLUMN(BL2) + 1, ""))&lt;&gt;"","ORA","")</f>
        <v/>
      </c>
      <c r="HV2" s="44" t="str" cm="1">
        <f t="array" ref="HV2">IF(_xlfn.TEXTJOIN(", ", TRUE, IF(ISNUMBER(SEARCH("BRO", BL2:BT2)), COLUMN(BL2:BT2) - COLUMN(BL2) + 1, ""))&lt;&gt;"","BRO","")</f>
        <v/>
      </c>
      <c r="HW2" s="44" t="str" cm="1">
        <f t="array" ref="HW2">IF(_xlfn.TEXTJOIN(", ", TRUE, IF(ISNUMBER(SEARCH("PUR", BL2:BT2)), COLUMN(BL2:BT2) - COLUMN(BL2) + 1, ""))&lt;&gt;"","PUR","")</f>
        <v/>
      </c>
      <c r="HX2" s="44" t="str" cm="1">
        <f t="array" ref="HX2">IF(_xlfn.TEXTJOIN(", ", TRUE, IF(ISNUMBER(SEARCH("WHI", BL2:BT2)), COLUMN(BL2:BT2) - COLUMN(BL2) + 1, ""))&lt;&gt;"","WHI","")</f>
        <v>WHI</v>
      </c>
      <c r="HY2" s="72"/>
      <c r="HZ2" s="72"/>
      <c r="IA2" s="5"/>
      <c r="IB2" s="5"/>
      <c r="IC2" s="68"/>
      <c r="ID2" s="68"/>
      <c r="IE2" s="68"/>
      <c r="IF2" s="68"/>
      <c r="IG2" s="68"/>
      <c r="IH2" s="68"/>
      <c r="II2" s="68"/>
      <c r="IJ2" s="68"/>
      <c r="IK2" s="68"/>
      <c r="IL2" s="44">
        <f>SUM(IC2:IK2)</f>
        <v>0</v>
      </c>
      <c r="IM2" s="42">
        <f>COUNTIF(IC2:IK2,"&gt;0")-CG2</f>
        <v>-4</v>
      </c>
      <c r="IN2" s="69" t="str">
        <f>"http://mkweb.bcgsc.ca/color-summarizer/?url="&amp;D2&amp;"&amp;precision=low&amp;num_clusters="&amp;CG2&amp;"&amp;text=1"</f>
        <v>http://mkweb.bcgsc.ca/color-summarizer/?url=https://upload.wikimedia.org/wikipedia/commons/thumb/6/67/Flag_of_Christmas_Island.svg/383px-Flag_of_Christmas_Island.svg.png&amp;precision=low&amp;num_clusters=4&amp;text=1</v>
      </c>
      <c r="IO2" s="44" t="str">
        <f>IF(HP2&lt;&gt;"",CHAR(34)&amp;"black"&amp;CHAR(34),"")</f>
        <v/>
      </c>
      <c r="IP2" s="44" t="str">
        <f>IF(HQ2&lt;&gt;"",CHAR(34)&amp;"blue"&amp;CHAR(34),"")</f>
        <v>"blue"</v>
      </c>
      <c r="IQ2" s="44" t="str">
        <f>IF(HR2&lt;&gt;"",CHAR(34)&amp;"green"&amp;CHAR(34),"")</f>
        <v>"green"</v>
      </c>
      <c r="IR2" s="44" t="str">
        <f>IF(HS2&lt;&gt;"",CHAR(34)&amp;"red"&amp;CHAR(34),"")</f>
        <v/>
      </c>
      <c r="IS2" s="44" t="str">
        <f>IF(HT2&lt;&gt;"",CHAR(34)&amp;"yellow"&amp;CHAR(34),"")</f>
        <v>"yellow"</v>
      </c>
      <c r="IT2" s="44" t="str">
        <f>IF(HU2&lt;&gt;"",CHAR(34)&amp;"orange"&amp;CHAR(34),"")</f>
        <v/>
      </c>
      <c r="IU2" s="44" t="str">
        <f>IF(HV2&lt;&gt;"",CHAR(34)&amp;"brown"&amp;CHAR(34),"")</f>
        <v/>
      </c>
      <c r="IV2" s="44" t="str">
        <f>IF(HW2&lt;&gt;"",CHAR(34)&amp;"purple"&amp;CHAR(34),"")</f>
        <v/>
      </c>
      <c r="IW2" s="44" t="str">
        <f>IF(HX2&lt;&gt;"",CHAR(34)&amp;"white"&amp;CHAR(34),"")</f>
        <v>"white"</v>
      </c>
      <c r="IX2" s="44" t="str">
        <f>"{"&amp;CHAR(34)&amp;"url"&amp;CHAR(34)&amp;":"&amp;CHAR(34)&amp;IN2&amp;CHAR(34)&amp;","&amp;CHAR(34)&amp;"name"&amp;CHAR(34)&amp;":"&amp;CHAR(34)&amp;A2&amp;CHAR(34)&amp;"},"</f>
        <v>{"url":"http://mkweb.bcgsc.ca/color-summarizer/?url=https://upload.wikimedia.org/wikipedia/commons/thumb/6/67/Flag_of_Christmas_Island.svg/383px-Flag_of_Christmas_Island.svg.png&amp;precision=low&amp;num_clusters=4&amp;text=1","name":"Christmas Island"},</v>
      </c>
      <c r="IY2" s="44">
        <v>47</v>
      </c>
    </row>
    <row r="3" spans="1:259" s="44" customFormat="1" ht="38.4" customHeight="1" thickBot="1" x14ac:dyDescent="0.35">
      <c r="A3" s="80" t="s">
        <v>653</v>
      </c>
      <c r="B3" s="78" t="e" vm="31">
        <v>#VALUE!</v>
      </c>
      <c r="C3" s="39">
        <v>2</v>
      </c>
      <c r="D3" s="70" t="s">
        <v>654</v>
      </c>
      <c r="E3" s="40" t="s">
        <v>654</v>
      </c>
      <c r="F3" s="41" t="s">
        <v>647</v>
      </c>
      <c r="G3" s="42">
        <f>COUNTIF($A$1:$A$8270,A3)</f>
        <v>1</v>
      </c>
      <c r="H3" s="43"/>
      <c r="I3" s="59" t="s">
        <v>655</v>
      </c>
      <c r="J3" s="44" t="str">
        <f>""</f>
        <v/>
      </c>
      <c r="K3" s="45"/>
      <c r="L3" s="46"/>
      <c r="M3" s="46"/>
      <c r="N3" s="47" t="s">
        <v>177</v>
      </c>
      <c r="O3" s="74" t="s">
        <v>230</v>
      </c>
      <c r="P3" s="48" t="s">
        <v>656</v>
      </c>
      <c r="Q3" s="73">
        <v>4</v>
      </c>
      <c r="R3" s="49" t="s">
        <v>195</v>
      </c>
      <c r="S3" s="50">
        <v>0</v>
      </c>
      <c r="T3" s="51" t="s">
        <v>166</v>
      </c>
      <c r="U3" s="52" t="s">
        <v>166</v>
      </c>
      <c r="V3" s="52" t="s">
        <v>166</v>
      </c>
      <c r="W3" s="52" t="s">
        <v>166</v>
      </c>
      <c r="X3" s="52" t="s">
        <v>166</v>
      </c>
      <c r="Y3" s="52" t="s">
        <v>167</v>
      </c>
      <c r="Z3" s="52" t="s">
        <v>167</v>
      </c>
      <c r="AA3" s="52" t="s">
        <v>166</v>
      </c>
      <c r="AB3" s="52" t="s">
        <v>167</v>
      </c>
      <c r="AC3" s="52" t="s">
        <v>166</v>
      </c>
      <c r="AD3" s="52" t="s">
        <v>166</v>
      </c>
      <c r="AE3" s="52" t="s">
        <v>166</v>
      </c>
      <c r="AF3" s="53" t="s">
        <v>166</v>
      </c>
      <c r="AG3" s="53" t="s">
        <v>166</v>
      </c>
      <c r="AH3" s="53" t="s">
        <v>167</v>
      </c>
      <c r="AI3" s="53" t="s">
        <v>166</v>
      </c>
      <c r="AJ3" s="53" t="s">
        <v>166</v>
      </c>
      <c r="AK3" s="53" t="s">
        <v>166</v>
      </c>
      <c r="AL3" s="53" t="s">
        <v>166</v>
      </c>
      <c r="AM3" s="53" t="s">
        <v>167</v>
      </c>
      <c r="AN3" s="53" t="s">
        <v>166</v>
      </c>
      <c r="AO3" s="53" t="s">
        <v>166</v>
      </c>
      <c r="AP3" s="53" t="s">
        <v>166</v>
      </c>
      <c r="AQ3" s="53" t="s">
        <v>166</v>
      </c>
      <c r="AR3" s="53" t="s">
        <v>166</v>
      </c>
      <c r="AS3" s="53" t="s">
        <v>166</v>
      </c>
      <c r="AT3" s="54">
        <v>0</v>
      </c>
      <c r="AU3" s="53" t="s">
        <v>652</v>
      </c>
      <c r="AV3" s="53" t="str">
        <f>IF(LEFT(A3,1)="[",LEFT(A3,5)&amp;AU3&amp;A3,"")</f>
        <v>[CXR]Government[CXR] Shire of Christmas Island</v>
      </c>
      <c r="AW3" s="53" t="str">
        <f>C3&amp;H3&amp;A3</f>
        <v>2[CXR] Shire of Christmas Island</v>
      </c>
      <c r="AX3" s="55"/>
      <c r="AY3" s="55"/>
      <c r="AZ3" s="56"/>
      <c r="BA3" s="56"/>
      <c r="BB3" s="56"/>
      <c r="BC3" s="57"/>
      <c r="BD3" s="58" t="s">
        <v>161</v>
      </c>
      <c r="BE3" s="59"/>
      <c r="BF3" s="58"/>
      <c r="BG3" s="58"/>
      <c r="BH3" s="58"/>
      <c r="BI3" s="58"/>
      <c r="BJ3" s="58"/>
      <c r="BK3" s="59"/>
      <c r="BL3" s="58" t="s">
        <v>161</v>
      </c>
      <c r="BM3" s="58" t="s">
        <v>157</v>
      </c>
      <c r="BN3" s="58" t="s">
        <v>155</v>
      </c>
      <c r="BO3" s="58" t="s">
        <v>153</v>
      </c>
      <c r="BP3" s="58"/>
      <c r="BQ3" s="58"/>
      <c r="BR3" s="58"/>
      <c r="BS3" s="58"/>
      <c r="BT3" s="58"/>
      <c r="BU3" s="60"/>
      <c r="BV3" s="61"/>
      <c r="BW3" s="61">
        <v>0</v>
      </c>
      <c r="BX3" s="59"/>
      <c r="CB3" s="5"/>
      <c r="CC3" s="5"/>
      <c r="CD3" s="62">
        <v>0</v>
      </c>
      <c r="CE3" s="62">
        <v>0</v>
      </c>
      <c r="CF3" s="62" t="e">
        <v>#REF!</v>
      </c>
      <c r="CG3" s="75" cm="1">
        <f t="array" ref="CG3">SUMPRODUCT(--(LEN(TRIM(BL3:BT3))&gt;0))</f>
        <v>4</v>
      </c>
      <c r="CH3" s="53" t="str">
        <f>IF(CG3=2,"y","n")</f>
        <v>n</v>
      </c>
      <c r="CI3" s="53" t="str">
        <f>IF(CG3=3,"y","n")</f>
        <v>n</v>
      </c>
      <c r="CJ3" s="53" t="str">
        <f>IF(CG3=4,"y","n")</f>
        <v>y</v>
      </c>
      <c r="CK3" s="53" t="str">
        <f>IF(CG3&gt;4,"y","n")</f>
        <v>n</v>
      </c>
      <c r="CL3" s="53" t="str">
        <f>IF(S3=0,"y","n")</f>
        <v>y</v>
      </c>
      <c r="CM3" s="53" t="str">
        <f>IF(S3=2,"y","n")</f>
        <v>n</v>
      </c>
      <c r="CN3" s="53" t="str">
        <f>IF(S3=3,"y","n")</f>
        <v>n</v>
      </c>
      <c r="CO3" s="53" t="str">
        <f>IF(S3&gt;=4,"y","n")</f>
        <v>n</v>
      </c>
      <c r="CP3" s="53" t="str">
        <f>IF(AT3=0,"y","n")</f>
        <v>y</v>
      </c>
      <c r="CQ3" s="53" t="str">
        <f>IF(AT3=1,"y","n")</f>
        <v>n</v>
      </c>
      <c r="CR3" s="53" t="str">
        <f>IF(AT3=2,"y","n")</f>
        <v>n</v>
      </c>
      <c r="CS3" s="53" t="str">
        <f>IF(AT3&gt;=3,"y","n")</f>
        <v>n</v>
      </c>
      <c r="CT3" s="38" t="str">
        <f>CHAR(34)&amp;A3&amp;CHAR(34)</f>
        <v>"[CXR] Shire of Christmas Island"</v>
      </c>
      <c r="CU3" s="63" t="str">
        <f>CHAR(34)&amp;"rgn_"&amp;R3&amp;CHAR(34)</f>
        <v>"rgn_Oceania, rgn_Asia"</v>
      </c>
      <c r="CV3" s="44" t="str">
        <f>CHAR(34)&amp;D3&amp;CHAR(34)</f>
        <v>"https://upload.wikimedia.org/wikipedia/en/a/a9/CXshirecouncillogo.png"</v>
      </c>
      <c r="CW3" s="44" t="str">
        <f t="shared" si="0"/>
        <v/>
      </c>
      <c r="CX3" s="44" t="str">
        <f t="shared" si="0"/>
        <v/>
      </c>
      <c r="CY3" s="44" t="str">
        <f t="shared" si="0"/>
        <v>"4Color",</v>
      </c>
      <c r="CZ3" s="44" t="str">
        <f t="shared" si="0"/>
        <v/>
      </c>
      <c r="DA3" s="44" t="str">
        <f>IF(Q3&gt;1,CHAR(34)&amp;"words2"&amp;CHAR(34)&amp;",","")</f>
        <v>"words2",</v>
      </c>
      <c r="DB3" s="44" t="str">
        <f>IF(Q3&gt;2,CHAR(34)&amp;"words3"&amp;CHAR(34)&amp;",","")</f>
        <v>"words3",</v>
      </c>
      <c r="DD3" s="44"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"lets22",</v>
      </c>
      <c r="DE3" s="44" t="str">
        <f>CHAR(34)&amp;"start"&amp;IFERROR(LEFT(SUBSTITUTE(A3,"["&amp;MID(A3,FIND("[",A3)+1,FIND("]",A3)-FIND("[",A3)-1)&amp;"] ",""),1),LEFT(A3,1))&amp;CHAR(34)&amp;","</f>
        <v>"startS",</v>
      </c>
      <c r="DF3" s="44" t="str">
        <f>IFERROR(IF(SEARCH("tan",A3)&gt;0,CHAR(34)&amp;"withtn"&amp;CHAR(34)&amp;",",""),"")</f>
        <v/>
      </c>
      <c r="DG3" s="44" t="str">
        <f>IFERROR(IF(SEARCH("q",A3)&gt;0,CHAR(34)&amp;"with_q"&amp;CHAR(34)&amp;",",""),"")</f>
        <v/>
      </c>
      <c r="DH3" s="44" t="str">
        <f>IFERROR(IF(SEARCH("v",A3)&gt;0,CHAR(34)&amp;"with_v"&amp;CHAR(34)&amp;",",""),"")</f>
        <v/>
      </c>
      <c r="DI3" s="44" t="str">
        <f>IFERROR(IF(SEARCH("w",A3)&gt;0,CHAR(34)&amp;"with_w"&amp;CHAR(34)&amp;",",""),"")</f>
        <v/>
      </c>
      <c r="DJ3" s="44" t="str">
        <f>IFERROR(IF(SEARCH("y",A3)&gt;0,CHAR(34)&amp;"with_y"&amp;CHAR(34)&amp;",",""),"")</f>
        <v/>
      </c>
      <c r="DK3" s="44" t="str">
        <f>IFERROR(IF(SEARCH("z",A3)&gt;0,CHAR(34)&amp;"with_z"&amp;CHAR(34)&amp;",",""),"")</f>
        <v/>
      </c>
      <c r="DL3" s="44" t="str">
        <f>IF(CG3=2, CHAR(34) &amp; _xlfn.TEXTJOIN("", TRUE, _xlfn._xlws.SORT(HP3:HX3)) &amp; CHAR(34) &amp; ",", "")</f>
        <v/>
      </c>
      <c r="DM3" s="44" t="str" cm="1">
        <f t="array" ref="DM3">IF(CG3=3,CHAR(34) &amp; _xlfn.TEXTJOIN("", TRUE, RIGHT(HP3:HX3, 2)) &amp; CHAR(34) &amp; ",", "")</f>
        <v/>
      </c>
      <c r="DN3" s="44" t="str">
        <f>IF(AND(ISNUMBER(SEARCH("18", O3)), ISERROR(SEARCH("1918", O3)), ISERROR(SEARCH("2018", O3))), CHAR(34) &amp; "year18" &amp; CHAR(34) &amp; ",", "")</f>
        <v/>
      </c>
      <c r="DO3" s="44" t="str">
        <f>IF(AND(ISNUMBER(SEARCH("19", O3)), ISERROR(SEARCH("1819", O3)),  ISERROR(SEARCH("1219", O3)),ISERROR(SEARCH("1119", O3)),ISERROR(SEARCH("1190", O3)),ISERROR(SEARCH("2019", O3))), CHAR(34) &amp; "year19" &amp; CHAR(34) &amp; ",", "")</f>
        <v/>
      </c>
      <c r="DP3" s="5" t="str">
        <f>IF(AND(ISNUMBER(SEARCH("20", O3)), ISERROR(SEARCH("1920", O3))), CHAR(34)&amp;"year00"&amp;CHAR(34)&amp;",", "")</f>
        <v/>
      </c>
      <c r="DQ3" s="5" t="str">
        <f>IF(CC3="y",CHAR(34)&amp;"soviet"&amp;CHAR(34)&amp;",","")</f>
        <v/>
      </c>
      <c r="DR3" s="5" t="str">
        <f>IF(BY3="y",CHAR(34)&amp;"dgband"&amp;CHAR(34)&amp;",","")</f>
        <v/>
      </c>
      <c r="DS3" s="5" t="str">
        <f>IF(W3="y",IF(AND(V3="n",BY3&lt;&gt;"y"),CHAR(34)&amp;"allver"&amp;CHAR(34)&amp;",",""),"")</f>
        <v/>
      </c>
      <c r="DT3" s="5" t="str">
        <f>IF(V3="y",IF(AND(W3="n",BY3&lt;&gt;"y"),CHAR(34)&amp;"allhor"&amp;CHAR(34)&amp;",",""),"")</f>
        <v/>
      </c>
      <c r="DU3" s="5" t="str">
        <f>IF(BY3="y",IF(AND(W3="n",V3="n"),CHAR(34)&amp;"alldia"&amp;CHAR(34)&amp;",",""),"")</f>
        <v/>
      </c>
      <c r="DW3" s="44" t="str">
        <f t="shared" si="1"/>
        <v>"NoBand",</v>
      </c>
      <c r="DX3" s="44" t="str">
        <f t="shared" si="1"/>
        <v/>
      </c>
      <c r="DY3" s="44" t="str">
        <f t="shared" si="1"/>
        <v/>
      </c>
      <c r="DZ3" s="44" t="str">
        <f t="shared" si="1"/>
        <v/>
      </c>
      <c r="EA3" s="44" t="str">
        <f t="shared" si="2"/>
        <v/>
      </c>
      <c r="EB3" s="44" t="str">
        <f t="shared" si="2"/>
        <v/>
      </c>
      <c r="EC3" s="44" t="str">
        <f t="shared" si="2"/>
        <v/>
      </c>
      <c r="ED3" s="44" t="str">
        <f t="shared" si="2"/>
        <v/>
      </c>
      <c r="EE3" s="44" t="str">
        <f t="shared" si="2"/>
        <v/>
      </c>
      <c r="EF3" s="44" t="str">
        <f>IF(AND(Y3&lt;&gt;"n",Y3&lt;&gt;""),CHAR(34)&amp;Y$1&amp;CHAR(34)&amp;",","")</f>
        <v>"Animal",</v>
      </c>
      <c r="EG3" s="44" t="str">
        <f t="shared" si="3"/>
        <v>"Bird",</v>
      </c>
      <c r="EH3" s="44" t="str">
        <f t="shared" si="3"/>
        <v/>
      </c>
      <c r="EI3" s="44" t="str">
        <f t="shared" si="3"/>
        <v>"Texted",</v>
      </c>
      <c r="EJ3" s="44" t="str">
        <f t="shared" si="3"/>
        <v/>
      </c>
      <c r="EK3" s="44" t="str">
        <f t="shared" si="3"/>
        <v/>
      </c>
      <c r="EL3" s="44" t="str">
        <f t="shared" si="3"/>
        <v/>
      </c>
      <c r="EM3" s="44" t="str">
        <f t="shared" si="3"/>
        <v/>
      </c>
      <c r="EN3" s="44" t="str">
        <f t="shared" si="3"/>
        <v/>
      </c>
      <c r="EO3" s="44" t="str">
        <f t="shared" si="3"/>
        <v>"Center",</v>
      </c>
      <c r="EP3" s="44" t="str">
        <f t="shared" si="3"/>
        <v/>
      </c>
      <c r="EQ3" s="44" t="str">
        <f t="shared" si="4"/>
        <v/>
      </c>
      <c r="ER3" s="44" t="str">
        <f t="shared" si="4"/>
        <v/>
      </c>
      <c r="ES3" s="44" t="str">
        <f t="shared" si="4"/>
        <v/>
      </c>
      <c r="ET3" s="44" t="str">
        <f t="shared" si="4"/>
        <v>"Geogrh",</v>
      </c>
      <c r="EU3" s="44" t="str">
        <f t="shared" si="4"/>
        <v/>
      </c>
      <c r="EV3" s="44" t="str">
        <f t="shared" si="4"/>
        <v/>
      </c>
      <c r="EW3" s="44" t="str">
        <f t="shared" si="4"/>
        <v/>
      </c>
      <c r="EX3" s="44" t="str">
        <f t="shared" si="4"/>
        <v/>
      </c>
      <c r="EY3" s="44" t="str">
        <f t="shared" si="4"/>
        <v/>
      </c>
      <c r="EZ3" s="44" t="str">
        <f t="shared" si="4"/>
        <v/>
      </c>
      <c r="FA3" s="44" t="str">
        <f>IF(AT3&gt;0,CHAR(34)&amp;"sta"&amp;AZ3&amp;CHAR(34)&amp;",","")</f>
        <v/>
      </c>
      <c r="FB3" s="44" t="str">
        <f>IF(AND(AT3&gt;0,BA3&lt;&gt;""),CHAR(34)&amp;"sta"&amp;BA3&amp;CHAR(34)&amp;",","")</f>
        <v/>
      </c>
      <c r="FD3" s="44" t="str">
        <f>IF(BV3="n",CHAR(34)&amp;"tcWHYE"&amp;CHAR(34)&amp;",",IF(BV3="y",CHAR(34)&amp;FD$1&amp;CHAR(34)&amp;",",""))</f>
        <v/>
      </c>
      <c r="FE3" s="44" t="str">
        <f>IF(COUNTIF(BL3:BT3,"BLU")=0,CHAR(34)&amp;"NO_BLU"&amp;CHAR(34)&amp;",", "")</f>
        <v>"NO_BLU",</v>
      </c>
      <c r="FF3" s="44" t="str">
        <f>IF(COUNTIF(BL3:BT3,"WHI")=0,CHAR(34)&amp;"NO_WHI"&amp;CHAR(34)&amp;",", "")</f>
        <v/>
      </c>
      <c r="FG3" s="44" t="str">
        <f>IF(COUNTIF(BL3:BT3,"RED")=0,CHAR(34)&amp;"NO_RED"&amp;CHAR(34)&amp;",", "")</f>
        <v>"NO_RED",</v>
      </c>
      <c r="FH3" s="44" t="str">
        <f>IF(COUNTIF(BL3:BS3,"GRE")=0,CHAR(34)&amp;"NO_GRE"&amp;CHAR(34)&amp;",", "")</f>
        <v/>
      </c>
      <c r="FI3" s="44" t="str">
        <f>IF(COUNTIF(BL3:BT3,"YEL")=0,CHAR(34)&amp;"NO_YEL"&amp;CHAR(34)&amp;",", "")</f>
        <v/>
      </c>
      <c r="FJ3" s="44" t="str">
        <f>IF(COUNTIF(BL3:BT3,"BLA")=0,CHAR(34)&amp;"NO_BLA"&amp;CHAR(34)&amp;",", "")</f>
        <v/>
      </c>
      <c r="FK3" s="44" t="str">
        <f>IF(AND(FH3&lt;&gt;"",FF3&lt;&gt;""),CHAR(34)&amp;"WHGRNO"&amp;CHAR(34)&amp;",","")</f>
        <v/>
      </c>
      <c r="FL3" s="44" t="str">
        <f>IF(AND(FI3&lt;&gt;"",FF3&lt;&gt;""),CHAR(34)&amp;"WHYENO"&amp;CHAR(34)&amp;",","")</f>
        <v/>
      </c>
      <c r="FM3" s="44" t="str">
        <f>IF(AND(FJ3&lt;&gt;"",FF3&lt;&gt;""),CHAR(34)&amp;"BAWHNO"&amp;CHAR(34)&amp;",","")</f>
        <v/>
      </c>
      <c r="FN3" s="44" t="str">
        <f>IF(AND(FE3&lt;&gt;"",FF3&lt;&gt;""),CHAR(34)&amp;"BLWHNO"&amp;CHAR(34)&amp;",","")</f>
        <v/>
      </c>
      <c r="FO3" s="44" t="str">
        <f>IF(AND(FE3&lt;&gt;"",FG3&lt;&gt;""),CHAR(34)&amp;"BLRENO"&amp;CHAR(34)&amp;",","")</f>
        <v>"BLRENO",</v>
      </c>
      <c r="FP3" s="44" t="str">
        <f>IF(AND(FF3&lt;&gt;"",FF3&lt;&gt;""),CHAR(34)&amp;"WHRENO"&amp;CHAR(34)&amp;",","")</f>
        <v/>
      </c>
      <c r="FQ3" s="44" t="str">
        <f>IF(LEN(BF3)=3,CHAR(34)&amp;"001"&amp;BF3&amp;CHAR(34)&amp;",","")</f>
        <v/>
      </c>
      <c r="FR3" s="44" t="str">
        <f>IF(LEN(BG3)=3,CHAR(34)&amp;"002"&amp;BG3&amp;CHAR(34)&amp;",","")</f>
        <v/>
      </c>
      <c r="FS3" s="44" t="str">
        <f>IF(LEN(BH3)=3,CHAR(34)&amp;"003"&amp;BH3&amp;CHAR(34)&amp;",","")</f>
        <v/>
      </c>
      <c r="FT3" s="44" t="str">
        <f>CHAR(34)&amp;"myr"&amp;BD3&amp;CHAR(34)&amp;","</f>
        <v>"myrWHI",</v>
      </c>
      <c r="FU3" s="44" t="str">
        <f>IF(AY3="y",CHAR(34)&amp;"island"&amp;CHAR(34)&amp;",","")</f>
        <v/>
      </c>
      <c r="FV3" s="44" t="str">
        <f>IF(BZ3="y",CHAR(34)&amp;"landlo"&amp;CHAR(34)&amp;",","")</f>
        <v/>
      </c>
      <c r="FW3" s="44" t="str">
        <f>IF(CA3="y",CHAR(34)&amp;"eunion"&amp;CHAR(34)&amp;",","")</f>
        <v/>
      </c>
      <c r="FY3" s="44" t="str">
        <f>IFERROR(IF(SEARCH("Arabic",CB3)&gt;0,CHAR(34)&amp;"arabic"&amp;CHAR(34)&amp;",",""),"")</f>
        <v/>
      </c>
      <c r="FZ3" s="44" t="str">
        <f>IFERROR(IF(SEARCH("English",CB3)&gt;0,CHAR(34)&amp;"englis"&amp;CHAR(34)&amp;",",""),"")</f>
        <v/>
      </c>
      <c r="GA3" s="44" t="str">
        <f>IFERROR(IF(SEARCH("French",CB3)&gt;0,CHAR(34)&amp;"french"&amp;CHAR(34)&amp;",",""),"")</f>
        <v/>
      </c>
      <c r="GB3" s="44" t="str">
        <f>IFERROR(IF(SEARCH("Spanish",CB3)&gt;0,CHAR(34)&amp;"spanis"&amp;CHAR(34)&amp;",",""),"")</f>
        <v/>
      </c>
      <c r="GE3" s="44" t="str">
        <f>IFERROR(IF(SEARCH("Dutch",CB3)&gt;0,CHAR(34)&amp;"dutchs"&amp;CHAR(34)&amp;",",""),"")</f>
        <v/>
      </c>
      <c r="GF3" s="44" t="str">
        <f>IFERROR(IF(SEARCH("Historical",AU3)&gt;0,CHAR(34)&amp;"histor"&amp;CHAR(34)&amp;",",""),"")</f>
        <v/>
      </c>
      <c r="GG3" s="44" t="str">
        <f>IF(BU3="y",CHAR(34)&amp;"unjack"&amp;CHAR(34)&amp;",","")</f>
        <v/>
      </c>
      <c r="GH3" s="44" t="str">
        <f>IF(CD3=1,CHAR(34)&amp;"southc"&amp;CHAR(34)&amp;",","")</f>
        <v/>
      </c>
      <c r="GI3" s="44" t="str">
        <f>IF(CE3=1,CHAR(34)&amp;"hasmap"&amp;CHAR(34)&amp;",","")</f>
        <v/>
      </c>
      <c r="GJ3" s="44" t="str">
        <f>IF(CP3="y",CHAR(34)&amp;CP$1&amp;CHAR(34)&amp;",","")</f>
        <v>"NoStar",</v>
      </c>
      <c r="GK3" s="44" t="str">
        <f>IF(GJ3="",CHAR(34)&amp;"HasSta"&amp;CHAR(34)&amp;",","")</f>
        <v/>
      </c>
      <c r="GL3" s="44" t="str">
        <f t="shared" si="5"/>
        <v/>
      </c>
      <c r="GM3" s="44" t="str">
        <f t="shared" si="5"/>
        <v/>
      </c>
      <c r="GN3" s="44" t="str">
        <f t="shared" si="5"/>
        <v/>
      </c>
      <c r="GP3" s="44" t="str">
        <f>CHAR(34)&amp;AU3&amp;CHAR(34)</f>
        <v>"Government"</v>
      </c>
      <c r="GS3" s="44" t="str">
        <f>SUBSTITUTE("["&amp;_xlfn.CONCAT(CW3:GN3)&amp;"]",",]","]")</f>
        <v>["4Color","words2","words3","lets22","startS","NoBand","Animal","Bird","Texted","Center","Geogrh","NO_BLU","NO_RED","BLRENO","myrWHI","NoStar"]</v>
      </c>
      <c r="GT3" s="44" t="str">
        <f t="shared" si="6"/>
        <v>"cl_WHI",</v>
      </c>
      <c r="GU3" s="44" t="str">
        <f t="shared" si="6"/>
        <v>"cl_YEL",</v>
      </c>
      <c r="GV3" s="44" t="str">
        <f t="shared" si="6"/>
        <v>"cl_GRE",</v>
      </c>
      <c r="GW3" s="44" t="str">
        <f t="shared" si="6"/>
        <v>"cl_BLA",</v>
      </c>
      <c r="GX3" s="44" t="str">
        <f t="shared" si="6"/>
        <v/>
      </c>
      <c r="GY3" s="44" t="str">
        <f t="shared" si="6"/>
        <v/>
      </c>
      <c r="GZ3" s="44" t="str">
        <f t="shared" si="6"/>
        <v/>
      </c>
      <c r="HA3" s="44" t="str">
        <f t="shared" si="6"/>
        <v/>
      </c>
      <c r="HB3" s="44" t="str">
        <f t="shared" si="6"/>
        <v/>
      </c>
      <c r="HC3" s="44" t="str">
        <f>SUBSTITUTE("["&amp;_xlfn.CONCAT(GT3:HB3)&amp;"]",",]","]")</f>
        <v>["cl_WHI","cl_YEL","cl_GRE","cl_BLA"]</v>
      </c>
      <c r="HE3" s="64"/>
      <c r="HF3" s="65" t="str">
        <f>"{couname:"&amp;CT3&amp;(IF(HK3&lt;&gt;"",",subtype:"&amp;CHAR(34)&amp;HK3&amp;CHAR(34),""))&amp;",year:"&amp;HJ3&amp;",region:"&amp;CU3&amp;",Colors:"&amp;HC3&amp;",Items:"&amp;GS3&amp;",Flag:"&amp;CV3&amp;",HDFlag:"&amp;CHAR(34)&amp;E3&amp;CHAR(34)&amp;",type:"&amp;GP3&amp;", describe: "&amp;HH3&amp;", isnew:"&amp;CHAR(34)&amp;F3&amp;CHAR(34)&amp;", links: "&amp;HL3&amp;"},"</f>
        <v>{couname:"[CXR] Shire of Christmas Island",year:"???",region:"rgn_Oceania, rgn_Asia",Colors:["cl_WHI","cl_YEL","cl_GRE","cl_BLA"],Items:["4Color","words2","words3","lets22","startS","NoBand","Animal","Bird","Texted","Center","Geogrh","NO_BLU","NO_RED","BLRENO","myrWHI","NoStar"],Flag:"https://upload.wikimedia.org/wikipedia/en/a/a9/CXshirecouncillogo.png",HDFlag:"https://upload.wikimedia.org/wikipedia/en/a/a9/CXshirecouncillogo.png",type:"Government", describe: "\nThe Shire of Christmas Island is a local government area encompassing the Australian external territory of Christmas Island. ", isnew:"www", links: "https://en.wikipedia.org/wiki/Shire_of_Christmas_Island"},</v>
      </c>
      <c r="HG3" s="66" t="str">
        <f>"{couname:"&amp;CT3&amp;(IF(HK3&lt;&gt;"",",subtype:"&amp;CHAR(34)&amp;HK3&amp;CHAR(34),""))&amp;",year:"&amp;HJ3&amp;",region:"&amp;CU3&amp;",Colors:"&amp;HC3&amp;",Items:"&amp;GS3&amp;",Flag:"&amp;CV3&amp;",HDFlag:"&amp;CHAR(34)&amp;E3&amp;CHAR(34)&amp;",type:"&amp;GP3&amp;", describe: "&amp;HI3&amp;", links: "&amp;HL3&amp;"},"</f>
        <v>{couname:"[CXR] Shire of Christmas Island",year:"???",region:"rgn_Oceania, rgn_Asia",Colors:["cl_WHI","cl_YEL","cl_GRE","cl_BLA"],Items:["4Color","words2","words3","lets22","startS","NoBand","Animal","Bird","Texted","Center","Geogrh","NO_BLU","NO_RED","BLRENO","myrWHI","NoStar"],Flag:"https://upload.wikimedia.org/wikipedia/en/a/a9/CXshirecouncillogo.png",HDFlag:"https://upload.wikimedia.org/wikipedia/en/a/a9/CXshirecouncillogo.png",type:"Government", describe: "\nThe Shire of Christmas Island is a local government area encompassing the Australian external territory of Christmas Island. ", links: "https://en.wikipedia.org/wiki/Shire_of_Christmas_Island"},</v>
      </c>
      <c r="HH3" s="44" t="str">
        <f>IF(P3&lt;&gt;"",CHAR(34)&amp;"\n"&amp;P3&amp;CHAR(34),CHAR(34)&amp;CHAR(34))</f>
        <v>"\nThe Shire of Christmas Island is a local government area encompassing the Australian external territory of Christmas Island. "</v>
      </c>
      <c r="HI3" s="44" t="str">
        <f>IF(J3=0,CHAR(34)&amp;CHAR(34),HH3)</f>
        <v>"\nThe Shire of Christmas Island is a local government area encompassing the Australian external territory of Christmas Island. "</v>
      </c>
      <c r="HJ3" s="44" t="str">
        <f>CHAR(34)&amp;O3&amp;CHAR(34)</f>
        <v>"???"</v>
      </c>
      <c r="HL3" s="44" t="str">
        <f>CHAR(34)&amp;I3&amp;CHAR(34)</f>
        <v>"https://en.wikipedia.org/wiki/Shire_of_Christmas_Island"</v>
      </c>
      <c r="HM3" s="65"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{"couname":"[CXR] Shire of Christmas Island","year":"???","region":"rgn_Oceania, rgn_Asia","Colors":["cl_WHI","cl_YEL","cl_GRE","cl_BLA"],"Items":["4Color","words2","words3","lets22","startS","NoBand","Animal","Bird","Texted","Center","Geogrh","NO_BLU","NO_RED","BLRENO","myrWHI","NoStar"],"Flag":"https://upload.wikimedia.org/wikipedia/en/a/a9/CXshirecouncillogo.png","HDFlag":"https://upload.wikimedia.org/wikipedia/en/a/a9/CXshirecouncillogo.png","type":"Government", "describe": "\nThe Shire of Christmas Island is a local government area encompassing the Australian external territory of Christmas Island. ", "isnew": "www", "links": "https://en.wikipedia.org/wiki/Shire_of_Christmas_Island"},</v>
      </c>
      <c r="HN3" s="67"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{"couname":"[CXR] Shire of Christmas Island","year":"???","region":"rgn_Oceania, rgn_Asia","Colors":["cl_WHI","cl_YEL","cl_GRE","cl_BLA"],"Items":["4Color","words2","words3","lets22","startS","NoBand","Animal","Bird","Texted","Center","Geogrh","NO_BLU","NO_RED","BLRENO","myrWHI","NoStar"],"Flag":"https://upload.wikimedia.org/wikipedia/en/a/a9/CXshirecouncillogo.png","HDFlag":"https://upload.wikimedia.org/wikipedia/en/a/a9/CXshirecouncillogo.png","type":"Government", "describe": "\nThe Shire of Christmas Island is a local government area encompassing the Australian external territory of Christmas Island. ", "isnew": "www", "links": "https://en.wikipedia.org/wiki/Shire_of_Christmas_Island"},</v>
      </c>
      <c r="HO3" s="71">
        <v>45653</v>
      </c>
      <c r="HP3" s="44" t="str" cm="1">
        <f t="array" ref="HP3">IF(_xlfn.TEXTJOIN(", ", TRUE, IF(ISNUMBER(SEARCH("BLA", BL3:BT3)), COLUMN(BL3:BT3) - COLUMN(BL3) + 1, ""))&lt;&gt;"","BLA","")</f>
        <v>BLA</v>
      </c>
      <c r="HQ3" s="44" t="str" cm="1">
        <f t="array" ref="HQ3">IF(_xlfn.TEXTJOIN(", ", TRUE, IF(ISNUMBER(SEARCH("BLU", BL3:BT3)), COLUMN(BL3:BT3) - COLUMN(BL3) + 1, ""))&lt;&gt;"","BLU","")</f>
        <v/>
      </c>
      <c r="HR3" s="44" t="str" cm="1">
        <f t="array" ref="HR3">IF(_xlfn.TEXTJOIN(", ", TRUE, IF(ISNUMBER(SEARCH("GRE", BL3:BT3)), COLUMN(BL3:BT3) - COLUMN(BL3) + 1, ""))&lt;&gt;"","GRE","")</f>
        <v>GRE</v>
      </c>
      <c r="HS3" s="44" t="str" cm="1">
        <f t="array" ref="HS3">IF(_xlfn.TEXTJOIN(", ", TRUE, IF(ISNUMBER(SEARCH("RED", BL3:BT3)), COLUMN(BL3:BT3) - COLUMN(BL3) + 1, ""))&lt;&gt;"","RED","")</f>
        <v/>
      </c>
      <c r="HT3" s="44" t="str" cm="1">
        <f t="array" ref="HT3">IF(_xlfn.TEXTJOIN(", ", TRUE, IF(ISNUMBER(SEARCH("YEL", BL3:BT3)), COLUMN(BL3:BT3) - COLUMN(BL3) + 1, ""))&lt;&gt;"","YEL","")</f>
        <v>YEL</v>
      </c>
      <c r="HU3" s="44" t="str" cm="1">
        <f t="array" ref="HU3">IF(_xlfn.TEXTJOIN(", ", TRUE, IF(ISNUMBER(SEARCH("ORA", BL3:BT3)), COLUMN(BL3:BT3) - COLUMN(BL3) + 1, ""))&lt;&gt;"","ORA","")</f>
        <v/>
      </c>
      <c r="HV3" s="44" t="str" cm="1">
        <f t="array" ref="HV3">IF(_xlfn.TEXTJOIN(", ", TRUE, IF(ISNUMBER(SEARCH("BRO", BL3:BT3)), COLUMN(BL3:BT3) - COLUMN(BL3) + 1, ""))&lt;&gt;"","BRO","")</f>
        <v/>
      </c>
      <c r="HW3" s="44" t="str" cm="1">
        <f t="array" ref="HW3">IF(_xlfn.TEXTJOIN(", ", TRUE, IF(ISNUMBER(SEARCH("PUR", BL3:BT3)), COLUMN(BL3:BT3) - COLUMN(BL3) + 1, ""))&lt;&gt;"","PUR","")</f>
        <v/>
      </c>
      <c r="HX3" s="44" t="str" cm="1">
        <f t="array" ref="HX3">IF(_xlfn.TEXTJOIN(", ", TRUE, IF(ISNUMBER(SEARCH("WHI", BL3:BT3)), COLUMN(BL3:BT3) - COLUMN(BL3) + 1, ""))&lt;&gt;"","WHI","")</f>
        <v>WHI</v>
      </c>
      <c r="HY3" s="72"/>
      <c r="HZ3" s="72"/>
      <c r="IA3" s="5"/>
      <c r="IB3" s="5"/>
      <c r="IC3" s="68"/>
      <c r="ID3" s="68"/>
      <c r="IE3" s="68"/>
      <c r="IF3" s="68"/>
      <c r="IG3" s="68"/>
      <c r="IH3" s="68"/>
      <c r="II3" s="68"/>
      <c r="IJ3" s="68"/>
      <c r="IK3" s="68"/>
      <c r="IM3" s="42">
        <f>COUNTIF(IC3:IK3,"&gt;0")-CG3</f>
        <v>-4</v>
      </c>
      <c r="IN3" s="69" t="str">
        <f>"http://mkweb.bcgsc.ca/color-summarizer/?url="&amp;D3&amp;"&amp;precision=low&amp;num_clusters="&amp;CG3&amp;"&amp;text=1"</f>
        <v>http://mkweb.bcgsc.ca/color-summarizer/?url=https://upload.wikimedia.org/wikipedia/en/a/a9/CXshirecouncillogo.png&amp;precision=low&amp;num_clusters=4&amp;text=1</v>
      </c>
      <c r="IO3" s="44" t="str">
        <f>IF(HP3&lt;&gt;"",CHAR(34)&amp;"black"&amp;CHAR(34),"")</f>
        <v>"black"</v>
      </c>
      <c r="IP3" s="44" t="str">
        <f>IF(HQ3&lt;&gt;"",CHAR(34)&amp;"blue"&amp;CHAR(34),"")</f>
        <v/>
      </c>
      <c r="IQ3" s="44" t="str">
        <f>IF(HR3&lt;&gt;"",CHAR(34)&amp;"green"&amp;CHAR(34),"")</f>
        <v>"green"</v>
      </c>
      <c r="IR3" s="44" t="str">
        <f>IF(HS3&lt;&gt;"",CHAR(34)&amp;"red"&amp;CHAR(34),"")</f>
        <v/>
      </c>
      <c r="IS3" s="44" t="str">
        <f>IF(HT3&lt;&gt;"",CHAR(34)&amp;"yellow"&amp;CHAR(34),"")</f>
        <v>"yellow"</v>
      </c>
      <c r="IT3" s="44" t="str">
        <f>IF(HU3&lt;&gt;"",CHAR(34)&amp;"orange"&amp;CHAR(34),"")</f>
        <v/>
      </c>
      <c r="IU3" s="44" t="str">
        <f>IF(HV3&lt;&gt;"",CHAR(34)&amp;"brown"&amp;CHAR(34),"")</f>
        <v/>
      </c>
      <c r="IV3" s="44" t="str">
        <f>IF(HW3&lt;&gt;"",CHAR(34)&amp;"purple"&amp;CHAR(34),"")</f>
        <v/>
      </c>
      <c r="IW3" s="44" t="str">
        <f>IF(HX3&lt;&gt;"",CHAR(34)&amp;"white"&amp;CHAR(34),"")</f>
        <v>"white"</v>
      </c>
      <c r="IX3" s="44" t="str">
        <f>"{"&amp;CHAR(34)&amp;"url"&amp;CHAR(34)&amp;":"&amp;CHAR(34)&amp;IN3&amp;CHAR(34)&amp;","&amp;CHAR(34)&amp;"name"&amp;CHAR(34)&amp;":"&amp;CHAR(34)&amp;A3&amp;CHAR(34)&amp;"},"</f>
        <v>{"url":"http://mkweb.bcgsc.ca/color-summarizer/?url=https://upload.wikimedia.org/wikipedia/en/a/a9/CXshirecouncillogo.png&amp;precision=low&amp;num_clusters=4&amp;text=1","name":"[CXR] Shire of Christmas Island"},</v>
      </c>
      <c r="IY3" s="44">
        <v>1503</v>
      </c>
    </row>
  </sheetData>
  <autoFilter ref="A1:IY3" xr:uid="{A1051193-A95B-4CFB-A73C-F0184620C81F}">
    <sortState xmlns:xlrd2="http://schemas.microsoft.com/office/spreadsheetml/2017/richdata2" ref="A2:IY3">
      <sortCondition ref="AW1:AW3"/>
    </sortState>
  </autoFilter>
  <conditionalFormatting sqref="H1 CW1:GS1 IA1:IB1">
    <cfRule type="cellIs" dxfId="1633" priority="66" operator="greaterThan">
      <formula>0</formula>
    </cfRule>
  </conditionalFormatting>
  <conditionalFormatting sqref="H1:H1048576">
    <cfRule type="cellIs" dxfId="1632" priority="6" stopIfTrue="1" operator="notEqual">
      <formula>""</formula>
    </cfRule>
  </conditionalFormatting>
  <conditionalFormatting sqref="R2:R3 CU2:CU3">
    <cfRule type="cellIs" dxfId="1631" priority="8" operator="greaterThan">
      <formula>0</formula>
    </cfRule>
  </conditionalFormatting>
  <conditionalFormatting sqref="T2:AS3 CH2:CS3">
    <cfRule type="cellIs" dxfId="1630" priority="3" stopIfTrue="1" operator="equal">
      <formula>"n"</formula>
    </cfRule>
    <cfRule type="cellIs" dxfId="1629" priority="4" stopIfTrue="1" operator="equal">
      <formula>"y"</formula>
    </cfRule>
    <cfRule type="cellIs" dxfId="1628" priority="5" operator="greaterThan">
      <formula>0</formula>
    </cfRule>
  </conditionalFormatting>
  <conditionalFormatting sqref="T1:BK1">
    <cfRule type="cellIs" dxfId="1627" priority="69" operator="greaterThan">
      <formula>0</formula>
    </cfRule>
  </conditionalFormatting>
  <conditionalFormatting sqref="AZ2:BB3">
    <cfRule type="expression" dxfId="1626" priority="2">
      <formula>$AT2=0</formula>
    </cfRule>
  </conditionalFormatting>
  <conditionalFormatting sqref="AZ2:BU3">
    <cfRule type="cellIs" dxfId="1625" priority="44" operator="equal">
      <formula>"PIN"</formula>
    </cfRule>
    <cfRule type="cellIs" dxfId="1624" priority="45" operator="equal">
      <formula>"ORA"</formula>
    </cfRule>
    <cfRule type="cellIs" dxfId="1623" priority="46" operator="equal">
      <formula>"GRA"</formula>
    </cfRule>
    <cfRule type="cellIs" dxfId="1622" priority="47" operator="equal">
      <formula>"PUR"</formula>
    </cfRule>
    <cfRule type="cellIs" dxfId="1621" priority="48" operator="equal">
      <formula>"BRO"</formula>
    </cfRule>
    <cfRule type="cellIs" dxfId="1620" priority="49" operator="equal">
      <formula>"YEL"</formula>
    </cfRule>
    <cfRule type="cellIs" dxfId="1619" priority="50" operator="equal">
      <formula>"BLU"</formula>
    </cfRule>
    <cfRule type="cellIs" dxfId="1618" priority="51" operator="equal">
      <formula>"WHI"</formula>
    </cfRule>
    <cfRule type="cellIs" dxfId="1617" priority="52" operator="equal">
      <formula>"GRE"</formula>
    </cfRule>
    <cfRule type="cellIs" dxfId="1616" priority="53" operator="equal">
      <formula>"RED"</formula>
    </cfRule>
    <cfRule type="cellIs" dxfId="1615" priority="54" operator="equal">
      <formula>"BLA"</formula>
    </cfRule>
  </conditionalFormatting>
  <conditionalFormatting sqref="BV1:BW1 BV2 BV3:BW1048576">
    <cfRule type="cellIs" dxfId="1614" priority="68" operator="equal">
      <formula>"nc"</formula>
    </cfRule>
  </conditionalFormatting>
  <conditionalFormatting sqref="BX2:CA3 CD2:CF3">
    <cfRule type="cellIs" dxfId="1613" priority="7" operator="equal">
      <formula>"y"</formula>
    </cfRule>
    <cfRule type="cellIs" dxfId="1612" priority="55" operator="equal">
      <formula>"PIN"</formula>
    </cfRule>
    <cfRule type="cellIs" dxfId="1611" priority="56" operator="equal">
      <formula>"ORA"</formula>
    </cfRule>
    <cfRule type="cellIs" dxfId="1610" priority="57" operator="equal">
      <formula>"GRA"</formula>
    </cfRule>
    <cfRule type="cellIs" dxfId="1609" priority="58" operator="equal">
      <formula>"PUR"</formula>
    </cfRule>
    <cfRule type="cellIs" dxfId="1608" priority="59" operator="equal">
      <formula>"BRO"</formula>
    </cfRule>
    <cfRule type="cellIs" dxfId="1607" priority="60" operator="equal">
      <formula>"YEL"</formula>
    </cfRule>
    <cfRule type="cellIs" dxfId="1606" priority="61" operator="equal">
      <formula>"BLU"</formula>
    </cfRule>
    <cfRule type="cellIs" dxfId="1605" priority="62" operator="equal">
      <formula>"WHI"</formula>
    </cfRule>
    <cfRule type="cellIs" dxfId="1604" priority="63" operator="equal">
      <formula>"GRE"</formula>
    </cfRule>
    <cfRule type="cellIs" dxfId="1603" priority="64" operator="equal">
      <formula>"RED"</formula>
    </cfRule>
    <cfRule type="cellIs" dxfId="1602" priority="65" operator="equal">
      <formula>"BLA"</formula>
    </cfRule>
  </conditionalFormatting>
  <conditionalFormatting sqref="BZ2:CA3 CD2:CF3">
    <cfRule type="cellIs" dxfId="1601" priority="9" operator="greaterThan">
      <formula>0</formula>
    </cfRule>
  </conditionalFormatting>
  <conditionalFormatting sqref="HF1:HG1">
    <cfRule type="cellIs" dxfId="1600" priority="70" operator="greaterThan">
      <formula>0</formula>
    </cfRule>
  </conditionalFormatting>
  <conditionalFormatting sqref="HK1">
    <cfRule type="cellIs" dxfId="1599" priority="67" operator="greaterThan">
      <formula>0</formula>
    </cfRule>
  </conditionalFormatting>
  <conditionalFormatting sqref="HP1:HX1">
    <cfRule type="cellIs" dxfId="1598" priority="21" operator="equal">
      <formula>"PIN"</formula>
    </cfRule>
    <cfRule type="cellIs" dxfId="1597" priority="22" operator="equal">
      <formula>"ORA"</formula>
    </cfRule>
    <cfRule type="cellIs" dxfId="1596" priority="23" operator="equal">
      <formula>"GRA"</formula>
    </cfRule>
    <cfRule type="cellIs" dxfId="1595" priority="24" operator="equal">
      <formula>"PUR"</formula>
    </cfRule>
    <cfRule type="cellIs" dxfId="1594" priority="25" operator="equal">
      <formula>"BRO"</formula>
    </cfRule>
    <cfRule type="cellIs" dxfId="1593" priority="26" operator="equal">
      <formula>"YEL"</formula>
    </cfRule>
    <cfRule type="cellIs" dxfId="1592" priority="27" operator="equal">
      <formula>"BLU"</formula>
    </cfRule>
    <cfRule type="cellIs" dxfId="1591" priority="28" operator="equal">
      <formula>"WHI"</formula>
    </cfRule>
    <cfRule type="cellIs" dxfId="1590" priority="29" operator="equal">
      <formula>"GRE"</formula>
    </cfRule>
    <cfRule type="cellIs" dxfId="1589" priority="30" operator="equal">
      <formula>"RED"</formula>
    </cfRule>
    <cfRule type="cellIs" dxfId="1588" priority="31" operator="equal">
      <formula>"BLA"</formula>
    </cfRule>
  </conditionalFormatting>
  <conditionalFormatting sqref="IC1:IK1">
    <cfRule type="cellIs" dxfId="1587" priority="33" operator="equal">
      <formula>"PIN"</formula>
    </cfRule>
    <cfRule type="cellIs" dxfId="1586" priority="34" operator="equal">
      <formula>"ORA"</formula>
    </cfRule>
    <cfRule type="cellIs" dxfId="1585" priority="35" operator="equal">
      <formula>"GRA"</formula>
    </cfRule>
    <cfRule type="cellIs" dxfId="1584" priority="36" operator="equal">
      <formula>"PUR"</formula>
    </cfRule>
    <cfRule type="cellIs" dxfId="1583" priority="37" operator="equal">
      <formula>"BRO"</formula>
    </cfRule>
    <cfRule type="cellIs" dxfId="1582" priority="38" operator="equal">
      <formula>"YEL"</formula>
    </cfRule>
    <cfRule type="cellIs" dxfId="1581" priority="39" operator="equal">
      <formula>"BLU"</formula>
    </cfRule>
    <cfRule type="cellIs" dxfId="1580" priority="40" operator="equal">
      <formula>"WHI"</formula>
    </cfRule>
    <cfRule type="cellIs" dxfId="1579" priority="41" operator="equal">
      <formula>"GRE"</formula>
    </cfRule>
    <cfRule type="cellIs" dxfId="1578" priority="42" operator="equal">
      <formula>"RED"</formula>
    </cfRule>
    <cfRule type="cellIs" dxfId="1577" priority="43" operator="equal">
      <formula>"BLA"</formula>
    </cfRule>
  </conditionalFormatting>
  <conditionalFormatting sqref="IC2:IK3">
    <cfRule type="expression" dxfId="1576" priority="32">
      <formula>$IL2&gt;0</formula>
    </cfRule>
  </conditionalFormatting>
  <conditionalFormatting sqref="IO1:IW1">
    <cfRule type="cellIs" dxfId="1575" priority="10" operator="equal">
      <formula>"PIN"</formula>
    </cfRule>
    <cfRule type="cellIs" dxfId="1574" priority="11" operator="equal">
      <formula>"ORA"</formula>
    </cfRule>
    <cfRule type="cellIs" dxfId="1573" priority="12" operator="equal">
      <formula>"GRA"</formula>
    </cfRule>
    <cfRule type="cellIs" dxfId="1572" priority="13" operator="equal">
      <formula>"PUR"</formula>
    </cfRule>
    <cfRule type="cellIs" dxfId="1571" priority="14" operator="equal">
      <formula>"BRO"</formula>
    </cfRule>
    <cfRule type="cellIs" dxfId="1570" priority="15" operator="equal">
      <formula>"YEL"</formula>
    </cfRule>
    <cfRule type="cellIs" dxfId="1569" priority="16" operator="equal">
      <formula>"BLU"</formula>
    </cfRule>
    <cfRule type="cellIs" dxfId="1568" priority="17" operator="equal">
      <formula>"WHI"</formula>
    </cfRule>
    <cfRule type="cellIs" dxfId="1567" priority="18" operator="equal">
      <formula>"GRE"</formula>
    </cfRule>
    <cfRule type="cellIs" dxfId="1566" priority="19" operator="equal">
      <formula>"RED"</formula>
    </cfRule>
    <cfRule type="cellIs" dxfId="1565" priority="20" operator="equal">
      <formula>"BLA"</formula>
    </cfRule>
  </conditionalFormatting>
  <conditionalFormatting sqref="S2:S3">
    <cfRule type="colorScale" priority="3738">
      <colorScale>
        <cfvo type="min"/>
        <cfvo type="max"/>
        <color rgb="FFFCFCFF"/>
        <color rgb="FF754BFB"/>
      </colorScale>
    </cfRule>
  </conditionalFormatting>
  <conditionalFormatting sqref="AT2:AT3">
    <cfRule type="colorScale" priority="3739">
      <colorScale>
        <cfvo type="min"/>
        <cfvo type="max"/>
        <color rgb="FFFCFCFF"/>
        <color theme="8" tint="0.39997558519241921"/>
      </colorScale>
    </cfRule>
  </conditionalFormatting>
  <conditionalFormatting sqref="CG2:CG3">
    <cfRule type="colorScale" priority="3740">
      <colorScale>
        <cfvo type="min"/>
        <cfvo type="max"/>
        <color rgb="FFFCFCFF"/>
        <color rgb="FF63BE7B"/>
      </colorScale>
    </cfRule>
  </conditionalFormatting>
  <conditionalFormatting sqref="J2:J3">
    <cfRule type="colorScale" priority="1">
      <colorScale>
        <cfvo type="min"/>
        <cfvo type="percentile" val="50"/>
        <cfvo type="max"/>
        <color rgb="FFF8696B"/>
        <color rgb="FFFFEB84"/>
        <color rgb="FF63BE7B"/>
      </colorScale>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InsertImagesFromSelectedRange">
                <anchor moveWithCells="1" sizeWithCells="1">
                  <from>
                    <xdr:col>1</xdr:col>
                    <xdr:colOff>76200</xdr:colOff>
                    <xdr:row>0</xdr:row>
                    <xdr:rowOff>7620</xdr:rowOff>
                  </from>
                  <to>
                    <xdr:col>2</xdr:col>
                    <xdr:colOff>0</xdr:colOff>
                    <xdr:row>0</xdr:row>
                    <xdr:rowOff>487680</xdr:rowOff>
                  </to>
                </anchor>
              </controlPr>
            </control>
          </mc:Choice>
        </mc:AlternateContent>
        <mc:AlternateContent xmlns:mc="http://schemas.openxmlformats.org/markup-compatibility/2006">
          <mc:Choice Requires="x14">
            <control shapeId="25602" r:id="rId5" name="Button 2">
              <controlPr defaultSize="0" print="0" autoFill="0" autoPict="0" macro="[0]!ReplaceLineBreaksWithNewLineManualRange">
                <anchor moveWithCells="1" sizeWithCells="1">
                  <from>
                    <xdr:col>7</xdr:col>
                    <xdr:colOff>15240</xdr:colOff>
                    <xdr:row>0</xdr:row>
                    <xdr:rowOff>45720</xdr:rowOff>
                  </from>
                  <to>
                    <xdr:col>7</xdr:col>
                    <xdr:colOff>685800</xdr:colOff>
                    <xdr:row>0</xdr:row>
                    <xdr:rowOff>403860</xdr:rowOff>
                  </to>
                </anchor>
              </controlPr>
            </control>
          </mc:Choice>
        </mc:AlternateContent>
        <mc:AlternateContent xmlns:mc="http://schemas.openxmlformats.org/markup-compatibility/2006">
          <mc:Choice Requires="x14">
            <control shapeId="25603" r:id="rId6" name="Button 3">
              <controlPr defaultSize="0" print="0" autoFill="0" autoPict="0" macro="[0]!GoToSheet">
                <anchor moveWithCells="1" sizeWithCells="1">
                  <from>
                    <xdr:col>0</xdr:col>
                    <xdr:colOff>137160</xdr:colOff>
                    <xdr:row>0</xdr:row>
                    <xdr:rowOff>114300</xdr:rowOff>
                  </from>
                  <to>
                    <xdr:col>0</xdr:col>
                    <xdr:colOff>762000</xdr:colOff>
                    <xdr:row>0</xdr:row>
                    <xdr:rowOff>419100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505DB3-72BB-45D1-AC30-10065D386A68}">
  <sheetPr codeName="Sheet11"/>
  <dimension ref="A1:IY6"/>
  <sheetViews>
    <sheetView zoomScale="70" zoomScaleNormal="70" workbookViewId="0">
      <pane xSplit="5" ySplit="1" topLeftCell="F2" activePane="bottomRight" state="frozen"/>
      <selection activeCell="A2" sqref="A2"/>
      <selection pane="topRight" activeCell="A2" sqref="A2"/>
      <selection pane="bottomLeft" activeCell="A2" sqref="A2"/>
      <selection pane="bottomRight" activeCell="B2" sqref="B2"/>
    </sheetView>
  </sheetViews>
  <sheetFormatPr defaultRowHeight="38.4" customHeight="1" x14ac:dyDescent="0.3"/>
  <cols>
    <col min="1" max="1" width="52.44140625" style="82" bestFit="1" customWidth="1"/>
    <col min="2" max="2" width="10.109375" style="82" customWidth="1"/>
    <col min="3" max="3" width="7.44140625" style="83" customWidth="1"/>
    <col min="4" max="4" width="4.77734375" style="84" customWidth="1"/>
    <col min="5" max="5" width="4.5546875" style="84" customWidth="1"/>
    <col min="6" max="6" width="5.77734375" style="84" customWidth="1"/>
    <col min="7" max="7" width="7.44140625" style="82" customWidth="1"/>
    <col min="8" max="8" width="11.44140625" style="82" customWidth="1"/>
    <col min="9" max="9" width="10" style="82" customWidth="1"/>
    <col min="10" max="10" width="4.21875" style="82" customWidth="1"/>
    <col min="11" max="11" width="5.6640625" style="84" customWidth="1"/>
    <col min="12" max="12" width="2.88671875" style="84" customWidth="1"/>
    <col min="13" max="13" width="6.44140625" style="84" customWidth="1"/>
    <col min="14" max="14" width="4.5546875" style="84" customWidth="1"/>
    <col min="15" max="15" width="10.5546875" style="85" customWidth="1"/>
    <col min="16" max="16" width="6.88671875" style="84" customWidth="1"/>
    <col min="17" max="17" width="4.77734375" style="84" customWidth="1"/>
    <col min="18" max="18" width="13.109375" style="83" customWidth="1"/>
    <col min="19" max="19" width="6.77734375" style="83" customWidth="1"/>
    <col min="20" max="46" width="8.44140625" style="82" customWidth="1"/>
    <col min="47" max="47" width="24.5546875" style="82" customWidth="1"/>
    <col min="48" max="51" width="16.6640625" style="82" customWidth="1"/>
    <col min="52" max="52" width="6.5546875" style="82" customWidth="1"/>
    <col min="53" max="54" width="5.88671875" style="82" customWidth="1"/>
    <col min="55" max="55" width="1.33203125" style="82" customWidth="1"/>
    <col min="56" max="56" width="7.44140625" style="82" customWidth="1"/>
    <col min="57" max="57" width="2.33203125" style="82" customWidth="1"/>
    <col min="58" max="62" width="6.109375" style="82" customWidth="1"/>
    <col min="63" max="63" width="2.33203125" style="82" customWidth="1"/>
    <col min="64" max="64" width="7" style="82" bestFit="1" customWidth="1"/>
    <col min="65" max="65" width="6.44140625" style="82" bestFit="1" customWidth="1"/>
    <col min="66" max="66" width="7.109375" style="82" bestFit="1" customWidth="1"/>
    <col min="67" max="71" width="6.44140625" style="82" bestFit="1" customWidth="1"/>
    <col min="72" max="73" width="6.44140625" style="82" customWidth="1"/>
    <col min="74" max="75" width="13.44140625" style="82" customWidth="1"/>
    <col min="76" max="84" width="14.6640625" style="82" customWidth="1"/>
    <col min="85" max="85" width="6.44140625" style="82" customWidth="1"/>
    <col min="86" max="87" width="11.6640625" style="82" bestFit="1" customWidth="1"/>
    <col min="88" max="88" width="11.6640625" style="82" customWidth="1"/>
    <col min="89" max="89" width="12.77734375" style="82" bestFit="1" customWidth="1"/>
    <col min="90" max="90" width="16.44140625" style="83" bestFit="1" customWidth="1"/>
    <col min="91" max="92" width="14.88671875" style="83" bestFit="1" customWidth="1"/>
    <col min="93" max="93" width="16" style="83" bestFit="1" customWidth="1"/>
    <col min="94" max="97" width="7.77734375" style="82" customWidth="1"/>
    <col min="98" max="98" width="33.21875" style="82" customWidth="1"/>
    <col min="99" max="99" width="18" style="82" customWidth="1"/>
    <col min="100" max="100" width="75.6640625" style="82" customWidth="1"/>
    <col min="101" max="125" width="33" style="82" customWidth="1"/>
    <col min="126" max="126" width="8.88671875" style="82"/>
    <col min="127" max="128" width="9.44140625" style="82" bestFit="1" customWidth="1"/>
    <col min="129" max="129" width="10.77734375" style="82" bestFit="1" customWidth="1"/>
    <col min="130" max="134" width="10.77734375" style="82" customWidth="1"/>
    <col min="135" max="135" width="10.109375" style="82" bestFit="1" customWidth="1"/>
    <col min="136" max="136" width="7.77734375" style="82" bestFit="1" customWidth="1"/>
    <col min="137" max="137" width="7.77734375" style="82" customWidth="1"/>
    <col min="138" max="138" width="9" style="82" bestFit="1" customWidth="1"/>
    <col min="139" max="139" width="11.33203125" style="82" bestFit="1" customWidth="1"/>
    <col min="140" max="140" width="9.109375" style="82" bestFit="1" customWidth="1"/>
    <col min="141" max="141" width="9" style="82" bestFit="1" customWidth="1"/>
    <col min="142" max="142" width="12" style="82" bestFit="1" customWidth="1"/>
    <col min="143" max="166" width="12" style="82" customWidth="1"/>
    <col min="167" max="167" width="17.21875" style="82" customWidth="1"/>
    <col min="168" max="191" width="12" style="82" customWidth="1"/>
    <col min="192" max="192" width="8.5546875" style="82" bestFit="1" customWidth="1"/>
    <col min="193" max="193" width="8.5546875" style="82" customWidth="1"/>
    <col min="194" max="194" width="7.109375" style="82" bestFit="1" customWidth="1"/>
    <col min="195" max="195" width="7.5546875" style="82" bestFit="1" customWidth="1"/>
    <col min="196" max="196" width="8.5546875" style="82" bestFit="1" customWidth="1"/>
    <col min="197" max="200" width="8.5546875" style="82" customWidth="1"/>
    <col min="201" max="201" width="188.88671875" style="82" customWidth="1"/>
    <col min="202" max="202" width="9.5546875" style="82" bestFit="1" customWidth="1"/>
    <col min="203" max="203" width="10.44140625" style="82" bestFit="1" customWidth="1"/>
    <col min="204" max="204" width="11.109375" style="82" bestFit="1" customWidth="1"/>
    <col min="205" max="205" width="10.44140625" style="82" bestFit="1" customWidth="1"/>
    <col min="206" max="210" width="10.44140625" style="82" customWidth="1"/>
    <col min="211" max="211" width="45.44140625" style="82" customWidth="1"/>
    <col min="212" max="212" width="47.5546875" style="82" bestFit="1" customWidth="1"/>
    <col min="213" max="213" width="9.33203125" style="86" customWidth="1"/>
    <col min="214" max="214" width="119.5546875" style="82" customWidth="1"/>
    <col min="215" max="215" width="69.6640625" style="82" customWidth="1"/>
    <col min="216" max="218" width="8.88671875" style="82"/>
    <col min="219" max="219" width="37.109375" style="82" customWidth="1"/>
    <col min="220" max="220" width="16.33203125" style="82" customWidth="1"/>
    <col min="221" max="222" width="8.88671875" style="82"/>
    <col min="223" max="223" width="10.109375" style="82" bestFit="1" customWidth="1"/>
    <col min="224" max="232" width="10.88671875" style="82" customWidth="1"/>
    <col min="233" max="234" width="30.77734375" style="82" customWidth="1"/>
    <col min="235" max="235" width="5.109375" style="82" customWidth="1"/>
    <col min="236" max="236" width="3" style="82" customWidth="1"/>
    <col min="237" max="245" width="6.77734375" style="76" customWidth="1"/>
    <col min="246" max="247" width="8.88671875" style="82"/>
    <col min="248" max="248" width="61.5546875" style="82" customWidth="1"/>
    <col min="249" max="253" width="8.88671875" style="82"/>
    <col min="254" max="254" width="9" style="82" customWidth="1"/>
    <col min="255" max="16384" width="8.88671875" style="82"/>
  </cols>
  <sheetData>
    <row r="1" spans="1:259" s="5" customFormat="1" ht="38.4" customHeight="1" thickBot="1" x14ac:dyDescent="0.35">
      <c r="A1" s="1" t="s">
        <v>0</v>
      </c>
      <c r="B1" s="79" t="s">
        <v>1</v>
      </c>
      <c r="C1" s="2" t="s">
        <v>2</v>
      </c>
      <c r="D1" s="3"/>
      <c r="E1" s="3" t="s">
        <v>3</v>
      </c>
      <c r="F1" s="4"/>
      <c r="H1" s="6" t="s">
        <v>4</v>
      </c>
      <c r="J1" s="5" t="s">
        <v>5</v>
      </c>
      <c r="K1" s="7" t="s">
        <v>6</v>
      </c>
      <c r="L1" s="8" t="s">
        <v>7</v>
      </c>
      <c r="M1" s="8" t="s">
        <v>8</v>
      </c>
      <c r="N1" s="9" t="s">
        <v>9</v>
      </c>
      <c r="O1" s="10" t="s">
        <v>10</v>
      </c>
      <c r="P1" s="11" t="s">
        <v>11</v>
      </c>
      <c r="Q1" s="11" t="s">
        <v>12</v>
      </c>
      <c r="R1" s="12" t="s">
        <v>0</v>
      </c>
      <c r="S1" s="13" t="s">
        <v>13</v>
      </c>
      <c r="T1" s="14" t="s">
        <v>14</v>
      </c>
      <c r="U1" s="14" t="s">
        <v>15</v>
      </c>
      <c r="V1" s="15" t="s">
        <v>16</v>
      </c>
      <c r="W1" s="14" t="s">
        <v>17</v>
      </c>
      <c r="X1" s="14" t="s">
        <v>18</v>
      </c>
      <c r="Y1" s="14" t="s">
        <v>19</v>
      </c>
      <c r="Z1" s="14" t="s">
        <v>20</v>
      </c>
      <c r="AA1" s="14" t="s">
        <v>21</v>
      </c>
      <c r="AB1" s="14" t="s">
        <v>22</v>
      </c>
      <c r="AC1" s="14" t="s">
        <v>23</v>
      </c>
      <c r="AD1" s="14" t="s">
        <v>24</v>
      </c>
      <c r="AE1" s="14" t="s">
        <v>25</v>
      </c>
      <c r="AF1" s="16" t="s">
        <v>26</v>
      </c>
      <c r="AG1" s="16" t="s">
        <v>27</v>
      </c>
      <c r="AH1" s="16" t="s">
        <v>28</v>
      </c>
      <c r="AI1" s="16" t="s">
        <v>29</v>
      </c>
      <c r="AJ1" s="16" t="s">
        <v>30</v>
      </c>
      <c r="AK1" s="16" t="s">
        <v>31</v>
      </c>
      <c r="AL1" s="16" t="s">
        <v>32</v>
      </c>
      <c r="AM1" s="16" t="s">
        <v>33</v>
      </c>
      <c r="AN1" s="16" t="s">
        <v>34</v>
      </c>
      <c r="AO1" s="16" t="s">
        <v>35</v>
      </c>
      <c r="AP1" s="16" t="s">
        <v>36</v>
      </c>
      <c r="AQ1" s="16" t="s">
        <v>37</v>
      </c>
      <c r="AR1" s="16" t="s">
        <v>38</v>
      </c>
      <c r="AS1" s="16" t="s">
        <v>39</v>
      </c>
      <c r="AT1" s="17" t="s">
        <v>40</v>
      </c>
      <c r="AU1" s="18" t="s">
        <v>41</v>
      </c>
      <c r="AV1" s="18" t="s">
        <v>42</v>
      </c>
      <c r="AW1" s="18" t="s">
        <v>43</v>
      </c>
      <c r="AX1" s="19"/>
      <c r="AY1" s="20" t="s">
        <v>44</v>
      </c>
      <c r="AZ1" s="19" t="s">
        <v>45</v>
      </c>
      <c r="BA1" s="19"/>
      <c r="BB1" s="19"/>
      <c r="BC1" s="21"/>
      <c r="BD1" s="19" t="s">
        <v>46</v>
      </c>
      <c r="BE1" s="21"/>
      <c r="BF1" s="19" t="s">
        <v>47</v>
      </c>
      <c r="BG1" s="19" t="s">
        <v>48</v>
      </c>
      <c r="BH1" s="19" t="s">
        <v>49</v>
      </c>
      <c r="BI1" s="19" t="s">
        <v>50</v>
      </c>
      <c r="BJ1" s="19" t="s">
        <v>51</v>
      </c>
      <c r="BK1" s="21"/>
      <c r="BL1" s="22" t="s">
        <v>52</v>
      </c>
      <c r="BM1" s="22"/>
      <c r="BN1" s="22"/>
      <c r="BO1" s="22"/>
      <c r="BP1" s="22"/>
      <c r="BQ1" s="22"/>
      <c r="BR1" s="22"/>
      <c r="BS1" s="22"/>
      <c r="BT1" s="23"/>
      <c r="BU1" s="23" t="s">
        <v>53</v>
      </c>
      <c r="BV1" s="23" t="s">
        <v>54</v>
      </c>
      <c r="BW1" s="23" t="s">
        <v>55</v>
      </c>
      <c r="BX1" s="23"/>
      <c r="BY1" s="23" t="s">
        <v>56</v>
      </c>
      <c r="BZ1" s="23" t="s">
        <v>57</v>
      </c>
      <c r="CA1" s="23" t="s">
        <v>58</v>
      </c>
      <c r="CB1" s="23" t="s">
        <v>59</v>
      </c>
      <c r="CC1" s="23" t="s">
        <v>60</v>
      </c>
      <c r="CD1" s="23" t="s">
        <v>61</v>
      </c>
      <c r="CE1" s="23" t="s">
        <v>62</v>
      </c>
      <c r="CF1" s="23" t="s">
        <v>63</v>
      </c>
      <c r="CG1" s="23"/>
      <c r="CH1" s="23" t="s">
        <v>64</v>
      </c>
      <c r="CI1" s="23" t="s">
        <v>65</v>
      </c>
      <c r="CJ1" s="23" t="s">
        <v>66</v>
      </c>
      <c r="CK1" s="23" t="s">
        <v>67</v>
      </c>
      <c r="CL1" s="24" t="s">
        <v>68</v>
      </c>
      <c r="CM1" s="24" t="s">
        <v>69</v>
      </c>
      <c r="CN1" s="24" t="s">
        <v>70</v>
      </c>
      <c r="CO1" s="24" t="s">
        <v>71</v>
      </c>
      <c r="CP1" s="24" t="s">
        <v>72</v>
      </c>
      <c r="CQ1" s="24" t="s">
        <v>73</v>
      </c>
      <c r="CR1" s="24" t="s">
        <v>74</v>
      </c>
      <c r="CS1" s="24" t="s">
        <v>75</v>
      </c>
      <c r="CT1" s="1" t="s">
        <v>76</v>
      </c>
      <c r="CU1" s="25" t="s">
        <v>0</v>
      </c>
      <c r="CV1" s="5" t="s">
        <v>77</v>
      </c>
      <c r="CW1" s="14" t="s">
        <v>78</v>
      </c>
      <c r="CX1" s="14" t="s">
        <v>79</v>
      </c>
      <c r="CY1" s="14" t="s">
        <v>66</v>
      </c>
      <c r="CZ1" s="14" t="s">
        <v>80</v>
      </c>
      <c r="DA1" s="14" t="s">
        <v>81</v>
      </c>
      <c r="DB1" s="14" t="s">
        <v>82</v>
      </c>
      <c r="DC1" s="14" t="s">
        <v>83</v>
      </c>
      <c r="DD1" s="14" t="s">
        <v>84</v>
      </c>
      <c r="DE1" s="14" t="s">
        <v>85</v>
      </c>
      <c r="DF1" s="14" t="s">
        <v>86</v>
      </c>
      <c r="DG1" s="14" t="s">
        <v>87</v>
      </c>
      <c r="DH1" s="14" t="s">
        <v>88</v>
      </c>
      <c r="DI1" s="14" t="s">
        <v>89</v>
      </c>
      <c r="DJ1" s="14" t="s">
        <v>90</v>
      </c>
      <c r="DK1" s="14" t="s">
        <v>91</v>
      </c>
      <c r="DL1" s="14" t="s">
        <v>92</v>
      </c>
      <c r="DM1" s="14" t="s">
        <v>93</v>
      </c>
      <c r="DN1" s="14" t="s">
        <v>94</v>
      </c>
      <c r="DO1" s="14" t="s">
        <v>95</v>
      </c>
      <c r="DP1" s="14" t="s">
        <v>96</v>
      </c>
      <c r="DQ1" s="14" t="s">
        <v>97</v>
      </c>
      <c r="DR1" s="14" t="s">
        <v>56</v>
      </c>
      <c r="DS1" s="14" t="s">
        <v>98</v>
      </c>
      <c r="DT1" s="14" t="s">
        <v>99</v>
      </c>
      <c r="DU1" s="14" t="s">
        <v>100</v>
      </c>
      <c r="DV1" s="14" t="s">
        <v>101</v>
      </c>
      <c r="DW1" s="14" t="s">
        <v>102</v>
      </c>
      <c r="DX1" s="14" t="s">
        <v>103</v>
      </c>
      <c r="DY1" s="14" t="s">
        <v>104</v>
      </c>
      <c r="DZ1" s="14" t="s">
        <v>105</v>
      </c>
      <c r="EA1" s="14" t="s">
        <v>106</v>
      </c>
      <c r="EB1" s="14" t="s">
        <v>107</v>
      </c>
      <c r="EC1" s="14" t="s">
        <v>108</v>
      </c>
      <c r="ED1" s="14" t="s">
        <v>109</v>
      </c>
      <c r="EE1" s="15" t="s">
        <v>18</v>
      </c>
      <c r="EF1" s="14" t="s">
        <v>19</v>
      </c>
      <c r="EG1" s="14" t="s">
        <v>20</v>
      </c>
      <c r="EH1" s="14" t="s">
        <v>21</v>
      </c>
      <c r="EI1" s="14" t="s">
        <v>110</v>
      </c>
      <c r="EJ1" s="14" t="s">
        <v>23</v>
      </c>
      <c r="EK1" s="14" t="s">
        <v>111</v>
      </c>
      <c r="EL1" s="14" t="s">
        <v>112</v>
      </c>
      <c r="EM1" s="14" t="s">
        <v>26</v>
      </c>
      <c r="EN1" s="16" t="s">
        <v>27</v>
      </c>
      <c r="EO1" s="16" t="s">
        <v>28</v>
      </c>
      <c r="EP1" s="16" t="s">
        <v>29</v>
      </c>
      <c r="EQ1" s="16" t="s">
        <v>113</v>
      </c>
      <c r="ER1" s="16" t="s">
        <v>31</v>
      </c>
      <c r="ES1" s="16" t="s">
        <v>32</v>
      </c>
      <c r="ET1" s="16" t="s">
        <v>114</v>
      </c>
      <c r="EU1" s="16" t="s">
        <v>34</v>
      </c>
      <c r="EV1" s="16" t="s">
        <v>35</v>
      </c>
      <c r="EW1" s="16" t="s">
        <v>115</v>
      </c>
      <c r="EX1" s="16" t="s">
        <v>37</v>
      </c>
      <c r="EY1" s="16" t="s">
        <v>38</v>
      </c>
      <c r="EZ1" s="16" t="s">
        <v>39</v>
      </c>
      <c r="FA1" s="16" t="s">
        <v>116</v>
      </c>
      <c r="FB1" s="16" t="s">
        <v>117</v>
      </c>
      <c r="FC1" s="16" t="s">
        <v>118</v>
      </c>
      <c r="FD1" s="16" t="s">
        <v>54</v>
      </c>
      <c r="FE1" s="16" t="s">
        <v>119</v>
      </c>
      <c r="FF1" s="16" t="s">
        <v>120</v>
      </c>
      <c r="FG1" s="16" t="s">
        <v>121</v>
      </c>
      <c r="FH1" s="16" t="s">
        <v>122</v>
      </c>
      <c r="FI1" s="16" t="s">
        <v>123</v>
      </c>
      <c r="FJ1" s="16" t="s">
        <v>124</v>
      </c>
      <c r="FK1" s="16" t="s">
        <v>125</v>
      </c>
      <c r="FL1" s="16" t="s">
        <v>126</v>
      </c>
      <c r="FM1" s="16" t="s">
        <v>127</v>
      </c>
      <c r="FN1" s="16" t="s">
        <v>128</v>
      </c>
      <c r="FO1" s="16" t="s">
        <v>129</v>
      </c>
      <c r="FP1" s="16" t="s">
        <v>130</v>
      </c>
      <c r="FQ1" s="16" t="s">
        <v>131</v>
      </c>
      <c r="FR1" s="16" t="s">
        <v>132</v>
      </c>
      <c r="FS1" s="16" t="s">
        <v>133</v>
      </c>
      <c r="FT1" s="16" t="s">
        <v>134</v>
      </c>
      <c r="FU1" s="16" t="s">
        <v>44</v>
      </c>
      <c r="FV1" s="16" t="s">
        <v>135</v>
      </c>
      <c r="FW1" s="16" t="s">
        <v>58</v>
      </c>
      <c r="FX1" s="16" t="s">
        <v>136</v>
      </c>
      <c r="FY1" s="16" t="s">
        <v>137</v>
      </c>
      <c r="FZ1" s="16" t="s">
        <v>138</v>
      </c>
      <c r="GA1" s="16" t="s">
        <v>139</v>
      </c>
      <c r="GB1" s="16" t="s">
        <v>140</v>
      </c>
      <c r="GC1" s="16" t="s">
        <v>141</v>
      </c>
      <c r="GD1" s="16" t="s">
        <v>142</v>
      </c>
      <c r="GE1" s="16" t="s">
        <v>143</v>
      </c>
      <c r="GF1" s="16" t="s">
        <v>144</v>
      </c>
      <c r="GG1" s="16" t="s">
        <v>145</v>
      </c>
      <c r="GH1" s="16" t="s">
        <v>61</v>
      </c>
      <c r="GI1" s="16" t="s">
        <v>62</v>
      </c>
      <c r="GJ1" s="14" t="s">
        <v>146</v>
      </c>
      <c r="GK1" s="14" t="s">
        <v>147</v>
      </c>
      <c r="GL1" s="14" t="s">
        <v>148</v>
      </c>
      <c r="GM1" s="17" t="s">
        <v>149</v>
      </c>
      <c r="GN1" s="26" t="s">
        <v>150</v>
      </c>
      <c r="GO1" s="26" t="s">
        <v>151</v>
      </c>
      <c r="GP1" s="18" t="s">
        <v>41</v>
      </c>
      <c r="GQ1" s="18" t="s">
        <v>42</v>
      </c>
      <c r="GR1" s="18" t="s">
        <v>43</v>
      </c>
      <c r="GS1" s="21"/>
      <c r="GT1" s="27" t="s">
        <v>52</v>
      </c>
      <c r="GU1" s="27"/>
      <c r="GV1" s="27"/>
      <c r="GW1" s="27"/>
      <c r="GX1" s="28"/>
      <c r="GY1" s="28"/>
      <c r="GZ1" s="28"/>
      <c r="HA1" s="28"/>
      <c r="HB1" s="28"/>
      <c r="HC1" s="28"/>
      <c r="HD1" s="29" t="s">
        <v>13</v>
      </c>
      <c r="HE1" s="30" t="s">
        <v>152</v>
      </c>
      <c r="HF1" s="31"/>
      <c r="HG1" s="32"/>
      <c r="HK1" s="32" t="s">
        <v>4</v>
      </c>
      <c r="HP1" s="33" t="s">
        <v>153</v>
      </c>
      <c r="HQ1" s="33" t="s">
        <v>154</v>
      </c>
      <c r="HR1" s="33" t="s">
        <v>155</v>
      </c>
      <c r="HS1" s="33" t="s">
        <v>156</v>
      </c>
      <c r="HT1" s="33" t="s">
        <v>157</v>
      </c>
      <c r="HU1" s="33" t="s">
        <v>158</v>
      </c>
      <c r="HV1" s="33" t="s">
        <v>159</v>
      </c>
      <c r="HW1" s="33" t="s">
        <v>160</v>
      </c>
      <c r="HX1" s="34" t="s">
        <v>161</v>
      </c>
      <c r="IA1" s="14" t="s">
        <v>162</v>
      </c>
      <c r="IB1" s="35" t="s">
        <v>163</v>
      </c>
      <c r="IC1" s="36" t="s">
        <v>153</v>
      </c>
      <c r="ID1" s="36" t="s">
        <v>154</v>
      </c>
      <c r="IE1" s="36" t="s">
        <v>156</v>
      </c>
      <c r="IF1" s="37" t="s">
        <v>161</v>
      </c>
      <c r="IG1" s="36" t="s">
        <v>157</v>
      </c>
      <c r="IH1" s="36" t="s">
        <v>158</v>
      </c>
      <c r="II1" s="36" t="s">
        <v>155</v>
      </c>
      <c r="IJ1" s="36" t="s">
        <v>159</v>
      </c>
      <c r="IK1" s="36" t="s">
        <v>160</v>
      </c>
      <c r="IO1" s="33" t="s">
        <v>153</v>
      </c>
      <c r="IP1" s="33" t="s">
        <v>154</v>
      </c>
      <c r="IQ1" s="33" t="s">
        <v>155</v>
      </c>
      <c r="IR1" s="33" t="s">
        <v>156</v>
      </c>
      <c r="IS1" s="33" t="s">
        <v>157</v>
      </c>
      <c r="IT1" s="33" t="s">
        <v>158</v>
      </c>
      <c r="IU1" s="33" t="s">
        <v>159</v>
      </c>
      <c r="IV1" s="33" t="s">
        <v>160</v>
      </c>
      <c r="IW1" s="34" t="s">
        <v>161</v>
      </c>
      <c r="IY1" s="5" t="s">
        <v>164</v>
      </c>
    </row>
    <row r="2" spans="1:259" s="44" customFormat="1" ht="38.4" customHeight="1" thickBot="1" x14ac:dyDescent="0.35">
      <c r="A2" s="77" t="s">
        <v>215</v>
      </c>
      <c r="B2" s="78" t="e" vm="32">
        <v>#VALUE!</v>
      </c>
      <c r="C2" s="39">
        <v>1</v>
      </c>
      <c r="D2" s="70" t="s">
        <v>216</v>
      </c>
      <c r="E2" s="40" t="s">
        <v>217</v>
      </c>
      <c r="F2" s="41" t="s">
        <v>165</v>
      </c>
      <c r="G2" s="42">
        <f>COUNTIF($A$1:$A$8292,A2)</f>
        <v>1</v>
      </c>
      <c r="H2" s="43"/>
      <c r="I2" s="59" t="s">
        <v>218</v>
      </c>
      <c r="J2" s="44" t="str">
        <f>""</f>
        <v/>
      </c>
      <c r="K2" s="45">
        <v>936000</v>
      </c>
      <c r="L2" s="46">
        <v>929470</v>
      </c>
      <c r="M2" s="46" t="s">
        <v>1148</v>
      </c>
      <c r="N2" s="47" t="s">
        <v>177</v>
      </c>
      <c r="O2" s="74" t="s">
        <v>219</v>
      </c>
      <c r="P2" s="48" t="s">
        <v>220</v>
      </c>
      <c r="Q2" s="73">
        <v>1</v>
      </c>
      <c r="R2" s="49" t="s">
        <v>177</v>
      </c>
      <c r="S2" s="50">
        <v>0</v>
      </c>
      <c r="T2" s="51" t="s">
        <v>166</v>
      </c>
      <c r="U2" s="52" t="s">
        <v>167</v>
      </c>
      <c r="V2" s="52" t="s">
        <v>166</v>
      </c>
      <c r="W2" s="52" t="s">
        <v>166</v>
      </c>
      <c r="X2" s="52" t="s">
        <v>166</v>
      </c>
      <c r="Y2" s="52" t="s">
        <v>167</v>
      </c>
      <c r="Z2" s="52" t="s">
        <v>167</v>
      </c>
      <c r="AA2" s="52" t="s">
        <v>167</v>
      </c>
      <c r="AB2" s="52" t="s">
        <v>166</v>
      </c>
      <c r="AC2" s="52" t="s">
        <v>166</v>
      </c>
      <c r="AD2" s="52" t="s">
        <v>166</v>
      </c>
      <c r="AE2" s="52" t="s">
        <v>166</v>
      </c>
      <c r="AF2" s="53" t="s">
        <v>166</v>
      </c>
      <c r="AG2" s="53" t="s">
        <v>166</v>
      </c>
      <c r="AH2" s="53" t="s">
        <v>166</v>
      </c>
      <c r="AI2" s="53" t="s">
        <v>167</v>
      </c>
      <c r="AJ2" s="53" t="s">
        <v>166</v>
      </c>
      <c r="AK2" s="53" t="s">
        <v>166</v>
      </c>
      <c r="AL2" s="53" t="s">
        <v>166</v>
      </c>
      <c r="AM2" s="53" t="s">
        <v>166</v>
      </c>
      <c r="AN2" s="53" t="s">
        <v>166</v>
      </c>
      <c r="AO2" s="53" t="s">
        <v>166</v>
      </c>
      <c r="AP2" s="53" t="s">
        <v>166</v>
      </c>
      <c r="AQ2" s="53" t="s">
        <v>167</v>
      </c>
      <c r="AR2" s="53" t="s">
        <v>166</v>
      </c>
      <c r="AS2" s="53" t="s">
        <v>166</v>
      </c>
      <c r="AT2" s="54">
        <v>0</v>
      </c>
      <c r="AU2" s="53"/>
      <c r="AV2" s="53" t="str">
        <f>IF(LEFT(A2,1)="[",LEFT(A2,5)&amp;AU2&amp;A2,"")</f>
        <v/>
      </c>
      <c r="AW2" s="53" t="str">
        <f>C2&amp;H2&amp;A2</f>
        <v>1Fiji</v>
      </c>
      <c r="AX2" s="55" t="str">
        <f>_xlfn.TEXTJOIN(";",TRUE,AU2:AW2)</f>
        <v>1Fiji</v>
      </c>
      <c r="AY2" s="55" t="s">
        <v>167</v>
      </c>
      <c r="AZ2" s="56"/>
      <c r="BA2" s="56"/>
      <c r="BB2" s="56"/>
      <c r="BC2" s="57"/>
      <c r="BD2" s="58" t="s">
        <v>154</v>
      </c>
      <c r="BE2" s="59"/>
      <c r="BF2" s="58"/>
      <c r="BG2" s="58"/>
      <c r="BH2" s="58"/>
      <c r="BI2" s="58"/>
      <c r="BJ2" s="58"/>
      <c r="BK2" s="59"/>
      <c r="BL2" s="58" t="s">
        <v>154</v>
      </c>
      <c r="BM2" s="58" t="s">
        <v>156</v>
      </c>
      <c r="BN2" s="58" t="s">
        <v>161</v>
      </c>
      <c r="BO2" s="58" t="s">
        <v>157</v>
      </c>
      <c r="BP2" s="58" t="s">
        <v>155</v>
      </c>
      <c r="BQ2" s="58"/>
      <c r="BR2" s="58"/>
      <c r="BS2" s="58"/>
      <c r="BT2" s="58"/>
      <c r="BU2" s="60" t="s">
        <v>167</v>
      </c>
      <c r="BV2" s="61" t="s">
        <v>167</v>
      </c>
      <c r="BW2" s="61" t="s">
        <v>170</v>
      </c>
      <c r="BX2" s="59"/>
      <c r="CB2" s="5" t="s">
        <v>221</v>
      </c>
      <c r="CC2" s="5"/>
      <c r="CD2" s="62">
        <v>0</v>
      </c>
      <c r="CE2" s="62">
        <v>0</v>
      </c>
      <c r="CF2" s="62" t="e">
        <v>#REF!</v>
      </c>
      <c r="CG2" s="75" cm="1">
        <f t="array" ref="CG2">SUMPRODUCT(--(LEN(TRIM(BL2:BT2))&gt;0))</f>
        <v>5</v>
      </c>
      <c r="CH2" s="53" t="str">
        <f>IF(CG2=2,"y","n")</f>
        <v>n</v>
      </c>
      <c r="CI2" s="53" t="str">
        <f>IF(CG2=3,"y","n")</f>
        <v>n</v>
      </c>
      <c r="CJ2" s="53" t="str">
        <f>IF(CG2=4,"y","n")</f>
        <v>n</v>
      </c>
      <c r="CK2" s="53" t="str">
        <f>IF(CG2&gt;4,"y","n")</f>
        <v>y</v>
      </c>
      <c r="CL2" s="53" t="str">
        <f>IF(S2=0,"y","n")</f>
        <v>y</v>
      </c>
      <c r="CM2" s="53" t="str">
        <f>IF(S2=2,"y","n")</f>
        <v>n</v>
      </c>
      <c r="CN2" s="53" t="str">
        <f>IF(S2=3,"y","n")</f>
        <v>n</v>
      </c>
      <c r="CO2" s="53" t="str">
        <f>IF(S2&gt;=4,"y","n")</f>
        <v>n</v>
      </c>
      <c r="CP2" s="53" t="str">
        <f>IF(AT2=0,"y","n")</f>
        <v>y</v>
      </c>
      <c r="CQ2" s="53" t="str">
        <f>IF(AT2=1,"y","n")</f>
        <v>n</v>
      </c>
      <c r="CR2" s="53" t="str">
        <f>IF(AT2=2,"y","n")</f>
        <v>n</v>
      </c>
      <c r="CS2" s="53" t="str">
        <f>IF(AT2&gt;=3,"y","n")</f>
        <v>n</v>
      </c>
      <c r="CT2" s="38" t="str">
        <f>CHAR(34)&amp;A2&amp;CHAR(34)</f>
        <v>"Fiji"</v>
      </c>
      <c r="CU2" s="63" t="str">
        <f>CHAR(34)&amp;"rgn_"&amp;R2&amp;CHAR(34)</f>
        <v>"rgn_Oceania"</v>
      </c>
      <c r="CV2" s="44" t="str">
        <f>CHAR(34)&amp;D2&amp;CHAR(34)</f>
        <v>"https://i.ibb.co/WK7Cyyh/Fiji-Flag.png"</v>
      </c>
      <c r="CW2" s="44" t="str">
        <f t="shared" ref="CW2:CZ6" si="0">IF(CH2="y",CHAR(34)&amp;CH$1&amp;CHAR(34)&amp;",","")</f>
        <v/>
      </c>
      <c r="CX2" s="44" t="str">
        <f t="shared" si="0"/>
        <v/>
      </c>
      <c r="CY2" s="44" t="str">
        <f t="shared" si="0"/>
        <v/>
      </c>
      <c r="CZ2" s="44" t="str">
        <f t="shared" si="0"/>
        <v>"5+Colo",</v>
      </c>
      <c r="DA2" s="44" t="str">
        <f>IF(Q2&gt;1,CHAR(34)&amp;"words2"&amp;CHAR(34)&amp;",","")</f>
        <v/>
      </c>
      <c r="DB2" s="44" t="str">
        <f>IF(Q2&gt;2,CHAR(34)&amp;"words3"&amp;CHAR(34)&amp;",","")</f>
        <v/>
      </c>
      <c r="DC2" s="44" t="str">
        <f>IF(Q2=2,CHAR(34)&amp;"exact2"&amp;CHAR(34)&amp;",","")</f>
        <v/>
      </c>
      <c r="DD2" s="44"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"lets04",</v>
      </c>
      <c r="DE2" s="44"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"startF",</v>
      </c>
      <c r="DF2" s="44" t="str">
        <f>IFERROR(IF(SEARCH("tan",A2)&gt;0,CHAR(34)&amp;"withtn"&amp;CHAR(34)&amp;",",""),"")</f>
        <v/>
      </c>
      <c r="DG2" s="44" t="str">
        <f>IFERROR(IF(SEARCH("q",A2)&gt;0,CHAR(34)&amp;"with_q"&amp;CHAR(34)&amp;",",""),"")</f>
        <v/>
      </c>
      <c r="DH2" s="44" t="str">
        <f>IFERROR(IF(SEARCH("v",A2)&gt;0,CHAR(34)&amp;"with_v"&amp;CHAR(34)&amp;",",""),"")</f>
        <v/>
      </c>
      <c r="DI2" s="44" t="str">
        <f>IFERROR(IF(SEARCH("w",A2)&gt;0,CHAR(34)&amp;"with_w"&amp;CHAR(34)&amp;",",""),"")</f>
        <v/>
      </c>
      <c r="DJ2" s="44" t="str">
        <f>IFERROR(IF(SEARCH("y",A2)&gt;0,CHAR(34)&amp;"with_y"&amp;CHAR(34)&amp;",",""),"")</f>
        <v/>
      </c>
      <c r="DK2" s="44" t="str">
        <f>IFERROR(IF(SEARCH("z",A2)&gt;0,CHAR(34)&amp;"with_z"&amp;CHAR(34)&amp;",",""),"")</f>
        <v/>
      </c>
      <c r="DL2" s="44" t="str">
        <f>IF(CG2=2, CHAR(34) &amp; _xlfn.TEXTJOIN("", TRUE, _xlfn._xlws.SORT(HP2:HX2)) &amp; CHAR(34) &amp; ",", "")</f>
        <v/>
      </c>
      <c r="DM2" s="44" t="str" cm="1">
        <f t="array" ref="DM2">IF(CG2=3,CHAR(34) &amp; _xlfn.TEXTJOIN("", TRUE, RIGHT(HP2:HX2, 2)) &amp; CHAR(34) &amp; ",", "")</f>
        <v/>
      </c>
      <c r="DN2" s="44" t="str">
        <f>IF(AND(ISNUMBER(SEARCH("18", O2)), ISERROR(SEARCH("1918", O2)), ISERROR(SEARCH("2018", O2))), CHAR(34) &amp; "year18" &amp; CHAR(34) &amp; ",", "")</f>
        <v/>
      </c>
      <c r="DO2" s="44" t="str">
        <f>IF(AND(ISNUMBER(SEARCH("19", O2)), ISERROR(SEARCH("1819", O2)),  ISERROR(SEARCH("1219", O2)),ISERROR(SEARCH("1119", O2)),ISERROR(SEARCH("1190", O2)),ISERROR(SEARCH("2019", O2))), CHAR(34) &amp; "year19" &amp; CHAR(34) &amp; ",", "")</f>
        <v>"year19",</v>
      </c>
      <c r="DP2" s="5" t="str">
        <f>IF(AND(ISNUMBER(SEARCH("20", O2)), ISERROR(SEARCH("1920", O2))), CHAR(34)&amp;"year00"&amp;CHAR(34)&amp;",", "")</f>
        <v/>
      </c>
      <c r="DQ2" s="5" t="str">
        <f>IF(CC2="y",CHAR(34)&amp;"soviet"&amp;CHAR(34)&amp;",","")</f>
        <v/>
      </c>
      <c r="DR2" s="5" t="str">
        <f>IF(BY2="y",CHAR(34)&amp;"dgband"&amp;CHAR(34)&amp;",","")</f>
        <v/>
      </c>
      <c r="DS2" s="5" t="str">
        <f>IF(W2="y",IF(AND(V2="n",BY2&lt;&gt;"y"),CHAR(34)&amp;"allver"&amp;CHAR(34)&amp;",",""),"")</f>
        <v/>
      </c>
      <c r="DT2" s="5" t="str">
        <f>IF(V2="y",IF(AND(W2="n",BY2&lt;&gt;"y"),CHAR(34)&amp;"allhor"&amp;CHAR(34)&amp;",",""),"")</f>
        <v/>
      </c>
      <c r="DU2" s="5" t="str">
        <f>IF(BY2="y",IF(AND(W2="n",V2="n"),CHAR(34)&amp;"alldia"&amp;CHAR(34)&amp;",",""),"")</f>
        <v/>
      </c>
      <c r="DV2" s="44" t="str">
        <f>IF(IA2&lt;&gt;"",(IF(IA2="y",CHAR(34)&amp;"largec"&amp;CHAR(34)&amp;",",CHAR(34)&amp;"smallc"&amp;CHAR(34)&amp;",")),"")</f>
        <v>"smallc",</v>
      </c>
      <c r="DW2" s="44" t="str">
        <f t="shared" ref="DW2:DZ6" si="1">IF(CL2="y",CHAR(34)&amp;CL$1&amp;CHAR(34)&amp;",","")</f>
        <v>"NoBand",</v>
      </c>
      <c r="DX2" s="44" t="str">
        <f t="shared" si="1"/>
        <v/>
      </c>
      <c r="DY2" s="44" t="str">
        <f t="shared" si="1"/>
        <v/>
      </c>
      <c r="DZ2" s="44" t="str">
        <f t="shared" si="1"/>
        <v/>
      </c>
      <c r="EA2" s="44" t="str">
        <f t="shared" ref="EA2:EE6" si="2">IF(T2="y",CHAR(34)&amp;T$1&amp;CHAR(34)&amp;",","")</f>
        <v/>
      </c>
      <c r="EB2" s="44" t="str">
        <f t="shared" si="2"/>
        <v>"Crosse",</v>
      </c>
      <c r="EC2" s="44" t="str">
        <f t="shared" si="2"/>
        <v/>
      </c>
      <c r="ED2" s="44" t="str">
        <f t="shared" si="2"/>
        <v/>
      </c>
      <c r="EE2" s="44" t="str">
        <f t="shared" si="2"/>
        <v/>
      </c>
      <c r="EF2" s="44" t="str">
        <f>IF(AND(Y2&lt;&gt;"n",Y2&lt;&gt;""),CHAR(34)&amp;Y$1&amp;CHAR(34)&amp;",","")</f>
        <v>"Animal",</v>
      </c>
      <c r="EG2" s="44" t="str">
        <f t="shared" ref="EG2:EP6" si="3">IF(Z2="y",CHAR(34)&amp;Z$1&amp;CHAR(34)&amp;",","")</f>
        <v>"Bird",</v>
      </c>
      <c r="EH2" s="44" t="str">
        <f t="shared" si="3"/>
        <v>"Plants",</v>
      </c>
      <c r="EI2" s="44" t="str">
        <f t="shared" si="3"/>
        <v/>
      </c>
      <c r="EJ2" s="44" t="str">
        <f t="shared" si="3"/>
        <v/>
      </c>
      <c r="EK2" s="44" t="str">
        <f t="shared" si="3"/>
        <v/>
      </c>
      <c r="EL2" s="44" t="str">
        <f t="shared" si="3"/>
        <v/>
      </c>
      <c r="EM2" s="44" t="str">
        <f t="shared" si="3"/>
        <v/>
      </c>
      <c r="EN2" s="44" t="str">
        <f t="shared" si="3"/>
        <v/>
      </c>
      <c r="EO2" s="44" t="str">
        <f t="shared" si="3"/>
        <v/>
      </c>
      <c r="EP2" s="44" t="str">
        <f t="shared" si="3"/>
        <v>"Canton",</v>
      </c>
      <c r="EQ2" s="44" t="str">
        <f t="shared" ref="EQ2:EZ6" si="4">IF(AJ2="y",CHAR(34)&amp;AJ$1&amp;CHAR(34)&amp;",","")</f>
        <v/>
      </c>
      <c r="ER2" s="44" t="str">
        <f t="shared" si="4"/>
        <v/>
      </c>
      <c r="ES2" s="44" t="str">
        <f t="shared" si="4"/>
        <v/>
      </c>
      <c r="ET2" s="44" t="str">
        <f t="shared" si="4"/>
        <v/>
      </c>
      <c r="EU2" s="44" t="str">
        <f t="shared" si="4"/>
        <v/>
      </c>
      <c r="EV2" s="44" t="str">
        <f t="shared" si="4"/>
        <v/>
      </c>
      <c r="EW2" s="44" t="str">
        <f t="shared" si="4"/>
        <v/>
      </c>
      <c r="EX2" s="44" t="str">
        <f t="shared" si="4"/>
        <v>"Crowns",</v>
      </c>
      <c r="EY2" s="44" t="str">
        <f t="shared" si="4"/>
        <v/>
      </c>
      <c r="EZ2" s="44" t="str">
        <f t="shared" si="4"/>
        <v/>
      </c>
      <c r="FA2" s="44" t="str">
        <f>IF(AT2&gt;0,CHAR(34)&amp;"sta"&amp;AZ2&amp;CHAR(34)&amp;",","")</f>
        <v/>
      </c>
      <c r="FB2" s="44" t="str">
        <f>IF(AND(AT2&gt;0,BA2&lt;&gt;""),CHAR(34)&amp;"sta"&amp;BA2&amp;CHAR(34)&amp;",","")</f>
        <v/>
      </c>
      <c r="FC2" s="44" t="str">
        <f>IF(AND(AT2&gt;0,BB2&lt;&gt;""),CHAR(34)&amp;"sta"&amp;BB2&amp;CHAR(34)&amp;",","")</f>
        <v/>
      </c>
      <c r="FD2" s="44" t="str">
        <f>IF(BV2="n",CHAR(34)&amp;"tcWHYE"&amp;CHAR(34)&amp;",",IF(BV2="y",CHAR(34)&amp;FD$1&amp;CHAR(34)&amp;",",""))</f>
        <v>"ntWHYE",</v>
      </c>
      <c r="FE2" s="44" t="str">
        <f>IF(COUNTIF(BL2:BT2,"BLU")=0,CHAR(34)&amp;"NO_BLU"&amp;CHAR(34)&amp;",", "")</f>
        <v/>
      </c>
      <c r="FF2" s="44" t="str">
        <f>IF(COUNTIF(BL2:BT2,"WHI")=0,CHAR(34)&amp;"NO_WHI"&amp;CHAR(34)&amp;",", "")</f>
        <v/>
      </c>
      <c r="FG2" s="44" t="str">
        <f>IF(COUNTIF(BL2:BT2,"RED")=0,CHAR(34)&amp;"NO_RED"&amp;CHAR(34)&amp;",", "")</f>
        <v/>
      </c>
      <c r="FH2" s="44" t="str">
        <f>IF(COUNTIF(BL2:BS2,"GRE")=0,CHAR(34)&amp;"NO_GRE"&amp;CHAR(34)&amp;",", "")</f>
        <v/>
      </c>
      <c r="FI2" s="44" t="str">
        <f>IF(COUNTIF(BL2:BT2,"YEL")=0,CHAR(34)&amp;"NO_YEL"&amp;CHAR(34)&amp;",", "")</f>
        <v/>
      </c>
      <c r="FJ2" s="44" t="str">
        <f>IF(COUNTIF(BL2:BT2,"BLA")=0,CHAR(34)&amp;"NO_BLA"&amp;CHAR(34)&amp;",", "")</f>
        <v>"NO_BLA",</v>
      </c>
      <c r="FK2" s="44" t="str">
        <f>IF(AND(FH2&lt;&gt;"",FF2&lt;&gt;""),CHAR(34)&amp;"WHGRNO"&amp;CHAR(34)&amp;",","")</f>
        <v/>
      </c>
      <c r="FL2" s="44" t="str">
        <f>IF(AND(FI2&lt;&gt;"",FF2&lt;&gt;""),CHAR(34)&amp;"WHYENO"&amp;CHAR(34)&amp;",","")</f>
        <v/>
      </c>
      <c r="FM2" s="44" t="str">
        <f>IF(AND(FJ2&lt;&gt;"",FF2&lt;&gt;""),CHAR(34)&amp;"BAWHNO"&amp;CHAR(34)&amp;",","")</f>
        <v/>
      </c>
      <c r="FN2" s="44" t="str">
        <f>IF(AND(FE2&lt;&gt;"",FF2&lt;&gt;""),CHAR(34)&amp;"BLWHNO"&amp;CHAR(34)&amp;",","")</f>
        <v/>
      </c>
      <c r="FO2" s="44" t="str">
        <f>IF(AND(FE2&lt;&gt;"",FG2&lt;&gt;""),CHAR(34)&amp;"BLRENO"&amp;CHAR(34)&amp;",","")</f>
        <v/>
      </c>
      <c r="FP2" s="44" t="str">
        <f>IF(AND(FF2&lt;&gt;"",FF2&lt;&gt;""),CHAR(34)&amp;"WHRENO"&amp;CHAR(34)&amp;",","")</f>
        <v/>
      </c>
      <c r="FQ2" s="44" t="str">
        <f>IF(LEN(BF2)=3,CHAR(34)&amp;"001"&amp;BF2&amp;CHAR(34)&amp;",","")</f>
        <v/>
      </c>
      <c r="FR2" s="44" t="str">
        <f>IF(LEN(BG2)=3,CHAR(34)&amp;"002"&amp;BG2&amp;CHAR(34)&amp;",","")</f>
        <v/>
      </c>
      <c r="FS2" s="44" t="str">
        <f>IF(LEN(BH2)=3,CHAR(34)&amp;"003"&amp;BH2&amp;CHAR(34)&amp;",","")</f>
        <v/>
      </c>
      <c r="FT2" s="44" t="str">
        <f>CHAR(34)&amp;"myr"&amp;BD2&amp;CHAR(34)&amp;","</f>
        <v>"myrBLU",</v>
      </c>
      <c r="FU2" s="44" t="str">
        <f>IF(AY2="y",CHAR(34)&amp;"island"&amp;CHAR(34)&amp;",","")</f>
        <v>"island",</v>
      </c>
      <c r="FV2" s="44" t="str">
        <f>IF(BZ2="y",CHAR(34)&amp;"landlo"&amp;CHAR(34)&amp;",","")</f>
        <v/>
      </c>
      <c r="FW2" s="44" t="str">
        <f>IF(CA2="y",CHAR(34)&amp;"eunion"&amp;CHAR(34)&amp;",","")</f>
        <v/>
      </c>
      <c r="FX2" s="44" t="str">
        <f>SUBSTITUTE(IFERROR(SEARCH("[",A2),IFERROR(IF(AND(CA2&lt;&gt;"y",SEARCH("Europe",R2)&gt;0),CHAR(34)&amp;"noeuni"&amp;CHAR(34)&amp;",",""),"")),"1","")</f>
        <v/>
      </c>
      <c r="FY2" s="44" t="str">
        <f>IFERROR(IF(SEARCH("Arabic",CB2)&gt;0,CHAR(34)&amp;"arabic"&amp;CHAR(34)&amp;",",""),"")</f>
        <v/>
      </c>
      <c r="FZ2" s="44" t="str">
        <f>IFERROR(IF(SEARCH("English",CB2)&gt;0,CHAR(34)&amp;"englis"&amp;CHAR(34)&amp;",",""),"")</f>
        <v>"englis",</v>
      </c>
      <c r="GA2" s="44" t="str">
        <f>IFERROR(IF(SEARCH("French",CB2)&gt;0,CHAR(34)&amp;"french"&amp;CHAR(34)&amp;",",""),"")</f>
        <v/>
      </c>
      <c r="GB2" s="44" t="str">
        <f>IFERROR(IF(SEARCH("Spanish",CB2)&gt;0,CHAR(34)&amp;"spanis"&amp;CHAR(34)&amp;",",""),"")</f>
        <v/>
      </c>
      <c r="GC2" s="44" t="str">
        <f>IFERROR(IF(SEARCH("Portuguese",CB2)&gt;0,CHAR(34)&amp;"portug"&amp;CHAR(34)&amp;",",""),"")</f>
        <v/>
      </c>
      <c r="GD2" s="44" t="str">
        <f>IFERROR(IF(SEARCH("German",CB2)&gt;0,CHAR(34)&amp;"german"&amp;CHAR(34)&amp;",",""),"")</f>
        <v/>
      </c>
      <c r="GE2" s="44" t="str">
        <f>IFERROR(IF(SEARCH("Dutch",CB2)&gt;0,CHAR(34)&amp;"dutchs"&amp;CHAR(34)&amp;",",""),"")</f>
        <v/>
      </c>
      <c r="GF2" s="44" t="str">
        <f>IFERROR(IF(SEARCH("Histor",AU2)&gt;0,CHAR(34)&amp;"histor"&amp;CHAR(34)&amp;",",""),"")</f>
        <v/>
      </c>
      <c r="GG2" s="44" t="str">
        <f>IF(BU2="y",CHAR(34)&amp;"unjack"&amp;CHAR(34)&amp;",","")</f>
        <v>"unjack",</v>
      </c>
      <c r="GH2" s="44" t="str">
        <f>IF(CD2=1,CHAR(34)&amp;"southc"&amp;CHAR(34)&amp;",","")</f>
        <v/>
      </c>
      <c r="GI2" s="44" t="str">
        <f>IF(CE2=1,CHAR(34)&amp;"hasmap"&amp;CHAR(34)&amp;",","")</f>
        <v/>
      </c>
      <c r="GJ2" s="44" t="str">
        <f>IF(CP2="y",CHAR(34)&amp;CP$1&amp;CHAR(34)&amp;",","")</f>
        <v>"NoStar",</v>
      </c>
      <c r="GK2" s="44" t="str">
        <f>IF(GJ2="",CHAR(34)&amp;"HasSta"&amp;CHAR(34)&amp;",","")</f>
        <v/>
      </c>
      <c r="GL2" s="44" t="str">
        <f t="shared" ref="GL2:GN6" si="5">IF(CQ2="y",CHAR(34)&amp;CQ$1&amp;CHAR(34)&amp;",","")</f>
        <v/>
      </c>
      <c r="GM2" s="44" t="str">
        <f t="shared" si="5"/>
        <v/>
      </c>
      <c r="GN2" s="44" t="str">
        <f t="shared" si="5"/>
        <v/>
      </c>
      <c r="GP2" s="44" t="str">
        <f>CHAR(34)&amp;AU2&amp;CHAR(34)</f>
        <v>""</v>
      </c>
      <c r="GS2" s="44" t="str">
        <f>SUBSTITUTE("["&amp;_xlfn.CONCAT(CW2:GN2)&amp;"]",",]","]")</f>
        <v>["5+Colo","lets04","startF","year19","smallc","NoBand","Crosse","Animal","Bird","Plants","Canton","Crowns","ntWHYE","NO_BLA","myrBLU","island","englis","unjack","NoStar"]</v>
      </c>
      <c r="GT2" s="44" t="str">
        <f t="shared" ref="GT2:HB6" si="6">IF(BL2&lt;&gt;"",CHAR(34)&amp;"cl_"&amp;BL2&amp;CHAR(34)&amp;",","")</f>
        <v>"cl_BLU",</v>
      </c>
      <c r="GU2" s="44" t="str">
        <f t="shared" si="6"/>
        <v>"cl_RED",</v>
      </c>
      <c r="GV2" s="44" t="str">
        <f t="shared" si="6"/>
        <v>"cl_WHI",</v>
      </c>
      <c r="GW2" s="44" t="str">
        <f t="shared" si="6"/>
        <v>"cl_YEL",</v>
      </c>
      <c r="GX2" s="44" t="str">
        <f t="shared" si="6"/>
        <v>"cl_GRE",</v>
      </c>
      <c r="GY2" s="44" t="str">
        <f t="shared" si="6"/>
        <v/>
      </c>
      <c r="GZ2" s="44" t="str">
        <f t="shared" si="6"/>
        <v/>
      </c>
      <c r="HA2" s="44" t="str">
        <f t="shared" si="6"/>
        <v/>
      </c>
      <c r="HB2" s="44" t="str">
        <f t="shared" si="6"/>
        <v/>
      </c>
      <c r="HC2" s="44" t="str">
        <f>SUBSTITUTE("["&amp;_xlfn.CONCAT(GT2:HB2)&amp;"]",",]","]")</f>
        <v>["cl_BLU","cl_RED","cl_WHI","cl_YEL","cl_GRE"]</v>
      </c>
      <c r="HE2" s="64"/>
      <c r="HF2" s="65" t="str">
        <f>"{couname:"&amp;CT2&amp;(IF(HK2&lt;&gt;"",",subtype:"&amp;CHAR(34)&amp;HK2&amp;CHAR(34),""))&amp;",year:"&amp;HJ2&amp;",region:"&amp;CU2&amp;",Colors:"&amp;HC2&amp;",Items:"&amp;GS2&amp;",Flag:"&amp;CV2&amp;",HDFlag:"&amp;CHAR(34)&amp;E2&amp;CHAR(34)&amp;",type:"&amp;GP2&amp;", describe: "&amp;HH2&amp;", isnew:"&amp;CHAR(34)&amp;F2&amp;CHAR(34)&amp;", links: "&amp;HL2&amp;"},"</f>
        <v>{couname:"Fiji",year:"1970 ",region:"rgn_Oceania",Colors:["cl_BLU","cl_RED","cl_WHI","cl_YEL","cl_GRE"],Items:["5+Colo","lets04","startF","year19","smallc","NoBand","Crosse","Animal","Bird","Plants","Canton","Crowns","ntWHYE","NO_BLA","myrBLU","island","englis","unjack","NoStar"],Flag:"https://i.ibb.co/WK7Cyyh/Fiji-Flag.png",HDFlag:"https://upload.wikimedia.org/wikipedia/commons/thumb/b/ba/Flag_of_Fiji.svg/2560px-Flag_of_Fiji.svg.png",type:"", describe: "\nThe flag's bright blue background symbolises the Pacific Ocean, which plays an important part in the lives of the islanders, both in terms of the fishing industry, and the huge tourist trade. The Union Jack reflects the country's links with the United Kingdom. The shield is derived from the country's coat of arms, which was granted by royal warrant in 1908. It is a white shield with a red cross and a red chief (upper third of a shield). The images depicted on the shield represent agricultural activities on the islands, and the historical associations with the United Kingdom. At the top of the shield, a British lion holds a cocoa pod between its paws. The first quarter is sugar cane, the second quarter is a coconut palm, the third quarter is a dove of peace, and the fourth quarter is a bunch of bananas.", isnew:".", links: "https://en.wikipedia.org/wiki/Flag_of_Fiji"},</v>
      </c>
      <c r="HG2" s="66" t="str">
        <f>"{couname:"&amp;CT2&amp;(IF(HK2&lt;&gt;"",",subtype:"&amp;CHAR(34)&amp;HK2&amp;CHAR(34),""))&amp;",year:"&amp;HJ2&amp;",region:"&amp;CU2&amp;",Colors:"&amp;HC2&amp;",Items:"&amp;GS2&amp;",Flag:"&amp;CV2&amp;",HDFlag:"&amp;CHAR(34)&amp;E2&amp;CHAR(34)&amp;",type:"&amp;GP2&amp;", describe: "&amp;HI2&amp;", links: "&amp;HL2&amp;"},"</f>
        <v>{couname:"Fiji",year:"1970 ",region:"rgn_Oceania",Colors:["cl_BLU","cl_RED","cl_WHI","cl_YEL","cl_GRE"],Items:["5+Colo","lets04","startF","year19","smallc","NoBand","Crosse","Animal","Bird","Plants","Canton","Crowns","ntWHYE","NO_BLA","myrBLU","island","englis","unjack","NoStar"],Flag:"https://i.ibb.co/WK7Cyyh/Fiji-Flag.png",HDFlag:"https://upload.wikimedia.org/wikipedia/commons/thumb/b/ba/Flag_of_Fiji.svg/2560px-Flag_of_Fiji.svg.png",type:"", describe: "\nThe flag's bright blue background symbolises the Pacific Ocean, which plays an important part in the lives of the islanders, both in terms of the fishing industry, and the huge tourist trade. The Union Jack reflects the country's links with the United Kingdom. The shield is derived from the country's coat of arms, which was granted by royal warrant in 1908. It is a white shield with a red cross and a red chief (upper third of a shield). The images depicted on the shield represent agricultural activities on the islands, and the historical associations with the United Kingdom. At the top of the shield, a British lion holds a cocoa pod between its paws. The first quarter is sugar cane, the second quarter is a coconut palm, the third quarter is a dove of peace, and the fourth quarter is a bunch of bananas.", links: "https://en.wikipedia.org/wiki/Flag_of_Fiji"},</v>
      </c>
      <c r="HH2" s="44" t="str">
        <f>IF(P2&lt;&gt;"",CHAR(34)&amp;"\n"&amp;P2&amp;CHAR(34),CHAR(34)&amp;CHAR(34))</f>
        <v>"\nThe flag's bright blue background symbolises the Pacific Ocean, which plays an important part in the lives of the islanders, both in terms of the fishing industry, and the huge tourist trade. The Union Jack reflects the country's links with the United Kingdom. The shield is derived from the country's coat of arms, which was granted by royal warrant in 1908. It is a white shield with a red cross and a red chief (upper third of a shield). The images depicted on the shield represent agricultural activities on the islands, and the historical associations with the United Kingdom. At the top of the shield, a British lion holds a cocoa pod between its paws. The first quarter is sugar cane, the second quarter is a coconut palm, the third quarter is a dove of peace, and the fourth quarter is a bunch of bananas."</v>
      </c>
      <c r="HI2" s="44" t="str">
        <f>IF(J2=0,CHAR(34)&amp;CHAR(34),HH2)</f>
        <v>"\nThe flag's bright blue background symbolises the Pacific Ocean, which plays an important part in the lives of the islanders, both in terms of the fishing industry, and the huge tourist trade. The Union Jack reflects the country's links with the United Kingdom. The shield is derived from the country's coat of arms, which was granted by royal warrant in 1908. It is a white shield with a red cross and a red chief (upper third of a shield). The images depicted on the shield represent agricultural activities on the islands, and the historical associations with the United Kingdom. At the top of the shield, a British lion holds a cocoa pod between its paws. The first quarter is sugar cane, the second quarter is a coconut palm, the third quarter is a dove of peace, and the fourth quarter is a bunch of bananas."</v>
      </c>
      <c r="HJ2" s="44" t="str">
        <f>CHAR(34)&amp;O2&amp;CHAR(34)</f>
        <v>"1970 "</v>
      </c>
      <c r="HL2" s="44" t="str">
        <f>CHAR(34)&amp;I2&amp;CHAR(34)</f>
        <v>"https://en.wikipedia.org/wiki/Flag_of_Fiji"</v>
      </c>
      <c r="HM2" s="65"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{"couname":"Fiji","year":"1970 ","region":"rgn_Oceania","Colors":["cl_BLU","cl_RED","cl_WHI","cl_YEL","cl_GRE"],"Items":["5+Colo","lets04","startF","year19","smallc","NoBand","Crosse","Animal","Bird","Plants","Canton","Crowns","ntWHYE","NO_BLA","myrBLU","island","englis","unjack","NoStar"],"Flag":"https://i.ibb.co/WK7Cyyh/Fiji-Flag.png","HDFlag":"https://upload.wikimedia.org/wikipedia/commons/thumb/b/ba/Flag_of_Fiji.svg/2560px-Flag_of_Fiji.svg.png","type":"", "describe": "\nThe flag's bright blue background symbolises the Pacific Ocean, which plays an important part in the lives of the islanders, both in terms of the fishing industry, and the huge tourist trade. The Union Jack reflects the country's links with the United Kingdom. The shield is derived from the country's coat of arms, which was granted by royal warrant in 1908. It is a white shield with a red cross and a red chief (upper third of a shield). The images depicted on the shield represent agricultural activities on the islands, and the historical associations with the United Kingdom. At the top of the shield, a British lion holds a cocoa pod between its paws. The first quarter is sugar cane, the second quarter is a coconut palm, the third quarter is a dove of peace, and the fourth quarter is a bunch of bananas.", "isnew": ".", "links": "https://en.wikipedia.org/wiki/Flag_of_Fiji"},</v>
      </c>
      <c r="HN2" s="67"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{"couname":"Fiji","year":"1970 ","region":"rgn_Oceania","Colors":["cl_BLU","cl_RED","cl_WHI","cl_YEL","cl_GRE"],"Items":["5+Colo","lets04","startF","year19","smallc","NoBand","Crosse","Animal","Bird","Plants","Canton","Crowns","ntWHYE","NO_BLA","myrBLU","island","englis","unjack","NoStar"],"Flag":"https://i.ibb.co/WK7Cyyh/Fiji-Flag.png","HDFlag":"https://upload.wikimedia.org/wikipedia/commons/thumb/b/ba/Flag_of_Fiji.svg/2560px-Flag_of_Fiji.svg.png","type":"", "describe": "\nThe flag's bright blue background symbolises the Pacific Ocean, which plays an important part in the lives of the islanders, both in terms of the fishing industry, and the huge tourist trade. The Union Jack reflects the country's links with the United Kingdom. The shield is derived from the country's coat of arms, which was granted by royal warrant in 1908. It is a white shield with a red cross and a red chief (upper third of a shield). The images depicted on the shield represent agricultural activities on the islands, and the historical associations with the United Kingdom. At the top of the shield, a British lion holds a cocoa pod between its paws. The first quarter is sugar cane, the second quarter is a coconut palm, the third quarter is a dove of peace, and the fourth quarter is a bunch of bananas.", "isnew": ".", "links": "https://en.wikipedia.org/wiki/Flag_of_Fiji"},</v>
      </c>
      <c r="HO2" s="71"/>
      <c r="HP2" s="44" t="str" cm="1">
        <f t="array" ref="HP2">IF(_xlfn.TEXTJOIN(", ", TRUE, IF(ISNUMBER(SEARCH("BLA", BL2:BT2)), COLUMN(BL2:BT2) - COLUMN(BL2) + 1, ""))&lt;&gt;"","BLA","")</f>
        <v/>
      </c>
      <c r="HQ2" s="44" t="str" cm="1">
        <f t="array" ref="HQ2">IF(_xlfn.TEXTJOIN(", ", TRUE, IF(ISNUMBER(SEARCH("BLU", BL2:BT2)), COLUMN(BL2:BT2) - COLUMN(BL2) + 1, ""))&lt;&gt;"","BLU","")</f>
        <v>BLU</v>
      </c>
      <c r="HR2" s="44" t="str" cm="1">
        <f t="array" ref="HR2">IF(_xlfn.TEXTJOIN(", ", TRUE, IF(ISNUMBER(SEARCH("GRE", BL2:BT2)), COLUMN(BL2:BT2) - COLUMN(BL2) + 1, ""))&lt;&gt;"","GRE","")</f>
        <v>GRE</v>
      </c>
      <c r="HS2" s="44" t="str" cm="1">
        <f t="array" ref="HS2">IF(_xlfn.TEXTJOIN(", ", TRUE, IF(ISNUMBER(SEARCH("RED", BL2:BT2)), COLUMN(BL2:BT2) - COLUMN(BL2) + 1, ""))&lt;&gt;"","RED","")</f>
        <v>RED</v>
      </c>
      <c r="HT2" s="44" t="str" cm="1">
        <f t="array" ref="HT2">IF(_xlfn.TEXTJOIN(", ", TRUE, IF(ISNUMBER(SEARCH("YEL", BL2:BT2)), COLUMN(BL2:BT2) - COLUMN(BL2) + 1, ""))&lt;&gt;"","YEL","")</f>
        <v>YEL</v>
      </c>
      <c r="HU2" s="44" t="str" cm="1">
        <f t="array" ref="HU2">IF(_xlfn.TEXTJOIN(", ", TRUE, IF(ISNUMBER(SEARCH("ORA", BL2:BT2)), COLUMN(BL2:BT2) - COLUMN(BL2) + 1, ""))&lt;&gt;"","ORA","")</f>
        <v/>
      </c>
      <c r="HV2" s="44" t="str" cm="1">
        <f t="array" ref="HV2">IF(_xlfn.TEXTJOIN(", ", TRUE, IF(ISNUMBER(SEARCH("BRO", BL2:BT2)), COLUMN(BL2:BT2) - COLUMN(BL2) + 1, ""))&lt;&gt;"","BRO","")</f>
        <v/>
      </c>
      <c r="HW2" s="44" t="str" cm="1">
        <f t="array" ref="HW2">IF(_xlfn.TEXTJOIN(", ", TRUE, IF(ISNUMBER(SEARCH("PUR", BL2:BT2)), COLUMN(BL2:BT2) - COLUMN(BL2) + 1, ""))&lt;&gt;"","PUR","")</f>
        <v/>
      </c>
      <c r="HX2" s="44" t="str" cm="1">
        <f t="array" ref="HX2">IF(_xlfn.TEXTJOIN(", ", TRUE, IF(ISNUMBER(SEARCH("WHI", BL2:BT2)), COLUMN(BL2:BT2) - COLUMN(BL2) + 1, ""))&lt;&gt;"","WHI","")</f>
        <v>WHI</v>
      </c>
      <c r="HY2" s="72"/>
      <c r="HZ2" s="72"/>
      <c r="IA2" s="5" t="s">
        <v>166</v>
      </c>
      <c r="IB2" s="5" t="s">
        <v>167</v>
      </c>
      <c r="IC2" s="68"/>
      <c r="ID2" s="68"/>
      <c r="IE2" s="68"/>
      <c r="IF2" s="68"/>
      <c r="IG2" s="68"/>
      <c r="IH2" s="68"/>
      <c r="II2" s="68"/>
      <c r="IJ2" s="68"/>
      <c r="IK2" s="68"/>
      <c r="IL2" s="44">
        <f>SUM(IC2:IK2)</f>
        <v>0</v>
      </c>
      <c r="IM2" s="42">
        <f>COUNTIF(IC2:IK2,"&gt;0")-CG2</f>
        <v>-5</v>
      </c>
      <c r="IN2" s="69" t="str">
        <f>"http://mkweb.bcgsc.ca/color-summarizer/?url="&amp;D2&amp;"&amp;precision=low&amp;num_clusters="&amp;CG2&amp;"&amp;text=1"</f>
        <v>http://mkweb.bcgsc.ca/color-summarizer/?url=https://i.ibb.co/WK7Cyyh/Fiji-Flag.png&amp;precision=low&amp;num_clusters=5&amp;text=1</v>
      </c>
      <c r="IO2" s="44" t="str">
        <f>IF(HP2&lt;&gt;"",CHAR(34)&amp;"black"&amp;CHAR(34),"")</f>
        <v/>
      </c>
      <c r="IP2" s="44" t="str">
        <f>IF(HQ2&lt;&gt;"",CHAR(34)&amp;"blue"&amp;CHAR(34),"")</f>
        <v>"blue"</v>
      </c>
      <c r="IQ2" s="44" t="str">
        <f>IF(HR2&lt;&gt;"",CHAR(34)&amp;"green"&amp;CHAR(34),"")</f>
        <v>"green"</v>
      </c>
      <c r="IR2" s="44" t="str">
        <f>IF(HS2&lt;&gt;"",CHAR(34)&amp;"red"&amp;CHAR(34),"")</f>
        <v>"red"</v>
      </c>
      <c r="IS2" s="44" t="str">
        <f>IF(HT2&lt;&gt;"",CHAR(34)&amp;"yellow"&amp;CHAR(34),"")</f>
        <v>"yellow"</v>
      </c>
      <c r="IT2" s="44" t="str">
        <f>IF(HU2&lt;&gt;"",CHAR(34)&amp;"orange"&amp;CHAR(34),"")</f>
        <v/>
      </c>
      <c r="IU2" s="44" t="str">
        <f>IF(HV2&lt;&gt;"",CHAR(34)&amp;"brown"&amp;CHAR(34),"")</f>
        <v/>
      </c>
      <c r="IV2" s="44" t="str">
        <f>IF(HW2&lt;&gt;"",CHAR(34)&amp;"purple"&amp;CHAR(34),"")</f>
        <v/>
      </c>
      <c r="IW2" s="44" t="str">
        <f>IF(HX2&lt;&gt;"",CHAR(34)&amp;"white"&amp;CHAR(34),"")</f>
        <v>"white"</v>
      </c>
      <c r="IX2" s="44" t="str">
        <f>"{"&amp;CHAR(34)&amp;"url"&amp;CHAR(34)&amp;":"&amp;CHAR(34)&amp;IN2&amp;CHAR(34)&amp;","&amp;CHAR(34)&amp;"name"&amp;CHAR(34)&amp;":"&amp;CHAR(34)&amp;A2&amp;CHAR(34)&amp;"},"</f>
        <v>{"url":"http://mkweb.bcgsc.ca/color-summarizer/?url=https://i.ibb.co/WK7Cyyh/Fiji-Flag.png&amp;precision=low&amp;num_clusters=5&amp;text=1","name":"Fiji"},</v>
      </c>
      <c r="IY2" s="44">
        <v>75</v>
      </c>
    </row>
    <row r="3" spans="1:259" s="44" customFormat="1" ht="38.4" customHeight="1" thickBot="1" x14ac:dyDescent="0.35">
      <c r="A3" s="81" t="s">
        <v>657</v>
      </c>
      <c r="B3" s="78" t="e" vm="33">
        <v>#VALUE!</v>
      </c>
      <c r="C3" s="39">
        <v>3</v>
      </c>
      <c r="D3" s="70" t="s">
        <v>658</v>
      </c>
      <c r="E3" s="40" t="s">
        <v>659</v>
      </c>
      <c r="F3" s="41" t="s">
        <v>165</v>
      </c>
      <c r="G3" s="42">
        <f>COUNTIF($A$1:$A$8292,A3)</f>
        <v>1</v>
      </c>
      <c r="H3" s="43" t="s">
        <v>914</v>
      </c>
      <c r="I3" s="59" t="s">
        <v>660</v>
      </c>
      <c r="J3" s="44" t="str">
        <f>""</f>
        <v/>
      </c>
      <c r="K3" s="45"/>
      <c r="L3" s="46"/>
      <c r="M3" s="46"/>
      <c r="N3" s="47" t="s">
        <v>177</v>
      </c>
      <c r="O3" s="74">
        <v>1865</v>
      </c>
      <c r="P3" s="48" t="s">
        <v>661</v>
      </c>
      <c r="Q3" s="73">
        <v>6</v>
      </c>
      <c r="R3" s="49" t="s">
        <v>177</v>
      </c>
      <c r="S3" s="50">
        <v>0</v>
      </c>
      <c r="T3" s="51" t="s">
        <v>167</v>
      </c>
      <c r="U3" s="52" t="s">
        <v>166</v>
      </c>
      <c r="V3" s="52" t="s">
        <v>166</v>
      </c>
      <c r="W3" s="52" t="s">
        <v>166</v>
      </c>
      <c r="X3" s="52" t="s">
        <v>166</v>
      </c>
      <c r="Y3" s="52" t="s">
        <v>166</v>
      </c>
      <c r="Z3" s="52" t="s">
        <v>166</v>
      </c>
      <c r="AA3" s="52" t="s">
        <v>166</v>
      </c>
      <c r="AB3" s="52" t="s">
        <v>166</v>
      </c>
      <c r="AC3" s="52" t="s">
        <v>166</v>
      </c>
      <c r="AD3" s="52" t="s">
        <v>166</v>
      </c>
      <c r="AE3" s="52" t="s">
        <v>166</v>
      </c>
      <c r="AF3" s="53" t="s">
        <v>166</v>
      </c>
      <c r="AG3" s="53" t="s">
        <v>167</v>
      </c>
      <c r="AH3" s="53" t="s">
        <v>167</v>
      </c>
      <c r="AI3" s="53" t="s">
        <v>166</v>
      </c>
      <c r="AJ3" s="53" t="s">
        <v>166</v>
      </c>
      <c r="AK3" s="53" t="s">
        <v>166</v>
      </c>
      <c r="AL3" s="53" t="s">
        <v>166</v>
      </c>
      <c r="AM3" s="53" t="s">
        <v>166</v>
      </c>
      <c r="AN3" s="53" t="s">
        <v>166</v>
      </c>
      <c r="AO3" s="53" t="s">
        <v>166</v>
      </c>
      <c r="AP3" s="53" t="s">
        <v>166</v>
      </c>
      <c r="AQ3" s="53" t="s">
        <v>166</v>
      </c>
      <c r="AR3" s="53" t="s">
        <v>167</v>
      </c>
      <c r="AS3" s="53" t="s">
        <v>166</v>
      </c>
      <c r="AT3" s="54">
        <v>1</v>
      </c>
      <c r="AU3" s="53" t="s">
        <v>349</v>
      </c>
      <c r="AV3" s="53" t="str">
        <f>IF(LEFT(A3,1)="[",LEFT(A3,5)&amp;AU3&amp;A3,"")</f>
        <v>[FJI]Historical[FJI] Confederacy of Independent Kingdoms of Fiji (1865)</v>
      </c>
      <c r="AW3" s="53" t="str">
        <f>C3&amp;H3&amp;A3</f>
        <v>3[FJI] Other[FJI] Confederacy of Independent Kingdoms of Fiji (1865)</v>
      </c>
      <c r="AX3" s="55"/>
      <c r="AY3" s="55"/>
      <c r="AZ3" s="56" t="s">
        <v>161</v>
      </c>
      <c r="BA3" s="56" t="s">
        <v>231</v>
      </c>
      <c r="BB3" s="56"/>
      <c r="BC3" s="57"/>
      <c r="BD3" s="58" t="s">
        <v>154</v>
      </c>
      <c r="BE3" s="59"/>
      <c r="BF3" s="58" t="s">
        <v>231</v>
      </c>
      <c r="BG3" s="58" t="s">
        <v>231</v>
      </c>
      <c r="BH3" s="58" t="s">
        <v>231</v>
      </c>
      <c r="BI3" s="58"/>
      <c r="BJ3" s="58"/>
      <c r="BK3" s="59"/>
      <c r="BL3" s="58" t="s">
        <v>231</v>
      </c>
      <c r="BM3" s="58" t="s">
        <v>154</v>
      </c>
      <c r="BN3" s="58" t="s">
        <v>231</v>
      </c>
      <c r="BO3" s="58" t="s">
        <v>231</v>
      </c>
      <c r="BP3" s="58" t="s">
        <v>231</v>
      </c>
      <c r="BQ3" s="58" t="s">
        <v>231</v>
      </c>
      <c r="BR3" s="58" t="s">
        <v>231</v>
      </c>
      <c r="BS3" s="58" t="s">
        <v>231</v>
      </c>
      <c r="BT3" s="58" t="s">
        <v>161</v>
      </c>
      <c r="BU3" s="60"/>
      <c r="BV3" s="61"/>
      <c r="BW3" s="61">
        <v>0</v>
      </c>
      <c r="BX3" s="59"/>
      <c r="BY3" s="44" t="s">
        <v>166</v>
      </c>
      <c r="CB3" s="5"/>
      <c r="CC3" s="5"/>
      <c r="CD3" s="62">
        <v>0</v>
      </c>
      <c r="CE3" s="62">
        <v>0</v>
      </c>
      <c r="CF3" s="62" t="e">
        <v>#REF!</v>
      </c>
      <c r="CG3" s="75" cm="1">
        <f t="array" ref="CG3">SUMPRODUCT(--(LEN(TRIM(BL3:BT3))&gt;0))</f>
        <v>2</v>
      </c>
      <c r="CH3" s="53" t="str">
        <f>IF(CG3=2,"y","n")</f>
        <v>y</v>
      </c>
      <c r="CI3" s="53" t="str">
        <f>IF(CG3=3,"y","n")</f>
        <v>n</v>
      </c>
      <c r="CJ3" s="53" t="str">
        <f>IF(CG3=4,"y","n")</f>
        <v>n</v>
      </c>
      <c r="CK3" s="53" t="str">
        <f>IF(CG3&gt;4,"y","n")</f>
        <v>n</v>
      </c>
      <c r="CL3" s="53" t="str">
        <f>IF(S3=0,"y","n")</f>
        <v>y</v>
      </c>
      <c r="CM3" s="53" t="str">
        <f>IF(S3=2,"y","n")</f>
        <v>n</v>
      </c>
      <c r="CN3" s="53" t="str">
        <f>IF(S3=3,"y","n")</f>
        <v>n</v>
      </c>
      <c r="CO3" s="53" t="str">
        <f>IF(S3&gt;=4,"y","n")</f>
        <v>n</v>
      </c>
      <c r="CP3" s="53" t="str">
        <f>IF(AT3=0,"y","n")</f>
        <v>n</v>
      </c>
      <c r="CQ3" s="53" t="str">
        <f>IF(AT3=1,"y","n")</f>
        <v>y</v>
      </c>
      <c r="CR3" s="53" t="str">
        <f>IF(AT3=2,"y","n")</f>
        <v>n</v>
      </c>
      <c r="CS3" s="53" t="str">
        <f>IF(AT3&gt;=3,"y","n")</f>
        <v>n</v>
      </c>
      <c r="CT3" s="38" t="str">
        <f>CHAR(34)&amp;A3&amp;CHAR(34)</f>
        <v>"[FJI] Confederacy of Independent Kingdoms of Fiji (1865)"</v>
      </c>
      <c r="CU3" s="63" t="str">
        <f>CHAR(34)&amp;"rgn_"&amp;R3&amp;CHAR(34)</f>
        <v>"rgn_Oceania"</v>
      </c>
      <c r="CV3" s="44" t="str">
        <f>CHAR(34)&amp;D3&amp;CHAR(34)</f>
        <v>"https://upload.wikimedia.org/wikipedia/commons/thumb/c/cb/Flag_of_the_Confederacy_of_Independent_Kingdoms_of_Fiji.svg/640px-Flag_of_the_Confederacy_of_Independent_Kingdoms_of_Fiji.svg.png"</v>
      </c>
      <c r="CW3" s="44" t="str">
        <f t="shared" si="0"/>
        <v>"2Color",</v>
      </c>
      <c r="CX3" s="44" t="str">
        <f t="shared" si="0"/>
        <v/>
      </c>
      <c r="CY3" s="44" t="str">
        <f t="shared" si="0"/>
        <v/>
      </c>
      <c r="CZ3" s="44" t="str">
        <f t="shared" si="0"/>
        <v/>
      </c>
      <c r="DA3" s="44" t="str">
        <f>IF(Q3&gt;1,CHAR(34)&amp;"words2"&amp;CHAR(34)&amp;",","")</f>
        <v>"words2",</v>
      </c>
      <c r="DB3" s="44" t="str">
        <f>IF(Q3&gt;2,CHAR(34)&amp;"words3"&amp;CHAR(34)&amp;",","")</f>
        <v>"words3",</v>
      </c>
      <c r="DD3" s="44"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"lets44",</v>
      </c>
      <c r="DE3" s="44" t="str">
        <f>CHAR(34)&amp;"start"&amp;IFERROR(LEFT(SUBSTITUTE(A3,"["&amp;MID(A3,FIND("[",A3)+1,FIND("]",A3)-FIND("[",A3)-1)&amp;"] ",""),1),LEFT(A3,1))&amp;CHAR(34)&amp;","</f>
        <v>"startC",</v>
      </c>
      <c r="DF3" s="44" t="str">
        <f>IFERROR(IF(SEARCH("tan",A3)&gt;0,CHAR(34)&amp;"withtn"&amp;CHAR(34)&amp;",",""),"")</f>
        <v/>
      </c>
      <c r="DG3" s="44" t="str">
        <f>IFERROR(IF(SEARCH("q",A3)&gt;0,CHAR(34)&amp;"with_q"&amp;CHAR(34)&amp;",",""),"")</f>
        <v/>
      </c>
      <c r="DH3" s="44" t="str">
        <f>IFERROR(IF(SEARCH("v",A3)&gt;0,CHAR(34)&amp;"with_v"&amp;CHAR(34)&amp;",",""),"")</f>
        <v/>
      </c>
      <c r="DI3" s="44" t="str">
        <f>IFERROR(IF(SEARCH("w",A3)&gt;0,CHAR(34)&amp;"with_w"&amp;CHAR(34)&amp;",",""),"")</f>
        <v/>
      </c>
      <c r="DJ3" s="44" t="str">
        <f>IFERROR(IF(SEARCH("y",A3)&gt;0,CHAR(34)&amp;"with_y"&amp;CHAR(34)&amp;",",""),"")</f>
        <v>"with_y",</v>
      </c>
      <c r="DK3" s="44" t="str">
        <f>IFERROR(IF(SEARCH("z",A3)&gt;0,CHAR(34)&amp;"with_z"&amp;CHAR(34)&amp;",",""),"")</f>
        <v/>
      </c>
      <c r="DL3" s="44" t="str">
        <f>IF(CG3=2, CHAR(34) &amp; _xlfn.TEXTJOIN("", TRUE, _xlfn._xlws.SORT(HP3:HX3)) &amp; CHAR(34) &amp; ",", "")</f>
        <v>"BLUWHI",</v>
      </c>
      <c r="DM3" s="44" t="str" cm="1">
        <f t="array" ref="DM3">IF(CG3=3,CHAR(34) &amp; _xlfn.TEXTJOIN("", TRUE, RIGHT(HP3:HX3, 2)) &amp; CHAR(34) &amp; ",", "")</f>
        <v/>
      </c>
      <c r="DN3" s="44" t="str">
        <f>IF(AND(ISNUMBER(SEARCH("18", O3)), ISERROR(SEARCH("1918", O3)), ISERROR(SEARCH("2018", O3))), CHAR(34) &amp; "year18" &amp; CHAR(34) &amp; ",", "")</f>
        <v>"year18",</v>
      </c>
      <c r="DO3" s="44" t="str">
        <f>IF(AND(ISNUMBER(SEARCH("19", O3)), ISERROR(SEARCH("1819", O3)),  ISERROR(SEARCH("1219", O3)),ISERROR(SEARCH("1119", O3)),ISERROR(SEARCH("1190", O3)),ISERROR(SEARCH("2019", O3))), CHAR(34) &amp; "year19" &amp; CHAR(34) &amp; ",", "")</f>
        <v/>
      </c>
      <c r="DP3" s="5" t="str">
        <f>IF(AND(ISNUMBER(SEARCH("20", O3)), ISERROR(SEARCH("1920", O3))), CHAR(34)&amp;"year00"&amp;CHAR(34)&amp;",", "")</f>
        <v/>
      </c>
      <c r="DQ3" s="5" t="str">
        <f>IF(CC3="y",CHAR(34)&amp;"soviet"&amp;CHAR(34)&amp;",","")</f>
        <v/>
      </c>
      <c r="DR3" s="5" t="str">
        <f>IF(BY3="y",CHAR(34)&amp;"dgband"&amp;CHAR(34)&amp;",","")</f>
        <v/>
      </c>
      <c r="DS3" s="5" t="str">
        <f>IF(W3="y",IF(AND(V3="n",BY3&lt;&gt;"y"),CHAR(34)&amp;"allver"&amp;CHAR(34)&amp;",",""),"")</f>
        <v/>
      </c>
      <c r="DT3" s="5" t="str">
        <f>IF(V3="y",IF(AND(W3="n",BY3&lt;&gt;"y"),CHAR(34)&amp;"allhor"&amp;CHAR(34)&amp;",",""),"")</f>
        <v/>
      </c>
      <c r="DU3" s="5" t="str">
        <f>IF(BY3="y",IF(AND(W3="n",V3="n"),CHAR(34)&amp;"alldia"&amp;CHAR(34)&amp;",",""),"")</f>
        <v/>
      </c>
      <c r="DW3" s="44" t="str">
        <f t="shared" si="1"/>
        <v>"NoBand",</v>
      </c>
      <c r="DX3" s="44" t="str">
        <f t="shared" si="1"/>
        <v/>
      </c>
      <c r="DY3" s="44" t="str">
        <f t="shared" si="1"/>
        <v/>
      </c>
      <c r="DZ3" s="44" t="str">
        <f t="shared" si="1"/>
        <v/>
      </c>
      <c r="EA3" s="44" t="str">
        <f t="shared" si="2"/>
        <v>"Diagon",</v>
      </c>
      <c r="EB3" s="44" t="str">
        <f t="shared" si="2"/>
        <v/>
      </c>
      <c r="EC3" s="44" t="str">
        <f t="shared" si="2"/>
        <v/>
      </c>
      <c r="ED3" s="44" t="str">
        <f t="shared" si="2"/>
        <v/>
      </c>
      <c r="EE3" s="44" t="str">
        <f t="shared" si="2"/>
        <v/>
      </c>
      <c r="EF3" s="44" t="str">
        <f>IF(AND(Y3&lt;&gt;"n",Y3&lt;&gt;""),CHAR(34)&amp;Y$1&amp;CHAR(34)&amp;",","")</f>
        <v/>
      </c>
      <c r="EG3" s="44" t="str">
        <f t="shared" si="3"/>
        <v/>
      </c>
      <c r="EH3" s="44" t="str">
        <f t="shared" si="3"/>
        <v/>
      </c>
      <c r="EI3" s="44" t="str">
        <f t="shared" si="3"/>
        <v/>
      </c>
      <c r="EJ3" s="44" t="str">
        <f t="shared" si="3"/>
        <v/>
      </c>
      <c r="EK3" s="44" t="str">
        <f t="shared" si="3"/>
        <v/>
      </c>
      <c r="EL3" s="44" t="str">
        <f t="shared" si="3"/>
        <v/>
      </c>
      <c r="EM3" s="44" t="str">
        <f t="shared" si="3"/>
        <v/>
      </c>
      <c r="EN3" s="44" t="str">
        <f t="shared" si="3"/>
        <v>"Unequa",</v>
      </c>
      <c r="EO3" s="44" t="str">
        <f t="shared" si="3"/>
        <v>"Center",</v>
      </c>
      <c r="EP3" s="44" t="str">
        <f t="shared" si="3"/>
        <v/>
      </c>
      <c r="EQ3" s="44" t="str">
        <f t="shared" si="4"/>
        <v/>
      </c>
      <c r="ER3" s="44" t="str">
        <f t="shared" si="4"/>
        <v/>
      </c>
      <c r="ES3" s="44" t="str">
        <f t="shared" si="4"/>
        <v/>
      </c>
      <c r="ET3" s="44" t="str">
        <f t="shared" si="4"/>
        <v/>
      </c>
      <c r="EU3" s="44" t="str">
        <f t="shared" si="4"/>
        <v/>
      </c>
      <c r="EV3" s="44" t="str">
        <f t="shared" si="4"/>
        <v/>
      </c>
      <c r="EW3" s="44" t="str">
        <f t="shared" si="4"/>
        <v/>
      </c>
      <c r="EX3" s="44" t="str">
        <f t="shared" si="4"/>
        <v/>
      </c>
      <c r="EY3" s="44" t="str">
        <f t="shared" si="4"/>
        <v>"Rotate",</v>
      </c>
      <c r="EZ3" s="44" t="str">
        <f t="shared" si="4"/>
        <v/>
      </c>
      <c r="FA3" s="44" t="str">
        <f>IF(AT3&gt;0,CHAR(34)&amp;"sta"&amp;AZ3&amp;CHAR(34)&amp;",","")</f>
        <v>"staWHI",</v>
      </c>
      <c r="FB3" s="44" t="str">
        <f>IF(AND(AT3&gt;0,BA3&lt;&gt;""),CHAR(34)&amp;"sta"&amp;BA3&amp;CHAR(34)&amp;",","")</f>
        <v/>
      </c>
      <c r="FD3" s="44" t="str">
        <f>IF(BV3="n",CHAR(34)&amp;"tcWHYE"&amp;CHAR(34)&amp;",",IF(BV3="y",CHAR(34)&amp;FD$1&amp;CHAR(34)&amp;",",""))</f>
        <v/>
      </c>
      <c r="FE3" s="44" t="str">
        <f>IF(COUNTIF(BL3:BT3,"BLU")=0,CHAR(34)&amp;"NO_BLU"&amp;CHAR(34)&amp;",", "")</f>
        <v/>
      </c>
      <c r="FF3" s="44" t="str">
        <f>IF(COUNTIF(BL3:BT3,"WHI")=0,CHAR(34)&amp;"NO_WHI"&amp;CHAR(34)&amp;",", "")</f>
        <v/>
      </c>
      <c r="FG3" s="44" t="str">
        <f>IF(COUNTIF(BL3:BT3,"RED")=0,CHAR(34)&amp;"NO_RED"&amp;CHAR(34)&amp;",", "")</f>
        <v>"NO_RED",</v>
      </c>
      <c r="FH3" s="44" t="str">
        <f>IF(COUNTIF(BL3:BS3,"GRE")=0,CHAR(34)&amp;"NO_GRE"&amp;CHAR(34)&amp;",", "")</f>
        <v>"NO_GRE",</v>
      </c>
      <c r="FI3" s="44" t="str">
        <f>IF(COUNTIF(BL3:BT3,"YEL")=0,CHAR(34)&amp;"NO_YEL"&amp;CHAR(34)&amp;",", "")</f>
        <v>"NO_YEL",</v>
      </c>
      <c r="FJ3" s="44" t="str">
        <f>IF(COUNTIF(BL3:BT3,"BLA")=0,CHAR(34)&amp;"NO_BLA"&amp;CHAR(34)&amp;",", "")</f>
        <v>"NO_BLA",</v>
      </c>
      <c r="FK3" s="44" t="str">
        <f>IF(AND(FH3&lt;&gt;"",FF3&lt;&gt;""),CHAR(34)&amp;"WHGRNO"&amp;CHAR(34)&amp;",","")</f>
        <v/>
      </c>
      <c r="FL3" s="44" t="str">
        <f>IF(AND(FI3&lt;&gt;"",FF3&lt;&gt;""),CHAR(34)&amp;"WHYENO"&amp;CHAR(34)&amp;",","")</f>
        <v/>
      </c>
      <c r="FM3" s="44" t="str">
        <f>IF(AND(FJ3&lt;&gt;"",FF3&lt;&gt;""),CHAR(34)&amp;"BAWHNO"&amp;CHAR(34)&amp;",","")</f>
        <v/>
      </c>
      <c r="FN3" s="44" t="str">
        <f>IF(AND(FE3&lt;&gt;"",FF3&lt;&gt;""),CHAR(34)&amp;"BLWHNO"&amp;CHAR(34)&amp;",","")</f>
        <v/>
      </c>
      <c r="FO3" s="44" t="str">
        <f>IF(AND(FE3&lt;&gt;"",FG3&lt;&gt;""),CHAR(34)&amp;"BLRENO"&amp;CHAR(34)&amp;",","")</f>
        <v/>
      </c>
      <c r="FP3" s="44" t="str">
        <f>IF(AND(FF3&lt;&gt;"",FF3&lt;&gt;""),CHAR(34)&amp;"WHRENO"&amp;CHAR(34)&amp;",","")</f>
        <v/>
      </c>
      <c r="FQ3" s="44" t="str">
        <f>IF(LEN(BF3)=3,CHAR(34)&amp;"001"&amp;BF3&amp;CHAR(34)&amp;",","")</f>
        <v/>
      </c>
      <c r="FR3" s="44" t="str">
        <f>IF(LEN(BG3)=3,CHAR(34)&amp;"002"&amp;BG3&amp;CHAR(34)&amp;",","")</f>
        <v/>
      </c>
      <c r="FS3" s="44" t="str">
        <f>IF(LEN(BH3)=3,CHAR(34)&amp;"003"&amp;BH3&amp;CHAR(34)&amp;",","")</f>
        <v/>
      </c>
      <c r="FT3" s="44" t="str">
        <f>CHAR(34)&amp;"myr"&amp;BD3&amp;CHAR(34)&amp;","</f>
        <v>"myrBLU",</v>
      </c>
      <c r="FU3" s="44" t="str">
        <f>IF(AY3="y",CHAR(34)&amp;"island"&amp;CHAR(34)&amp;",","")</f>
        <v/>
      </c>
      <c r="FV3" s="44" t="str">
        <f>IF(BZ3="y",CHAR(34)&amp;"landlo"&amp;CHAR(34)&amp;",","")</f>
        <v/>
      </c>
      <c r="FW3" s="44" t="str">
        <f>IF(CA3="y",CHAR(34)&amp;"eunion"&amp;CHAR(34)&amp;",","")</f>
        <v/>
      </c>
      <c r="FY3" s="44" t="str">
        <f>IFERROR(IF(SEARCH("Arabic",CB3)&gt;0,CHAR(34)&amp;"arabic"&amp;CHAR(34)&amp;",",""),"")</f>
        <v/>
      </c>
      <c r="FZ3" s="44" t="str">
        <f>IFERROR(IF(SEARCH("English",CB3)&gt;0,CHAR(34)&amp;"englis"&amp;CHAR(34)&amp;",",""),"")</f>
        <v/>
      </c>
      <c r="GA3" s="44" t="str">
        <f>IFERROR(IF(SEARCH("French",CB3)&gt;0,CHAR(34)&amp;"french"&amp;CHAR(34)&amp;",",""),"")</f>
        <v/>
      </c>
      <c r="GB3" s="44" t="str">
        <f>IFERROR(IF(SEARCH("Spanish",CB3)&gt;0,CHAR(34)&amp;"spanis"&amp;CHAR(34)&amp;",",""),"")</f>
        <v/>
      </c>
      <c r="GE3" s="44" t="str">
        <f>IFERROR(IF(SEARCH("Dutch",CB3)&gt;0,CHAR(34)&amp;"dutchs"&amp;CHAR(34)&amp;",",""),"")</f>
        <v/>
      </c>
      <c r="GF3" s="44" t="str">
        <f>IFERROR(IF(SEARCH("Historical",AU3)&gt;0,CHAR(34)&amp;"histor"&amp;CHAR(34)&amp;",",""),"")</f>
        <v>"histor",</v>
      </c>
      <c r="GG3" s="44" t="str">
        <f>IF(BU3="y",CHAR(34)&amp;"unjack"&amp;CHAR(34)&amp;",","")</f>
        <v/>
      </c>
      <c r="GH3" s="44" t="str">
        <f>IF(CD3=1,CHAR(34)&amp;"southc"&amp;CHAR(34)&amp;",","")</f>
        <v/>
      </c>
      <c r="GI3" s="44" t="str">
        <f>IF(CE3=1,CHAR(34)&amp;"hasmap"&amp;CHAR(34)&amp;",","")</f>
        <v/>
      </c>
      <c r="GJ3" s="44" t="str">
        <f>IF(CP3="y",CHAR(34)&amp;CP$1&amp;CHAR(34)&amp;",","")</f>
        <v/>
      </c>
      <c r="GK3" s="44" t="str">
        <f>IF(GJ3="",CHAR(34)&amp;"HasSta"&amp;CHAR(34)&amp;",","")</f>
        <v>"HasSta",</v>
      </c>
      <c r="GL3" s="44" t="str">
        <f t="shared" si="5"/>
        <v>"1Stars",</v>
      </c>
      <c r="GM3" s="44" t="str">
        <f t="shared" si="5"/>
        <v/>
      </c>
      <c r="GN3" s="44" t="str">
        <f t="shared" si="5"/>
        <v/>
      </c>
      <c r="GP3" s="44" t="str">
        <f>CHAR(34)&amp;AU3&amp;CHAR(34)</f>
        <v>"Historical"</v>
      </c>
      <c r="GS3" s="44" t="str">
        <f>SUBSTITUTE("["&amp;_xlfn.CONCAT(CW3:GN3)&amp;"]",",]","]")</f>
        <v>["2Color","words2","words3","lets44","startC","with_y","BLUWHI","year18","NoBand","Diagon","Unequa","Center","Rotate","staWHI","NO_RED","NO_GRE","NO_YEL","NO_BLA","myrBLU","histor","HasSta","1Stars"]</v>
      </c>
      <c r="GT3" s="44" t="str">
        <f t="shared" si="6"/>
        <v/>
      </c>
      <c r="GU3" s="44" t="str">
        <f t="shared" si="6"/>
        <v>"cl_BLU",</v>
      </c>
      <c r="GV3" s="44" t="str">
        <f t="shared" si="6"/>
        <v/>
      </c>
      <c r="GW3" s="44" t="str">
        <f t="shared" si="6"/>
        <v/>
      </c>
      <c r="GX3" s="44" t="str">
        <f t="shared" si="6"/>
        <v/>
      </c>
      <c r="GY3" s="44" t="str">
        <f t="shared" si="6"/>
        <v/>
      </c>
      <c r="GZ3" s="44" t="str">
        <f t="shared" si="6"/>
        <v/>
      </c>
      <c r="HA3" s="44" t="str">
        <f t="shared" si="6"/>
        <v/>
      </c>
      <c r="HB3" s="44" t="str">
        <f t="shared" si="6"/>
        <v>"cl_WHI",</v>
      </c>
      <c r="HC3" s="44" t="str">
        <f>SUBSTITUTE("["&amp;_xlfn.CONCAT(GT3:HB3)&amp;"]",",]","]")</f>
        <v>["cl_BLU","cl_WHI"]</v>
      </c>
      <c r="HE3" s="64"/>
      <c r="HF3" s="65" t="str">
        <f>"{couname:"&amp;CT3&amp;(IF(HK3&lt;&gt;"",",subtype:"&amp;CHAR(34)&amp;HK3&amp;CHAR(34),""))&amp;",year:"&amp;HJ3&amp;",region:"&amp;CU3&amp;",Colors:"&amp;HC3&amp;",Items:"&amp;GS3&amp;",Flag:"&amp;CV3&amp;",HDFlag:"&amp;CHAR(34)&amp;E3&amp;CHAR(34)&amp;",type:"&amp;GP3&amp;", describe: "&amp;HH3&amp;", isnew:"&amp;CHAR(34)&amp;F3&amp;CHAR(34)&amp;", links: "&amp;HL3&amp;"},"</f>
        <v>{couname:"[FJI] Confederacy of Independent Kingdoms of Fiji (1865)",year:"1865",region:"rgn_Oceania",Colors:["cl_BLU","cl_WHI"],Items:["2Color","words2","words3","lets44","startC","with_y","BLUWHI","year18","NoBand","Diagon","Unequa","Center","Rotate","staWHI","NO_RED","NO_GRE","NO_YEL","NO_BLA","myrBLU","histor","HasSta","1Stars"],Flag:"https://upload.wikimedia.org/wikipedia/commons/thumb/c/cb/Flag_of_the_Confederacy_of_Independent_Kingdoms_of_Fiji.svg/640px-Flag_of_the_Confederacy_of_Independent_Kingdoms_of_Fiji.svg.png",HDFlag:"https://upload.wikimedia.org/wikipedia/commons/thumb/c/cb/Flag_of_the_Confederacy_of_Independent_Kingdoms_of_Fiji.svg/1280px-Flag_of_the_Confederacy_of_Independent_Kingdoms_of_Fiji.svg.png",type:"Historical", describe: "\nA white eight-pointed star on a dark blue field.", isnew:".", links: "https://en.m.wikipedia.org/wiki/Flag_of_Fiji"},</v>
      </c>
      <c r="HG3" s="66" t="str">
        <f>"{couname:"&amp;CT3&amp;(IF(HK3&lt;&gt;"",",subtype:"&amp;CHAR(34)&amp;HK3&amp;CHAR(34),""))&amp;",year:"&amp;HJ3&amp;",region:"&amp;CU3&amp;",Colors:"&amp;HC3&amp;",Items:"&amp;GS3&amp;",Flag:"&amp;CV3&amp;",HDFlag:"&amp;CHAR(34)&amp;E3&amp;CHAR(34)&amp;",type:"&amp;GP3&amp;", describe: "&amp;HI3&amp;", links: "&amp;HL3&amp;"},"</f>
        <v>{couname:"[FJI] Confederacy of Independent Kingdoms of Fiji (1865)",year:"1865",region:"rgn_Oceania",Colors:["cl_BLU","cl_WHI"],Items:["2Color","words2","words3","lets44","startC","with_y","BLUWHI","year18","NoBand","Diagon","Unequa","Center","Rotate","staWHI","NO_RED","NO_GRE","NO_YEL","NO_BLA","myrBLU","histor","HasSta","1Stars"],Flag:"https://upload.wikimedia.org/wikipedia/commons/thumb/c/cb/Flag_of_the_Confederacy_of_Independent_Kingdoms_of_Fiji.svg/640px-Flag_of_the_Confederacy_of_Independent_Kingdoms_of_Fiji.svg.png",HDFlag:"https://upload.wikimedia.org/wikipedia/commons/thumb/c/cb/Flag_of_the_Confederacy_of_Independent_Kingdoms_of_Fiji.svg/1280px-Flag_of_the_Confederacy_of_Independent_Kingdoms_of_Fiji.svg.png",type:"Historical", describe: "\nA white eight-pointed star on a dark blue field.", links: "https://en.m.wikipedia.org/wiki/Flag_of_Fiji"},</v>
      </c>
      <c r="HH3" s="44" t="str">
        <f>IF(P3&lt;&gt;"",CHAR(34)&amp;"\n"&amp;P3&amp;CHAR(34),CHAR(34)&amp;CHAR(34))</f>
        <v>"\nA white eight-pointed star on a dark blue field."</v>
      </c>
      <c r="HI3" s="44" t="str">
        <f>IF(J3=0,CHAR(34)&amp;CHAR(34),HH3)</f>
        <v>"\nA white eight-pointed star on a dark blue field."</v>
      </c>
      <c r="HJ3" s="44" t="str">
        <f>CHAR(34)&amp;O3&amp;CHAR(34)</f>
        <v>"1865"</v>
      </c>
      <c r="HL3" s="44" t="str">
        <f>CHAR(34)&amp;I3&amp;CHAR(34)</f>
        <v>"https://en.m.wikipedia.org/wiki/Flag_of_Fiji"</v>
      </c>
      <c r="HM3" s="65"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{"couname":"[FJI] Confederacy of Independent Kingdoms of Fiji (1865)","subtype":"[FJI] Other","year":"1865","region":"rgn_Oceania","Colors":["cl_BLU","cl_WHI"],"Items":["2Color","words2","words3","lets44","startC","with_y","BLUWHI","year18","NoBand","Diagon","Unequa","Center","Rotate","staWHI","NO_RED","NO_GRE","NO_YEL","NO_BLA","myrBLU","histor","HasSta","1Stars"],"Flag":"https://upload.wikimedia.org/wikipedia/commons/thumb/c/cb/Flag_of_the_Confederacy_of_Independent_Kingdoms_of_Fiji.svg/640px-Flag_of_the_Confederacy_of_Independent_Kingdoms_of_Fiji.svg.png","HDFlag":"https://upload.wikimedia.org/wikipedia/commons/thumb/c/cb/Flag_of_the_Confederacy_of_Independent_Kingdoms_of_Fiji.svg/1280px-Flag_of_the_Confederacy_of_Independent_Kingdoms_of_Fiji.svg.png","type":"Historical", "describe": "\nA white eight-pointed star on a dark blue field.", "isnew": ".", "links": "https://en.m.wikipedia.org/wiki/Flag_of_Fiji"},</v>
      </c>
      <c r="HN3" s="67"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{"couname":"[FJI] Confederacy of Independent Kingdoms of Fiji (1865)","subtype":"[FJI] Other","year":"1865","region":"rgn_Oceania","Colors":["cl_BLU","cl_WHI"],"Items":["2Color","words2","words3","lets44","startC","with_y","BLUWHI","year18","NoBand","Diagon","Unequa","Center","Rotate","staWHI","NO_RED","NO_GRE","NO_YEL","NO_BLA","myrBLU","histor","HasSta","1Stars"],"Flag":"https://upload.wikimedia.org/wikipedia/commons/thumb/c/cb/Flag_of_the_Confederacy_of_Independent_Kingdoms_of_Fiji.svg/640px-Flag_of_the_Confederacy_of_Independent_Kingdoms_of_Fiji.svg.png","HDFlag":"https://upload.wikimedia.org/wikipedia/commons/thumb/c/cb/Flag_of_the_Confederacy_of_Independent_Kingdoms_of_Fiji.svg/1280px-Flag_of_the_Confederacy_of_Independent_Kingdoms_of_Fiji.svg.png","type":"Historical", "describe": "\nA white eight-pointed star on a dark blue field.", "isnew": ".", "links": "https://en.m.wikipedia.org/wiki/Flag_of_Fiji"},</v>
      </c>
      <c r="HO3" s="71">
        <v>45596</v>
      </c>
      <c r="HP3" s="44" t="str" cm="1">
        <f t="array" ref="HP3">IF(_xlfn.TEXTJOIN(", ", TRUE, IF(ISNUMBER(SEARCH("BLA", BL3:BT3)), COLUMN(BL3:BT3) - COLUMN(BL3) + 1, ""))&lt;&gt;"","BLA","")</f>
        <v/>
      </c>
      <c r="HQ3" s="44" t="str" cm="1">
        <f t="array" ref="HQ3">IF(_xlfn.TEXTJOIN(", ", TRUE, IF(ISNUMBER(SEARCH("BLU", BL3:BT3)), COLUMN(BL3:BT3) - COLUMN(BL3) + 1, ""))&lt;&gt;"","BLU","")</f>
        <v>BLU</v>
      </c>
      <c r="HR3" s="44" t="str" cm="1">
        <f t="array" ref="HR3">IF(_xlfn.TEXTJOIN(", ", TRUE, IF(ISNUMBER(SEARCH("GRE", BL3:BT3)), COLUMN(BL3:BT3) - COLUMN(BL3) + 1, ""))&lt;&gt;"","GRE","")</f>
        <v/>
      </c>
      <c r="HS3" s="44" t="str" cm="1">
        <f t="array" ref="HS3">IF(_xlfn.TEXTJOIN(", ", TRUE, IF(ISNUMBER(SEARCH("RED", BL3:BT3)), COLUMN(BL3:BT3) - COLUMN(BL3) + 1, ""))&lt;&gt;"","RED","")</f>
        <v/>
      </c>
      <c r="HT3" s="44" t="str" cm="1">
        <f t="array" ref="HT3">IF(_xlfn.TEXTJOIN(", ", TRUE, IF(ISNUMBER(SEARCH("YEL", BL3:BT3)), COLUMN(BL3:BT3) - COLUMN(BL3) + 1, ""))&lt;&gt;"","YEL","")</f>
        <v/>
      </c>
      <c r="HU3" s="44" t="str" cm="1">
        <f t="array" ref="HU3">IF(_xlfn.TEXTJOIN(", ", TRUE, IF(ISNUMBER(SEARCH("ORA", BL3:BT3)), COLUMN(BL3:BT3) - COLUMN(BL3) + 1, ""))&lt;&gt;"","ORA","")</f>
        <v/>
      </c>
      <c r="HV3" s="44" t="str" cm="1">
        <f t="array" ref="HV3">IF(_xlfn.TEXTJOIN(", ", TRUE, IF(ISNUMBER(SEARCH("BRO", BL3:BT3)), COLUMN(BL3:BT3) - COLUMN(BL3) + 1, ""))&lt;&gt;"","BRO","")</f>
        <v/>
      </c>
      <c r="HW3" s="44" t="str" cm="1">
        <f t="array" ref="HW3">IF(_xlfn.TEXTJOIN(", ", TRUE, IF(ISNUMBER(SEARCH("PUR", BL3:BT3)), COLUMN(BL3:BT3) - COLUMN(BL3) + 1, ""))&lt;&gt;"","PUR","")</f>
        <v/>
      </c>
      <c r="HX3" s="44" t="str" cm="1">
        <f t="array" ref="HX3">IF(_xlfn.TEXTJOIN(", ", TRUE, IF(ISNUMBER(SEARCH("WHI", BL3:BT3)), COLUMN(BL3:BT3) - COLUMN(BL3) + 1, ""))&lt;&gt;"","WHI","")</f>
        <v>WHI</v>
      </c>
      <c r="HY3" s="72"/>
      <c r="HZ3" s="72"/>
      <c r="IA3" s="5"/>
      <c r="IB3" s="5"/>
      <c r="IC3" s="68"/>
      <c r="ID3" s="68"/>
      <c r="IE3" s="68"/>
      <c r="IF3" s="68"/>
      <c r="IG3" s="68"/>
      <c r="IH3" s="68"/>
      <c r="II3" s="68"/>
      <c r="IJ3" s="68"/>
      <c r="IK3" s="68"/>
      <c r="IM3" s="42">
        <f>COUNTIF(IC3:IK3,"&gt;0")-CG3</f>
        <v>-2</v>
      </c>
      <c r="IN3" s="69" t="str">
        <f>"http://mkweb.bcgsc.ca/color-summarizer/?url="&amp;D3&amp;"&amp;precision=low&amp;num_clusters="&amp;CG3&amp;"&amp;text=1"</f>
        <v>http://mkweb.bcgsc.ca/color-summarizer/?url=https://upload.wikimedia.org/wikipedia/commons/thumb/c/cb/Flag_of_the_Confederacy_of_Independent_Kingdoms_of_Fiji.svg/640px-Flag_of_the_Confederacy_of_Independent_Kingdoms_of_Fiji.svg.png&amp;precision=low&amp;num_clusters=2&amp;text=1</v>
      </c>
      <c r="IO3" s="44" t="str">
        <f>IF(HP3&lt;&gt;"",CHAR(34)&amp;"black"&amp;CHAR(34),"")</f>
        <v/>
      </c>
      <c r="IP3" s="44" t="str">
        <f>IF(HQ3&lt;&gt;"",CHAR(34)&amp;"blue"&amp;CHAR(34),"")</f>
        <v>"blue"</v>
      </c>
      <c r="IQ3" s="44" t="str">
        <f>IF(HR3&lt;&gt;"",CHAR(34)&amp;"green"&amp;CHAR(34),"")</f>
        <v/>
      </c>
      <c r="IR3" s="44" t="str">
        <f>IF(HS3&lt;&gt;"",CHAR(34)&amp;"red"&amp;CHAR(34),"")</f>
        <v/>
      </c>
      <c r="IS3" s="44" t="str">
        <f>IF(HT3&lt;&gt;"",CHAR(34)&amp;"yellow"&amp;CHAR(34),"")</f>
        <v/>
      </c>
      <c r="IT3" s="44" t="str">
        <f>IF(HU3&lt;&gt;"",CHAR(34)&amp;"orange"&amp;CHAR(34),"")</f>
        <v/>
      </c>
      <c r="IU3" s="44" t="str">
        <f>IF(HV3&lt;&gt;"",CHAR(34)&amp;"brown"&amp;CHAR(34),"")</f>
        <v/>
      </c>
      <c r="IV3" s="44" t="str">
        <f>IF(HW3&lt;&gt;"",CHAR(34)&amp;"purple"&amp;CHAR(34),"")</f>
        <v/>
      </c>
      <c r="IW3" s="44" t="str">
        <f>IF(HX3&lt;&gt;"",CHAR(34)&amp;"white"&amp;CHAR(34),"")</f>
        <v>"white"</v>
      </c>
      <c r="IX3" s="44" t="str">
        <f>"{"&amp;CHAR(34)&amp;"url"&amp;CHAR(34)&amp;":"&amp;CHAR(34)&amp;IN3&amp;CHAR(34)&amp;","&amp;CHAR(34)&amp;"name"&amp;CHAR(34)&amp;":"&amp;CHAR(34)&amp;A3&amp;CHAR(34)&amp;"},"</f>
        <v>{"url":"http://mkweb.bcgsc.ca/color-summarizer/?url=https://upload.wikimedia.org/wikipedia/commons/thumb/c/cb/Flag_of_the_Confederacy_of_Independent_Kingdoms_of_Fiji.svg/640px-Flag_of_the_Confederacy_of_Independent_Kingdoms_of_Fiji.svg.png&amp;precision=low&amp;num_clusters=2&amp;text=1","name":"[FJI] Confederacy of Independent Kingdoms of Fiji (1865)"},</v>
      </c>
      <c r="IY3" s="44">
        <v>1289</v>
      </c>
    </row>
    <row r="4" spans="1:259" s="44" customFormat="1" ht="38.4" customHeight="1" thickBot="1" x14ac:dyDescent="0.35">
      <c r="A4" s="81" t="s">
        <v>662</v>
      </c>
      <c r="B4" s="78" t="e" vm="34">
        <v>#VALUE!</v>
      </c>
      <c r="C4" s="39">
        <v>3</v>
      </c>
      <c r="D4" s="70" t="s">
        <v>663</v>
      </c>
      <c r="E4" s="40" t="s">
        <v>664</v>
      </c>
      <c r="F4" s="41" t="s">
        <v>165</v>
      </c>
      <c r="G4" s="42">
        <f>COUNTIF($A$1:$A$8292,A4)</f>
        <v>1</v>
      </c>
      <c r="H4" s="43" t="s">
        <v>914</v>
      </c>
      <c r="I4" s="59" t="s">
        <v>660</v>
      </c>
      <c r="J4" s="44" t="str">
        <f>""</f>
        <v/>
      </c>
      <c r="K4" s="45"/>
      <c r="L4" s="46"/>
      <c r="M4" s="46"/>
      <c r="N4" s="47" t="s">
        <v>177</v>
      </c>
      <c r="O4" s="74">
        <v>1869</v>
      </c>
      <c r="P4" s="48" t="s">
        <v>665</v>
      </c>
      <c r="Q4" s="73">
        <v>3</v>
      </c>
      <c r="R4" s="49" t="s">
        <v>177</v>
      </c>
      <c r="S4" s="50">
        <v>2</v>
      </c>
      <c r="T4" s="51" t="s">
        <v>166</v>
      </c>
      <c r="U4" s="52" t="s">
        <v>167</v>
      </c>
      <c r="V4" s="52" t="s">
        <v>167</v>
      </c>
      <c r="W4" s="52" t="s">
        <v>167</v>
      </c>
      <c r="X4" s="52" t="s">
        <v>166</v>
      </c>
      <c r="Y4" s="52" t="s">
        <v>166</v>
      </c>
      <c r="Z4" s="52" t="s">
        <v>166</v>
      </c>
      <c r="AA4" s="52" t="s">
        <v>166</v>
      </c>
      <c r="AB4" s="52" t="s">
        <v>166</v>
      </c>
      <c r="AC4" s="52" t="s">
        <v>166</v>
      </c>
      <c r="AD4" s="52" t="s">
        <v>166</v>
      </c>
      <c r="AE4" s="52" t="s">
        <v>166</v>
      </c>
      <c r="AF4" s="53" t="s">
        <v>166</v>
      </c>
      <c r="AG4" s="53" t="s">
        <v>167</v>
      </c>
      <c r="AH4" s="53" t="s">
        <v>166</v>
      </c>
      <c r="AI4" s="53" t="s">
        <v>167</v>
      </c>
      <c r="AJ4" s="53" t="s">
        <v>166</v>
      </c>
      <c r="AK4" s="53" t="s">
        <v>166</v>
      </c>
      <c r="AL4" s="53" t="s">
        <v>166</v>
      </c>
      <c r="AM4" s="53" t="s">
        <v>166</v>
      </c>
      <c r="AN4" s="53" t="s">
        <v>166</v>
      </c>
      <c r="AO4" s="53" t="s">
        <v>166</v>
      </c>
      <c r="AP4" s="53" t="s">
        <v>166</v>
      </c>
      <c r="AQ4" s="53" t="s">
        <v>166</v>
      </c>
      <c r="AR4" s="53" t="s">
        <v>166</v>
      </c>
      <c r="AS4" s="53" t="s">
        <v>166</v>
      </c>
      <c r="AT4" s="54">
        <v>0</v>
      </c>
      <c r="AU4" s="53" t="s">
        <v>349</v>
      </c>
      <c r="AV4" s="53" t="str">
        <f>IF(LEFT(A4,1)="[",LEFT(A4,5)&amp;AU4&amp;A4,"")</f>
        <v>[FJI]Historical[FJI] Confederation of Lau (1869)</v>
      </c>
      <c r="AW4" s="53" t="str">
        <f>C4&amp;H4&amp;A4</f>
        <v>3[FJI] Other[FJI] Confederation of Lau (1869)</v>
      </c>
      <c r="AX4" s="55"/>
      <c r="AY4" s="55"/>
      <c r="AZ4" s="56" t="s">
        <v>231</v>
      </c>
      <c r="BA4" s="56" t="s">
        <v>231</v>
      </c>
      <c r="BB4" s="56"/>
      <c r="BC4" s="57"/>
      <c r="BD4" s="58" t="s">
        <v>156</v>
      </c>
      <c r="BE4" s="59"/>
      <c r="BF4" s="58" t="s">
        <v>161</v>
      </c>
      <c r="BG4" s="58" t="s">
        <v>231</v>
      </c>
      <c r="BH4" s="58" t="s">
        <v>156</v>
      </c>
      <c r="BI4" s="58"/>
      <c r="BJ4" s="58"/>
      <c r="BK4" s="59"/>
      <c r="BL4" s="58" t="s">
        <v>231</v>
      </c>
      <c r="BM4" s="58" t="s">
        <v>231</v>
      </c>
      <c r="BN4" s="58" t="s">
        <v>231</v>
      </c>
      <c r="BO4" s="58" t="s">
        <v>156</v>
      </c>
      <c r="BP4" s="58" t="s">
        <v>231</v>
      </c>
      <c r="BQ4" s="58" t="s">
        <v>231</v>
      </c>
      <c r="BR4" s="58" t="s">
        <v>231</v>
      </c>
      <c r="BS4" s="58" t="s">
        <v>231</v>
      </c>
      <c r="BT4" s="58" t="s">
        <v>161</v>
      </c>
      <c r="BU4" s="60" t="s">
        <v>166</v>
      </c>
      <c r="BV4" s="61"/>
      <c r="BW4" s="61">
        <v>0</v>
      </c>
      <c r="BX4" s="59"/>
      <c r="CB4" s="5"/>
      <c r="CC4" s="5"/>
      <c r="CD4" s="62">
        <v>0</v>
      </c>
      <c r="CE4" s="62">
        <v>0</v>
      </c>
      <c r="CF4" s="62" t="e">
        <v>#REF!</v>
      </c>
      <c r="CG4" s="75" cm="1">
        <f t="array" ref="CG4">SUMPRODUCT(--(LEN(TRIM(BL4:BT4))&gt;0))</f>
        <v>2</v>
      </c>
      <c r="CH4" s="53" t="str">
        <f>IF(CG4=2,"y","n")</f>
        <v>y</v>
      </c>
      <c r="CI4" s="53" t="str">
        <f>IF(CG4=3,"y","n")</f>
        <v>n</v>
      </c>
      <c r="CJ4" s="53" t="str">
        <f>IF(CG4=4,"y","n")</f>
        <v>n</v>
      </c>
      <c r="CK4" s="53" t="str">
        <f>IF(CG4&gt;4,"y","n")</f>
        <v>n</v>
      </c>
      <c r="CL4" s="53" t="str">
        <f>IF(S4=0,"y","n")</f>
        <v>n</v>
      </c>
      <c r="CM4" s="53" t="str">
        <f>IF(S4=2,"y","n")</f>
        <v>y</v>
      </c>
      <c r="CN4" s="53" t="str">
        <f>IF(S4=3,"y","n")</f>
        <v>n</v>
      </c>
      <c r="CO4" s="53" t="str">
        <f>IF(S4&gt;=4,"y","n")</f>
        <v>n</v>
      </c>
      <c r="CP4" s="53" t="str">
        <f>IF(AT4=0,"y","n")</f>
        <v>y</v>
      </c>
      <c r="CQ4" s="53" t="str">
        <f>IF(AT4=1,"y","n")</f>
        <v>n</v>
      </c>
      <c r="CR4" s="53" t="str">
        <f>IF(AT4=2,"y","n")</f>
        <v>n</v>
      </c>
      <c r="CS4" s="53" t="str">
        <f>IF(AT4&gt;=3,"y","n")</f>
        <v>n</v>
      </c>
      <c r="CT4" s="38" t="str">
        <f>CHAR(34)&amp;A4&amp;CHAR(34)</f>
        <v>"[FJI] Confederation of Lau (1869)"</v>
      </c>
      <c r="CU4" s="63" t="str">
        <f>CHAR(34)&amp;"rgn_"&amp;R4&amp;CHAR(34)</f>
        <v>"rgn_Oceania"</v>
      </c>
      <c r="CV4" s="44" t="str">
        <f>CHAR(34)&amp;D4&amp;CHAR(34)</f>
        <v>"https://upload.wikimedia.org/wikipedia/commons/thumb/e/ed/Flag_of_the_Kingdom_of_Lau_1869-1871.svg/640px-Flag_of_the_Kingdom_of_Lau_1869-1871.svg.png"</v>
      </c>
      <c r="CW4" s="44" t="str">
        <f t="shared" si="0"/>
        <v>"2Color",</v>
      </c>
      <c r="CX4" s="44" t="str">
        <f t="shared" si="0"/>
        <v/>
      </c>
      <c r="CY4" s="44" t="str">
        <f t="shared" si="0"/>
        <v/>
      </c>
      <c r="CZ4" s="44" t="str">
        <f t="shared" si="0"/>
        <v/>
      </c>
      <c r="DA4" s="44" t="str">
        <f>IF(Q4&gt;1,CHAR(34)&amp;"words2"&amp;CHAR(34)&amp;",","")</f>
        <v>"words2",</v>
      </c>
      <c r="DB4" s="44" t="str">
        <f>IF(Q4&gt;2,CHAR(34)&amp;"words3"&amp;CHAR(34)&amp;",","")</f>
        <v>"words3",</v>
      </c>
      <c r="DD4" s="44" t="str">
        <f>IF(LEN(CHAR(34)&amp;"lets"&amp;LEN(SUBSTITUTE(SUBSTITUTE(IFERROR(TRIM(SUBSTITUTE(A4,MID(A4,FIND("[",A4),FIND("]",A4)-FIND("[",A4)+1),"")),A4)," ",""),"-",""))&amp;CHAR(34)&amp;",")=9,CHAR(34)&amp;"lets"&amp;LEN(SUBSTITUTE(SUBSTITUTE(IFERROR(TRIM(SUBSTITUTE(A4,MID(A4,FIND("[",A4),FIND("]",A4)-FIND("[",A4)+1),"")),A4)," ",""),"-",""))&amp;CHAR(34)&amp;",",CHAR(34)&amp;"lets0"&amp;LEN(SUBSTITUTE(SUBSTITUTE(IFERROR(TRIM(SUBSTITUTE(A4,MID(A4,FIND("[",A4),FIND("]",A4)-FIND("[",A4)+1),"")),A4)," ",""),"-",""))&amp;CHAR(34)&amp;",")</f>
        <v>"lets24",</v>
      </c>
      <c r="DE4" s="44" t="str">
        <f>CHAR(34)&amp;"start"&amp;IFERROR(LEFT(SUBSTITUTE(A4,"["&amp;MID(A4,FIND("[",A4)+1,FIND("]",A4)-FIND("[",A4)-1)&amp;"] ",""),1),LEFT(A4,1))&amp;CHAR(34)&amp;","</f>
        <v>"startC",</v>
      </c>
      <c r="DF4" s="44" t="str">
        <f>IFERROR(IF(SEARCH("tan",A4)&gt;0,CHAR(34)&amp;"withtn"&amp;CHAR(34)&amp;",",""),"")</f>
        <v/>
      </c>
      <c r="DG4" s="44" t="str">
        <f>IFERROR(IF(SEARCH("q",A4)&gt;0,CHAR(34)&amp;"with_q"&amp;CHAR(34)&amp;",",""),"")</f>
        <v/>
      </c>
      <c r="DH4" s="44" t="str">
        <f>IFERROR(IF(SEARCH("v",A4)&gt;0,CHAR(34)&amp;"with_v"&amp;CHAR(34)&amp;",",""),"")</f>
        <v/>
      </c>
      <c r="DI4" s="44" t="str">
        <f>IFERROR(IF(SEARCH("w",A4)&gt;0,CHAR(34)&amp;"with_w"&amp;CHAR(34)&amp;",",""),"")</f>
        <v/>
      </c>
      <c r="DJ4" s="44" t="str">
        <f>IFERROR(IF(SEARCH("y",A4)&gt;0,CHAR(34)&amp;"with_y"&amp;CHAR(34)&amp;",",""),"")</f>
        <v/>
      </c>
      <c r="DK4" s="44" t="str">
        <f>IFERROR(IF(SEARCH("z",A4)&gt;0,CHAR(34)&amp;"with_z"&amp;CHAR(34)&amp;",",""),"")</f>
        <v/>
      </c>
      <c r="DL4" s="44" t="str">
        <f>IF(CG4=2, CHAR(34) &amp; _xlfn.TEXTJOIN("", TRUE, _xlfn._xlws.SORT(HP4:HX4)) &amp; CHAR(34) &amp; ",", "")</f>
        <v>"REDWHI",</v>
      </c>
      <c r="DM4" s="44" t="str" cm="1">
        <f t="array" ref="DM4">IF(CG4=3,CHAR(34) &amp; _xlfn.TEXTJOIN("", TRUE, RIGHT(HP4:HX4, 2)) &amp; CHAR(34) &amp; ",", "")</f>
        <v/>
      </c>
      <c r="DN4" s="44" t="str">
        <f>IF(AND(ISNUMBER(SEARCH("18", O4)), ISERROR(SEARCH("1918", O4)), ISERROR(SEARCH("2018", O4))), CHAR(34) &amp; "year18" &amp; CHAR(34) &amp; ",", "")</f>
        <v>"year18",</v>
      </c>
      <c r="DO4" s="44" t="str">
        <f>IF(AND(ISNUMBER(SEARCH("19", O4)), ISERROR(SEARCH("1819", O4)),  ISERROR(SEARCH("1219", O4)),ISERROR(SEARCH("1119", O4)),ISERROR(SEARCH("1190", O4)),ISERROR(SEARCH("2019", O4))), CHAR(34) &amp; "year19" &amp; CHAR(34) &amp; ",", "")</f>
        <v/>
      </c>
      <c r="DP4" s="5" t="str">
        <f>IF(AND(ISNUMBER(SEARCH("20", O4)), ISERROR(SEARCH("1920", O4))), CHAR(34)&amp;"year00"&amp;CHAR(34)&amp;",", "")</f>
        <v/>
      </c>
      <c r="DQ4" s="5" t="str">
        <f>IF(CC4="y",CHAR(34)&amp;"soviet"&amp;CHAR(34)&amp;",","")</f>
        <v/>
      </c>
      <c r="DR4" s="5" t="str">
        <f>IF(BY4="y",CHAR(34)&amp;"dgband"&amp;CHAR(34)&amp;",","")</f>
        <v/>
      </c>
      <c r="DS4" s="5" t="str">
        <f>IF(W4="y",IF(AND(V4="n",BY4&lt;&gt;"y"),CHAR(34)&amp;"allver"&amp;CHAR(34)&amp;",",""),"")</f>
        <v/>
      </c>
      <c r="DT4" s="5" t="str">
        <f>IF(V4="y",IF(AND(W4="n",BY4&lt;&gt;"y"),CHAR(34)&amp;"allhor"&amp;CHAR(34)&amp;",",""),"")</f>
        <v/>
      </c>
      <c r="DU4" s="5" t="str">
        <f>IF(BY4="y",IF(AND(W4="n",V4="n"),CHAR(34)&amp;"alldia"&amp;CHAR(34)&amp;",",""),"")</f>
        <v/>
      </c>
      <c r="DW4" s="44" t="str">
        <f t="shared" si="1"/>
        <v/>
      </c>
      <c r="DX4" s="44" t="str">
        <f t="shared" si="1"/>
        <v>"2Bands",</v>
      </c>
      <c r="DY4" s="44" t="str">
        <f t="shared" si="1"/>
        <v/>
      </c>
      <c r="DZ4" s="44" t="str">
        <f t="shared" si="1"/>
        <v/>
      </c>
      <c r="EA4" s="44" t="str">
        <f t="shared" si="2"/>
        <v/>
      </c>
      <c r="EB4" s="44" t="str">
        <f t="shared" si="2"/>
        <v>"Crosse",</v>
      </c>
      <c r="EC4" s="44" t="str">
        <f t="shared" si="2"/>
        <v>"Horizo",</v>
      </c>
      <c r="ED4" s="44" t="str">
        <f t="shared" si="2"/>
        <v>"Vertic",</v>
      </c>
      <c r="EE4" s="44" t="str">
        <f t="shared" si="2"/>
        <v/>
      </c>
      <c r="EF4" s="44" t="str">
        <f>IF(AND(Y4&lt;&gt;"n",Y4&lt;&gt;""),CHAR(34)&amp;Y$1&amp;CHAR(34)&amp;",","")</f>
        <v/>
      </c>
      <c r="EG4" s="44" t="str">
        <f t="shared" si="3"/>
        <v/>
      </c>
      <c r="EH4" s="44" t="str">
        <f t="shared" si="3"/>
        <v/>
      </c>
      <c r="EI4" s="44" t="str">
        <f t="shared" si="3"/>
        <v/>
      </c>
      <c r="EJ4" s="44" t="str">
        <f t="shared" si="3"/>
        <v/>
      </c>
      <c r="EK4" s="44" t="str">
        <f t="shared" si="3"/>
        <v/>
      </c>
      <c r="EL4" s="44" t="str">
        <f t="shared" si="3"/>
        <v/>
      </c>
      <c r="EM4" s="44" t="str">
        <f t="shared" si="3"/>
        <v/>
      </c>
      <c r="EN4" s="44" t="str">
        <f t="shared" si="3"/>
        <v>"Unequa",</v>
      </c>
      <c r="EO4" s="44" t="str">
        <f t="shared" si="3"/>
        <v/>
      </c>
      <c r="EP4" s="44" t="str">
        <f t="shared" si="3"/>
        <v>"Canton",</v>
      </c>
      <c r="EQ4" s="44" t="str">
        <f t="shared" si="4"/>
        <v/>
      </c>
      <c r="ER4" s="44" t="str">
        <f t="shared" si="4"/>
        <v/>
      </c>
      <c r="ES4" s="44" t="str">
        <f t="shared" si="4"/>
        <v/>
      </c>
      <c r="ET4" s="44" t="str">
        <f t="shared" si="4"/>
        <v/>
      </c>
      <c r="EU4" s="44" t="str">
        <f t="shared" si="4"/>
        <v/>
      </c>
      <c r="EV4" s="44" t="str">
        <f t="shared" si="4"/>
        <v/>
      </c>
      <c r="EW4" s="44" t="str">
        <f t="shared" si="4"/>
        <v/>
      </c>
      <c r="EX4" s="44" t="str">
        <f t="shared" si="4"/>
        <v/>
      </c>
      <c r="EY4" s="44" t="str">
        <f t="shared" si="4"/>
        <v/>
      </c>
      <c r="EZ4" s="44" t="str">
        <f t="shared" si="4"/>
        <v/>
      </c>
      <c r="FA4" s="44" t="str">
        <f>IF(AT4&gt;0,CHAR(34)&amp;"sta"&amp;AZ4&amp;CHAR(34)&amp;",","")</f>
        <v/>
      </c>
      <c r="FB4" s="44" t="str">
        <f>IF(AND(AT4&gt;0,BA4&lt;&gt;""),CHAR(34)&amp;"sta"&amp;BA4&amp;CHAR(34)&amp;",","")</f>
        <v/>
      </c>
      <c r="FD4" s="44" t="str">
        <f>IF(BV4="n",CHAR(34)&amp;"tcWHYE"&amp;CHAR(34)&amp;",",IF(BV4="y",CHAR(34)&amp;FD$1&amp;CHAR(34)&amp;",",""))</f>
        <v/>
      </c>
      <c r="FE4" s="44" t="str">
        <f>IF(COUNTIF(BL4:BT4,"BLU")=0,CHAR(34)&amp;"NO_BLU"&amp;CHAR(34)&amp;",", "")</f>
        <v>"NO_BLU",</v>
      </c>
      <c r="FF4" s="44" t="str">
        <f>IF(COUNTIF(BL4:BT4,"WHI")=0,CHAR(34)&amp;"NO_WHI"&amp;CHAR(34)&amp;",", "")</f>
        <v/>
      </c>
      <c r="FG4" s="44" t="str">
        <f>IF(COUNTIF(BL4:BT4,"RED")=0,CHAR(34)&amp;"NO_RED"&amp;CHAR(34)&amp;",", "")</f>
        <v/>
      </c>
      <c r="FH4" s="44" t="str">
        <f>IF(COUNTIF(BL4:BS4,"GRE")=0,CHAR(34)&amp;"NO_GRE"&amp;CHAR(34)&amp;",", "")</f>
        <v>"NO_GRE",</v>
      </c>
      <c r="FI4" s="44" t="str">
        <f>IF(COUNTIF(BL4:BT4,"YEL")=0,CHAR(34)&amp;"NO_YEL"&amp;CHAR(34)&amp;",", "")</f>
        <v>"NO_YEL",</v>
      </c>
      <c r="FJ4" s="44" t="str">
        <f>IF(COUNTIF(BL4:BT4,"BLA")=0,CHAR(34)&amp;"NO_BLA"&amp;CHAR(34)&amp;",", "")</f>
        <v>"NO_BLA",</v>
      </c>
      <c r="FK4" s="44" t="str">
        <f>IF(AND(FH4&lt;&gt;"",FF4&lt;&gt;""),CHAR(34)&amp;"WHGRNO"&amp;CHAR(34)&amp;",","")</f>
        <v/>
      </c>
      <c r="FL4" s="44" t="str">
        <f>IF(AND(FI4&lt;&gt;"",FF4&lt;&gt;""),CHAR(34)&amp;"WHYENO"&amp;CHAR(34)&amp;",","")</f>
        <v/>
      </c>
      <c r="FM4" s="44" t="str">
        <f>IF(AND(FJ4&lt;&gt;"",FF4&lt;&gt;""),CHAR(34)&amp;"BAWHNO"&amp;CHAR(34)&amp;",","")</f>
        <v/>
      </c>
      <c r="FN4" s="44" t="str">
        <f>IF(AND(FE4&lt;&gt;"",FF4&lt;&gt;""),CHAR(34)&amp;"BLWHNO"&amp;CHAR(34)&amp;",","")</f>
        <v/>
      </c>
      <c r="FO4" s="44" t="str">
        <f>IF(AND(FE4&lt;&gt;"",FG4&lt;&gt;""),CHAR(34)&amp;"BLRENO"&amp;CHAR(34)&amp;",","")</f>
        <v/>
      </c>
      <c r="FP4" s="44" t="str">
        <f>IF(AND(FF4&lt;&gt;"",FF4&lt;&gt;""),CHAR(34)&amp;"WHRENO"&amp;CHAR(34)&amp;",","")</f>
        <v/>
      </c>
      <c r="FQ4" s="44" t="str">
        <f>IF(LEN(BF4)=3,CHAR(34)&amp;"001"&amp;BF4&amp;CHAR(34)&amp;",","")</f>
        <v>"001WHI",</v>
      </c>
      <c r="FR4" s="44" t="str">
        <f>IF(LEN(BG4)=3,CHAR(34)&amp;"002"&amp;BG4&amp;CHAR(34)&amp;",","")</f>
        <v/>
      </c>
      <c r="FS4" s="44" t="str">
        <f>IF(LEN(BH4)=3,CHAR(34)&amp;"003"&amp;BH4&amp;CHAR(34)&amp;",","")</f>
        <v>"003RED",</v>
      </c>
      <c r="FT4" s="44" t="str">
        <f>CHAR(34)&amp;"myr"&amp;BD4&amp;CHAR(34)&amp;","</f>
        <v>"myrRED",</v>
      </c>
      <c r="FU4" s="44" t="str">
        <f>IF(AY4="y",CHAR(34)&amp;"island"&amp;CHAR(34)&amp;",","")</f>
        <v/>
      </c>
      <c r="FV4" s="44" t="str">
        <f>IF(BZ4="y",CHAR(34)&amp;"landlo"&amp;CHAR(34)&amp;",","")</f>
        <v/>
      </c>
      <c r="FW4" s="44" t="str">
        <f>IF(CA4="y",CHAR(34)&amp;"eunion"&amp;CHAR(34)&amp;",","")</f>
        <v/>
      </c>
      <c r="FY4" s="44" t="str">
        <f>IFERROR(IF(SEARCH("Arabic",CB4)&gt;0,CHAR(34)&amp;"arabic"&amp;CHAR(34)&amp;",",""),"")</f>
        <v/>
      </c>
      <c r="FZ4" s="44" t="str">
        <f>IFERROR(IF(SEARCH("English",CB4)&gt;0,CHAR(34)&amp;"englis"&amp;CHAR(34)&amp;",",""),"")</f>
        <v/>
      </c>
      <c r="GA4" s="44" t="str">
        <f>IFERROR(IF(SEARCH("French",CB4)&gt;0,CHAR(34)&amp;"french"&amp;CHAR(34)&amp;",",""),"")</f>
        <v/>
      </c>
      <c r="GB4" s="44" t="str">
        <f>IFERROR(IF(SEARCH("Spanish",CB4)&gt;0,CHAR(34)&amp;"spanis"&amp;CHAR(34)&amp;",",""),"")</f>
        <v/>
      </c>
      <c r="GE4" s="44" t="str">
        <f>IFERROR(IF(SEARCH("Dutch",CB4)&gt;0,CHAR(34)&amp;"dutchs"&amp;CHAR(34)&amp;",",""),"")</f>
        <v/>
      </c>
      <c r="GF4" s="44" t="str">
        <f>IFERROR(IF(SEARCH("Historical",AU4)&gt;0,CHAR(34)&amp;"histor"&amp;CHAR(34)&amp;",",""),"")</f>
        <v>"histor",</v>
      </c>
      <c r="GG4" s="44" t="str">
        <f>IF(BU4="y",CHAR(34)&amp;"unjack"&amp;CHAR(34)&amp;",","")</f>
        <v/>
      </c>
      <c r="GH4" s="44" t="str">
        <f>IF(CD4=1,CHAR(34)&amp;"southc"&amp;CHAR(34)&amp;",","")</f>
        <v/>
      </c>
      <c r="GI4" s="44" t="str">
        <f>IF(CE4=1,CHAR(34)&amp;"hasmap"&amp;CHAR(34)&amp;",","")</f>
        <v/>
      </c>
      <c r="GJ4" s="44" t="str">
        <f>IF(CP4="y",CHAR(34)&amp;CP$1&amp;CHAR(34)&amp;",","")</f>
        <v>"NoStar",</v>
      </c>
      <c r="GK4" s="44" t="str">
        <f>IF(GJ4="",CHAR(34)&amp;"HasSta"&amp;CHAR(34)&amp;",","")</f>
        <v/>
      </c>
      <c r="GL4" s="44" t="str">
        <f t="shared" si="5"/>
        <v/>
      </c>
      <c r="GM4" s="44" t="str">
        <f t="shared" si="5"/>
        <v/>
      </c>
      <c r="GN4" s="44" t="str">
        <f t="shared" si="5"/>
        <v/>
      </c>
      <c r="GP4" s="44" t="str">
        <f>CHAR(34)&amp;AU4&amp;CHAR(34)</f>
        <v>"Historical"</v>
      </c>
      <c r="GS4" s="44" t="str">
        <f>SUBSTITUTE("["&amp;_xlfn.CONCAT(CW4:GN4)&amp;"]",",]","]")</f>
        <v>["2Color","words2","words3","lets24","startC","REDWHI","year18","2Bands","Crosse","Horizo","Vertic","Unequa","Canton","NO_BLU","NO_GRE","NO_YEL","NO_BLA","001WHI","003RED","myrRED","histor","NoStar"]</v>
      </c>
      <c r="GT4" s="44" t="str">
        <f t="shared" si="6"/>
        <v/>
      </c>
      <c r="GU4" s="44" t="str">
        <f t="shared" si="6"/>
        <v/>
      </c>
      <c r="GV4" s="44" t="str">
        <f t="shared" si="6"/>
        <v/>
      </c>
      <c r="GW4" s="44" t="str">
        <f t="shared" si="6"/>
        <v>"cl_RED",</v>
      </c>
      <c r="GX4" s="44" t="str">
        <f t="shared" si="6"/>
        <v/>
      </c>
      <c r="GY4" s="44" t="str">
        <f t="shared" si="6"/>
        <v/>
      </c>
      <c r="GZ4" s="44" t="str">
        <f t="shared" si="6"/>
        <v/>
      </c>
      <c r="HA4" s="44" t="str">
        <f t="shared" si="6"/>
        <v/>
      </c>
      <c r="HB4" s="44" t="str">
        <f t="shared" si="6"/>
        <v>"cl_WHI",</v>
      </c>
      <c r="HC4" s="44" t="str">
        <f>SUBSTITUTE("["&amp;_xlfn.CONCAT(GT4:HB4)&amp;"]",",]","]")</f>
        <v>["cl_RED","cl_WHI"]</v>
      </c>
      <c r="HE4" s="64"/>
      <c r="HF4" s="65" t="str">
        <f>"{couname:"&amp;CT4&amp;(IF(HK4&lt;&gt;"",",subtype:"&amp;CHAR(34)&amp;HK4&amp;CHAR(34),""))&amp;",year:"&amp;HJ4&amp;",region:"&amp;CU4&amp;",Colors:"&amp;HC4&amp;",Items:"&amp;GS4&amp;",Flag:"&amp;CV4&amp;",HDFlag:"&amp;CHAR(34)&amp;E4&amp;CHAR(34)&amp;",type:"&amp;GP4&amp;", describe: "&amp;HH4&amp;", isnew:"&amp;CHAR(34)&amp;F4&amp;CHAR(34)&amp;", links: "&amp;HL4&amp;"},"</f>
        <v>{couname:"[FJI] Confederation of Lau (1869)",year:"1869",region:"rgn_Oceania",Colors:["cl_RED","cl_WHI"],Items:["2Color","words2","words3","lets24","startC","REDWHI","year18","2Bands","Crosse","Horizo","Vertic","Unequa","Canton","NO_BLU","NO_GRE","NO_YEL","NO_BLA","001WHI","003RED","myrRED","histor","NoStar"],Flag:"https://upload.wikimedia.org/wikipedia/commons/thumb/e/ed/Flag_of_the_Kingdom_of_Lau_1869-1871.svg/640px-Flag_of_the_Kingdom_of_Lau_1869-1871.svg.png",HDFlag:"https://upload.wikimedia.org/wikipedia/commons/thumb/e/ed/Flag_of_the_Kingdom_of_Lau_1869-1871.svg/1280px-Flag_of_the_Kingdom_of_Lau_1869-1871.svg.png",type:"Historical", describe: "\nA horizontal bicolour of white and red with a red cross in the canton.", isnew:".", links: "https://en.m.wikipedia.org/wiki/Flag_of_Fiji"},</v>
      </c>
      <c r="HG4" s="66" t="str">
        <f>"{couname:"&amp;CT4&amp;(IF(HK4&lt;&gt;"",",subtype:"&amp;CHAR(34)&amp;HK4&amp;CHAR(34),""))&amp;",year:"&amp;HJ4&amp;",region:"&amp;CU4&amp;",Colors:"&amp;HC4&amp;",Items:"&amp;GS4&amp;",Flag:"&amp;CV4&amp;",HDFlag:"&amp;CHAR(34)&amp;E4&amp;CHAR(34)&amp;",type:"&amp;GP4&amp;", describe: "&amp;HI4&amp;", links: "&amp;HL4&amp;"},"</f>
        <v>{couname:"[FJI] Confederation of Lau (1869)",year:"1869",region:"rgn_Oceania",Colors:["cl_RED","cl_WHI"],Items:["2Color","words2","words3","lets24","startC","REDWHI","year18","2Bands","Crosse","Horizo","Vertic","Unequa","Canton","NO_BLU","NO_GRE","NO_YEL","NO_BLA","001WHI","003RED","myrRED","histor","NoStar"],Flag:"https://upload.wikimedia.org/wikipedia/commons/thumb/e/ed/Flag_of_the_Kingdom_of_Lau_1869-1871.svg/640px-Flag_of_the_Kingdom_of_Lau_1869-1871.svg.png",HDFlag:"https://upload.wikimedia.org/wikipedia/commons/thumb/e/ed/Flag_of_the_Kingdom_of_Lau_1869-1871.svg/1280px-Flag_of_the_Kingdom_of_Lau_1869-1871.svg.png",type:"Historical", describe: "\nA horizontal bicolour of white and red with a red cross in the canton.", links: "https://en.m.wikipedia.org/wiki/Flag_of_Fiji"},</v>
      </c>
      <c r="HH4" s="44" t="str">
        <f>IF(P4&lt;&gt;"",CHAR(34)&amp;"\n"&amp;P4&amp;CHAR(34),CHAR(34)&amp;CHAR(34))</f>
        <v>"\nA horizontal bicolour of white and red with a red cross in the canton."</v>
      </c>
      <c r="HI4" s="44" t="str">
        <f>IF(J4=0,CHAR(34)&amp;CHAR(34),HH4)</f>
        <v>"\nA horizontal bicolour of white and red with a red cross in the canton."</v>
      </c>
      <c r="HJ4" s="44" t="str">
        <f>CHAR(34)&amp;O4&amp;CHAR(34)</f>
        <v>"1869"</v>
      </c>
      <c r="HL4" s="44" t="str">
        <f>CHAR(34)&amp;I4&amp;CHAR(34)</f>
        <v>"https://en.m.wikipedia.org/wiki/Flag_of_Fiji"</v>
      </c>
      <c r="HM4" s="65"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"&amp;HH4&amp;", "&amp;CHAR(34)&amp;"isnew"&amp;CHAR(34)&amp;": "&amp;CHAR(34)&amp;F4&amp;CHAR(34)&amp;", "&amp;CHAR(34)&amp;"links"&amp;CHAR(34)&amp;": "&amp;HL4&amp;"},"</f>
        <v>{"couname":"[FJI] Confederation of Lau (1869)","subtype":"[FJI] Other","year":"1869","region":"rgn_Oceania","Colors":["cl_RED","cl_WHI"],"Items":["2Color","words2","words3","lets24","startC","REDWHI","year18","2Bands","Crosse","Horizo","Vertic","Unequa","Canton","NO_BLU","NO_GRE","NO_YEL","NO_BLA","001WHI","003RED","myrRED","histor","NoStar"],"Flag":"https://upload.wikimedia.org/wikipedia/commons/thumb/e/ed/Flag_of_the_Kingdom_of_Lau_1869-1871.svg/640px-Flag_of_the_Kingdom_of_Lau_1869-1871.svg.png","HDFlag":"https://upload.wikimedia.org/wikipedia/commons/thumb/e/ed/Flag_of_the_Kingdom_of_Lau_1869-1871.svg/1280px-Flag_of_the_Kingdom_of_Lau_1869-1871.svg.png","type":"Historical", "describe": "\nA horizontal bicolour of white and red with a red cross in the canton.", "isnew": ".", "links": "https://en.m.wikipedia.org/wiki/Flag_of_Fiji"},</v>
      </c>
      <c r="HN4" s="67"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"&amp;HI4&amp;", "&amp;CHAR(34)&amp;"isnew"&amp;CHAR(34)&amp;": "&amp;CHAR(34)&amp;F4&amp;CHAR(34)&amp;", "&amp;CHAR(34)&amp;"links"&amp;CHAR(34)&amp;": "&amp;HL4&amp;"},"</f>
        <v>{"couname":"[FJI] Confederation of Lau (1869)","subtype":"[FJI] Other","year":"1869","region":"rgn_Oceania","Colors":["cl_RED","cl_WHI"],"Items":["2Color","words2","words3","lets24","startC","REDWHI","year18","2Bands","Crosse","Horizo","Vertic","Unequa","Canton","NO_BLU","NO_GRE","NO_YEL","NO_BLA","001WHI","003RED","myrRED","histor","NoStar"],"Flag":"https://upload.wikimedia.org/wikipedia/commons/thumb/e/ed/Flag_of_the_Kingdom_of_Lau_1869-1871.svg/640px-Flag_of_the_Kingdom_of_Lau_1869-1871.svg.png","HDFlag":"https://upload.wikimedia.org/wikipedia/commons/thumb/e/ed/Flag_of_the_Kingdom_of_Lau_1869-1871.svg/1280px-Flag_of_the_Kingdom_of_Lau_1869-1871.svg.png","type":"Historical", "describe": "\nA horizontal bicolour of white and red with a red cross in the canton.", "isnew": ".", "links": "https://en.m.wikipedia.org/wiki/Flag_of_Fiji"},</v>
      </c>
      <c r="HO4" s="71">
        <v>45596</v>
      </c>
      <c r="HP4" s="44" t="str" cm="1">
        <f t="array" ref="HP4">IF(_xlfn.TEXTJOIN(", ", TRUE, IF(ISNUMBER(SEARCH("BLA", BL4:BT4)), COLUMN(BL4:BT4) - COLUMN(BL4) + 1, ""))&lt;&gt;"","BLA","")</f>
        <v/>
      </c>
      <c r="HQ4" s="44" t="str" cm="1">
        <f t="array" ref="HQ4">IF(_xlfn.TEXTJOIN(", ", TRUE, IF(ISNUMBER(SEARCH("BLU", BL4:BT4)), COLUMN(BL4:BT4) - COLUMN(BL4) + 1, ""))&lt;&gt;"","BLU","")</f>
        <v/>
      </c>
      <c r="HR4" s="44" t="str" cm="1">
        <f t="array" ref="HR4">IF(_xlfn.TEXTJOIN(", ", TRUE, IF(ISNUMBER(SEARCH("GRE", BL4:BT4)), COLUMN(BL4:BT4) - COLUMN(BL4) + 1, ""))&lt;&gt;"","GRE","")</f>
        <v/>
      </c>
      <c r="HS4" s="44" t="str" cm="1">
        <f t="array" ref="HS4">IF(_xlfn.TEXTJOIN(", ", TRUE, IF(ISNUMBER(SEARCH("RED", BL4:BT4)), COLUMN(BL4:BT4) - COLUMN(BL4) + 1, ""))&lt;&gt;"","RED","")</f>
        <v>RED</v>
      </c>
      <c r="HT4" s="44" t="str" cm="1">
        <f t="array" ref="HT4">IF(_xlfn.TEXTJOIN(", ", TRUE, IF(ISNUMBER(SEARCH("YEL", BL4:BT4)), COLUMN(BL4:BT4) - COLUMN(BL4) + 1, ""))&lt;&gt;"","YEL","")</f>
        <v/>
      </c>
      <c r="HU4" s="44" t="str" cm="1">
        <f t="array" ref="HU4">IF(_xlfn.TEXTJOIN(", ", TRUE, IF(ISNUMBER(SEARCH("ORA", BL4:BT4)), COLUMN(BL4:BT4) - COLUMN(BL4) + 1, ""))&lt;&gt;"","ORA","")</f>
        <v/>
      </c>
      <c r="HV4" s="44" t="str" cm="1">
        <f t="array" ref="HV4">IF(_xlfn.TEXTJOIN(", ", TRUE, IF(ISNUMBER(SEARCH("BRO", BL4:BT4)), COLUMN(BL4:BT4) - COLUMN(BL4) + 1, ""))&lt;&gt;"","BRO","")</f>
        <v/>
      </c>
      <c r="HW4" s="44" t="str" cm="1">
        <f t="array" ref="HW4">IF(_xlfn.TEXTJOIN(", ", TRUE, IF(ISNUMBER(SEARCH("PUR", BL4:BT4)), COLUMN(BL4:BT4) - COLUMN(BL4) + 1, ""))&lt;&gt;"","PUR","")</f>
        <v/>
      </c>
      <c r="HX4" s="44" t="str" cm="1">
        <f t="array" ref="HX4">IF(_xlfn.TEXTJOIN(", ", TRUE, IF(ISNUMBER(SEARCH("WHI", BL4:BT4)), COLUMN(BL4:BT4) - COLUMN(BL4) + 1, ""))&lt;&gt;"","WHI","")</f>
        <v>WHI</v>
      </c>
      <c r="HY4" s="72"/>
      <c r="HZ4" s="72"/>
      <c r="IA4" s="5"/>
      <c r="IB4" s="5"/>
      <c r="IC4" s="68"/>
      <c r="ID4" s="68"/>
      <c r="IE4" s="68"/>
      <c r="IF4" s="68"/>
      <c r="IG4" s="68"/>
      <c r="IH4" s="68"/>
      <c r="II4" s="68"/>
      <c r="IJ4" s="68"/>
      <c r="IK4" s="68"/>
      <c r="IM4" s="42">
        <f>COUNTIF(IC4:IK4,"&gt;0")-CG4</f>
        <v>-2</v>
      </c>
      <c r="IN4" s="69" t="str">
        <f>"http://mkweb.bcgsc.ca/color-summarizer/?url="&amp;D4&amp;"&amp;precision=low&amp;num_clusters="&amp;CG4&amp;"&amp;text=1"</f>
        <v>http://mkweb.bcgsc.ca/color-summarizer/?url=https://upload.wikimedia.org/wikipedia/commons/thumb/e/ed/Flag_of_the_Kingdom_of_Lau_1869-1871.svg/640px-Flag_of_the_Kingdom_of_Lau_1869-1871.svg.png&amp;precision=low&amp;num_clusters=2&amp;text=1</v>
      </c>
      <c r="IO4" s="44" t="str">
        <f>IF(HP4&lt;&gt;"",CHAR(34)&amp;"black"&amp;CHAR(34),"")</f>
        <v/>
      </c>
      <c r="IP4" s="44" t="str">
        <f>IF(HQ4&lt;&gt;"",CHAR(34)&amp;"blue"&amp;CHAR(34),"")</f>
        <v/>
      </c>
      <c r="IQ4" s="44" t="str">
        <f>IF(HR4&lt;&gt;"",CHAR(34)&amp;"green"&amp;CHAR(34),"")</f>
        <v/>
      </c>
      <c r="IR4" s="44" t="str">
        <f>IF(HS4&lt;&gt;"",CHAR(34)&amp;"red"&amp;CHAR(34),"")</f>
        <v>"red"</v>
      </c>
      <c r="IS4" s="44" t="str">
        <f>IF(HT4&lt;&gt;"",CHAR(34)&amp;"yellow"&amp;CHAR(34),"")</f>
        <v/>
      </c>
      <c r="IT4" s="44" t="str">
        <f>IF(HU4&lt;&gt;"",CHAR(34)&amp;"orange"&amp;CHAR(34),"")</f>
        <v/>
      </c>
      <c r="IU4" s="44" t="str">
        <f>IF(HV4&lt;&gt;"",CHAR(34)&amp;"brown"&amp;CHAR(34),"")</f>
        <v/>
      </c>
      <c r="IV4" s="44" t="str">
        <f>IF(HW4&lt;&gt;"",CHAR(34)&amp;"purple"&amp;CHAR(34),"")</f>
        <v/>
      </c>
      <c r="IW4" s="44" t="str">
        <f>IF(HX4&lt;&gt;"",CHAR(34)&amp;"white"&amp;CHAR(34),"")</f>
        <v>"white"</v>
      </c>
      <c r="IX4" s="44" t="str">
        <f>"{"&amp;CHAR(34)&amp;"url"&amp;CHAR(34)&amp;":"&amp;CHAR(34)&amp;IN4&amp;CHAR(34)&amp;","&amp;CHAR(34)&amp;"name"&amp;CHAR(34)&amp;":"&amp;CHAR(34)&amp;A4&amp;CHAR(34)&amp;"},"</f>
        <v>{"url":"http://mkweb.bcgsc.ca/color-summarizer/?url=https://upload.wikimedia.org/wikipedia/commons/thumb/e/ed/Flag_of_the_Kingdom_of_Lau_1869-1871.svg/640px-Flag_of_the_Kingdom_of_Lau_1869-1871.svg.png&amp;precision=low&amp;num_clusters=2&amp;text=1","name":"[FJI] Confederation of Lau (1869)"},</v>
      </c>
      <c r="IY4" s="44">
        <v>1290</v>
      </c>
    </row>
    <row r="5" spans="1:259" s="44" customFormat="1" ht="38.4" customHeight="1" thickBot="1" x14ac:dyDescent="0.35">
      <c r="A5" s="81" t="s">
        <v>666</v>
      </c>
      <c r="B5" s="78" t="e" vm="35">
        <v>#VALUE!</v>
      </c>
      <c r="C5" s="39">
        <v>3</v>
      </c>
      <c r="D5" s="70" t="s">
        <v>667</v>
      </c>
      <c r="E5" s="40" t="s">
        <v>668</v>
      </c>
      <c r="F5" s="41" t="s">
        <v>165</v>
      </c>
      <c r="G5" s="42">
        <f>COUNTIF($A$1:$A$8292,A5)</f>
        <v>1</v>
      </c>
      <c r="H5" s="43" t="s">
        <v>914</v>
      </c>
      <c r="I5" s="59" t="s">
        <v>660</v>
      </c>
      <c r="J5" s="44" t="str">
        <f>""</f>
        <v/>
      </c>
      <c r="K5" s="45"/>
      <c r="L5" s="46"/>
      <c r="M5" s="46"/>
      <c r="N5" s="47" t="s">
        <v>177</v>
      </c>
      <c r="O5" s="74">
        <v>1867</v>
      </c>
      <c r="P5" s="48" t="s">
        <v>669</v>
      </c>
      <c r="Q5" s="73">
        <v>3</v>
      </c>
      <c r="R5" s="49" t="s">
        <v>177</v>
      </c>
      <c r="S5" s="50">
        <v>3</v>
      </c>
      <c r="T5" s="51" t="s">
        <v>167</v>
      </c>
      <c r="U5" s="52" t="s">
        <v>167</v>
      </c>
      <c r="V5" s="52" t="s">
        <v>167</v>
      </c>
      <c r="W5" s="52" t="s">
        <v>167</v>
      </c>
      <c r="X5" s="52" t="s">
        <v>167</v>
      </c>
      <c r="Y5" s="52" t="s">
        <v>166</v>
      </c>
      <c r="Z5" s="52" t="s">
        <v>167</v>
      </c>
      <c r="AA5" s="52" t="s">
        <v>166</v>
      </c>
      <c r="AB5" s="52" t="s">
        <v>166</v>
      </c>
      <c r="AC5" s="52" t="s">
        <v>166</v>
      </c>
      <c r="AD5" s="52" t="s">
        <v>167</v>
      </c>
      <c r="AE5" s="52" t="s">
        <v>166</v>
      </c>
      <c r="AF5" s="53" t="s">
        <v>166</v>
      </c>
      <c r="AG5" s="53" t="s">
        <v>167</v>
      </c>
      <c r="AH5" s="53" t="s">
        <v>167</v>
      </c>
      <c r="AI5" s="53" t="s">
        <v>167</v>
      </c>
      <c r="AJ5" s="53" t="s">
        <v>166</v>
      </c>
      <c r="AK5" s="53" t="s">
        <v>166</v>
      </c>
      <c r="AL5" s="53" t="s">
        <v>166</v>
      </c>
      <c r="AM5" s="53" t="s">
        <v>166</v>
      </c>
      <c r="AN5" s="53" t="s">
        <v>166</v>
      </c>
      <c r="AO5" s="53" t="s">
        <v>166</v>
      </c>
      <c r="AP5" s="53" t="s">
        <v>166</v>
      </c>
      <c r="AQ5" s="53" t="s">
        <v>167</v>
      </c>
      <c r="AR5" s="53" t="s">
        <v>166</v>
      </c>
      <c r="AS5" s="53" t="s">
        <v>166</v>
      </c>
      <c r="AT5" s="54">
        <v>0</v>
      </c>
      <c r="AU5" s="53" t="s">
        <v>349</v>
      </c>
      <c r="AV5" s="53" t="str">
        <f>IF(LEFT(A5,1)="[",LEFT(A5,5)&amp;AU5&amp;A5,"")</f>
        <v>[FJI]Historical[FJI] Kingdom of Bau (1867)</v>
      </c>
      <c r="AW5" s="53" t="str">
        <f>C5&amp;H5&amp;A5</f>
        <v>3[FJI] Other[FJI] Kingdom of Bau (1867)</v>
      </c>
      <c r="AX5" s="55"/>
      <c r="AY5" s="55"/>
      <c r="AZ5" s="56" t="s">
        <v>231</v>
      </c>
      <c r="BA5" s="56" t="s">
        <v>231</v>
      </c>
      <c r="BB5" s="56"/>
      <c r="BC5" s="57"/>
      <c r="BD5" s="58" t="s">
        <v>156</v>
      </c>
      <c r="BE5" s="59"/>
      <c r="BF5" s="58" t="s">
        <v>161</v>
      </c>
      <c r="BG5" s="58" t="s">
        <v>154</v>
      </c>
      <c r="BH5" s="58" t="s">
        <v>156</v>
      </c>
      <c r="BI5" s="58"/>
      <c r="BJ5" s="58"/>
      <c r="BK5" s="59"/>
      <c r="BL5" s="58" t="s">
        <v>153</v>
      </c>
      <c r="BM5" s="58" t="s">
        <v>154</v>
      </c>
      <c r="BN5" s="58" t="s">
        <v>231</v>
      </c>
      <c r="BO5" s="58" t="s">
        <v>156</v>
      </c>
      <c r="BP5" s="58" t="s">
        <v>157</v>
      </c>
      <c r="BQ5" s="58" t="s">
        <v>231</v>
      </c>
      <c r="BR5" s="58" t="s">
        <v>231</v>
      </c>
      <c r="BS5" s="58" t="s">
        <v>231</v>
      </c>
      <c r="BT5" s="58" t="s">
        <v>161</v>
      </c>
      <c r="BU5" s="60" t="s">
        <v>166</v>
      </c>
      <c r="BV5" s="61"/>
      <c r="BW5" s="61">
        <v>0</v>
      </c>
      <c r="BX5" s="59"/>
      <c r="BY5" s="44" t="s">
        <v>166</v>
      </c>
      <c r="CB5" s="5"/>
      <c r="CC5" s="5"/>
      <c r="CD5" s="62">
        <v>0</v>
      </c>
      <c r="CE5" s="62">
        <v>0</v>
      </c>
      <c r="CF5" s="62" t="e">
        <v>#REF!</v>
      </c>
      <c r="CG5" s="75" cm="1">
        <f t="array" ref="CG5">SUMPRODUCT(--(LEN(TRIM(BL5:BT5))&gt;0))</f>
        <v>5</v>
      </c>
      <c r="CH5" s="53" t="str">
        <f>IF(CG5=2,"y","n")</f>
        <v>n</v>
      </c>
      <c r="CI5" s="53" t="str">
        <f>IF(CG5=3,"y","n")</f>
        <v>n</v>
      </c>
      <c r="CJ5" s="53" t="str">
        <f>IF(CG5=4,"y","n")</f>
        <v>n</v>
      </c>
      <c r="CK5" s="53" t="str">
        <f>IF(CG5&gt;4,"y","n")</f>
        <v>y</v>
      </c>
      <c r="CL5" s="53" t="str">
        <f>IF(S5=0,"y","n")</f>
        <v>n</v>
      </c>
      <c r="CM5" s="53" t="str">
        <f>IF(S5=2,"y","n")</f>
        <v>n</v>
      </c>
      <c r="CN5" s="53" t="str">
        <f>IF(S5=3,"y","n")</f>
        <v>y</v>
      </c>
      <c r="CO5" s="53" t="str">
        <f>IF(S5&gt;=4,"y","n")</f>
        <v>n</v>
      </c>
      <c r="CP5" s="53" t="str">
        <f>IF(AT5=0,"y","n")</f>
        <v>y</v>
      </c>
      <c r="CQ5" s="53" t="str">
        <f>IF(AT5=1,"y","n")</f>
        <v>n</v>
      </c>
      <c r="CR5" s="53" t="str">
        <f>IF(AT5=2,"y","n")</f>
        <v>n</v>
      </c>
      <c r="CS5" s="53" t="str">
        <f>IF(AT5&gt;=3,"y","n")</f>
        <v>n</v>
      </c>
      <c r="CT5" s="38" t="str">
        <f>CHAR(34)&amp;A5&amp;CHAR(34)</f>
        <v>"[FJI] Kingdom of Bau (1867)"</v>
      </c>
      <c r="CU5" s="63" t="str">
        <f>CHAR(34)&amp;"rgn_"&amp;R5&amp;CHAR(34)</f>
        <v>"rgn_Oceania"</v>
      </c>
      <c r="CV5" s="44" t="str">
        <f>CHAR(34)&amp;D5&amp;CHAR(34)</f>
        <v>"https://upload.wikimedia.org/wikipedia/commons/thumb/f/fa/Flag_of_the_Kingdom_of_Bau.svg/640px-Flag_of_the_Kingdom_of_Bau.svg.png"</v>
      </c>
      <c r="CW5" s="44" t="str">
        <f t="shared" si="0"/>
        <v/>
      </c>
      <c r="CX5" s="44" t="str">
        <f t="shared" si="0"/>
        <v/>
      </c>
      <c r="CY5" s="44" t="str">
        <f t="shared" si="0"/>
        <v/>
      </c>
      <c r="CZ5" s="44" t="str">
        <f t="shared" si="0"/>
        <v>"5+Colo",</v>
      </c>
      <c r="DA5" s="44" t="str">
        <f>IF(Q5&gt;1,CHAR(34)&amp;"words2"&amp;CHAR(34)&amp;",","")</f>
        <v>"words2",</v>
      </c>
      <c r="DB5" s="44" t="str">
        <f>IF(Q5&gt;2,CHAR(34)&amp;"words3"&amp;CHAR(34)&amp;",","")</f>
        <v>"words3",</v>
      </c>
      <c r="DD5" s="44" t="str">
        <f>IF(LEN(CHAR(34)&amp;"lets"&amp;LEN(SUBSTITUTE(SUBSTITUTE(IFERROR(TRIM(SUBSTITUTE(A5,MID(A5,FIND("[",A5),FIND("]",A5)-FIND("[",A5)+1),"")),A5)," ",""),"-",""))&amp;CHAR(34)&amp;",")=9,CHAR(34)&amp;"lets"&amp;LEN(SUBSTITUTE(SUBSTITUTE(IFERROR(TRIM(SUBSTITUTE(A5,MID(A5,FIND("[",A5),FIND("]",A5)-FIND("[",A5)+1),"")),A5)," ",""),"-",""))&amp;CHAR(34)&amp;",",CHAR(34)&amp;"lets0"&amp;LEN(SUBSTITUTE(SUBSTITUTE(IFERROR(TRIM(SUBSTITUTE(A5,MID(A5,FIND("[",A5),FIND("]",A5)-FIND("[",A5)+1),"")),A5)," ",""),"-",""))&amp;CHAR(34)&amp;",")</f>
        <v>"lets18",</v>
      </c>
      <c r="DE5" s="44" t="str">
        <f>CHAR(34)&amp;"start"&amp;IFERROR(LEFT(SUBSTITUTE(A5,"["&amp;MID(A5,FIND("[",A5)+1,FIND("]",A5)-FIND("[",A5)-1)&amp;"] ",""),1),LEFT(A5,1))&amp;CHAR(34)&amp;","</f>
        <v>"startK",</v>
      </c>
      <c r="DF5" s="44" t="str">
        <f>IFERROR(IF(SEARCH("tan",A5)&gt;0,CHAR(34)&amp;"withtn"&amp;CHAR(34)&amp;",",""),"")</f>
        <v/>
      </c>
      <c r="DG5" s="44" t="str">
        <f>IFERROR(IF(SEARCH("q",A5)&gt;0,CHAR(34)&amp;"with_q"&amp;CHAR(34)&amp;",",""),"")</f>
        <v/>
      </c>
      <c r="DH5" s="44" t="str">
        <f>IFERROR(IF(SEARCH("v",A5)&gt;0,CHAR(34)&amp;"with_v"&amp;CHAR(34)&amp;",",""),"")</f>
        <v/>
      </c>
      <c r="DI5" s="44" t="str">
        <f>IFERROR(IF(SEARCH("w",A5)&gt;0,CHAR(34)&amp;"with_w"&amp;CHAR(34)&amp;",",""),"")</f>
        <v/>
      </c>
      <c r="DJ5" s="44" t="str">
        <f>IFERROR(IF(SEARCH("y",A5)&gt;0,CHAR(34)&amp;"with_y"&amp;CHAR(34)&amp;",",""),"")</f>
        <v/>
      </c>
      <c r="DK5" s="44" t="str">
        <f>IFERROR(IF(SEARCH("z",A5)&gt;0,CHAR(34)&amp;"with_z"&amp;CHAR(34)&amp;",",""),"")</f>
        <v/>
      </c>
      <c r="DL5" s="44" t="str">
        <f>IF(CG5=2, CHAR(34) &amp; _xlfn.TEXTJOIN("", TRUE, _xlfn._xlws.SORT(HP5:HX5)) &amp; CHAR(34) &amp; ",", "")</f>
        <v/>
      </c>
      <c r="DM5" s="44" t="str" cm="1">
        <f t="array" ref="DM5">IF(CG5=3,CHAR(34) &amp; _xlfn.TEXTJOIN("", TRUE, RIGHT(HP5:HX5, 2)) &amp; CHAR(34) &amp; ",", "")</f>
        <v/>
      </c>
      <c r="DN5" s="44" t="str">
        <f>IF(AND(ISNUMBER(SEARCH("18", O5)), ISERROR(SEARCH("1918", O5)), ISERROR(SEARCH("2018", O5))), CHAR(34) &amp; "year18" &amp; CHAR(34) &amp; ",", "")</f>
        <v>"year18",</v>
      </c>
      <c r="DO5" s="44" t="str">
        <f>IF(AND(ISNUMBER(SEARCH("19", O5)), ISERROR(SEARCH("1819", O5)),  ISERROR(SEARCH("1219", O5)),ISERROR(SEARCH("1119", O5)),ISERROR(SEARCH("1190", O5)),ISERROR(SEARCH("2019", O5))), CHAR(34) &amp; "year19" &amp; CHAR(34) &amp; ",", "")</f>
        <v/>
      </c>
      <c r="DP5" s="5" t="str">
        <f>IF(AND(ISNUMBER(SEARCH("20", O5)), ISERROR(SEARCH("1920", O5))), CHAR(34)&amp;"year00"&amp;CHAR(34)&amp;",", "")</f>
        <v/>
      </c>
      <c r="DQ5" s="5" t="str">
        <f>IF(CC5="y",CHAR(34)&amp;"soviet"&amp;CHAR(34)&amp;",","")</f>
        <v/>
      </c>
      <c r="DR5" s="5" t="str">
        <f>IF(BY5="y",CHAR(34)&amp;"dgband"&amp;CHAR(34)&amp;",","")</f>
        <v/>
      </c>
      <c r="DS5" s="5" t="str">
        <f>IF(W5="y",IF(AND(V5="n",BY5&lt;&gt;"y"),CHAR(34)&amp;"allver"&amp;CHAR(34)&amp;",",""),"")</f>
        <v/>
      </c>
      <c r="DT5" s="5" t="str">
        <f>IF(V5="y",IF(AND(W5="n",BY5&lt;&gt;"y"),CHAR(34)&amp;"allhor"&amp;CHAR(34)&amp;",",""),"")</f>
        <v/>
      </c>
      <c r="DU5" s="5" t="str">
        <f>IF(BY5="y",IF(AND(W5="n",V5="n"),CHAR(34)&amp;"alldia"&amp;CHAR(34)&amp;",",""),"")</f>
        <v/>
      </c>
      <c r="DW5" s="44" t="str">
        <f t="shared" si="1"/>
        <v/>
      </c>
      <c r="DX5" s="44" t="str">
        <f t="shared" si="1"/>
        <v/>
      </c>
      <c r="DY5" s="44" t="str">
        <f t="shared" si="1"/>
        <v>"3Bands",</v>
      </c>
      <c r="DZ5" s="44" t="str">
        <f t="shared" si="1"/>
        <v/>
      </c>
      <c r="EA5" s="44" t="str">
        <f t="shared" si="2"/>
        <v>"Diagon",</v>
      </c>
      <c r="EB5" s="44" t="str">
        <f t="shared" si="2"/>
        <v>"Crosse",</v>
      </c>
      <c r="EC5" s="44" t="str">
        <f t="shared" si="2"/>
        <v>"Horizo",</v>
      </c>
      <c r="ED5" s="44" t="str">
        <f t="shared" si="2"/>
        <v>"Vertic",</v>
      </c>
      <c r="EE5" s="44" t="str">
        <f t="shared" si="2"/>
        <v>"Circle",</v>
      </c>
      <c r="EF5" s="44" t="str">
        <f>IF(AND(Y5&lt;&gt;"n",Y5&lt;&gt;""),CHAR(34)&amp;Y$1&amp;CHAR(34)&amp;",","")</f>
        <v/>
      </c>
      <c r="EG5" s="44" t="str">
        <f t="shared" si="3"/>
        <v>"Bird",</v>
      </c>
      <c r="EH5" s="44" t="str">
        <f t="shared" si="3"/>
        <v/>
      </c>
      <c r="EI5" s="44" t="str">
        <f t="shared" si="3"/>
        <v/>
      </c>
      <c r="EJ5" s="44" t="str">
        <f t="shared" si="3"/>
        <v/>
      </c>
      <c r="EK5" s="44" t="str">
        <f t="shared" si="3"/>
        <v>"HasSun",</v>
      </c>
      <c r="EL5" s="44" t="str">
        <f t="shared" si="3"/>
        <v/>
      </c>
      <c r="EM5" s="44" t="str">
        <f t="shared" si="3"/>
        <v/>
      </c>
      <c r="EN5" s="44" t="str">
        <f t="shared" si="3"/>
        <v>"Unequa",</v>
      </c>
      <c r="EO5" s="44" t="str">
        <f t="shared" si="3"/>
        <v>"Center",</v>
      </c>
      <c r="EP5" s="44" t="str">
        <f t="shared" si="3"/>
        <v>"Canton",</v>
      </c>
      <c r="EQ5" s="44" t="str">
        <f t="shared" si="4"/>
        <v/>
      </c>
      <c r="ER5" s="44" t="str">
        <f t="shared" si="4"/>
        <v/>
      </c>
      <c r="ES5" s="44" t="str">
        <f t="shared" si="4"/>
        <v/>
      </c>
      <c r="ET5" s="44" t="str">
        <f t="shared" si="4"/>
        <v/>
      </c>
      <c r="EU5" s="44" t="str">
        <f t="shared" si="4"/>
        <v/>
      </c>
      <c r="EV5" s="44" t="str">
        <f t="shared" si="4"/>
        <v/>
      </c>
      <c r="EW5" s="44" t="str">
        <f t="shared" si="4"/>
        <v/>
      </c>
      <c r="EX5" s="44" t="str">
        <f t="shared" si="4"/>
        <v>"Crowns",</v>
      </c>
      <c r="EY5" s="44" t="str">
        <f t="shared" si="4"/>
        <v/>
      </c>
      <c r="EZ5" s="44" t="str">
        <f t="shared" si="4"/>
        <v/>
      </c>
      <c r="FA5" s="44" t="str">
        <f>IF(AT5&gt;0,CHAR(34)&amp;"sta"&amp;AZ5&amp;CHAR(34)&amp;",","")</f>
        <v/>
      </c>
      <c r="FB5" s="44" t="str">
        <f>IF(AND(AT5&gt;0,BA5&lt;&gt;""),CHAR(34)&amp;"sta"&amp;BA5&amp;CHAR(34)&amp;",","")</f>
        <v/>
      </c>
      <c r="FD5" s="44" t="str">
        <f>IF(BV5="n",CHAR(34)&amp;"tcWHYE"&amp;CHAR(34)&amp;",",IF(BV5="y",CHAR(34)&amp;FD$1&amp;CHAR(34)&amp;",",""))</f>
        <v/>
      </c>
      <c r="FE5" s="44" t="str">
        <f>IF(COUNTIF(BL5:BT5,"BLU")=0,CHAR(34)&amp;"NO_BLU"&amp;CHAR(34)&amp;",", "")</f>
        <v/>
      </c>
      <c r="FF5" s="44" t="str">
        <f>IF(COUNTIF(BL5:BT5,"WHI")=0,CHAR(34)&amp;"NO_WHI"&amp;CHAR(34)&amp;",", "")</f>
        <v/>
      </c>
      <c r="FG5" s="44" t="str">
        <f>IF(COUNTIF(BL5:BT5,"RED")=0,CHAR(34)&amp;"NO_RED"&amp;CHAR(34)&amp;",", "")</f>
        <v/>
      </c>
      <c r="FH5" s="44" t="str">
        <f>IF(COUNTIF(BL5:BS5,"GRE")=0,CHAR(34)&amp;"NO_GRE"&amp;CHAR(34)&amp;",", "")</f>
        <v>"NO_GRE",</v>
      </c>
      <c r="FI5" s="44" t="str">
        <f>IF(COUNTIF(BL5:BT5,"YEL")=0,CHAR(34)&amp;"NO_YEL"&amp;CHAR(34)&amp;",", "")</f>
        <v/>
      </c>
      <c r="FJ5" s="44" t="str">
        <f>IF(COUNTIF(BL5:BT5,"BLA")=0,CHAR(34)&amp;"NO_BLA"&amp;CHAR(34)&amp;",", "")</f>
        <v/>
      </c>
      <c r="FK5" s="44" t="str">
        <f>IF(AND(FH5&lt;&gt;"",FF5&lt;&gt;""),CHAR(34)&amp;"WHGRNO"&amp;CHAR(34)&amp;",","")</f>
        <v/>
      </c>
      <c r="FL5" s="44" t="str">
        <f>IF(AND(FI5&lt;&gt;"",FF5&lt;&gt;""),CHAR(34)&amp;"WHYENO"&amp;CHAR(34)&amp;",","")</f>
        <v/>
      </c>
      <c r="FM5" s="44" t="str">
        <f>IF(AND(FJ5&lt;&gt;"",FF5&lt;&gt;""),CHAR(34)&amp;"BAWHNO"&amp;CHAR(34)&amp;",","")</f>
        <v/>
      </c>
      <c r="FN5" s="44" t="str">
        <f>IF(AND(FE5&lt;&gt;"",FF5&lt;&gt;""),CHAR(34)&amp;"BLWHNO"&amp;CHAR(34)&amp;",","")</f>
        <v/>
      </c>
      <c r="FO5" s="44" t="str">
        <f>IF(AND(FE5&lt;&gt;"",FG5&lt;&gt;""),CHAR(34)&amp;"BLRENO"&amp;CHAR(34)&amp;",","")</f>
        <v/>
      </c>
      <c r="FP5" s="44" t="str">
        <f>IF(AND(FF5&lt;&gt;"",FF5&lt;&gt;""),CHAR(34)&amp;"WHRENO"&amp;CHAR(34)&amp;",","")</f>
        <v/>
      </c>
      <c r="FQ5" s="44" t="str">
        <f>IF(LEN(BF5)=3,CHAR(34)&amp;"001"&amp;BF5&amp;CHAR(34)&amp;",","")</f>
        <v>"001WHI",</v>
      </c>
      <c r="FR5" s="44" t="str">
        <f>IF(LEN(BG5)=3,CHAR(34)&amp;"002"&amp;BG5&amp;CHAR(34)&amp;",","")</f>
        <v>"002BLU",</v>
      </c>
      <c r="FS5" s="44" t="str">
        <f>IF(LEN(BH5)=3,CHAR(34)&amp;"003"&amp;BH5&amp;CHAR(34)&amp;",","")</f>
        <v>"003RED",</v>
      </c>
      <c r="FT5" s="44" t="str">
        <f>CHAR(34)&amp;"myr"&amp;BD5&amp;CHAR(34)&amp;","</f>
        <v>"myrRED",</v>
      </c>
      <c r="FU5" s="44" t="str">
        <f>IF(AY5="y",CHAR(34)&amp;"island"&amp;CHAR(34)&amp;",","")</f>
        <v/>
      </c>
      <c r="FV5" s="44" t="str">
        <f>IF(BZ5="y",CHAR(34)&amp;"landlo"&amp;CHAR(34)&amp;",","")</f>
        <v/>
      </c>
      <c r="FW5" s="44" t="str">
        <f>IF(CA5="y",CHAR(34)&amp;"eunion"&amp;CHAR(34)&amp;",","")</f>
        <v/>
      </c>
      <c r="FY5" s="44" t="str">
        <f>IFERROR(IF(SEARCH("Arabic",CB5)&gt;0,CHAR(34)&amp;"arabic"&amp;CHAR(34)&amp;",",""),"")</f>
        <v/>
      </c>
      <c r="FZ5" s="44" t="str">
        <f>IFERROR(IF(SEARCH("English",CB5)&gt;0,CHAR(34)&amp;"englis"&amp;CHAR(34)&amp;",",""),"")</f>
        <v/>
      </c>
      <c r="GA5" s="44" t="str">
        <f>IFERROR(IF(SEARCH("French",CB5)&gt;0,CHAR(34)&amp;"french"&amp;CHAR(34)&amp;",",""),"")</f>
        <v/>
      </c>
      <c r="GB5" s="44" t="str">
        <f>IFERROR(IF(SEARCH("Spanish",CB5)&gt;0,CHAR(34)&amp;"spanis"&amp;CHAR(34)&amp;",",""),"")</f>
        <v/>
      </c>
      <c r="GE5" s="44" t="str">
        <f>IFERROR(IF(SEARCH("Dutch",CB5)&gt;0,CHAR(34)&amp;"dutchs"&amp;CHAR(34)&amp;",",""),"")</f>
        <v/>
      </c>
      <c r="GF5" s="44" t="str">
        <f>IFERROR(IF(SEARCH("Historical",AU5)&gt;0,CHAR(34)&amp;"histor"&amp;CHAR(34)&amp;",",""),"")</f>
        <v>"histor",</v>
      </c>
      <c r="GG5" s="44" t="str">
        <f>IF(BU5="y",CHAR(34)&amp;"unjack"&amp;CHAR(34)&amp;",","")</f>
        <v/>
      </c>
      <c r="GH5" s="44" t="str">
        <f>IF(CD5=1,CHAR(34)&amp;"southc"&amp;CHAR(34)&amp;",","")</f>
        <v/>
      </c>
      <c r="GI5" s="44" t="str">
        <f>IF(CE5=1,CHAR(34)&amp;"hasmap"&amp;CHAR(34)&amp;",","")</f>
        <v/>
      </c>
      <c r="GJ5" s="44" t="str">
        <f>IF(CP5="y",CHAR(34)&amp;CP$1&amp;CHAR(34)&amp;",","")</f>
        <v>"NoStar",</v>
      </c>
      <c r="GK5" s="44" t="str">
        <f>IF(GJ5="",CHAR(34)&amp;"HasSta"&amp;CHAR(34)&amp;",","")</f>
        <v/>
      </c>
      <c r="GL5" s="44" t="str">
        <f t="shared" si="5"/>
        <v/>
      </c>
      <c r="GM5" s="44" t="str">
        <f t="shared" si="5"/>
        <v/>
      </c>
      <c r="GN5" s="44" t="str">
        <f t="shared" si="5"/>
        <v/>
      </c>
      <c r="GP5" s="44" t="str">
        <f>CHAR(34)&amp;AU5&amp;CHAR(34)</f>
        <v>"Historical"</v>
      </c>
      <c r="GS5" s="44" t="str">
        <f>SUBSTITUTE("["&amp;_xlfn.CONCAT(CW5:GN5)&amp;"]",",]","]")</f>
        <v>["5+Colo","words2","words3","lets18","startK","year18","3Bands","Diagon","Crosse","Horizo","Vertic","Circle","Bird","HasSun","Unequa","Center","Canton","Crowns","NO_GRE","001WHI","002BLU","003RED","myrRED","histor","NoStar"]</v>
      </c>
      <c r="GT5" s="44" t="str">
        <f t="shared" si="6"/>
        <v>"cl_BLA",</v>
      </c>
      <c r="GU5" s="44" t="str">
        <f t="shared" si="6"/>
        <v>"cl_BLU",</v>
      </c>
      <c r="GV5" s="44" t="str">
        <f t="shared" si="6"/>
        <v/>
      </c>
      <c r="GW5" s="44" t="str">
        <f t="shared" si="6"/>
        <v>"cl_RED",</v>
      </c>
      <c r="GX5" s="44" t="str">
        <f t="shared" si="6"/>
        <v>"cl_YEL",</v>
      </c>
      <c r="GY5" s="44" t="str">
        <f t="shared" si="6"/>
        <v/>
      </c>
      <c r="GZ5" s="44" t="str">
        <f t="shared" si="6"/>
        <v/>
      </c>
      <c r="HA5" s="44" t="str">
        <f t="shared" si="6"/>
        <v/>
      </c>
      <c r="HB5" s="44" t="str">
        <f t="shared" si="6"/>
        <v>"cl_WHI",</v>
      </c>
      <c r="HC5" s="44" t="str">
        <f>SUBSTITUTE("["&amp;_xlfn.CONCAT(GT5:HB5)&amp;"]",",]","]")</f>
        <v>["cl_BLA","cl_BLU","cl_RED","cl_YEL","cl_WHI"]</v>
      </c>
      <c r="HE5" s="64"/>
      <c r="HF5" s="65" t="str">
        <f>"{couname:"&amp;CT5&amp;(IF(HK5&lt;&gt;"",",subtype:"&amp;CHAR(34)&amp;HK5&amp;CHAR(34),""))&amp;",year:"&amp;HJ5&amp;",region:"&amp;CU5&amp;",Colors:"&amp;HC5&amp;",Items:"&amp;GS5&amp;",Flag:"&amp;CV5&amp;",HDFlag:"&amp;CHAR(34)&amp;E5&amp;CHAR(34)&amp;",type:"&amp;GP5&amp;", describe: "&amp;HH5&amp;", isnew:"&amp;CHAR(34)&amp;F5&amp;CHAR(34)&amp;", links: "&amp;HL5&amp;"},"</f>
        <v>{couname:"[FJI] Kingdom of Bau (1867)",year:"1867",region:"rgn_Oceania",Colors:["cl_BLA","cl_BLU","cl_RED","cl_YEL","cl_WHI"],Items:["5+Colo","words2","words3","lets18","startK","year18","3Bands","Diagon","Crosse","Horizo","Vertic","Circle","Bird","HasSun","Unequa","Center","Canton","Crowns","NO_GRE","001WHI","002BLU","003RED","myrRED","histor","NoStar"],Flag:"https://upload.wikimedia.org/wikipedia/commons/thumb/f/fa/Flag_of_the_Kingdom_of_Bau.svg/640px-Flag_of_the_Kingdom_of_Bau.svg.png",HDFlag:"https://upload.wikimedia.org/wikipedia/commons/thumb/f/fa/Flag_of_the_Kingdom_of_Bau.svg/1280px-Flag_of_the_Kingdom_of_Bau.svg.png",type:"Historical", describe: "\nA horizontal tricolour of white, blue and red, with a golden sunburst in the centre and a crown in the canton.", isnew:".", links: "https://en.m.wikipedia.org/wiki/Flag_of_Fiji"},</v>
      </c>
      <c r="HG5" s="66" t="str">
        <f>"{couname:"&amp;CT5&amp;(IF(HK5&lt;&gt;"",",subtype:"&amp;CHAR(34)&amp;HK5&amp;CHAR(34),""))&amp;",year:"&amp;HJ5&amp;",region:"&amp;CU5&amp;",Colors:"&amp;HC5&amp;",Items:"&amp;GS5&amp;",Flag:"&amp;CV5&amp;",HDFlag:"&amp;CHAR(34)&amp;E5&amp;CHAR(34)&amp;",type:"&amp;GP5&amp;", describe: "&amp;HI5&amp;", links: "&amp;HL5&amp;"},"</f>
        <v>{couname:"[FJI] Kingdom of Bau (1867)",year:"1867",region:"rgn_Oceania",Colors:["cl_BLA","cl_BLU","cl_RED","cl_YEL","cl_WHI"],Items:["5+Colo","words2","words3","lets18","startK","year18","3Bands","Diagon","Crosse","Horizo","Vertic","Circle","Bird","HasSun","Unequa","Center","Canton","Crowns","NO_GRE","001WHI","002BLU","003RED","myrRED","histor","NoStar"],Flag:"https://upload.wikimedia.org/wikipedia/commons/thumb/f/fa/Flag_of_the_Kingdom_of_Bau.svg/640px-Flag_of_the_Kingdom_of_Bau.svg.png",HDFlag:"https://upload.wikimedia.org/wikipedia/commons/thumb/f/fa/Flag_of_the_Kingdom_of_Bau.svg/1280px-Flag_of_the_Kingdom_of_Bau.svg.png",type:"Historical", describe: "\nA horizontal tricolour of white, blue and red, with a golden sunburst in the centre and a crown in the canton.", links: "https://en.m.wikipedia.org/wiki/Flag_of_Fiji"},</v>
      </c>
      <c r="HH5" s="44" t="str">
        <f>IF(P5&lt;&gt;"",CHAR(34)&amp;"\n"&amp;P5&amp;CHAR(34),CHAR(34)&amp;CHAR(34))</f>
        <v>"\nA horizontal tricolour of white, blue and red, with a golden sunburst in the centre and a crown in the canton."</v>
      </c>
      <c r="HI5" s="44" t="str">
        <f>IF(J5=0,CHAR(34)&amp;CHAR(34),HH5)</f>
        <v>"\nA horizontal tricolour of white, blue and red, with a golden sunburst in the centre and a crown in the canton."</v>
      </c>
      <c r="HJ5" s="44" t="str">
        <f>CHAR(34)&amp;O5&amp;CHAR(34)</f>
        <v>"1867"</v>
      </c>
      <c r="HL5" s="44" t="str">
        <f>CHAR(34)&amp;I5&amp;CHAR(34)</f>
        <v>"https://en.m.wikipedia.org/wiki/Flag_of_Fiji"</v>
      </c>
      <c r="HM5" s="65" t="str">
        <f>"{"&amp;CHAR(34)&amp;"couname"&amp;CHAR(34)&amp;":"&amp;CT5&amp;(IF(H5&lt;&gt;"",","&amp;CHAR(34)&amp;"subtype"&amp;CHAR(34)&amp;":"&amp;CHAR(34)&amp;H5&amp;CHAR(34),""))&amp;","&amp;CHAR(34)&amp;"year"&amp;CHAR(34)&amp;":"&amp;HJ5&amp;","&amp;CHAR(34)&amp;"region"&amp;CHAR(34)&amp;":"&amp;CU5&amp;","&amp;CHAR(34)&amp;"Colors"&amp;CHAR(34)&amp;":"&amp;HC5&amp;","&amp;CHAR(34)&amp;"Items"&amp;CHAR(34)&amp;":"&amp;GS5&amp;","&amp;CHAR(34)&amp;"Flag"&amp;CHAR(34)&amp;":"&amp;CV5&amp;","&amp;CHAR(34)&amp;"HDFlag"&amp;CHAR(34)&amp;":"&amp;CHAR(34)&amp;E5&amp;CHAR(34)&amp;","&amp;CHAR(34)&amp;"type"&amp;CHAR(34)&amp;":"&amp;GP5&amp;", "&amp;CHAR(34)&amp;"describe"&amp;CHAR(34)&amp;": "&amp;HH5&amp;", "&amp;CHAR(34)&amp;"isnew"&amp;CHAR(34)&amp;": "&amp;CHAR(34)&amp;F5&amp;CHAR(34)&amp;", "&amp;CHAR(34)&amp;"links"&amp;CHAR(34)&amp;": "&amp;HL5&amp;"},"</f>
        <v>{"couname":"[FJI] Kingdom of Bau (1867)","subtype":"[FJI] Other","year":"1867","region":"rgn_Oceania","Colors":["cl_BLA","cl_BLU","cl_RED","cl_YEL","cl_WHI"],"Items":["5+Colo","words2","words3","lets18","startK","year18","3Bands","Diagon","Crosse","Horizo","Vertic","Circle","Bird","HasSun","Unequa","Center","Canton","Crowns","NO_GRE","001WHI","002BLU","003RED","myrRED","histor","NoStar"],"Flag":"https://upload.wikimedia.org/wikipedia/commons/thumb/f/fa/Flag_of_the_Kingdom_of_Bau.svg/640px-Flag_of_the_Kingdom_of_Bau.svg.png","HDFlag":"https://upload.wikimedia.org/wikipedia/commons/thumb/f/fa/Flag_of_the_Kingdom_of_Bau.svg/1280px-Flag_of_the_Kingdom_of_Bau.svg.png","type":"Historical", "describe": "\nA horizontal tricolour of white, blue and red, with a golden sunburst in the centre and a crown in the canton.", "isnew": ".", "links": "https://en.m.wikipedia.org/wiki/Flag_of_Fiji"},</v>
      </c>
      <c r="HN5" s="67" t="str">
        <f>"{"&amp;CHAR(34)&amp;"couname"&amp;CHAR(34)&amp;":"&amp;CT5&amp;(IF(H5&lt;&gt;"",","&amp;CHAR(34)&amp;"subtype"&amp;CHAR(34)&amp;":"&amp;CHAR(34)&amp;H5&amp;CHAR(34),""))&amp;","&amp;CHAR(34)&amp;"year"&amp;CHAR(34)&amp;":"&amp;HJ5&amp;","&amp;CHAR(34)&amp;"region"&amp;CHAR(34)&amp;":"&amp;CU5&amp;","&amp;CHAR(34)&amp;"Colors"&amp;CHAR(34)&amp;":"&amp;HC5&amp;","&amp;CHAR(34)&amp;"Items"&amp;CHAR(34)&amp;":"&amp;GS5&amp;","&amp;CHAR(34)&amp;"Flag"&amp;CHAR(34)&amp;":"&amp;CV5&amp;","&amp;CHAR(34)&amp;"HDFlag"&amp;CHAR(34)&amp;":"&amp;CHAR(34)&amp;E5&amp;CHAR(34)&amp;","&amp;CHAR(34)&amp;"type"&amp;CHAR(34)&amp;":"&amp;GP5&amp;", "&amp;CHAR(34)&amp;"describe"&amp;CHAR(34)&amp;": "&amp;HI5&amp;", "&amp;CHAR(34)&amp;"isnew"&amp;CHAR(34)&amp;": "&amp;CHAR(34)&amp;F5&amp;CHAR(34)&amp;", "&amp;CHAR(34)&amp;"links"&amp;CHAR(34)&amp;": "&amp;HL5&amp;"},"</f>
        <v>{"couname":"[FJI] Kingdom of Bau (1867)","subtype":"[FJI] Other","year":"1867","region":"rgn_Oceania","Colors":["cl_BLA","cl_BLU","cl_RED","cl_YEL","cl_WHI"],"Items":["5+Colo","words2","words3","lets18","startK","year18","3Bands","Diagon","Crosse","Horizo","Vertic","Circle","Bird","HasSun","Unequa","Center","Canton","Crowns","NO_GRE","001WHI","002BLU","003RED","myrRED","histor","NoStar"],"Flag":"https://upload.wikimedia.org/wikipedia/commons/thumb/f/fa/Flag_of_the_Kingdom_of_Bau.svg/640px-Flag_of_the_Kingdom_of_Bau.svg.png","HDFlag":"https://upload.wikimedia.org/wikipedia/commons/thumb/f/fa/Flag_of_the_Kingdom_of_Bau.svg/1280px-Flag_of_the_Kingdom_of_Bau.svg.png","type":"Historical", "describe": "\nA horizontal tricolour of white, blue and red, with a golden sunburst in the centre and a crown in the canton.", "isnew": ".", "links": "https://en.m.wikipedia.org/wiki/Flag_of_Fiji"},</v>
      </c>
      <c r="HO5" s="71">
        <v>45596</v>
      </c>
      <c r="HP5" s="44" t="str" cm="1">
        <f t="array" ref="HP5">IF(_xlfn.TEXTJOIN(", ", TRUE, IF(ISNUMBER(SEARCH("BLA", BL5:BT5)), COLUMN(BL5:BT5) - COLUMN(BL5) + 1, ""))&lt;&gt;"","BLA","")</f>
        <v>BLA</v>
      </c>
      <c r="HQ5" s="44" t="str" cm="1">
        <f t="array" ref="HQ5">IF(_xlfn.TEXTJOIN(", ", TRUE, IF(ISNUMBER(SEARCH("BLU", BL5:BT5)), COLUMN(BL5:BT5) - COLUMN(BL5) + 1, ""))&lt;&gt;"","BLU","")</f>
        <v>BLU</v>
      </c>
      <c r="HR5" s="44" t="str" cm="1">
        <f t="array" ref="HR5">IF(_xlfn.TEXTJOIN(", ", TRUE, IF(ISNUMBER(SEARCH("GRE", BL5:BT5)), COLUMN(BL5:BT5) - COLUMN(BL5) + 1, ""))&lt;&gt;"","GRE","")</f>
        <v/>
      </c>
      <c r="HS5" s="44" t="str" cm="1">
        <f t="array" ref="HS5">IF(_xlfn.TEXTJOIN(", ", TRUE, IF(ISNUMBER(SEARCH("RED", BL5:BT5)), COLUMN(BL5:BT5) - COLUMN(BL5) + 1, ""))&lt;&gt;"","RED","")</f>
        <v>RED</v>
      </c>
      <c r="HT5" s="44" t="str" cm="1">
        <f t="array" ref="HT5">IF(_xlfn.TEXTJOIN(", ", TRUE, IF(ISNUMBER(SEARCH("YEL", BL5:BT5)), COLUMN(BL5:BT5) - COLUMN(BL5) + 1, ""))&lt;&gt;"","YEL","")</f>
        <v>YEL</v>
      </c>
      <c r="HU5" s="44" t="str" cm="1">
        <f t="array" ref="HU5">IF(_xlfn.TEXTJOIN(", ", TRUE, IF(ISNUMBER(SEARCH("ORA", BL5:BT5)), COLUMN(BL5:BT5) - COLUMN(BL5) + 1, ""))&lt;&gt;"","ORA","")</f>
        <v/>
      </c>
      <c r="HV5" s="44" t="str" cm="1">
        <f t="array" ref="HV5">IF(_xlfn.TEXTJOIN(", ", TRUE, IF(ISNUMBER(SEARCH("BRO", BL5:BT5)), COLUMN(BL5:BT5) - COLUMN(BL5) + 1, ""))&lt;&gt;"","BRO","")</f>
        <v/>
      </c>
      <c r="HW5" s="44" t="str" cm="1">
        <f t="array" ref="HW5">IF(_xlfn.TEXTJOIN(", ", TRUE, IF(ISNUMBER(SEARCH("PUR", BL5:BT5)), COLUMN(BL5:BT5) - COLUMN(BL5) + 1, ""))&lt;&gt;"","PUR","")</f>
        <v/>
      </c>
      <c r="HX5" s="44" t="str" cm="1">
        <f t="array" ref="HX5">IF(_xlfn.TEXTJOIN(", ", TRUE, IF(ISNUMBER(SEARCH("WHI", BL5:BT5)), COLUMN(BL5:BT5) - COLUMN(BL5) + 1, ""))&lt;&gt;"","WHI","")</f>
        <v>WHI</v>
      </c>
      <c r="HY5" s="72"/>
      <c r="HZ5" s="72"/>
      <c r="IA5" s="5"/>
      <c r="IB5" s="5"/>
      <c r="IC5" s="68"/>
      <c r="ID5" s="68"/>
      <c r="IE5" s="68"/>
      <c r="IF5" s="68"/>
      <c r="IG5" s="68"/>
      <c r="IH5" s="68"/>
      <c r="II5" s="68"/>
      <c r="IJ5" s="68"/>
      <c r="IK5" s="68"/>
      <c r="IM5" s="42">
        <f>COUNTIF(IC5:IK5,"&gt;0")-CG5</f>
        <v>-5</v>
      </c>
      <c r="IN5" s="69" t="str">
        <f>"http://mkweb.bcgsc.ca/color-summarizer/?url="&amp;D5&amp;"&amp;precision=low&amp;num_clusters="&amp;CG5&amp;"&amp;text=1"</f>
        <v>http://mkweb.bcgsc.ca/color-summarizer/?url=https://upload.wikimedia.org/wikipedia/commons/thumb/f/fa/Flag_of_the_Kingdom_of_Bau.svg/640px-Flag_of_the_Kingdom_of_Bau.svg.png&amp;precision=low&amp;num_clusters=5&amp;text=1</v>
      </c>
      <c r="IO5" s="44" t="str">
        <f>IF(HP5&lt;&gt;"",CHAR(34)&amp;"black"&amp;CHAR(34),"")</f>
        <v>"black"</v>
      </c>
      <c r="IP5" s="44" t="str">
        <f>IF(HQ5&lt;&gt;"",CHAR(34)&amp;"blue"&amp;CHAR(34),"")</f>
        <v>"blue"</v>
      </c>
      <c r="IQ5" s="44" t="str">
        <f>IF(HR5&lt;&gt;"",CHAR(34)&amp;"green"&amp;CHAR(34),"")</f>
        <v/>
      </c>
      <c r="IR5" s="44" t="str">
        <f>IF(HS5&lt;&gt;"",CHAR(34)&amp;"red"&amp;CHAR(34),"")</f>
        <v>"red"</v>
      </c>
      <c r="IS5" s="44" t="str">
        <f>IF(HT5&lt;&gt;"",CHAR(34)&amp;"yellow"&amp;CHAR(34),"")</f>
        <v>"yellow"</v>
      </c>
      <c r="IT5" s="44" t="str">
        <f>IF(HU5&lt;&gt;"",CHAR(34)&amp;"orange"&amp;CHAR(34),"")</f>
        <v/>
      </c>
      <c r="IU5" s="44" t="str">
        <f>IF(HV5&lt;&gt;"",CHAR(34)&amp;"brown"&amp;CHAR(34),"")</f>
        <v/>
      </c>
      <c r="IV5" s="44" t="str">
        <f>IF(HW5&lt;&gt;"",CHAR(34)&amp;"purple"&amp;CHAR(34),"")</f>
        <v/>
      </c>
      <c r="IW5" s="44" t="str">
        <f>IF(HX5&lt;&gt;"",CHAR(34)&amp;"white"&amp;CHAR(34),"")</f>
        <v>"white"</v>
      </c>
      <c r="IX5" s="44" t="str">
        <f>"{"&amp;CHAR(34)&amp;"url"&amp;CHAR(34)&amp;":"&amp;CHAR(34)&amp;IN5&amp;CHAR(34)&amp;","&amp;CHAR(34)&amp;"name"&amp;CHAR(34)&amp;":"&amp;CHAR(34)&amp;A5&amp;CHAR(34)&amp;"},"</f>
        <v>{"url":"http://mkweb.bcgsc.ca/color-summarizer/?url=https://upload.wikimedia.org/wikipedia/commons/thumb/f/fa/Flag_of_the_Kingdom_of_Bau.svg/640px-Flag_of_the_Kingdom_of_Bau.svg.png&amp;precision=low&amp;num_clusters=5&amp;text=1","name":"[FJI] Kingdom of Bau (1867)"},</v>
      </c>
      <c r="IY5" s="44">
        <v>1291</v>
      </c>
    </row>
    <row r="6" spans="1:259" s="44" customFormat="1" ht="38.4" customHeight="1" thickBot="1" x14ac:dyDescent="0.35">
      <c r="A6" s="81" t="s">
        <v>670</v>
      </c>
      <c r="B6" s="78" t="e" vm="36">
        <v>#VALUE!</v>
      </c>
      <c r="C6" s="39">
        <v>3</v>
      </c>
      <c r="D6" s="70" t="s">
        <v>671</v>
      </c>
      <c r="E6" s="40" t="s">
        <v>672</v>
      </c>
      <c r="F6" s="41" t="s">
        <v>165</v>
      </c>
      <c r="G6" s="42">
        <f>COUNTIF($A$1:$A$8292,A6)</f>
        <v>1</v>
      </c>
      <c r="H6" s="43" t="s">
        <v>914</v>
      </c>
      <c r="I6" s="59" t="s">
        <v>673</v>
      </c>
      <c r="J6" s="44" t="str">
        <f>""</f>
        <v/>
      </c>
      <c r="K6" s="45"/>
      <c r="L6" s="46"/>
      <c r="M6" s="46"/>
      <c r="N6" s="47" t="s">
        <v>177</v>
      </c>
      <c r="O6" s="74">
        <v>1871</v>
      </c>
      <c r="P6" s="48" t="s">
        <v>674</v>
      </c>
      <c r="Q6" s="73">
        <v>3</v>
      </c>
      <c r="R6" s="49" t="s">
        <v>177</v>
      </c>
      <c r="S6" s="50">
        <v>2</v>
      </c>
      <c r="T6" s="51" t="s">
        <v>166</v>
      </c>
      <c r="U6" s="52" t="s">
        <v>167</v>
      </c>
      <c r="V6" s="52" t="s">
        <v>167</v>
      </c>
      <c r="W6" s="52" t="s">
        <v>167</v>
      </c>
      <c r="X6" s="52" t="s">
        <v>167</v>
      </c>
      <c r="Y6" s="52" t="s">
        <v>167</v>
      </c>
      <c r="Z6" s="52" t="s">
        <v>167</v>
      </c>
      <c r="AA6" s="52" t="s">
        <v>167</v>
      </c>
      <c r="AB6" s="52" t="s">
        <v>166</v>
      </c>
      <c r="AC6" s="52" t="s">
        <v>166</v>
      </c>
      <c r="AD6" s="52" t="s">
        <v>166</v>
      </c>
      <c r="AE6" s="52" t="s">
        <v>166</v>
      </c>
      <c r="AF6" s="53" t="s">
        <v>166</v>
      </c>
      <c r="AG6" s="53" t="s">
        <v>167</v>
      </c>
      <c r="AH6" s="53" t="s">
        <v>167</v>
      </c>
      <c r="AI6" s="53" t="s">
        <v>166</v>
      </c>
      <c r="AJ6" s="53" t="s">
        <v>166</v>
      </c>
      <c r="AK6" s="53" t="s">
        <v>166</v>
      </c>
      <c r="AL6" s="53" t="s">
        <v>166</v>
      </c>
      <c r="AM6" s="53" t="s">
        <v>166</v>
      </c>
      <c r="AN6" s="53" t="s">
        <v>166</v>
      </c>
      <c r="AO6" s="53" t="s">
        <v>166</v>
      </c>
      <c r="AP6" s="53" t="s">
        <v>166</v>
      </c>
      <c r="AQ6" s="53" t="s">
        <v>167</v>
      </c>
      <c r="AR6" s="53" t="s">
        <v>166</v>
      </c>
      <c r="AS6" s="53" t="s">
        <v>166</v>
      </c>
      <c r="AT6" s="54">
        <v>0</v>
      </c>
      <c r="AU6" s="53" t="s">
        <v>349</v>
      </c>
      <c r="AV6" s="53" t="str">
        <f>IF(LEFT(A6,1)="[",LEFT(A6,5)&amp;AU6&amp;A6,"")</f>
        <v>[FJI]Historical[FJI] Kingdom of Fiji (1871)</v>
      </c>
      <c r="AW6" s="53" t="str">
        <f>C6&amp;H6&amp;A6</f>
        <v>3[FJI] Other[FJI] Kingdom of Fiji (1871)</v>
      </c>
      <c r="AX6" s="55"/>
      <c r="AY6" s="55"/>
      <c r="AZ6" s="56" t="s">
        <v>231</v>
      </c>
      <c r="BA6" s="56" t="s">
        <v>231</v>
      </c>
      <c r="BB6" s="56"/>
      <c r="BC6" s="57"/>
      <c r="BD6" s="58" t="s">
        <v>161</v>
      </c>
      <c r="BE6" s="59"/>
      <c r="BF6" s="58" t="s">
        <v>161</v>
      </c>
      <c r="BG6" s="58" t="s">
        <v>231</v>
      </c>
      <c r="BH6" s="58" t="s">
        <v>154</v>
      </c>
      <c r="BI6" s="58"/>
      <c r="BJ6" s="58"/>
      <c r="BK6" s="59"/>
      <c r="BL6" s="58" t="s">
        <v>153</v>
      </c>
      <c r="BM6" s="58" t="s">
        <v>154</v>
      </c>
      <c r="BN6" s="58" t="s">
        <v>155</v>
      </c>
      <c r="BO6" s="58" t="s">
        <v>156</v>
      </c>
      <c r="BP6" s="58" t="s">
        <v>157</v>
      </c>
      <c r="BQ6" s="58" t="s">
        <v>231</v>
      </c>
      <c r="BR6" s="58" t="s">
        <v>231</v>
      </c>
      <c r="BS6" s="58" t="s">
        <v>231</v>
      </c>
      <c r="BT6" s="58" t="s">
        <v>161</v>
      </c>
      <c r="BU6" s="60"/>
      <c r="BV6" s="61"/>
      <c r="BW6" s="61">
        <v>0</v>
      </c>
      <c r="BX6" s="59"/>
      <c r="CB6" s="5"/>
      <c r="CC6" s="5"/>
      <c r="CD6" s="62">
        <v>0</v>
      </c>
      <c r="CE6" s="62">
        <v>0</v>
      </c>
      <c r="CF6" s="62" t="e">
        <v>#REF!</v>
      </c>
      <c r="CG6" s="75" cm="1">
        <f t="array" ref="CG6">SUMPRODUCT(--(LEN(TRIM(BL6:BT6))&gt;0))</f>
        <v>6</v>
      </c>
      <c r="CH6" s="53" t="str">
        <f>IF(CG6=2,"y","n")</f>
        <v>n</v>
      </c>
      <c r="CI6" s="53" t="str">
        <f>IF(CG6=3,"y","n")</f>
        <v>n</v>
      </c>
      <c r="CJ6" s="53" t="str">
        <f>IF(CG6=4,"y","n")</f>
        <v>n</v>
      </c>
      <c r="CK6" s="53" t="str">
        <f>IF(CG6&gt;4,"y","n")</f>
        <v>y</v>
      </c>
      <c r="CL6" s="53" t="str">
        <f>IF(S6=0,"y","n")</f>
        <v>n</v>
      </c>
      <c r="CM6" s="53" t="str">
        <f>IF(S6=2,"y","n")</f>
        <v>y</v>
      </c>
      <c r="CN6" s="53" t="str">
        <f>IF(S6=3,"y","n")</f>
        <v>n</v>
      </c>
      <c r="CO6" s="53" t="str">
        <f>IF(S6&gt;=4,"y","n")</f>
        <v>n</v>
      </c>
      <c r="CP6" s="53" t="str">
        <f>IF(AT6=0,"y","n")</f>
        <v>y</v>
      </c>
      <c r="CQ6" s="53" t="str">
        <f>IF(AT6=1,"y","n")</f>
        <v>n</v>
      </c>
      <c r="CR6" s="53" t="str">
        <f>IF(AT6=2,"y","n")</f>
        <v>n</v>
      </c>
      <c r="CS6" s="53" t="str">
        <f>IF(AT6&gt;=3,"y","n")</f>
        <v>n</v>
      </c>
      <c r="CT6" s="38" t="str">
        <f>CHAR(34)&amp;A6&amp;CHAR(34)</f>
        <v>"[FJI] Kingdom of Fiji (1871)"</v>
      </c>
      <c r="CU6" s="63" t="str">
        <f>CHAR(34)&amp;"rgn_"&amp;R6&amp;CHAR(34)</f>
        <v>"rgn_Oceania"</v>
      </c>
      <c r="CV6" s="44" t="str">
        <f>CHAR(34)&amp;D6&amp;CHAR(34)</f>
        <v>"https://upload.wikimedia.org/wikipedia/commons/thumb/5/5a/Flag_of_the_Kingdom_of_Fiji_%281871-1874%29.svg/640px-Flag_of_the_Kingdom_of_Fiji_%281871-1874%29.svg.png"</v>
      </c>
      <c r="CW6" s="44" t="str">
        <f t="shared" si="0"/>
        <v/>
      </c>
      <c r="CX6" s="44" t="str">
        <f t="shared" si="0"/>
        <v/>
      </c>
      <c r="CY6" s="44" t="str">
        <f t="shared" si="0"/>
        <v/>
      </c>
      <c r="CZ6" s="44" t="str">
        <f t="shared" si="0"/>
        <v>"5+Colo",</v>
      </c>
      <c r="DA6" s="44" t="str">
        <f>IF(Q6&gt;1,CHAR(34)&amp;"words2"&amp;CHAR(34)&amp;",","")</f>
        <v>"words2",</v>
      </c>
      <c r="DB6" s="44" t="str">
        <f>IF(Q6&gt;2,CHAR(34)&amp;"words3"&amp;CHAR(34)&amp;",","")</f>
        <v>"words3",</v>
      </c>
      <c r="DD6" s="44" t="str">
        <f>IF(LEN(CHAR(34)&amp;"lets"&amp;LEN(SUBSTITUTE(SUBSTITUTE(IFERROR(TRIM(SUBSTITUTE(A6,MID(A6,FIND("[",A6),FIND("]",A6)-FIND("[",A6)+1),"")),A6)," ",""),"-",""))&amp;CHAR(34)&amp;",")=9,CHAR(34)&amp;"lets"&amp;LEN(SUBSTITUTE(SUBSTITUTE(IFERROR(TRIM(SUBSTITUTE(A6,MID(A6,FIND("[",A6),FIND("]",A6)-FIND("[",A6)+1),"")),A6)," ",""),"-",""))&amp;CHAR(34)&amp;",",CHAR(34)&amp;"lets0"&amp;LEN(SUBSTITUTE(SUBSTITUTE(IFERROR(TRIM(SUBSTITUTE(A6,MID(A6,FIND("[",A6),FIND("]",A6)-FIND("[",A6)+1),"")),A6)," ",""),"-",""))&amp;CHAR(34)&amp;",")</f>
        <v>"lets19",</v>
      </c>
      <c r="DE6" s="44" t="str">
        <f>CHAR(34)&amp;"start"&amp;IFERROR(LEFT(SUBSTITUTE(A6,"["&amp;MID(A6,FIND("[",A6)+1,FIND("]",A6)-FIND("[",A6)-1)&amp;"] ",""),1),LEFT(A6,1))&amp;CHAR(34)&amp;","</f>
        <v>"startK",</v>
      </c>
      <c r="DF6" s="44" t="str">
        <f>IFERROR(IF(SEARCH("tan",A6)&gt;0,CHAR(34)&amp;"withtn"&amp;CHAR(34)&amp;",",""),"")</f>
        <v/>
      </c>
      <c r="DG6" s="44" t="str">
        <f>IFERROR(IF(SEARCH("q",A6)&gt;0,CHAR(34)&amp;"with_q"&amp;CHAR(34)&amp;",",""),"")</f>
        <v/>
      </c>
      <c r="DH6" s="44" t="str">
        <f>IFERROR(IF(SEARCH("v",A6)&gt;0,CHAR(34)&amp;"with_v"&amp;CHAR(34)&amp;",",""),"")</f>
        <v/>
      </c>
      <c r="DI6" s="44" t="str">
        <f>IFERROR(IF(SEARCH("w",A6)&gt;0,CHAR(34)&amp;"with_w"&amp;CHAR(34)&amp;",",""),"")</f>
        <v/>
      </c>
      <c r="DJ6" s="44" t="str">
        <f>IFERROR(IF(SEARCH("y",A6)&gt;0,CHAR(34)&amp;"with_y"&amp;CHAR(34)&amp;",",""),"")</f>
        <v/>
      </c>
      <c r="DK6" s="44" t="str">
        <f>IFERROR(IF(SEARCH("z",A6)&gt;0,CHAR(34)&amp;"with_z"&amp;CHAR(34)&amp;",",""),"")</f>
        <v/>
      </c>
      <c r="DL6" s="44" t="str">
        <f>IF(CG6=2, CHAR(34) &amp; _xlfn.TEXTJOIN("", TRUE, _xlfn._xlws.SORT(HP6:HX6)) &amp; CHAR(34) &amp; ",", "")</f>
        <v/>
      </c>
      <c r="DM6" s="44" t="str" cm="1">
        <f t="array" ref="DM6">IF(CG6=3,CHAR(34) &amp; _xlfn.TEXTJOIN("", TRUE, RIGHT(HP6:HX6, 2)) &amp; CHAR(34) &amp; ",", "")</f>
        <v/>
      </c>
      <c r="DN6" s="44" t="str">
        <f>IF(AND(ISNUMBER(SEARCH("18", O6)), ISERROR(SEARCH("1918", O6)), ISERROR(SEARCH("2018", O6))), CHAR(34) &amp; "year18" &amp; CHAR(34) &amp; ",", "")</f>
        <v>"year18",</v>
      </c>
      <c r="DO6" s="44" t="str">
        <f>IF(AND(ISNUMBER(SEARCH("19", O6)), ISERROR(SEARCH("1819", O6)),  ISERROR(SEARCH("1219", O6)),ISERROR(SEARCH("1119", O6)),ISERROR(SEARCH("1190", O6)),ISERROR(SEARCH("2019", O6))), CHAR(34) &amp; "year19" &amp; CHAR(34) &amp; ",", "")</f>
        <v/>
      </c>
      <c r="DP6" s="5" t="str">
        <f>IF(AND(ISNUMBER(SEARCH("20", O6)), ISERROR(SEARCH("1920", O6))), CHAR(34)&amp;"year00"&amp;CHAR(34)&amp;",", "")</f>
        <v/>
      </c>
      <c r="DQ6" s="5" t="str">
        <f>IF(CC6="y",CHAR(34)&amp;"soviet"&amp;CHAR(34)&amp;",","")</f>
        <v/>
      </c>
      <c r="DR6" s="5" t="str">
        <f>IF(BY6="y",CHAR(34)&amp;"dgband"&amp;CHAR(34)&amp;",","")</f>
        <v/>
      </c>
      <c r="DS6" s="5" t="str">
        <f>IF(W6="y",IF(AND(V6="n",BY6&lt;&gt;"y"),CHAR(34)&amp;"allver"&amp;CHAR(34)&amp;",",""),"")</f>
        <v/>
      </c>
      <c r="DT6" s="5" t="str">
        <f>IF(V6="y",IF(AND(W6="n",BY6&lt;&gt;"y"),CHAR(34)&amp;"allhor"&amp;CHAR(34)&amp;",",""),"")</f>
        <v/>
      </c>
      <c r="DU6" s="5" t="str">
        <f>IF(BY6="y",IF(AND(W6="n",V6="n"),CHAR(34)&amp;"alldia"&amp;CHAR(34)&amp;",",""),"")</f>
        <v/>
      </c>
      <c r="DW6" s="44" t="str">
        <f t="shared" si="1"/>
        <v/>
      </c>
      <c r="DX6" s="44" t="str">
        <f t="shared" si="1"/>
        <v>"2Bands",</v>
      </c>
      <c r="DY6" s="44" t="str">
        <f t="shared" si="1"/>
        <v/>
      </c>
      <c r="DZ6" s="44" t="str">
        <f t="shared" si="1"/>
        <v/>
      </c>
      <c r="EA6" s="44" t="str">
        <f t="shared" si="2"/>
        <v/>
      </c>
      <c r="EB6" s="44" t="str">
        <f t="shared" si="2"/>
        <v>"Crosse",</v>
      </c>
      <c r="EC6" s="44" t="str">
        <f t="shared" si="2"/>
        <v>"Horizo",</v>
      </c>
      <c r="ED6" s="44" t="str">
        <f t="shared" si="2"/>
        <v>"Vertic",</v>
      </c>
      <c r="EE6" s="44" t="str">
        <f t="shared" si="2"/>
        <v>"Circle",</v>
      </c>
      <c r="EF6" s="44" t="str">
        <f>IF(AND(Y6&lt;&gt;"n",Y6&lt;&gt;""),CHAR(34)&amp;Y$1&amp;CHAR(34)&amp;",","")</f>
        <v>"Animal",</v>
      </c>
      <c r="EG6" s="44" t="str">
        <f t="shared" si="3"/>
        <v>"Bird",</v>
      </c>
      <c r="EH6" s="44" t="str">
        <f t="shared" si="3"/>
        <v>"Plants",</v>
      </c>
      <c r="EI6" s="44" t="str">
        <f t="shared" si="3"/>
        <v/>
      </c>
      <c r="EJ6" s="44" t="str">
        <f t="shared" si="3"/>
        <v/>
      </c>
      <c r="EK6" s="44" t="str">
        <f t="shared" si="3"/>
        <v/>
      </c>
      <c r="EL6" s="44" t="str">
        <f t="shared" si="3"/>
        <v/>
      </c>
      <c r="EM6" s="44" t="str">
        <f t="shared" si="3"/>
        <v/>
      </c>
      <c r="EN6" s="44" t="str">
        <f t="shared" si="3"/>
        <v>"Unequa",</v>
      </c>
      <c r="EO6" s="44" t="str">
        <f t="shared" si="3"/>
        <v>"Center",</v>
      </c>
      <c r="EP6" s="44" t="str">
        <f t="shared" si="3"/>
        <v/>
      </c>
      <c r="EQ6" s="44" t="str">
        <f t="shared" si="4"/>
        <v/>
      </c>
      <c r="ER6" s="44" t="str">
        <f t="shared" si="4"/>
        <v/>
      </c>
      <c r="ES6" s="44" t="str">
        <f t="shared" si="4"/>
        <v/>
      </c>
      <c r="ET6" s="44" t="str">
        <f t="shared" si="4"/>
        <v/>
      </c>
      <c r="EU6" s="44" t="str">
        <f t="shared" si="4"/>
        <v/>
      </c>
      <c r="EV6" s="44" t="str">
        <f t="shared" si="4"/>
        <v/>
      </c>
      <c r="EW6" s="44" t="str">
        <f t="shared" si="4"/>
        <v/>
      </c>
      <c r="EX6" s="44" t="str">
        <f t="shared" si="4"/>
        <v>"Crowns",</v>
      </c>
      <c r="EY6" s="44" t="str">
        <f t="shared" si="4"/>
        <v/>
      </c>
      <c r="EZ6" s="44" t="str">
        <f t="shared" si="4"/>
        <v/>
      </c>
      <c r="FA6" s="44" t="str">
        <f>IF(AT6&gt;0,CHAR(34)&amp;"sta"&amp;AZ6&amp;CHAR(34)&amp;",","")</f>
        <v/>
      </c>
      <c r="FB6" s="44" t="str">
        <f>IF(AND(AT6&gt;0,BA6&lt;&gt;""),CHAR(34)&amp;"sta"&amp;BA6&amp;CHAR(34)&amp;",","")</f>
        <v/>
      </c>
      <c r="FD6" s="44" t="str">
        <f>IF(BV6="n",CHAR(34)&amp;"tcWHYE"&amp;CHAR(34)&amp;",",IF(BV6="y",CHAR(34)&amp;FD$1&amp;CHAR(34)&amp;",",""))</f>
        <v/>
      </c>
      <c r="FE6" s="44" t="str">
        <f>IF(COUNTIF(BL6:BT6,"BLU")=0,CHAR(34)&amp;"NO_BLU"&amp;CHAR(34)&amp;",", "")</f>
        <v/>
      </c>
      <c r="FF6" s="44" t="str">
        <f>IF(COUNTIF(BL6:BT6,"WHI")=0,CHAR(34)&amp;"NO_WHI"&amp;CHAR(34)&amp;",", "")</f>
        <v/>
      </c>
      <c r="FG6" s="44" t="str">
        <f>IF(COUNTIF(BL6:BT6,"RED")=0,CHAR(34)&amp;"NO_RED"&amp;CHAR(34)&amp;",", "")</f>
        <v/>
      </c>
      <c r="FH6" s="44" t="str">
        <f>IF(COUNTIF(BL6:BS6,"GRE")=0,CHAR(34)&amp;"NO_GRE"&amp;CHAR(34)&amp;",", "")</f>
        <v/>
      </c>
      <c r="FI6" s="44" t="str">
        <f>IF(COUNTIF(BL6:BT6,"YEL")=0,CHAR(34)&amp;"NO_YEL"&amp;CHAR(34)&amp;",", "")</f>
        <v/>
      </c>
      <c r="FJ6" s="44" t="str">
        <f>IF(COUNTIF(BL6:BT6,"BLA")=0,CHAR(34)&amp;"NO_BLA"&amp;CHAR(34)&amp;",", "")</f>
        <v/>
      </c>
      <c r="FK6" s="44" t="str">
        <f>IF(AND(FH6&lt;&gt;"",FF6&lt;&gt;""),CHAR(34)&amp;"WHGRNO"&amp;CHAR(34)&amp;",","")</f>
        <v/>
      </c>
      <c r="FL6" s="44" t="str">
        <f>IF(AND(FI6&lt;&gt;"",FF6&lt;&gt;""),CHAR(34)&amp;"WHYENO"&amp;CHAR(34)&amp;",","")</f>
        <v/>
      </c>
      <c r="FM6" s="44" t="str">
        <f>IF(AND(FJ6&lt;&gt;"",FF6&lt;&gt;""),CHAR(34)&amp;"BAWHNO"&amp;CHAR(34)&amp;",","")</f>
        <v/>
      </c>
      <c r="FN6" s="44" t="str">
        <f>IF(AND(FE6&lt;&gt;"",FF6&lt;&gt;""),CHAR(34)&amp;"BLWHNO"&amp;CHAR(34)&amp;",","")</f>
        <v/>
      </c>
      <c r="FO6" s="44" t="str">
        <f>IF(AND(FE6&lt;&gt;"",FG6&lt;&gt;""),CHAR(34)&amp;"BLRENO"&amp;CHAR(34)&amp;",","")</f>
        <v/>
      </c>
      <c r="FP6" s="44" t="str">
        <f>IF(AND(FF6&lt;&gt;"",FF6&lt;&gt;""),CHAR(34)&amp;"WHRENO"&amp;CHAR(34)&amp;",","")</f>
        <v/>
      </c>
      <c r="FQ6" s="44" t="str">
        <f>IF(LEN(BF6)=3,CHAR(34)&amp;"001"&amp;BF6&amp;CHAR(34)&amp;",","")</f>
        <v>"001WHI",</v>
      </c>
      <c r="FR6" s="44" t="str">
        <f>IF(LEN(BG6)=3,CHAR(34)&amp;"002"&amp;BG6&amp;CHAR(34)&amp;",","")</f>
        <v/>
      </c>
      <c r="FS6" s="44" t="str">
        <f>IF(LEN(BH6)=3,CHAR(34)&amp;"003"&amp;BH6&amp;CHAR(34)&amp;",","")</f>
        <v>"003BLU",</v>
      </c>
      <c r="FT6" s="44" t="str">
        <f>CHAR(34)&amp;"myr"&amp;BD6&amp;CHAR(34)&amp;","</f>
        <v>"myrWHI",</v>
      </c>
      <c r="FU6" s="44" t="str">
        <f>IF(AY6="y",CHAR(34)&amp;"island"&amp;CHAR(34)&amp;",","")</f>
        <v/>
      </c>
      <c r="FV6" s="44" t="str">
        <f>IF(BZ6="y",CHAR(34)&amp;"landlo"&amp;CHAR(34)&amp;",","")</f>
        <v/>
      </c>
      <c r="FW6" s="44" t="str">
        <f>IF(CA6="y",CHAR(34)&amp;"eunion"&amp;CHAR(34)&amp;",","")</f>
        <v/>
      </c>
      <c r="FY6" s="44" t="str">
        <f>IFERROR(IF(SEARCH("Arabic",CB6)&gt;0,CHAR(34)&amp;"arabic"&amp;CHAR(34)&amp;",",""),"")</f>
        <v/>
      </c>
      <c r="FZ6" s="44" t="str">
        <f>IFERROR(IF(SEARCH("English",CB6)&gt;0,CHAR(34)&amp;"englis"&amp;CHAR(34)&amp;",",""),"")</f>
        <v/>
      </c>
      <c r="GA6" s="44" t="str">
        <f>IFERROR(IF(SEARCH("French",CB6)&gt;0,CHAR(34)&amp;"french"&amp;CHAR(34)&amp;",",""),"")</f>
        <v/>
      </c>
      <c r="GB6" s="44" t="str">
        <f>IFERROR(IF(SEARCH("Spanish",CB6)&gt;0,CHAR(34)&amp;"spanis"&amp;CHAR(34)&amp;",",""),"")</f>
        <v/>
      </c>
      <c r="GE6" s="44" t="str">
        <f>IFERROR(IF(SEARCH("Dutch",CB6)&gt;0,CHAR(34)&amp;"dutchs"&amp;CHAR(34)&amp;",",""),"")</f>
        <v/>
      </c>
      <c r="GF6" s="44" t="str">
        <f>IFERROR(IF(SEARCH("Historical",AU6)&gt;0,CHAR(34)&amp;"histor"&amp;CHAR(34)&amp;",",""),"")</f>
        <v>"histor",</v>
      </c>
      <c r="GG6" s="44" t="str">
        <f>IF(BU6="y",CHAR(34)&amp;"unjack"&amp;CHAR(34)&amp;",","")</f>
        <v/>
      </c>
      <c r="GH6" s="44" t="str">
        <f>IF(CD6=1,CHAR(34)&amp;"southc"&amp;CHAR(34)&amp;",","")</f>
        <v/>
      </c>
      <c r="GI6" s="44" t="str">
        <f>IF(CE6=1,CHAR(34)&amp;"hasmap"&amp;CHAR(34)&amp;",","")</f>
        <v/>
      </c>
      <c r="GJ6" s="44" t="str">
        <f>IF(CP6="y",CHAR(34)&amp;CP$1&amp;CHAR(34)&amp;",","")</f>
        <v>"NoStar",</v>
      </c>
      <c r="GK6" s="44" t="str">
        <f>IF(GJ6="",CHAR(34)&amp;"HasSta"&amp;CHAR(34)&amp;",","")</f>
        <v/>
      </c>
      <c r="GL6" s="44" t="str">
        <f t="shared" si="5"/>
        <v/>
      </c>
      <c r="GM6" s="44" t="str">
        <f t="shared" si="5"/>
        <v/>
      </c>
      <c r="GN6" s="44" t="str">
        <f t="shared" si="5"/>
        <v/>
      </c>
      <c r="GP6" s="44" t="str">
        <f>CHAR(34)&amp;AU6&amp;CHAR(34)</f>
        <v>"Historical"</v>
      </c>
      <c r="GS6" s="44" t="str">
        <f>SUBSTITUTE("["&amp;_xlfn.CONCAT(CW6:GN6)&amp;"]",",]","]")</f>
        <v>["5+Colo","words2","words3","lets19","startK","year18","2Bands","Crosse","Horizo","Vertic","Circle","Animal","Bird","Plants","Unequa","Center","Crowns","001WHI","003BLU","myrWHI","histor","NoStar"]</v>
      </c>
      <c r="GT6" s="44" t="str">
        <f t="shared" si="6"/>
        <v>"cl_BLA",</v>
      </c>
      <c r="GU6" s="44" t="str">
        <f t="shared" si="6"/>
        <v>"cl_BLU",</v>
      </c>
      <c r="GV6" s="44" t="str">
        <f t="shared" si="6"/>
        <v>"cl_GRE",</v>
      </c>
      <c r="GW6" s="44" t="str">
        <f t="shared" si="6"/>
        <v>"cl_RED",</v>
      </c>
      <c r="GX6" s="44" t="str">
        <f t="shared" si="6"/>
        <v>"cl_YEL",</v>
      </c>
      <c r="GY6" s="44" t="str">
        <f t="shared" si="6"/>
        <v/>
      </c>
      <c r="GZ6" s="44" t="str">
        <f t="shared" si="6"/>
        <v/>
      </c>
      <c r="HA6" s="44" t="str">
        <f t="shared" si="6"/>
        <v/>
      </c>
      <c r="HB6" s="44" t="str">
        <f t="shared" si="6"/>
        <v>"cl_WHI",</v>
      </c>
      <c r="HC6" s="44" t="str">
        <f>SUBSTITUTE("["&amp;_xlfn.CONCAT(GT6:HB6)&amp;"]",",]","]")</f>
        <v>["cl_BLA","cl_BLU","cl_GRE","cl_RED","cl_YEL","cl_WHI"]</v>
      </c>
      <c r="HE6" s="64"/>
      <c r="HF6" s="65" t="str">
        <f>"{couname:"&amp;CT6&amp;(IF(HK6&lt;&gt;"",",subtype:"&amp;CHAR(34)&amp;HK6&amp;CHAR(34),""))&amp;",year:"&amp;HJ6&amp;",region:"&amp;CU6&amp;",Colors:"&amp;HC6&amp;",Items:"&amp;GS6&amp;",Flag:"&amp;CV6&amp;",HDFlag:"&amp;CHAR(34)&amp;E6&amp;CHAR(34)&amp;",type:"&amp;GP6&amp;", describe: "&amp;HH6&amp;", isnew:"&amp;CHAR(34)&amp;F6&amp;CHAR(34)&amp;", links: "&amp;HL6&amp;"},"</f>
        <v>{couname:"[FJI] Kingdom of Fiji (1871)",year:"1871",region:"rgn_Oceania",Colors:["cl_BLA","cl_BLU","cl_GRE","cl_RED","cl_YEL","cl_WHI"],Items:["5+Colo","words2","words3","lets19","startK","year18","2Bands","Crosse","Horizo","Vertic","Circle","Animal","Bird","Plants","Unequa","Center","Crowns","001WHI","003BLU","myrWHI","histor","NoStar"],Flag:"https://upload.wikimedia.org/wikipedia/commons/thumb/5/5a/Flag_of_the_Kingdom_of_Fiji_%281871-1874%29.svg/640px-Flag_of_the_Kingdom_of_Fiji_%281871-1874%29.svg.png",HDFlag:"https://upload.wikimedia.org/wikipedia/commons/thumb/5/5a/Flag_of_the_Kingdom_of_Fiji_%281871-1874%29.svg/1280px-Flag_of_the_Kingdom_of_Fiji_%281871-1874%29.svg.png",type:"Historical", describe: "\nA blue and white vertical bicolor with a shield in the center containing a dove holding a branch inside as well as a crown above the shield.", isnew:".", links: "https://en.m.wikipedia.org/wiki/Kingdom_of_Fiji"},</v>
      </c>
      <c r="HG6" s="66" t="str">
        <f>"{couname:"&amp;CT6&amp;(IF(HK6&lt;&gt;"",",subtype:"&amp;CHAR(34)&amp;HK6&amp;CHAR(34),""))&amp;",year:"&amp;HJ6&amp;",region:"&amp;CU6&amp;",Colors:"&amp;HC6&amp;",Items:"&amp;GS6&amp;",Flag:"&amp;CV6&amp;",HDFlag:"&amp;CHAR(34)&amp;E6&amp;CHAR(34)&amp;",type:"&amp;GP6&amp;", describe: "&amp;HI6&amp;", links: "&amp;HL6&amp;"},"</f>
        <v>{couname:"[FJI] Kingdom of Fiji (1871)",year:"1871",region:"rgn_Oceania",Colors:["cl_BLA","cl_BLU","cl_GRE","cl_RED","cl_YEL","cl_WHI"],Items:["5+Colo","words2","words3","lets19","startK","year18","2Bands","Crosse","Horizo","Vertic","Circle","Animal","Bird","Plants","Unequa","Center","Crowns","001WHI","003BLU","myrWHI","histor","NoStar"],Flag:"https://upload.wikimedia.org/wikipedia/commons/thumb/5/5a/Flag_of_the_Kingdom_of_Fiji_%281871-1874%29.svg/640px-Flag_of_the_Kingdom_of_Fiji_%281871-1874%29.svg.png",HDFlag:"https://upload.wikimedia.org/wikipedia/commons/thumb/5/5a/Flag_of_the_Kingdom_of_Fiji_%281871-1874%29.svg/1280px-Flag_of_the_Kingdom_of_Fiji_%281871-1874%29.svg.png",type:"Historical", describe: "\nA blue and white vertical bicolor with a shield in the center containing a dove holding a branch inside as well as a crown above the shield.", links: "https://en.m.wikipedia.org/wiki/Kingdom_of_Fiji"},</v>
      </c>
      <c r="HH6" s="44" t="str">
        <f>IF(P6&lt;&gt;"",CHAR(34)&amp;"\n"&amp;P6&amp;CHAR(34),CHAR(34)&amp;CHAR(34))</f>
        <v>"\nA blue and white vertical bicolor with a shield in the center containing a dove holding a branch inside as well as a crown above the shield."</v>
      </c>
      <c r="HI6" s="44" t="str">
        <f>IF(J6=0,CHAR(34)&amp;CHAR(34),HH6)</f>
        <v>"\nA blue and white vertical bicolor with a shield in the center containing a dove holding a branch inside as well as a crown above the shield."</v>
      </c>
      <c r="HJ6" s="44" t="str">
        <f>CHAR(34)&amp;O6&amp;CHAR(34)</f>
        <v>"1871"</v>
      </c>
      <c r="HL6" s="44" t="str">
        <f>CHAR(34)&amp;I6&amp;CHAR(34)</f>
        <v>"https://en.m.wikipedia.org/wiki/Kingdom_of_Fiji"</v>
      </c>
      <c r="HM6" s="65" t="str">
        <f>"{"&amp;CHAR(34)&amp;"couname"&amp;CHAR(34)&amp;":"&amp;CT6&amp;(IF(H6&lt;&gt;"",","&amp;CHAR(34)&amp;"subtype"&amp;CHAR(34)&amp;":"&amp;CHAR(34)&amp;H6&amp;CHAR(34),""))&amp;","&amp;CHAR(34)&amp;"year"&amp;CHAR(34)&amp;":"&amp;HJ6&amp;","&amp;CHAR(34)&amp;"region"&amp;CHAR(34)&amp;":"&amp;CU6&amp;","&amp;CHAR(34)&amp;"Colors"&amp;CHAR(34)&amp;":"&amp;HC6&amp;","&amp;CHAR(34)&amp;"Items"&amp;CHAR(34)&amp;":"&amp;GS6&amp;","&amp;CHAR(34)&amp;"Flag"&amp;CHAR(34)&amp;":"&amp;CV6&amp;","&amp;CHAR(34)&amp;"HDFlag"&amp;CHAR(34)&amp;":"&amp;CHAR(34)&amp;E6&amp;CHAR(34)&amp;","&amp;CHAR(34)&amp;"type"&amp;CHAR(34)&amp;":"&amp;GP6&amp;", "&amp;CHAR(34)&amp;"describe"&amp;CHAR(34)&amp;": "&amp;HH6&amp;", "&amp;CHAR(34)&amp;"isnew"&amp;CHAR(34)&amp;": "&amp;CHAR(34)&amp;F6&amp;CHAR(34)&amp;", "&amp;CHAR(34)&amp;"links"&amp;CHAR(34)&amp;": "&amp;HL6&amp;"},"</f>
        <v>{"couname":"[FJI] Kingdom of Fiji (1871)","subtype":"[FJI] Other","year":"1871","region":"rgn_Oceania","Colors":["cl_BLA","cl_BLU","cl_GRE","cl_RED","cl_YEL","cl_WHI"],"Items":["5+Colo","words2","words3","lets19","startK","year18","2Bands","Crosse","Horizo","Vertic","Circle","Animal","Bird","Plants","Unequa","Center","Crowns","001WHI","003BLU","myrWHI","histor","NoStar"],"Flag":"https://upload.wikimedia.org/wikipedia/commons/thumb/5/5a/Flag_of_the_Kingdom_of_Fiji_%281871-1874%29.svg/640px-Flag_of_the_Kingdom_of_Fiji_%281871-1874%29.svg.png","HDFlag":"https://upload.wikimedia.org/wikipedia/commons/thumb/5/5a/Flag_of_the_Kingdom_of_Fiji_%281871-1874%29.svg/1280px-Flag_of_the_Kingdom_of_Fiji_%281871-1874%29.svg.png","type":"Historical", "describe": "\nA blue and white vertical bicolor with a shield in the center containing a dove holding a branch inside as well as a crown above the shield.", "isnew": ".", "links": "https://en.m.wikipedia.org/wiki/Kingdom_of_Fiji"},</v>
      </c>
      <c r="HN6" s="67" t="str">
        <f>"{"&amp;CHAR(34)&amp;"couname"&amp;CHAR(34)&amp;":"&amp;CT6&amp;(IF(H6&lt;&gt;"",","&amp;CHAR(34)&amp;"subtype"&amp;CHAR(34)&amp;":"&amp;CHAR(34)&amp;H6&amp;CHAR(34),""))&amp;","&amp;CHAR(34)&amp;"year"&amp;CHAR(34)&amp;":"&amp;HJ6&amp;","&amp;CHAR(34)&amp;"region"&amp;CHAR(34)&amp;":"&amp;CU6&amp;","&amp;CHAR(34)&amp;"Colors"&amp;CHAR(34)&amp;":"&amp;HC6&amp;","&amp;CHAR(34)&amp;"Items"&amp;CHAR(34)&amp;":"&amp;GS6&amp;","&amp;CHAR(34)&amp;"Flag"&amp;CHAR(34)&amp;":"&amp;CV6&amp;","&amp;CHAR(34)&amp;"HDFlag"&amp;CHAR(34)&amp;":"&amp;CHAR(34)&amp;E6&amp;CHAR(34)&amp;","&amp;CHAR(34)&amp;"type"&amp;CHAR(34)&amp;":"&amp;GP6&amp;", "&amp;CHAR(34)&amp;"describe"&amp;CHAR(34)&amp;": "&amp;HI6&amp;", "&amp;CHAR(34)&amp;"isnew"&amp;CHAR(34)&amp;": "&amp;CHAR(34)&amp;F6&amp;CHAR(34)&amp;", "&amp;CHAR(34)&amp;"links"&amp;CHAR(34)&amp;": "&amp;HL6&amp;"},"</f>
        <v>{"couname":"[FJI] Kingdom of Fiji (1871)","subtype":"[FJI] Other","year":"1871","region":"rgn_Oceania","Colors":["cl_BLA","cl_BLU","cl_GRE","cl_RED","cl_YEL","cl_WHI"],"Items":["5+Colo","words2","words3","lets19","startK","year18","2Bands","Crosse","Horizo","Vertic","Circle","Animal","Bird","Plants","Unequa","Center","Crowns","001WHI","003BLU","myrWHI","histor","NoStar"],"Flag":"https://upload.wikimedia.org/wikipedia/commons/thumb/5/5a/Flag_of_the_Kingdom_of_Fiji_%281871-1874%29.svg/640px-Flag_of_the_Kingdom_of_Fiji_%281871-1874%29.svg.png","HDFlag":"https://upload.wikimedia.org/wikipedia/commons/thumb/5/5a/Flag_of_the_Kingdom_of_Fiji_%281871-1874%29.svg/1280px-Flag_of_the_Kingdom_of_Fiji_%281871-1874%29.svg.png","type":"Historical", "describe": "\nA blue and white vertical bicolor with a shield in the center containing a dove holding a branch inside as well as a crown above the shield.", "isnew": ".", "links": "https://en.m.wikipedia.org/wiki/Kingdom_of_Fiji"},</v>
      </c>
      <c r="HO6" s="71">
        <v>45596</v>
      </c>
      <c r="HP6" s="44" t="str" cm="1">
        <f t="array" ref="HP6">IF(_xlfn.TEXTJOIN(", ", TRUE, IF(ISNUMBER(SEARCH("BLA", BL6:BT6)), COLUMN(BL6:BT6) - COLUMN(BL6) + 1, ""))&lt;&gt;"","BLA","")</f>
        <v>BLA</v>
      </c>
      <c r="HQ6" s="44" t="str" cm="1">
        <f t="array" ref="HQ6">IF(_xlfn.TEXTJOIN(", ", TRUE, IF(ISNUMBER(SEARCH("BLU", BL6:BT6)), COLUMN(BL6:BT6) - COLUMN(BL6) + 1, ""))&lt;&gt;"","BLU","")</f>
        <v>BLU</v>
      </c>
      <c r="HR6" s="44" t="str" cm="1">
        <f t="array" ref="HR6">IF(_xlfn.TEXTJOIN(", ", TRUE, IF(ISNUMBER(SEARCH("GRE", BL6:BT6)), COLUMN(BL6:BT6) - COLUMN(BL6) + 1, ""))&lt;&gt;"","GRE","")</f>
        <v>GRE</v>
      </c>
      <c r="HS6" s="44" t="str" cm="1">
        <f t="array" ref="HS6">IF(_xlfn.TEXTJOIN(", ", TRUE, IF(ISNUMBER(SEARCH("RED", BL6:BT6)), COLUMN(BL6:BT6) - COLUMN(BL6) + 1, ""))&lt;&gt;"","RED","")</f>
        <v>RED</v>
      </c>
      <c r="HT6" s="44" t="str" cm="1">
        <f t="array" ref="HT6">IF(_xlfn.TEXTJOIN(", ", TRUE, IF(ISNUMBER(SEARCH("YEL", BL6:BT6)), COLUMN(BL6:BT6) - COLUMN(BL6) + 1, ""))&lt;&gt;"","YEL","")</f>
        <v>YEL</v>
      </c>
      <c r="HU6" s="44" t="str" cm="1">
        <f t="array" ref="HU6">IF(_xlfn.TEXTJOIN(", ", TRUE, IF(ISNUMBER(SEARCH("ORA", BL6:BT6)), COLUMN(BL6:BT6) - COLUMN(BL6) + 1, ""))&lt;&gt;"","ORA","")</f>
        <v/>
      </c>
      <c r="HV6" s="44" t="str" cm="1">
        <f t="array" ref="HV6">IF(_xlfn.TEXTJOIN(", ", TRUE, IF(ISNUMBER(SEARCH("BRO", BL6:BT6)), COLUMN(BL6:BT6) - COLUMN(BL6) + 1, ""))&lt;&gt;"","BRO","")</f>
        <v/>
      </c>
      <c r="HW6" s="44" t="str" cm="1">
        <f t="array" ref="HW6">IF(_xlfn.TEXTJOIN(", ", TRUE, IF(ISNUMBER(SEARCH("PUR", BL6:BT6)), COLUMN(BL6:BT6) - COLUMN(BL6) + 1, ""))&lt;&gt;"","PUR","")</f>
        <v/>
      </c>
      <c r="HX6" s="44" t="str" cm="1">
        <f t="array" ref="HX6">IF(_xlfn.TEXTJOIN(", ", TRUE, IF(ISNUMBER(SEARCH("WHI", BL6:BT6)), COLUMN(BL6:BT6) - COLUMN(BL6) + 1, ""))&lt;&gt;"","WHI","")</f>
        <v>WHI</v>
      </c>
      <c r="HY6" s="72"/>
      <c r="HZ6" s="72"/>
      <c r="IA6" s="5"/>
      <c r="IB6" s="5"/>
      <c r="IC6" s="68"/>
      <c r="ID6" s="68"/>
      <c r="IE6" s="68"/>
      <c r="IF6" s="68"/>
      <c r="IG6" s="68"/>
      <c r="IH6" s="68"/>
      <c r="II6" s="68"/>
      <c r="IJ6" s="68"/>
      <c r="IK6" s="68"/>
      <c r="IM6" s="42">
        <f>COUNTIF(IC6:IK6,"&gt;0")-CG6</f>
        <v>-6</v>
      </c>
      <c r="IN6" s="69" t="str">
        <f>"http://mkweb.bcgsc.ca/color-summarizer/?url="&amp;D6&amp;"&amp;precision=low&amp;num_clusters="&amp;CG6&amp;"&amp;text=1"</f>
        <v>http://mkweb.bcgsc.ca/color-summarizer/?url=https://upload.wikimedia.org/wikipedia/commons/thumb/5/5a/Flag_of_the_Kingdom_of_Fiji_%281871-1874%29.svg/640px-Flag_of_the_Kingdom_of_Fiji_%281871-1874%29.svg.png&amp;precision=low&amp;num_clusters=6&amp;text=1</v>
      </c>
      <c r="IO6" s="44" t="str">
        <f>IF(HP6&lt;&gt;"",CHAR(34)&amp;"black"&amp;CHAR(34),"")</f>
        <v>"black"</v>
      </c>
      <c r="IP6" s="44" t="str">
        <f>IF(HQ6&lt;&gt;"",CHAR(34)&amp;"blue"&amp;CHAR(34),"")</f>
        <v>"blue"</v>
      </c>
      <c r="IQ6" s="44" t="str">
        <f>IF(HR6&lt;&gt;"",CHAR(34)&amp;"green"&amp;CHAR(34),"")</f>
        <v>"green"</v>
      </c>
      <c r="IR6" s="44" t="str">
        <f>IF(HS6&lt;&gt;"",CHAR(34)&amp;"red"&amp;CHAR(34),"")</f>
        <v>"red"</v>
      </c>
      <c r="IS6" s="44" t="str">
        <f>IF(HT6&lt;&gt;"",CHAR(34)&amp;"yellow"&amp;CHAR(34),"")</f>
        <v>"yellow"</v>
      </c>
      <c r="IT6" s="44" t="str">
        <f>IF(HU6&lt;&gt;"",CHAR(34)&amp;"orange"&amp;CHAR(34),"")</f>
        <v/>
      </c>
      <c r="IU6" s="44" t="str">
        <f>IF(HV6&lt;&gt;"",CHAR(34)&amp;"brown"&amp;CHAR(34),"")</f>
        <v/>
      </c>
      <c r="IV6" s="44" t="str">
        <f>IF(HW6&lt;&gt;"",CHAR(34)&amp;"purple"&amp;CHAR(34),"")</f>
        <v/>
      </c>
      <c r="IW6" s="44" t="str">
        <f>IF(HX6&lt;&gt;"",CHAR(34)&amp;"white"&amp;CHAR(34),"")</f>
        <v>"white"</v>
      </c>
      <c r="IX6" s="44" t="str">
        <f>"{"&amp;CHAR(34)&amp;"url"&amp;CHAR(34)&amp;":"&amp;CHAR(34)&amp;IN6&amp;CHAR(34)&amp;","&amp;CHAR(34)&amp;"name"&amp;CHAR(34)&amp;":"&amp;CHAR(34)&amp;A6&amp;CHAR(34)&amp;"},"</f>
        <v>{"url":"http://mkweb.bcgsc.ca/color-summarizer/?url=https://upload.wikimedia.org/wikipedia/commons/thumb/5/5a/Flag_of_the_Kingdom_of_Fiji_%281871-1874%29.svg/640px-Flag_of_the_Kingdom_of_Fiji_%281871-1874%29.svg.png&amp;precision=low&amp;num_clusters=6&amp;text=1","name":"[FJI] Kingdom of Fiji (1871)"},</v>
      </c>
      <c r="IY6" s="44">
        <v>1292</v>
      </c>
    </row>
  </sheetData>
  <autoFilter ref="A1:IY6" xr:uid="{A1051193-A95B-4CFB-A73C-F0184620C81F}">
    <sortState xmlns:xlrd2="http://schemas.microsoft.com/office/spreadsheetml/2017/richdata2" ref="A2:IY6">
      <sortCondition ref="AW1:AW6"/>
    </sortState>
  </autoFilter>
  <conditionalFormatting sqref="H1 CW1:GS1 IA1:IB1">
    <cfRule type="cellIs" dxfId="1564" priority="66" operator="greaterThan">
      <formula>0</formula>
    </cfRule>
  </conditionalFormatting>
  <conditionalFormatting sqref="H1:H1048576">
    <cfRule type="cellIs" dxfId="1563" priority="6" stopIfTrue="1" operator="notEqual">
      <formula>""</formula>
    </cfRule>
  </conditionalFormatting>
  <conditionalFormatting sqref="R2:R6 CU2:CU6">
    <cfRule type="cellIs" dxfId="1562" priority="8" operator="greaterThan">
      <formula>0</formula>
    </cfRule>
  </conditionalFormatting>
  <conditionalFormatting sqref="T2:AS6 CH2:CS6">
    <cfRule type="cellIs" dxfId="1561" priority="3" stopIfTrue="1" operator="equal">
      <formula>"n"</formula>
    </cfRule>
    <cfRule type="cellIs" dxfId="1560" priority="4" stopIfTrue="1" operator="equal">
      <formula>"y"</formula>
    </cfRule>
    <cfRule type="cellIs" dxfId="1559" priority="5" operator="greaterThan">
      <formula>0</formula>
    </cfRule>
  </conditionalFormatting>
  <conditionalFormatting sqref="T1:BK1">
    <cfRule type="cellIs" dxfId="1558" priority="69" operator="greaterThan">
      <formula>0</formula>
    </cfRule>
  </conditionalFormatting>
  <conditionalFormatting sqref="AZ2:BB6">
    <cfRule type="expression" dxfId="1557" priority="2">
      <formula>$AT2=0</formula>
    </cfRule>
  </conditionalFormatting>
  <conditionalFormatting sqref="AZ2:BU6">
    <cfRule type="cellIs" dxfId="1556" priority="44" operator="equal">
      <formula>"PIN"</formula>
    </cfRule>
    <cfRule type="cellIs" dxfId="1555" priority="45" operator="equal">
      <formula>"ORA"</formula>
    </cfRule>
    <cfRule type="cellIs" dxfId="1554" priority="46" operator="equal">
      <formula>"GRA"</formula>
    </cfRule>
    <cfRule type="cellIs" dxfId="1553" priority="47" operator="equal">
      <formula>"PUR"</formula>
    </cfRule>
    <cfRule type="cellIs" dxfId="1552" priority="48" operator="equal">
      <formula>"BRO"</formula>
    </cfRule>
    <cfRule type="cellIs" dxfId="1551" priority="49" operator="equal">
      <formula>"YEL"</formula>
    </cfRule>
    <cfRule type="cellIs" dxfId="1550" priority="50" operator="equal">
      <formula>"BLU"</formula>
    </cfRule>
    <cfRule type="cellIs" dxfId="1549" priority="51" operator="equal">
      <formula>"WHI"</formula>
    </cfRule>
    <cfRule type="cellIs" dxfId="1548" priority="52" operator="equal">
      <formula>"GRE"</formula>
    </cfRule>
    <cfRule type="cellIs" dxfId="1547" priority="53" operator="equal">
      <formula>"RED"</formula>
    </cfRule>
    <cfRule type="cellIs" dxfId="1546" priority="54" operator="equal">
      <formula>"BLA"</formula>
    </cfRule>
  </conditionalFormatting>
  <conditionalFormatting sqref="BV1:BW1 BV2:BV5 BV6:BW1048576">
    <cfRule type="cellIs" dxfId="1545" priority="68" operator="equal">
      <formula>"nc"</formula>
    </cfRule>
  </conditionalFormatting>
  <conditionalFormatting sqref="BX2:CA6 CD2:CF6">
    <cfRule type="cellIs" dxfId="1544" priority="7" operator="equal">
      <formula>"y"</formula>
    </cfRule>
    <cfRule type="cellIs" dxfId="1543" priority="55" operator="equal">
      <formula>"PIN"</formula>
    </cfRule>
    <cfRule type="cellIs" dxfId="1542" priority="56" operator="equal">
      <formula>"ORA"</formula>
    </cfRule>
    <cfRule type="cellIs" dxfId="1541" priority="57" operator="equal">
      <formula>"GRA"</formula>
    </cfRule>
    <cfRule type="cellIs" dxfId="1540" priority="58" operator="equal">
      <formula>"PUR"</formula>
    </cfRule>
    <cfRule type="cellIs" dxfId="1539" priority="59" operator="equal">
      <formula>"BRO"</formula>
    </cfRule>
    <cfRule type="cellIs" dxfId="1538" priority="60" operator="equal">
      <formula>"YEL"</formula>
    </cfRule>
    <cfRule type="cellIs" dxfId="1537" priority="61" operator="equal">
      <formula>"BLU"</formula>
    </cfRule>
    <cfRule type="cellIs" dxfId="1536" priority="62" operator="equal">
      <formula>"WHI"</formula>
    </cfRule>
    <cfRule type="cellIs" dxfId="1535" priority="63" operator="equal">
      <formula>"GRE"</formula>
    </cfRule>
    <cfRule type="cellIs" dxfId="1534" priority="64" operator="equal">
      <formula>"RED"</formula>
    </cfRule>
    <cfRule type="cellIs" dxfId="1533" priority="65" operator="equal">
      <formula>"BLA"</formula>
    </cfRule>
  </conditionalFormatting>
  <conditionalFormatting sqref="BZ2:CA6 CD2:CF6">
    <cfRule type="cellIs" dxfId="1532" priority="9" operator="greaterThan">
      <formula>0</formula>
    </cfRule>
  </conditionalFormatting>
  <conditionalFormatting sqref="HF1:HG1">
    <cfRule type="cellIs" dxfId="1531" priority="70" operator="greaterThan">
      <formula>0</formula>
    </cfRule>
  </conditionalFormatting>
  <conditionalFormatting sqref="HK1">
    <cfRule type="cellIs" dxfId="1530" priority="67" operator="greaterThan">
      <formula>0</formula>
    </cfRule>
  </conditionalFormatting>
  <conditionalFormatting sqref="HP1:HX1">
    <cfRule type="cellIs" dxfId="1529" priority="21" operator="equal">
      <formula>"PIN"</formula>
    </cfRule>
    <cfRule type="cellIs" dxfId="1528" priority="22" operator="equal">
      <formula>"ORA"</formula>
    </cfRule>
    <cfRule type="cellIs" dxfId="1527" priority="23" operator="equal">
      <formula>"GRA"</formula>
    </cfRule>
    <cfRule type="cellIs" dxfId="1526" priority="24" operator="equal">
      <formula>"PUR"</formula>
    </cfRule>
    <cfRule type="cellIs" dxfId="1525" priority="25" operator="equal">
      <formula>"BRO"</formula>
    </cfRule>
    <cfRule type="cellIs" dxfId="1524" priority="26" operator="equal">
      <formula>"YEL"</formula>
    </cfRule>
    <cfRule type="cellIs" dxfId="1523" priority="27" operator="equal">
      <formula>"BLU"</formula>
    </cfRule>
    <cfRule type="cellIs" dxfId="1522" priority="28" operator="equal">
      <formula>"WHI"</formula>
    </cfRule>
    <cfRule type="cellIs" dxfId="1521" priority="29" operator="equal">
      <formula>"GRE"</formula>
    </cfRule>
    <cfRule type="cellIs" dxfId="1520" priority="30" operator="equal">
      <formula>"RED"</formula>
    </cfRule>
    <cfRule type="cellIs" dxfId="1519" priority="31" operator="equal">
      <formula>"BLA"</formula>
    </cfRule>
  </conditionalFormatting>
  <conditionalFormatting sqref="IC1:IK1">
    <cfRule type="cellIs" dxfId="1518" priority="33" operator="equal">
      <formula>"PIN"</formula>
    </cfRule>
    <cfRule type="cellIs" dxfId="1517" priority="34" operator="equal">
      <formula>"ORA"</formula>
    </cfRule>
    <cfRule type="cellIs" dxfId="1516" priority="35" operator="equal">
      <formula>"GRA"</formula>
    </cfRule>
    <cfRule type="cellIs" dxfId="1515" priority="36" operator="equal">
      <formula>"PUR"</formula>
    </cfRule>
    <cfRule type="cellIs" dxfId="1514" priority="37" operator="equal">
      <formula>"BRO"</formula>
    </cfRule>
    <cfRule type="cellIs" dxfId="1513" priority="38" operator="equal">
      <formula>"YEL"</formula>
    </cfRule>
    <cfRule type="cellIs" dxfId="1512" priority="39" operator="equal">
      <formula>"BLU"</formula>
    </cfRule>
    <cfRule type="cellIs" dxfId="1511" priority="40" operator="equal">
      <formula>"WHI"</formula>
    </cfRule>
    <cfRule type="cellIs" dxfId="1510" priority="41" operator="equal">
      <formula>"GRE"</formula>
    </cfRule>
    <cfRule type="cellIs" dxfId="1509" priority="42" operator="equal">
      <formula>"RED"</formula>
    </cfRule>
    <cfRule type="cellIs" dxfId="1508" priority="43" operator="equal">
      <formula>"BLA"</formula>
    </cfRule>
  </conditionalFormatting>
  <conditionalFormatting sqref="IC2:IK6">
    <cfRule type="expression" dxfId="1507" priority="32">
      <formula>$IL2&gt;0</formula>
    </cfRule>
  </conditionalFormatting>
  <conditionalFormatting sqref="IO1:IW1">
    <cfRule type="cellIs" dxfId="1506" priority="10" operator="equal">
      <formula>"PIN"</formula>
    </cfRule>
    <cfRule type="cellIs" dxfId="1505" priority="11" operator="equal">
      <formula>"ORA"</formula>
    </cfRule>
    <cfRule type="cellIs" dxfId="1504" priority="12" operator="equal">
      <formula>"GRA"</formula>
    </cfRule>
    <cfRule type="cellIs" dxfId="1503" priority="13" operator="equal">
      <formula>"PUR"</formula>
    </cfRule>
    <cfRule type="cellIs" dxfId="1502" priority="14" operator="equal">
      <formula>"BRO"</formula>
    </cfRule>
    <cfRule type="cellIs" dxfId="1501" priority="15" operator="equal">
      <formula>"YEL"</formula>
    </cfRule>
    <cfRule type="cellIs" dxfId="1500" priority="16" operator="equal">
      <formula>"BLU"</formula>
    </cfRule>
    <cfRule type="cellIs" dxfId="1499" priority="17" operator="equal">
      <formula>"WHI"</formula>
    </cfRule>
    <cfRule type="cellIs" dxfId="1498" priority="18" operator="equal">
      <formula>"GRE"</formula>
    </cfRule>
    <cfRule type="cellIs" dxfId="1497" priority="19" operator="equal">
      <formula>"RED"</formula>
    </cfRule>
    <cfRule type="cellIs" dxfId="1496" priority="20" operator="equal">
      <formula>"BLA"</formula>
    </cfRule>
  </conditionalFormatting>
  <conditionalFormatting sqref="S2:S6">
    <cfRule type="colorScale" priority="1907">
      <colorScale>
        <cfvo type="min"/>
        <cfvo type="max"/>
        <color rgb="FFFCFCFF"/>
        <color rgb="FF754BFB"/>
      </colorScale>
    </cfRule>
  </conditionalFormatting>
  <conditionalFormatting sqref="AT2:AT6">
    <cfRule type="colorScale" priority="1908">
      <colorScale>
        <cfvo type="min"/>
        <cfvo type="max"/>
        <color rgb="FFFCFCFF"/>
        <color theme="8" tint="0.39997558519241921"/>
      </colorScale>
    </cfRule>
  </conditionalFormatting>
  <conditionalFormatting sqref="CG2:CG6">
    <cfRule type="colorScale" priority="1909">
      <colorScale>
        <cfvo type="min"/>
        <cfvo type="max"/>
        <color rgb="FFFCFCFF"/>
        <color rgb="FF63BE7B"/>
      </colorScale>
    </cfRule>
  </conditionalFormatting>
  <conditionalFormatting sqref="J2:J6">
    <cfRule type="colorScale" priority="1">
      <colorScale>
        <cfvo type="min"/>
        <cfvo type="percentile" val="50"/>
        <cfvo type="max"/>
        <color rgb="FFF8696B"/>
        <color rgb="FFFFEB84"/>
        <color rgb="FF63BE7B"/>
      </colorScale>
    </cfRule>
  </conditionalFormatting>
  <hyperlinks>
    <hyperlink ref="A2" r:id="rId1" display="https://fbref.com/en/country/FIJ/Fiji-Football" xr:uid="{EAF7CCF4-E2C4-4DA6-8754-34D564B48783}"/>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InsertImagesFromSelectedRange">
                <anchor moveWithCells="1" sizeWithCells="1">
                  <from>
                    <xdr:col>1</xdr:col>
                    <xdr:colOff>76200</xdr:colOff>
                    <xdr:row>0</xdr:row>
                    <xdr:rowOff>7620</xdr:rowOff>
                  </from>
                  <to>
                    <xdr:col>2</xdr:col>
                    <xdr:colOff>0</xdr:colOff>
                    <xdr:row>0</xdr:row>
                    <xdr:rowOff>487680</xdr:rowOff>
                  </to>
                </anchor>
              </controlPr>
            </control>
          </mc:Choice>
        </mc:AlternateContent>
        <mc:AlternateContent xmlns:mc="http://schemas.openxmlformats.org/markup-compatibility/2006">
          <mc:Choice Requires="x14">
            <control shapeId="14338" r:id="rId6" name="Button 2">
              <controlPr defaultSize="0" print="0" autoFill="0" autoPict="0" macro="[0]!ReplaceLineBreaksWithNewLineManualRange">
                <anchor moveWithCells="1" sizeWithCells="1">
                  <from>
                    <xdr:col>7</xdr:col>
                    <xdr:colOff>15240</xdr:colOff>
                    <xdr:row>0</xdr:row>
                    <xdr:rowOff>45720</xdr:rowOff>
                  </from>
                  <to>
                    <xdr:col>7</xdr:col>
                    <xdr:colOff>685800</xdr:colOff>
                    <xdr:row>0</xdr:row>
                    <xdr:rowOff>403860</xdr:rowOff>
                  </to>
                </anchor>
              </controlPr>
            </control>
          </mc:Choice>
        </mc:AlternateContent>
        <mc:AlternateContent xmlns:mc="http://schemas.openxmlformats.org/markup-compatibility/2006">
          <mc:Choice Requires="x14">
            <control shapeId="14339" r:id="rId7" name="Button 3">
              <controlPr defaultSize="0" print="0" autoFill="0" autoPict="0" macro="[0]!GoToSheet">
                <anchor moveWithCells="1" sizeWithCells="1">
                  <from>
                    <xdr:col>0</xdr:col>
                    <xdr:colOff>137160</xdr:colOff>
                    <xdr:row>0</xdr:row>
                    <xdr:rowOff>114300</xdr:rowOff>
                  </from>
                  <to>
                    <xdr:col>0</xdr:col>
                    <xdr:colOff>762000</xdr:colOff>
                    <xdr:row>0</xdr:row>
                    <xdr:rowOff>419100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35C9-6B5E-4955-ADD4-5D32ACE57B0D}">
  <sheetPr codeName="Sheet20"/>
  <dimension ref="A1:IY3"/>
  <sheetViews>
    <sheetView zoomScale="70" zoomScaleNormal="70" workbookViewId="0">
      <pane xSplit="5" ySplit="1" topLeftCell="F2" activePane="bottomRight" state="frozen"/>
      <selection activeCell="A2" sqref="A2"/>
      <selection pane="topRight" activeCell="A2" sqref="A2"/>
      <selection pane="bottomLeft" activeCell="A2" sqref="A2"/>
      <selection pane="bottomRight" activeCell="D11" sqref="D11"/>
    </sheetView>
  </sheetViews>
  <sheetFormatPr defaultRowHeight="38.4" customHeight="1" x14ac:dyDescent="0.3"/>
  <cols>
    <col min="1" max="1" width="52.44140625" style="82" bestFit="1" customWidth="1"/>
    <col min="2" max="2" width="10.21875" style="82" customWidth="1"/>
    <col min="3" max="3" width="7.44140625" style="83" customWidth="1"/>
    <col min="4" max="4" width="4.77734375" style="84" customWidth="1"/>
    <col min="5" max="5" width="4.5546875" style="84" customWidth="1"/>
    <col min="6" max="6" width="5.77734375" style="84" customWidth="1"/>
    <col min="7" max="7" width="7.44140625" style="82" customWidth="1"/>
    <col min="8" max="8" width="11.44140625" style="82" customWidth="1"/>
    <col min="9" max="9" width="10" style="82" customWidth="1"/>
    <col min="10" max="10" width="4.21875" style="82" customWidth="1"/>
    <col min="11" max="11" width="5.6640625" style="84" customWidth="1"/>
    <col min="12" max="12" width="2.88671875" style="84" customWidth="1"/>
    <col min="13" max="13" width="6.44140625" style="84" customWidth="1"/>
    <col min="14" max="14" width="4.5546875" style="84" customWidth="1"/>
    <col min="15" max="15" width="10.5546875" style="85" customWidth="1"/>
    <col min="16" max="16" width="6.88671875" style="84" customWidth="1"/>
    <col min="17" max="17" width="4.77734375" style="84" customWidth="1"/>
    <col min="18" max="18" width="13.109375" style="83" customWidth="1"/>
    <col min="19" max="19" width="6.77734375" style="83" customWidth="1"/>
    <col min="20" max="46" width="8.44140625" style="82" customWidth="1"/>
    <col min="47" max="47" width="24.5546875" style="82" customWidth="1"/>
    <col min="48" max="51" width="16.6640625" style="82" customWidth="1"/>
    <col min="52" max="52" width="6.5546875" style="82" customWidth="1"/>
    <col min="53" max="54" width="5.88671875" style="82" customWidth="1"/>
    <col min="55" max="55" width="1.33203125" style="82" customWidth="1"/>
    <col min="56" max="56" width="7.44140625" style="82" customWidth="1"/>
    <col min="57" max="57" width="2.33203125" style="82" customWidth="1"/>
    <col min="58" max="62" width="6.109375" style="82" customWidth="1"/>
    <col min="63" max="63" width="2.33203125" style="82" customWidth="1"/>
    <col min="64" max="64" width="7" style="82" bestFit="1" customWidth="1"/>
    <col min="65" max="65" width="6.44140625" style="82" bestFit="1" customWidth="1"/>
    <col min="66" max="66" width="7.109375" style="82" bestFit="1" customWidth="1"/>
    <col min="67" max="71" width="6.44140625" style="82" bestFit="1" customWidth="1"/>
    <col min="72" max="73" width="6.44140625" style="82" customWidth="1"/>
    <col min="74" max="75" width="13.44140625" style="82" customWidth="1"/>
    <col min="76" max="84" width="14.6640625" style="82" customWidth="1"/>
    <col min="85" max="85" width="6.44140625" style="82" customWidth="1"/>
    <col min="86" max="87" width="11.6640625" style="82" bestFit="1" customWidth="1"/>
    <col min="88" max="88" width="11.6640625" style="82" customWidth="1"/>
    <col min="89" max="89" width="12.77734375" style="82" bestFit="1" customWidth="1"/>
    <col min="90" max="90" width="16.44140625" style="83" bestFit="1" customWidth="1"/>
    <col min="91" max="92" width="14.88671875" style="83" bestFit="1" customWidth="1"/>
    <col min="93" max="93" width="16" style="83" bestFit="1" customWidth="1"/>
    <col min="94" max="97" width="7.77734375" style="82" customWidth="1"/>
    <col min="98" max="98" width="33.21875" style="82" customWidth="1"/>
    <col min="99" max="99" width="18" style="82" customWidth="1"/>
    <col min="100" max="100" width="75.6640625" style="82" customWidth="1"/>
    <col min="101" max="125" width="33" style="82" customWidth="1"/>
    <col min="126" max="126" width="8.88671875" style="82"/>
    <col min="127" max="128" width="9.44140625" style="82" bestFit="1" customWidth="1"/>
    <col min="129" max="129" width="10.77734375" style="82" bestFit="1" customWidth="1"/>
    <col min="130" max="134" width="10.77734375" style="82" customWidth="1"/>
    <col min="135" max="135" width="10.109375" style="82" bestFit="1" customWidth="1"/>
    <col min="136" max="136" width="7.77734375" style="82" bestFit="1" customWidth="1"/>
    <col min="137" max="137" width="7.77734375" style="82" customWidth="1"/>
    <col min="138" max="138" width="9" style="82" bestFit="1" customWidth="1"/>
    <col min="139" max="139" width="11.33203125" style="82" bestFit="1" customWidth="1"/>
    <col min="140" max="140" width="9.109375" style="82" bestFit="1" customWidth="1"/>
    <col min="141" max="141" width="9" style="82" bestFit="1" customWidth="1"/>
    <col min="142" max="142" width="12" style="82" bestFit="1" customWidth="1"/>
    <col min="143" max="166" width="12" style="82" customWidth="1"/>
    <col min="167" max="167" width="17.21875" style="82" customWidth="1"/>
    <col min="168" max="191" width="12" style="82" customWidth="1"/>
    <col min="192" max="192" width="8.5546875" style="82" bestFit="1" customWidth="1"/>
    <col min="193" max="193" width="8.5546875" style="82" customWidth="1"/>
    <col min="194" max="194" width="7.109375" style="82" bestFit="1" customWidth="1"/>
    <col min="195" max="195" width="7.5546875" style="82" bestFit="1" customWidth="1"/>
    <col min="196" max="196" width="8.5546875" style="82" bestFit="1" customWidth="1"/>
    <col min="197" max="200" width="8.5546875" style="82" customWidth="1"/>
    <col min="201" max="201" width="188.88671875" style="82" customWidth="1"/>
    <col min="202" max="202" width="9.5546875" style="82" bestFit="1" customWidth="1"/>
    <col min="203" max="203" width="10.44140625" style="82" bestFit="1" customWidth="1"/>
    <col min="204" max="204" width="11.109375" style="82" bestFit="1" customWidth="1"/>
    <col min="205" max="205" width="10.44140625" style="82" bestFit="1" customWidth="1"/>
    <col min="206" max="210" width="10.44140625" style="82" customWidth="1"/>
    <col min="211" max="211" width="45.44140625" style="82" customWidth="1"/>
    <col min="212" max="212" width="47.5546875" style="82" bestFit="1" customWidth="1"/>
    <col min="213" max="213" width="9.33203125" style="86" customWidth="1"/>
    <col min="214" max="214" width="119.5546875" style="82" customWidth="1"/>
    <col min="215" max="215" width="69.6640625" style="82" customWidth="1"/>
    <col min="216" max="218" width="8.88671875" style="82"/>
    <col min="219" max="219" width="37.109375" style="82" customWidth="1"/>
    <col min="220" max="220" width="16.33203125" style="82" customWidth="1"/>
    <col min="221" max="222" width="8.88671875" style="82"/>
    <col min="223" max="223" width="10.109375" style="82" bestFit="1" customWidth="1"/>
    <col min="224" max="232" width="10.88671875" style="82" customWidth="1"/>
    <col min="233" max="234" width="30.77734375" style="82" customWidth="1"/>
    <col min="235" max="235" width="5.109375" style="82" customWidth="1"/>
    <col min="236" max="236" width="3" style="82" customWidth="1"/>
    <col min="237" max="245" width="6.77734375" style="76" customWidth="1"/>
    <col min="246" max="247" width="8.88671875" style="82"/>
    <col min="248" max="248" width="61.5546875" style="82" customWidth="1"/>
    <col min="249" max="253" width="8.88671875" style="82"/>
    <col min="254" max="254" width="9" style="82" customWidth="1"/>
    <col min="255" max="16384" width="8.88671875" style="82"/>
  </cols>
  <sheetData>
    <row r="1" spans="1:259" s="5" customFormat="1" ht="38.4" customHeight="1" thickBot="1" x14ac:dyDescent="0.35">
      <c r="A1" s="1" t="s">
        <v>0</v>
      </c>
      <c r="B1" s="79" t="s">
        <v>1</v>
      </c>
      <c r="C1" s="2" t="s">
        <v>2</v>
      </c>
      <c r="D1" s="3"/>
      <c r="E1" s="3" t="s">
        <v>3</v>
      </c>
      <c r="F1" s="4"/>
      <c r="H1" s="6" t="s">
        <v>4</v>
      </c>
      <c r="J1" s="5" t="s">
        <v>5</v>
      </c>
      <c r="K1" s="7" t="s">
        <v>6</v>
      </c>
      <c r="L1" s="8" t="s">
        <v>7</v>
      </c>
      <c r="M1" s="8" t="s">
        <v>8</v>
      </c>
      <c r="N1" s="9" t="s">
        <v>9</v>
      </c>
      <c r="O1" s="10" t="s">
        <v>10</v>
      </c>
      <c r="P1" s="11" t="s">
        <v>11</v>
      </c>
      <c r="Q1" s="11" t="s">
        <v>12</v>
      </c>
      <c r="R1" s="12" t="s">
        <v>0</v>
      </c>
      <c r="S1" s="13" t="s">
        <v>13</v>
      </c>
      <c r="T1" s="14" t="s">
        <v>14</v>
      </c>
      <c r="U1" s="14" t="s">
        <v>15</v>
      </c>
      <c r="V1" s="15" t="s">
        <v>16</v>
      </c>
      <c r="W1" s="14" t="s">
        <v>17</v>
      </c>
      <c r="X1" s="14" t="s">
        <v>18</v>
      </c>
      <c r="Y1" s="14" t="s">
        <v>19</v>
      </c>
      <c r="Z1" s="14" t="s">
        <v>20</v>
      </c>
      <c r="AA1" s="14" t="s">
        <v>21</v>
      </c>
      <c r="AB1" s="14" t="s">
        <v>22</v>
      </c>
      <c r="AC1" s="14" t="s">
        <v>23</v>
      </c>
      <c r="AD1" s="14" t="s">
        <v>24</v>
      </c>
      <c r="AE1" s="14" t="s">
        <v>25</v>
      </c>
      <c r="AF1" s="16" t="s">
        <v>26</v>
      </c>
      <c r="AG1" s="16" t="s">
        <v>27</v>
      </c>
      <c r="AH1" s="16" t="s">
        <v>28</v>
      </c>
      <c r="AI1" s="16" t="s">
        <v>29</v>
      </c>
      <c r="AJ1" s="16" t="s">
        <v>30</v>
      </c>
      <c r="AK1" s="16" t="s">
        <v>31</v>
      </c>
      <c r="AL1" s="16" t="s">
        <v>32</v>
      </c>
      <c r="AM1" s="16" t="s">
        <v>33</v>
      </c>
      <c r="AN1" s="16" t="s">
        <v>34</v>
      </c>
      <c r="AO1" s="16" t="s">
        <v>35</v>
      </c>
      <c r="AP1" s="16" t="s">
        <v>36</v>
      </c>
      <c r="AQ1" s="16" t="s">
        <v>37</v>
      </c>
      <c r="AR1" s="16" t="s">
        <v>38</v>
      </c>
      <c r="AS1" s="16" t="s">
        <v>39</v>
      </c>
      <c r="AT1" s="17" t="s">
        <v>40</v>
      </c>
      <c r="AU1" s="18" t="s">
        <v>41</v>
      </c>
      <c r="AV1" s="18" t="s">
        <v>42</v>
      </c>
      <c r="AW1" s="18" t="s">
        <v>43</v>
      </c>
      <c r="AX1" s="19"/>
      <c r="AY1" s="20" t="s">
        <v>44</v>
      </c>
      <c r="AZ1" s="19" t="s">
        <v>45</v>
      </c>
      <c r="BA1" s="19"/>
      <c r="BB1" s="19"/>
      <c r="BC1" s="21"/>
      <c r="BD1" s="19" t="s">
        <v>46</v>
      </c>
      <c r="BE1" s="21"/>
      <c r="BF1" s="19" t="s">
        <v>47</v>
      </c>
      <c r="BG1" s="19" t="s">
        <v>48</v>
      </c>
      <c r="BH1" s="19" t="s">
        <v>49</v>
      </c>
      <c r="BI1" s="19" t="s">
        <v>50</v>
      </c>
      <c r="BJ1" s="19" t="s">
        <v>51</v>
      </c>
      <c r="BK1" s="21"/>
      <c r="BL1" s="22" t="s">
        <v>52</v>
      </c>
      <c r="BM1" s="22"/>
      <c r="BN1" s="22"/>
      <c r="BO1" s="22"/>
      <c r="BP1" s="22"/>
      <c r="BQ1" s="22"/>
      <c r="BR1" s="22"/>
      <c r="BS1" s="22"/>
      <c r="BT1" s="23"/>
      <c r="BU1" s="23" t="s">
        <v>53</v>
      </c>
      <c r="BV1" s="23" t="s">
        <v>54</v>
      </c>
      <c r="BW1" s="23" t="s">
        <v>55</v>
      </c>
      <c r="BX1" s="23"/>
      <c r="BY1" s="23" t="s">
        <v>56</v>
      </c>
      <c r="BZ1" s="23" t="s">
        <v>57</v>
      </c>
      <c r="CA1" s="23" t="s">
        <v>58</v>
      </c>
      <c r="CB1" s="23" t="s">
        <v>59</v>
      </c>
      <c r="CC1" s="23" t="s">
        <v>60</v>
      </c>
      <c r="CD1" s="23" t="s">
        <v>61</v>
      </c>
      <c r="CE1" s="23" t="s">
        <v>62</v>
      </c>
      <c r="CF1" s="23" t="s">
        <v>63</v>
      </c>
      <c r="CG1" s="23"/>
      <c r="CH1" s="23" t="s">
        <v>64</v>
      </c>
      <c r="CI1" s="23" t="s">
        <v>65</v>
      </c>
      <c r="CJ1" s="23" t="s">
        <v>66</v>
      </c>
      <c r="CK1" s="23" t="s">
        <v>67</v>
      </c>
      <c r="CL1" s="24" t="s">
        <v>68</v>
      </c>
      <c r="CM1" s="24" t="s">
        <v>69</v>
      </c>
      <c r="CN1" s="24" t="s">
        <v>70</v>
      </c>
      <c r="CO1" s="24" t="s">
        <v>71</v>
      </c>
      <c r="CP1" s="24" t="s">
        <v>72</v>
      </c>
      <c r="CQ1" s="24" t="s">
        <v>73</v>
      </c>
      <c r="CR1" s="24" t="s">
        <v>74</v>
      </c>
      <c r="CS1" s="24" t="s">
        <v>75</v>
      </c>
      <c r="CT1" s="1" t="s">
        <v>76</v>
      </c>
      <c r="CU1" s="25" t="s">
        <v>0</v>
      </c>
      <c r="CV1" s="5" t="s">
        <v>77</v>
      </c>
      <c r="CW1" s="14" t="s">
        <v>78</v>
      </c>
      <c r="CX1" s="14" t="s">
        <v>79</v>
      </c>
      <c r="CY1" s="14" t="s">
        <v>66</v>
      </c>
      <c r="CZ1" s="14" t="s">
        <v>80</v>
      </c>
      <c r="DA1" s="14" t="s">
        <v>81</v>
      </c>
      <c r="DB1" s="14" t="s">
        <v>82</v>
      </c>
      <c r="DC1" s="14" t="s">
        <v>83</v>
      </c>
      <c r="DD1" s="14" t="s">
        <v>84</v>
      </c>
      <c r="DE1" s="14" t="s">
        <v>85</v>
      </c>
      <c r="DF1" s="14" t="s">
        <v>86</v>
      </c>
      <c r="DG1" s="14" t="s">
        <v>87</v>
      </c>
      <c r="DH1" s="14" t="s">
        <v>88</v>
      </c>
      <c r="DI1" s="14" t="s">
        <v>89</v>
      </c>
      <c r="DJ1" s="14" t="s">
        <v>90</v>
      </c>
      <c r="DK1" s="14" t="s">
        <v>91</v>
      </c>
      <c r="DL1" s="14" t="s">
        <v>92</v>
      </c>
      <c r="DM1" s="14" t="s">
        <v>93</v>
      </c>
      <c r="DN1" s="14" t="s">
        <v>94</v>
      </c>
      <c r="DO1" s="14" t="s">
        <v>95</v>
      </c>
      <c r="DP1" s="14" t="s">
        <v>96</v>
      </c>
      <c r="DQ1" s="14" t="s">
        <v>97</v>
      </c>
      <c r="DR1" s="14" t="s">
        <v>56</v>
      </c>
      <c r="DS1" s="14" t="s">
        <v>98</v>
      </c>
      <c r="DT1" s="14" t="s">
        <v>99</v>
      </c>
      <c r="DU1" s="14" t="s">
        <v>100</v>
      </c>
      <c r="DV1" s="14" t="s">
        <v>101</v>
      </c>
      <c r="DW1" s="14" t="s">
        <v>102</v>
      </c>
      <c r="DX1" s="14" t="s">
        <v>103</v>
      </c>
      <c r="DY1" s="14" t="s">
        <v>104</v>
      </c>
      <c r="DZ1" s="14" t="s">
        <v>105</v>
      </c>
      <c r="EA1" s="14" t="s">
        <v>106</v>
      </c>
      <c r="EB1" s="14" t="s">
        <v>107</v>
      </c>
      <c r="EC1" s="14" t="s">
        <v>108</v>
      </c>
      <c r="ED1" s="14" t="s">
        <v>109</v>
      </c>
      <c r="EE1" s="15" t="s">
        <v>18</v>
      </c>
      <c r="EF1" s="14" t="s">
        <v>19</v>
      </c>
      <c r="EG1" s="14" t="s">
        <v>20</v>
      </c>
      <c r="EH1" s="14" t="s">
        <v>21</v>
      </c>
      <c r="EI1" s="14" t="s">
        <v>110</v>
      </c>
      <c r="EJ1" s="14" t="s">
        <v>23</v>
      </c>
      <c r="EK1" s="14" t="s">
        <v>111</v>
      </c>
      <c r="EL1" s="14" t="s">
        <v>112</v>
      </c>
      <c r="EM1" s="14" t="s">
        <v>26</v>
      </c>
      <c r="EN1" s="16" t="s">
        <v>27</v>
      </c>
      <c r="EO1" s="16" t="s">
        <v>28</v>
      </c>
      <c r="EP1" s="16" t="s">
        <v>29</v>
      </c>
      <c r="EQ1" s="16" t="s">
        <v>113</v>
      </c>
      <c r="ER1" s="16" t="s">
        <v>31</v>
      </c>
      <c r="ES1" s="16" t="s">
        <v>32</v>
      </c>
      <c r="ET1" s="16" t="s">
        <v>114</v>
      </c>
      <c r="EU1" s="16" t="s">
        <v>34</v>
      </c>
      <c r="EV1" s="16" t="s">
        <v>35</v>
      </c>
      <c r="EW1" s="16" t="s">
        <v>115</v>
      </c>
      <c r="EX1" s="16" t="s">
        <v>37</v>
      </c>
      <c r="EY1" s="16" t="s">
        <v>38</v>
      </c>
      <c r="EZ1" s="16" t="s">
        <v>39</v>
      </c>
      <c r="FA1" s="16" t="s">
        <v>116</v>
      </c>
      <c r="FB1" s="16" t="s">
        <v>117</v>
      </c>
      <c r="FC1" s="16" t="s">
        <v>118</v>
      </c>
      <c r="FD1" s="16" t="s">
        <v>54</v>
      </c>
      <c r="FE1" s="16" t="s">
        <v>119</v>
      </c>
      <c r="FF1" s="16" t="s">
        <v>120</v>
      </c>
      <c r="FG1" s="16" t="s">
        <v>121</v>
      </c>
      <c r="FH1" s="16" t="s">
        <v>122</v>
      </c>
      <c r="FI1" s="16" t="s">
        <v>123</v>
      </c>
      <c r="FJ1" s="16" t="s">
        <v>124</v>
      </c>
      <c r="FK1" s="16" t="s">
        <v>125</v>
      </c>
      <c r="FL1" s="16" t="s">
        <v>126</v>
      </c>
      <c r="FM1" s="16" t="s">
        <v>127</v>
      </c>
      <c r="FN1" s="16" t="s">
        <v>128</v>
      </c>
      <c r="FO1" s="16" t="s">
        <v>129</v>
      </c>
      <c r="FP1" s="16" t="s">
        <v>130</v>
      </c>
      <c r="FQ1" s="16" t="s">
        <v>131</v>
      </c>
      <c r="FR1" s="16" t="s">
        <v>132</v>
      </c>
      <c r="FS1" s="16" t="s">
        <v>133</v>
      </c>
      <c r="FT1" s="16" t="s">
        <v>134</v>
      </c>
      <c r="FU1" s="16" t="s">
        <v>44</v>
      </c>
      <c r="FV1" s="16" t="s">
        <v>135</v>
      </c>
      <c r="FW1" s="16" t="s">
        <v>58</v>
      </c>
      <c r="FX1" s="16" t="s">
        <v>136</v>
      </c>
      <c r="FY1" s="16" t="s">
        <v>137</v>
      </c>
      <c r="FZ1" s="16" t="s">
        <v>138</v>
      </c>
      <c r="GA1" s="16" t="s">
        <v>139</v>
      </c>
      <c r="GB1" s="16" t="s">
        <v>140</v>
      </c>
      <c r="GC1" s="16" t="s">
        <v>141</v>
      </c>
      <c r="GD1" s="16" t="s">
        <v>142</v>
      </c>
      <c r="GE1" s="16" t="s">
        <v>143</v>
      </c>
      <c r="GF1" s="16" t="s">
        <v>144</v>
      </c>
      <c r="GG1" s="16" t="s">
        <v>145</v>
      </c>
      <c r="GH1" s="16" t="s">
        <v>61</v>
      </c>
      <c r="GI1" s="16" t="s">
        <v>62</v>
      </c>
      <c r="GJ1" s="14" t="s">
        <v>146</v>
      </c>
      <c r="GK1" s="14" t="s">
        <v>147</v>
      </c>
      <c r="GL1" s="14" t="s">
        <v>148</v>
      </c>
      <c r="GM1" s="17" t="s">
        <v>149</v>
      </c>
      <c r="GN1" s="26" t="s">
        <v>150</v>
      </c>
      <c r="GO1" s="26" t="s">
        <v>151</v>
      </c>
      <c r="GP1" s="18" t="s">
        <v>41</v>
      </c>
      <c r="GQ1" s="18" t="s">
        <v>42</v>
      </c>
      <c r="GR1" s="18" t="s">
        <v>43</v>
      </c>
      <c r="GS1" s="21"/>
      <c r="GT1" s="27" t="s">
        <v>52</v>
      </c>
      <c r="GU1" s="27"/>
      <c r="GV1" s="27"/>
      <c r="GW1" s="27"/>
      <c r="GX1" s="28"/>
      <c r="GY1" s="28"/>
      <c r="GZ1" s="28"/>
      <c r="HA1" s="28"/>
      <c r="HB1" s="28"/>
      <c r="HC1" s="28"/>
      <c r="HD1" s="29" t="s">
        <v>13</v>
      </c>
      <c r="HE1" s="30" t="s">
        <v>152</v>
      </c>
      <c r="HF1" s="31"/>
      <c r="HG1" s="32"/>
      <c r="HK1" s="32" t="s">
        <v>4</v>
      </c>
      <c r="HP1" s="33" t="s">
        <v>153</v>
      </c>
      <c r="HQ1" s="33" t="s">
        <v>154</v>
      </c>
      <c r="HR1" s="33" t="s">
        <v>155</v>
      </c>
      <c r="HS1" s="33" t="s">
        <v>156</v>
      </c>
      <c r="HT1" s="33" t="s">
        <v>157</v>
      </c>
      <c r="HU1" s="33" t="s">
        <v>158</v>
      </c>
      <c r="HV1" s="33" t="s">
        <v>159</v>
      </c>
      <c r="HW1" s="33" t="s">
        <v>160</v>
      </c>
      <c r="HX1" s="34" t="s">
        <v>161</v>
      </c>
      <c r="IA1" s="14" t="s">
        <v>162</v>
      </c>
      <c r="IB1" s="35" t="s">
        <v>163</v>
      </c>
      <c r="IC1" s="36" t="s">
        <v>153</v>
      </c>
      <c r="ID1" s="36" t="s">
        <v>154</v>
      </c>
      <c r="IE1" s="36" t="s">
        <v>156</v>
      </c>
      <c r="IF1" s="37" t="s">
        <v>161</v>
      </c>
      <c r="IG1" s="36" t="s">
        <v>157</v>
      </c>
      <c r="IH1" s="36" t="s">
        <v>158</v>
      </c>
      <c r="II1" s="36" t="s">
        <v>155</v>
      </c>
      <c r="IJ1" s="36" t="s">
        <v>159</v>
      </c>
      <c r="IK1" s="36" t="s">
        <v>160</v>
      </c>
      <c r="IO1" s="33" t="s">
        <v>153</v>
      </c>
      <c r="IP1" s="33" t="s">
        <v>154</v>
      </c>
      <c r="IQ1" s="33" t="s">
        <v>155</v>
      </c>
      <c r="IR1" s="33" t="s">
        <v>156</v>
      </c>
      <c r="IS1" s="33" t="s">
        <v>157</v>
      </c>
      <c r="IT1" s="33" t="s">
        <v>158</v>
      </c>
      <c r="IU1" s="33" t="s">
        <v>159</v>
      </c>
      <c r="IV1" s="33" t="s">
        <v>160</v>
      </c>
      <c r="IW1" s="34" t="s">
        <v>161</v>
      </c>
      <c r="IY1" s="5" t="s">
        <v>164</v>
      </c>
    </row>
    <row r="2" spans="1:259" s="44" customFormat="1" ht="38.4" customHeight="1" thickBot="1" x14ac:dyDescent="0.35">
      <c r="A2" s="77" t="s">
        <v>232</v>
      </c>
      <c r="B2" s="78" t="e" vm="37">
        <v>#VALUE!</v>
      </c>
      <c r="C2" s="39">
        <v>1</v>
      </c>
      <c r="D2" s="70" t="s">
        <v>233</v>
      </c>
      <c r="E2" s="40" t="s">
        <v>233</v>
      </c>
      <c r="F2" s="41" t="s">
        <v>165</v>
      </c>
      <c r="G2" s="42">
        <f>COUNTIF($A$1:$A$8197,A2)</f>
        <v>1</v>
      </c>
      <c r="H2" s="43"/>
      <c r="I2" s="59" t="s">
        <v>234</v>
      </c>
      <c r="J2" s="44" t="str">
        <f>""</f>
        <v/>
      </c>
      <c r="K2" s="45">
        <v>172000</v>
      </c>
      <c r="L2" s="46">
        <v>1500000</v>
      </c>
      <c r="M2" s="46" t="s">
        <v>1149</v>
      </c>
      <c r="N2" s="47" t="s">
        <v>177</v>
      </c>
      <c r="O2" s="74" t="s">
        <v>235</v>
      </c>
      <c r="P2" s="48" t="s">
        <v>236</v>
      </c>
      <c r="Q2" s="73">
        <v>1</v>
      </c>
      <c r="R2" s="49" t="s">
        <v>237</v>
      </c>
      <c r="S2" s="50">
        <v>0</v>
      </c>
      <c r="T2" s="51" t="s">
        <v>166</v>
      </c>
      <c r="U2" s="52" t="s">
        <v>166</v>
      </c>
      <c r="V2" s="52" t="s">
        <v>166</v>
      </c>
      <c r="W2" s="52" t="s">
        <v>166</v>
      </c>
      <c r="X2" s="52" t="s">
        <v>166</v>
      </c>
      <c r="Y2" s="52" t="s">
        <v>166</v>
      </c>
      <c r="Z2" s="52" t="s">
        <v>166</v>
      </c>
      <c r="AA2" s="52" t="s">
        <v>167</v>
      </c>
      <c r="AB2" s="52" t="s">
        <v>167</v>
      </c>
      <c r="AC2" s="52" t="s">
        <v>166</v>
      </c>
      <c r="AD2" s="52" t="s">
        <v>166</v>
      </c>
      <c r="AE2" s="52" t="s">
        <v>166</v>
      </c>
      <c r="AF2" s="53" t="s">
        <v>166</v>
      </c>
      <c r="AG2" s="53" t="s">
        <v>166</v>
      </c>
      <c r="AH2" s="53" t="s">
        <v>167</v>
      </c>
      <c r="AI2" s="53" t="s">
        <v>166</v>
      </c>
      <c r="AJ2" s="53" t="s">
        <v>166</v>
      </c>
      <c r="AK2" s="53" t="s">
        <v>166</v>
      </c>
      <c r="AL2" s="53" t="s">
        <v>167</v>
      </c>
      <c r="AM2" s="53" t="s">
        <v>167</v>
      </c>
      <c r="AN2" s="53" t="s">
        <v>166</v>
      </c>
      <c r="AO2" s="53" t="s">
        <v>166</v>
      </c>
      <c r="AP2" s="53" t="s">
        <v>167</v>
      </c>
      <c r="AQ2" s="53" t="s">
        <v>166</v>
      </c>
      <c r="AR2" s="53" t="s">
        <v>166</v>
      </c>
      <c r="AS2" s="53" t="s">
        <v>167</v>
      </c>
      <c r="AT2" s="54">
        <v>0</v>
      </c>
      <c r="AU2" s="53"/>
      <c r="AV2" s="53" t="str">
        <f>IF(LEFT(A2,1)="[",LEFT(A2,5)&amp;AU2&amp;A2,"")</f>
        <v/>
      </c>
      <c r="AW2" s="53" t="str">
        <f>C2&amp;H2&amp;A2</f>
        <v>1Guam</v>
      </c>
      <c r="AX2" s="55" t="str">
        <f>_xlfn.TEXTJOIN(";",TRUE,AU2:AW2)</f>
        <v>1Guam</v>
      </c>
      <c r="AY2" s="55" t="s">
        <v>167</v>
      </c>
      <c r="AZ2" s="56"/>
      <c r="BA2" s="56"/>
      <c r="BB2" s="56"/>
      <c r="BC2" s="57"/>
      <c r="BD2" s="58" t="s">
        <v>154</v>
      </c>
      <c r="BE2" s="59"/>
      <c r="BF2" s="58"/>
      <c r="BG2" s="58"/>
      <c r="BH2" s="58"/>
      <c r="BI2" s="58"/>
      <c r="BJ2" s="58"/>
      <c r="BK2" s="59"/>
      <c r="BL2" s="58" t="s">
        <v>156</v>
      </c>
      <c r="BM2" s="58" t="s">
        <v>154</v>
      </c>
      <c r="BN2" s="58" t="s">
        <v>155</v>
      </c>
      <c r="BO2" s="58" t="s">
        <v>157</v>
      </c>
      <c r="BP2" s="58" t="s">
        <v>161</v>
      </c>
      <c r="BQ2" s="58"/>
      <c r="BR2" s="58"/>
      <c r="BS2" s="58"/>
      <c r="BT2" s="58"/>
      <c r="BU2" s="60"/>
      <c r="BV2" s="61" t="s">
        <v>167</v>
      </c>
      <c r="BW2" s="61" t="s">
        <v>186</v>
      </c>
      <c r="BX2" s="59"/>
      <c r="CB2" s="5" t="s">
        <v>238</v>
      </c>
      <c r="CC2" s="5"/>
      <c r="CD2" s="62">
        <v>0</v>
      </c>
      <c r="CE2" s="62">
        <v>0</v>
      </c>
      <c r="CF2" s="62" t="e">
        <v>#REF!</v>
      </c>
      <c r="CG2" s="75" cm="1">
        <f t="array" ref="CG2">SUMPRODUCT(--(LEN(TRIM(BL2:BT2))&gt;0))</f>
        <v>5</v>
      </c>
      <c r="CH2" s="53" t="str">
        <f>IF(CG2=2,"y","n")</f>
        <v>n</v>
      </c>
      <c r="CI2" s="53" t="str">
        <f>IF(CG2=3,"y","n")</f>
        <v>n</v>
      </c>
      <c r="CJ2" s="53" t="str">
        <f>IF(CG2=4,"y","n")</f>
        <v>n</v>
      </c>
      <c r="CK2" s="53" t="str">
        <f>IF(CG2&gt;4,"y","n")</f>
        <v>y</v>
      </c>
      <c r="CL2" s="53" t="str">
        <f>IF(S2=0,"y","n")</f>
        <v>y</v>
      </c>
      <c r="CM2" s="53" t="str">
        <f>IF(S2=2,"y","n")</f>
        <v>n</v>
      </c>
      <c r="CN2" s="53" t="str">
        <f>IF(S2=3,"y","n")</f>
        <v>n</v>
      </c>
      <c r="CO2" s="53" t="str">
        <f>IF(S2&gt;=4,"y","n")</f>
        <v>n</v>
      </c>
      <c r="CP2" s="53" t="str">
        <f>IF(AT2=0,"y","n")</f>
        <v>y</v>
      </c>
      <c r="CQ2" s="53" t="str">
        <f>IF(AT2=1,"y","n")</f>
        <v>n</v>
      </c>
      <c r="CR2" s="53" t="str">
        <f>IF(AT2=2,"y","n")</f>
        <v>n</v>
      </c>
      <c r="CS2" s="53" t="str">
        <f>IF(AT2&gt;=3,"y","n")</f>
        <v>n</v>
      </c>
      <c r="CT2" s="38" t="str">
        <f>CHAR(34)&amp;A2&amp;CHAR(34)</f>
        <v>"Guam"</v>
      </c>
      <c r="CU2" s="63" t="str">
        <f>CHAR(34)&amp;"rgn_"&amp;R2&amp;CHAR(34)</f>
        <v>"rgn_Oceania, rgn_North America"</v>
      </c>
      <c r="CV2" s="44" t="str">
        <f>CHAR(34)&amp;D2&amp;CHAR(34)</f>
        <v>"https://upload.wikimedia.org/wikipedia/commons/thumb/0/07/Flag_of_Guam.svg/2560px-Flag_of_Guam.svg.png"</v>
      </c>
      <c r="CW2" s="44" t="str">
        <f t="shared" ref="CW2:CZ3" si="0">IF(CH2="y",CHAR(34)&amp;CH$1&amp;CHAR(34)&amp;",","")</f>
        <v/>
      </c>
      <c r="CX2" s="44" t="str">
        <f t="shared" si="0"/>
        <v/>
      </c>
      <c r="CY2" s="44" t="str">
        <f t="shared" si="0"/>
        <v/>
      </c>
      <c r="CZ2" s="44" t="str">
        <f t="shared" si="0"/>
        <v>"5+Colo",</v>
      </c>
      <c r="DA2" s="44" t="str">
        <f>IF(Q2&gt;1,CHAR(34)&amp;"words2"&amp;CHAR(34)&amp;",","")</f>
        <v/>
      </c>
      <c r="DB2" s="44" t="str">
        <f>IF(Q2&gt;2,CHAR(34)&amp;"words3"&amp;CHAR(34)&amp;",","")</f>
        <v/>
      </c>
      <c r="DC2" s="44" t="str">
        <f>IF(Q2=2,CHAR(34)&amp;"exact2"&amp;CHAR(34)&amp;",","")</f>
        <v/>
      </c>
      <c r="DD2" s="44"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"lets04",</v>
      </c>
      <c r="DE2" s="44"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"startG",</v>
      </c>
      <c r="DF2" s="44" t="str">
        <f>IFERROR(IF(SEARCH("tan",A2)&gt;0,CHAR(34)&amp;"withtn"&amp;CHAR(34)&amp;",",""),"")</f>
        <v/>
      </c>
      <c r="DG2" s="44" t="str">
        <f>IFERROR(IF(SEARCH("q",A2)&gt;0,CHAR(34)&amp;"with_q"&amp;CHAR(34)&amp;",",""),"")</f>
        <v/>
      </c>
      <c r="DH2" s="44" t="str">
        <f>IFERROR(IF(SEARCH("v",A2)&gt;0,CHAR(34)&amp;"with_v"&amp;CHAR(34)&amp;",",""),"")</f>
        <v/>
      </c>
      <c r="DI2" s="44" t="str">
        <f>IFERROR(IF(SEARCH("w",A2)&gt;0,CHAR(34)&amp;"with_w"&amp;CHAR(34)&amp;",",""),"")</f>
        <v/>
      </c>
      <c r="DJ2" s="44" t="str">
        <f>IFERROR(IF(SEARCH("y",A2)&gt;0,CHAR(34)&amp;"with_y"&amp;CHAR(34)&amp;",",""),"")</f>
        <v/>
      </c>
      <c r="DK2" s="44" t="str">
        <f>IFERROR(IF(SEARCH("z",A2)&gt;0,CHAR(34)&amp;"with_z"&amp;CHAR(34)&amp;",",""),"")</f>
        <v/>
      </c>
      <c r="DL2" s="44" t="str">
        <f>IF(CG2=2, CHAR(34) &amp; _xlfn.TEXTJOIN("", TRUE, _xlfn._xlws.SORT(HP2:HX2)) &amp; CHAR(34) &amp; ",", "")</f>
        <v/>
      </c>
      <c r="DM2" s="44" t="str" cm="1">
        <f t="array" ref="DM2">IF(CG2=3,CHAR(34) &amp; _xlfn.TEXTJOIN("", TRUE, RIGHT(HP2:HX2, 2)) &amp; CHAR(34) &amp; ",", "")</f>
        <v/>
      </c>
      <c r="DN2" s="44" t="str">
        <f>IF(AND(ISNUMBER(SEARCH("18", O2)), ISERROR(SEARCH("1918", O2)), ISERROR(SEARCH("2018", O2))), CHAR(34) &amp; "year18" &amp; CHAR(34) &amp; ",", "")</f>
        <v/>
      </c>
      <c r="DO2" s="44" t="str">
        <f>IF(AND(ISNUMBER(SEARCH("19", O2)), ISERROR(SEARCH("1819", O2)),  ISERROR(SEARCH("1219", O2)),ISERROR(SEARCH("1119", O2)),ISERROR(SEARCH("1190", O2)),ISERROR(SEARCH("2019", O2))), CHAR(34) &amp; "year19" &amp; CHAR(34) &amp; ",", "")</f>
        <v>"year19",</v>
      </c>
      <c r="DP2" s="5" t="str">
        <f>IF(AND(ISNUMBER(SEARCH("20", O2)), ISERROR(SEARCH("1920", O2))), CHAR(34)&amp;"year00"&amp;CHAR(34)&amp;",", "")</f>
        <v/>
      </c>
      <c r="DQ2" s="5" t="str">
        <f>IF(CC2="y",CHAR(34)&amp;"soviet"&amp;CHAR(34)&amp;",","")</f>
        <v/>
      </c>
      <c r="DR2" s="5" t="str">
        <f>IF(BY2="y",CHAR(34)&amp;"dgband"&amp;CHAR(34)&amp;",","")</f>
        <v/>
      </c>
      <c r="DS2" s="5" t="str">
        <f>IF(W2="y",IF(AND(V2="n",BY2&lt;&gt;"y"),CHAR(34)&amp;"allver"&amp;CHAR(34)&amp;",",""),"")</f>
        <v/>
      </c>
      <c r="DT2" s="5" t="str">
        <f>IF(V2="y",IF(AND(W2="n",BY2&lt;&gt;"y"),CHAR(34)&amp;"allhor"&amp;CHAR(34)&amp;",",""),"")</f>
        <v/>
      </c>
      <c r="DU2" s="5" t="str">
        <f>IF(BY2="y",IF(AND(W2="n",V2="n"),CHAR(34)&amp;"alldia"&amp;CHAR(34)&amp;",",""),"")</f>
        <v/>
      </c>
      <c r="DV2" s="44" t="str">
        <f>IF(IA2&lt;&gt;"",(IF(IA2="y",CHAR(34)&amp;"largec"&amp;CHAR(34)&amp;",",CHAR(34)&amp;"smallc"&amp;CHAR(34)&amp;",")),"")</f>
        <v/>
      </c>
      <c r="DW2" s="44" t="str">
        <f t="shared" ref="DW2:DZ3" si="1">IF(CL2="y",CHAR(34)&amp;CL$1&amp;CHAR(34)&amp;",","")</f>
        <v>"NoBand",</v>
      </c>
      <c r="DX2" s="44" t="str">
        <f t="shared" si="1"/>
        <v/>
      </c>
      <c r="DY2" s="44" t="str">
        <f t="shared" si="1"/>
        <v/>
      </c>
      <c r="DZ2" s="44" t="str">
        <f t="shared" si="1"/>
        <v/>
      </c>
      <c r="EA2" s="44" t="str">
        <f t="shared" ref="EA2:EE3" si="2">IF(T2="y",CHAR(34)&amp;T$1&amp;CHAR(34)&amp;",","")</f>
        <v/>
      </c>
      <c r="EB2" s="44" t="str">
        <f t="shared" si="2"/>
        <v/>
      </c>
      <c r="EC2" s="44" t="str">
        <f t="shared" si="2"/>
        <v/>
      </c>
      <c r="ED2" s="44" t="str">
        <f t="shared" si="2"/>
        <v/>
      </c>
      <c r="EE2" s="44" t="str">
        <f t="shared" si="2"/>
        <v/>
      </c>
      <c r="EF2" s="44" t="str">
        <f>IF(AND(Y2&lt;&gt;"n",Y2&lt;&gt;""),CHAR(34)&amp;Y$1&amp;CHAR(34)&amp;",","")</f>
        <v/>
      </c>
      <c r="EG2" s="44" t="str">
        <f t="shared" ref="EG2:EP3" si="3">IF(Z2="y",CHAR(34)&amp;Z$1&amp;CHAR(34)&amp;",","")</f>
        <v/>
      </c>
      <c r="EH2" s="44" t="str">
        <f t="shared" si="3"/>
        <v>"Plants",</v>
      </c>
      <c r="EI2" s="44" t="str">
        <f t="shared" si="3"/>
        <v>"Texted",</v>
      </c>
      <c r="EJ2" s="44" t="str">
        <f t="shared" si="3"/>
        <v/>
      </c>
      <c r="EK2" s="44" t="str">
        <f t="shared" si="3"/>
        <v/>
      </c>
      <c r="EL2" s="44" t="str">
        <f t="shared" si="3"/>
        <v/>
      </c>
      <c r="EM2" s="44" t="str">
        <f t="shared" si="3"/>
        <v/>
      </c>
      <c r="EN2" s="44" t="str">
        <f t="shared" si="3"/>
        <v/>
      </c>
      <c r="EO2" s="44" t="str">
        <f t="shared" si="3"/>
        <v>"Center",</v>
      </c>
      <c r="EP2" s="44" t="str">
        <f t="shared" si="3"/>
        <v/>
      </c>
      <c r="EQ2" s="44" t="str">
        <f t="shared" ref="EQ2:EZ3" si="4">IF(AJ2="y",CHAR(34)&amp;AJ$1&amp;CHAR(34)&amp;",","")</f>
        <v/>
      </c>
      <c r="ER2" s="44" t="str">
        <f t="shared" si="4"/>
        <v/>
      </c>
      <c r="ES2" s="44" t="str">
        <f t="shared" si="4"/>
        <v>"Wavess",</v>
      </c>
      <c r="ET2" s="44" t="str">
        <f t="shared" si="4"/>
        <v>"Geogrh",</v>
      </c>
      <c r="EU2" s="44" t="str">
        <f t="shared" si="4"/>
        <v/>
      </c>
      <c r="EV2" s="44" t="str">
        <f t="shared" si="4"/>
        <v/>
      </c>
      <c r="EW2" s="44" t="str">
        <f t="shared" si="4"/>
        <v>"Ships!",</v>
      </c>
      <c r="EX2" s="44" t="str">
        <f t="shared" si="4"/>
        <v/>
      </c>
      <c r="EY2" s="44" t="str">
        <f t="shared" si="4"/>
        <v/>
      </c>
      <c r="EZ2" s="44" t="str">
        <f t="shared" si="4"/>
        <v>"Waters",</v>
      </c>
      <c r="FA2" s="44" t="str">
        <f>IF(AT2&gt;0,CHAR(34)&amp;"sta"&amp;AZ2&amp;CHAR(34)&amp;",","")</f>
        <v/>
      </c>
      <c r="FB2" s="44" t="str">
        <f>IF(AND(AT2&gt;0,BA2&lt;&gt;""),CHAR(34)&amp;"sta"&amp;BA2&amp;CHAR(34)&amp;",","")</f>
        <v/>
      </c>
      <c r="FC2" s="44" t="str">
        <f>IF(AND(AT2&gt;0,BB2&lt;&gt;""),CHAR(34)&amp;"sta"&amp;BB2&amp;CHAR(34)&amp;",","")</f>
        <v/>
      </c>
      <c r="FD2" s="44" t="str">
        <f>IF(BV2="n",CHAR(34)&amp;"tcWHYE"&amp;CHAR(34)&amp;",",IF(BV2="y",CHAR(34)&amp;FD$1&amp;CHAR(34)&amp;",",""))</f>
        <v>"ntWHYE",</v>
      </c>
      <c r="FE2" s="44" t="str">
        <f>IF(COUNTIF(BL2:BT2,"BLU")=0,CHAR(34)&amp;"NO_BLU"&amp;CHAR(34)&amp;",", "")</f>
        <v/>
      </c>
      <c r="FF2" s="44" t="str">
        <f>IF(COUNTIF(BL2:BT2,"WHI")=0,CHAR(34)&amp;"NO_WHI"&amp;CHAR(34)&amp;",", "")</f>
        <v/>
      </c>
      <c r="FG2" s="44" t="str">
        <f>IF(COUNTIF(BL2:BT2,"RED")=0,CHAR(34)&amp;"NO_RED"&amp;CHAR(34)&amp;",", "")</f>
        <v/>
      </c>
      <c r="FH2" s="44" t="str">
        <f>IF(COUNTIF(BL2:BS2,"GRE")=0,CHAR(34)&amp;"NO_GRE"&amp;CHAR(34)&amp;",", "")</f>
        <v/>
      </c>
      <c r="FI2" s="44" t="str">
        <f>IF(COUNTIF(BL2:BT2,"YEL")=0,CHAR(34)&amp;"NO_YEL"&amp;CHAR(34)&amp;",", "")</f>
        <v/>
      </c>
      <c r="FJ2" s="44" t="str">
        <f>IF(COUNTIF(BL2:BT2,"BLA")=0,CHAR(34)&amp;"NO_BLA"&amp;CHAR(34)&amp;",", "")</f>
        <v>"NO_BLA",</v>
      </c>
      <c r="FK2" s="44" t="str">
        <f>IF(AND(FH2&lt;&gt;"",FF2&lt;&gt;""),CHAR(34)&amp;"WHGRNO"&amp;CHAR(34)&amp;",","")</f>
        <v/>
      </c>
      <c r="FL2" s="44" t="str">
        <f>IF(AND(FI2&lt;&gt;"",FF2&lt;&gt;""),CHAR(34)&amp;"WHYENO"&amp;CHAR(34)&amp;",","")</f>
        <v/>
      </c>
      <c r="FM2" s="44" t="str">
        <f>IF(AND(FJ2&lt;&gt;"",FF2&lt;&gt;""),CHAR(34)&amp;"BAWHNO"&amp;CHAR(34)&amp;",","")</f>
        <v/>
      </c>
      <c r="FN2" s="44" t="str">
        <f>IF(AND(FE2&lt;&gt;"",FF2&lt;&gt;""),CHAR(34)&amp;"BLWHNO"&amp;CHAR(34)&amp;",","")</f>
        <v/>
      </c>
      <c r="FO2" s="44" t="str">
        <f>IF(AND(FE2&lt;&gt;"",FG2&lt;&gt;""),CHAR(34)&amp;"BLRENO"&amp;CHAR(34)&amp;",","")</f>
        <v/>
      </c>
      <c r="FP2" s="44" t="str">
        <f>IF(AND(FF2&lt;&gt;"",FF2&lt;&gt;""),CHAR(34)&amp;"WHRENO"&amp;CHAR(34)&amp;",","")</f>
        <v/>
      </c>
      <c r="FQ2" s="44" t="str">
        <f>IF(LEN(BF2)=3,CHAR(34)&amp;"001"&amp;BF2&amp;CHAR(34)&amp;",","")</f>
        <v/>
      </c>
      <c r="FR2" s="44" t="str">
        <f>IF(LEN(BG2)=3,CHAR(34)&amp;"002"&amp;BG2&amp;CHAR(34)&amp;",","")</f>
        <v/>
      </c>
      <c r="FS2" s="44" t="str">
        <f>IF(LEN(BH2)=3,CHAR(34)&amp;"003"&amp;BH2&amp;CHAR(34)&amp;",","")</f>
        <v/>
      </c>
      <c r="FT2" s="44" t="str">
        <f>CHAR(34)&amp;"myr"&amp;BD2&amp;CHAR(34)&amp;","</f>
        <v>"myrBLU",</v>
      </c>
      <c r="FU2" s="44" t="str">
        <f>IF(AY2="y",CHAR(34)&amp;"island"&amp;CHAR(34)&amp;",","")</f>
        <v>"island",</v>
      </c>
      <c r="FV2" s="44" t="str">
        <f>IF(BZ2="y",CHAR(34)&amp;"landlo"&amp;CHAR(34)&amp;",","")</f>
        <v/>
      </c>
      <c r="FW2" s="44" t="str">
        <f>IF(CA2="y",CHAR(34)&amp;"eunion"&amp;CHAR(34)&amp;",","")</f>
        <v/>
      </c>
      <c r="FX2" s="44" t="str">
        <f>SUBSTITUTE(IFERROR(SEARCH("[",A2),IFERROR(IF(AND(CA2&lt;&gt;"y",SEARCH("Europe",R2)&gt;0),CHAR(34)&amp;"noeuni"&amp;CHAR(34)&amp;",",""),"")),"1","")</f>
        <v/>
      </c>
      <c r="FY2" s="44" t="str">
        <f>IFERROR(IF(SEARCH("Arabic",CB2)&gt;0,CHAR(34)&amp;"arabic"&amp;CHAR(34)&amp;",",""),"")</f>
        <v/>
      </c>
      <c r="FZ2" s="44" t="str">
        <f>IFERROR(IF(SEARCH("English",CB2)&gt;0,CHAR(34)&amp;"englis"&amp;CHAR(34)&amp;",",""),"")</f>
        <v>"englis",</v>
      </c>
      <c r="GA2" s="44" t="str">
        <f>IFERROR(IF(SEARCH("French",CB2)&gt;0,CHAR(34)&amp;"french"&amp;CHAR(34)&amp;",",""),"")</f>
        <v/>
      </c>
      <c r="GB2" s="44" t="str">
        <f>IFERROR(IF(SEARCH("Spanish",CB2)&gt;0,CHAR(34)&amp;"spanis"&amp;CHAR(34)&amp;",",""),"")</f>
        <v/>
      </c>
      <c r="GC2" s="44" t="str">
        <f>IFERROR(IF(SEARCH("Portuguese",CB2)&gt;0,CHAR(34)&amp;"portug"&amp;CHAR(34)&amp;",",""),"")</f>
        <v/>
      </c>
      <c r="GD2" s="44" t="str">
        <f>IFERROR(IF(SEARCH("German",CB2)&gt;0,CHAR(34)&amp;"german"&amp;CHAR(34)&amp;",",""),"")</f>
        <v/>
      </c>
      <c r="GE2" s="44" t="str">
        <f>IFERROR(IF(SEARCH("Dutch",CB2)&gt;0,CHAR(34)&amp;"dutchs"&amp;CHAR(34)&amp;",",""),"")</f>
        <v/>
      </c>
      <c r="GF2" s="44" t="str">
        <f>IFERROR(IF(SEARCH("Histor",AU2)&gt;0,CHAR(34)&amp;"histor"&amp;CHAR(34)&amp;",",""),"")</f>
        <v/>
      </c>
      <c r="GG2" s="44" t="str">
        <f>IF(BU2="y",CHAR(34)&amp;"unjack"&amp;CHAR(34)&amp;",","")</f>
        <v/>
      </c>
      <c r="GH2" s="44" t="str">
        <f>IF(CD2=1,CHAR(34)&amp;"southc"&amp;CHAR(34)&amp;",","")</f>
        <v/>
      </c>
      <c r="GI2" s="44" t="str">
        <f>IF(CE2=1,CHAR(34)&amp;"hasmap"&amp;CHAR(34)&amp;",","")</f>
        <v/>
      </c>
      <c r="GJ2" s="44" t="str">
        <f>IF(CP2="y",CHAR(34)&amp;CP$1&amp;CHAR(34)&amp;",","")</f>
        <v>"NoStar",</v>
      </c>
      <c r="GK2" s="44" t="str">
        <f>IF(GJ2="",CHAR(34)&amp;"HasSta"&amp;CHAR(34)&amp;",","")</f>
        <v/>
      </c>
      <c r="GL2" s="44" t="str">
        <f t="shared" ref="GL2:GN3" si="5">IF(CQ2="y",CHAR(34)&amp;CQ$1&amp;CHAR(34)&amp;",","")</f>
        <v/>
      </c>
      <c r="GM2" s="44" t="str">
        <f t="shared" si="5"/>
        <v/>
      </c>
      <c r="GN2" s="44" t="str">
        <f t="shared" si="5"/>
        <v/>
      </c>
      <c r="GP2" s="44" t="str">
        <f>CHAR(34)&amp;AU2&amp;CHAR(34)</f>
        <v>""</v>
      </c>
      <c r="GS2" s="44" t="str">
        <f>SUBSTITUTE("["&amp;_xlfn.CONCAT(CW2:GN2)&amp;"]",",]","]")</f>
        <v>["5+Colo","lets04","startG","year19","NoBand","Plants","Texted","Center","Wavess","Geogrh","Ships!","Waters","ntWHYE","NO_BLA","myrBLU","island","englis","NoStar"]</v>
      </c>
      <c r="GT2" s="44" t="str">
        <f t="shared" ref="GT2:HB3" si="6">IF(BL2&lt;&gt;"",CHAR(34)&amp;"cl_"&amp;BL2&amp;CHAR(34)&amp;",","")</f>
        <v>"cl_RED",</v>
      </c>
      <c r="GU2" s="44" t="str">
        <f t="shared" si="6"/>
        <v>"cl_BLU",</v>
      </c>
      <c r="GV2" s="44" t="str">
        <f t="shared" si="6"/>
        <v>"cl_GRE",</v>
      </c>
      <c r="GW2" s="44" t="str">
        <f t="shared" si="6"/>
        <v>"cl_YEL",</v>
      </c>
      <c r="GX2" s="44" t="str">
        <f t="shared" si="6"/>
        <v>"cl_WHI",</v>
      </c>
      <c r="GY2" s="44" t="str">
        <f t="shared" si="6"/>
        <v/>
      </c>
      <c r="GZ2" s="44" t="str">
        <f t="shared" si="6"/>
        <v/>
      </c>
      <c r="HA2" s="44" t="str">
        <f t="shared" si="6"/>
        <v/>
      </c>
      <c r="HB2" s="44" t="str">
        <f t="shared" si="6"/>
        <v/>
      </c>
      <c r="HC2" s="44" t="str">
        <f>SUBSTITUTE("["&amp;_xlfn.CONCAT(GT2:HB2)&amp;"]",",]","]")</f>
        <v>["cl_RED","cl_BLU","cl_GRE","cl_YEL","cl_WHI"]</v>
      </c>
      <c r="HE2" s="64"/>
      <c r="HF2" s="65" t="str">
        <f>"{couname:"&amp;CT2&amp;(IF(HK2&lt;&gt;"",",subtype:"&amp;CHAR(34)&amp;HK2&amp;CHAR(34),""))&amp;",year:"&amp;HJ2&amp;",region:"&amp;CU2&amp;",Colors:"&amp;HC2&amp;",Items:"&amp;GS2&amp;",Flag:"&amp;CV2&amp;",HDFlag:"&amp;CHAR(34)&amp;E2&amp;CHAR(34)&amp;",type:"&amp;GP2&amp;", describe: "&amp;HH2&amp;", isnew:"&amp;CHAR(34)&amp;F2&amp;CHAR(34)&amp;", links: "&amp;HL2&amp;"},"</f>
        <v>{couname:"Guam",year:"1948 ",region:"rgn_Oceania, rgn_North America",Colors:["cl_RED","cl_BLU","cl_GRE","cl_YEL","cl_WHI"],Items:["5+Colo","lets04","startG","year19","NoBand","Plants","Texted","Center","Wavess","Geogrh","Ships!","Waters","ntWHYE","NO_BLA","myrBLU","island","englis","NoStar"],Flag:"https://upload.wikimedia.org/wikipedia/commons/thumb/0/07/Flag_of_Guam.svg/2560px-Flag_of_Guam.svg.png",HDFlag:"https://upload.wikimedia.org/wikipedia/commons/thumb/0/07/Flag_of_Guam.svg/2560px-Flag_of_Guam.svg.png",type:"", describe: "\nThe red border – a later addition – represents the blood spilled during World War II and earlier Spanish sovereignty. In the center of the flag is the Seal of Guam; almond in shape, it depicts a proa sailing in Hagåtña Bay near Hagåtña, and GUAM in red letters. The shape of the emblem recalls the slingshot stones used by ancient Chamorro people. The landform in the background depicts the Two Lovers Point cliff on the northern edge of Tumon.", isnew:".", links: "https://en.wikipedia.org/wiki/Flag_of_Guam"},</v>
      </c>
      <c r="HG2" s="66" t="str">
        <f>"{couname:"&amp;CT2&amp;(IF(HK2&lt;&gt;"",",subtype:"&amp;CHAR(34)&amp;HK2&amp;CHAR(34),""))&amp;",year:"&amp;HJ2&amp;",region:"&amp;CU2&amp;",Colors:"&amp;HC2&amp;",Items:"&amp;GS2&amp;",Flag:"&amp;CV2&amp;",HDFlag:"&amp;CHAR(34)&amp;E2&amp;CHAR(34)&amp;",type:"&amp;GP2&amp;", describe: "&amp;HI2&amp;", links: "&amp;HL2&amp;"},"</f>
        <v>{couname:"Guam",year:"1948 ",region:"rgn_Oceania, rgn_North America",Colors:["cl_RED","cl_BLU","cl_GRE","cl_YEL","cl_WHI"],Items:["5+Colo","lets04","startG","year19","NoBand","Plants","Texted","Center","Wavess","Geogrh","Ships!","Waters","ntWHYE","NO_BLA","myrBLU","island","englis","NoStar"],Flag:"https://upload.wikimedia.org/wikipedia/commons/thumb/0/07/Flag_of_Guam.svg/2560px-Flag_of_Guam.svg.png",HDFlag:"https://upload.wikimedia.org/wikipedia/commons/thumb/0/07/Flag_of_Guam.svg/2560px-Flag_of_Guam.svg.png",type:"", describe: "\nThe red border – a later addition – represents the blood spilled during World War II and earlier Spanish sovereignty. In the center of the flag is the Seal of Guam; almond in shape, it depicts a proa sailing in Hagåtña Bay near Hagåtña, and GUAM in red letters. The shape of the emblem recalls the slingshot stones used by ancient Chamorro people. The landform in the background depicts the Two Lovers Point cliff on the northern edge of Tumon.", links: "https://en.wikipedia.org/wiki/Flag_of_Guam"},</v>
      </c>
      <c r="HH2" s="44" t="str">
        <f>IF(P2&lt;&gt;"",CHAR(34)&amp;"\n"&amp;P2&amp;CHAR(34),CHAR(34)&amp;CHAR(34))</f>
        <v>"\nThe red border – a later addition – represents the blood spilled during World War II and earlier Spanish sovereignty. In the center of the flag is the Seal of Guam; almond in shape, it depicts a proa sailing in Hagåtña Bay near Hagåtña, and GUAM in red letters. The shape of the emblem recalls the slingshot stones used by ancient Chamorro people. The landform in the background depicts the Two Lovers Point cliff on the northern edge of Tumon."</v>
      </c>
      <c r="HI2" s="44" t="str">
        <f>IF(J2=0,CHAR(34)&amp;CHAR(34),HH2)</f>
        <v>"\nThe red border – a later addition – represents the blood spilled during World War II and earlier Spanish sovereignty. In the center of the flag is the Seal of Guam; almond in shape, it depicts a proa sailing in Hagåtña Bay near Hagåtña, and GUAM in red letters. The shape of the emblem recalls the slingshot stones used by ancient Chamorro people. The landform in the background depicts the Two Lovers Point cliff on the northern edge of Tumon."</v>
      </c>
      <c r="HJ2" s="44" t="str">
        <f>CHAR(34)&amp;O2&amp;CHAR(34)</f>
        <v>"1948 "</v>
      </c>
      <c r="HL2" s="44" t="str">
        <f>CHAR(34)&amp;I2&amp;CHAR(34)</f>
        <v>"https://en.wikipedia.org/wiki/Flag_of_Guam"</v>
      </c>
      <c r="HM2" s="65"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{"couname":"Guam","year":"1948 ","region":"rgn_Oceania, rgn_North America","Colors":["cl_RED","cl_BLU","cl_GRE","cl_YEL","cl_WHI"],"Items":["5+Colo","lets04","startG","year19","NoBand","Plants","Texted","Center","Wavess","Geogrh","Ships!","Waters","ntWHYE","NO_BLA","myrBLU","island","englis","NoStar"],"Flag":"https://upload.wikimedia.org/wikipedia/commons/thumb/0/07/Flag_of_Guam.svg/2560px-Flag_of_Guam.svg.png","HDFlag":"https://upload.wikimedia.org/wikipedia/commons/thumb/0/07/Flag_of_Guam.svg/2560px-Flag_of_Guam.svg.png","type":"", "describe": "\nThe red border – a later addition – represents the blood spilled during World War II and earlier Spanish sovereignty. In the center of the flag is the Seal of Guam; almond in shape, it depicts a proa sailing in Hagåtña Bay near Hagåtña, and GUAM in red letters. The shape of the emblem recalls the slingshot stones used by ancient Chamorro people. The landform in the background depicts the Two Lovers Point cliff on the northern edge of Tumon.", "isnew": ".", "links": "https://en.wikipedia.org/wiki/Flag_of_Guam"},</v>
      </c>
      <c r="HN2" s="67"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{"couname":"Guam","year":"1948 ","region":"rgn_Oceania, rgn_North America","Colors":["cl_RED","cl_BLU","cl_GRE","cl_YEL","cl_WHI"],"Items":["5+Colo","lets04","startG","year19","NoBand","Plants","Texted","Center","Wavess","Geogrh","Ships!","Waters","ntWHYE","NO_BLA","myrBLU","island","englis","NoStar"],"Flag":"https://upload.wikimedia.org/wikipedia/commons/thumb/0/07/Flag_of_Guam.svg/2560px-Flag_of_Guam.svg.png","HDFlag":"https://upload.wikimedia.org/wikipedia/commons/thumb/0/07/Flag_of_Guam.svg/2560px-Flag_of_Guam.svg.png","type":"", "describe": "\nThe red border – a later addition – represents the blood spilled during World War II and earlier Spanish sovereignty. In the center of the flag is the Seal of Guam; almond in shape, it depicts a proa sailing in Hagåtña Bay near Hagåtña, and GUAM in red letters. The shape of the emblem recalls the slingshot stones used by ancient Chamorro people. The landform in the background depicts the Two Lovers Point cliff on the northern edge of Tumon.", "isnew": ".", "links": "https://en.wikipedia.org/wiki/Flag_of_Guam"},</v>
      </c>
      <c r="HO2" s="71"/>
      <c r="HP2" s="44" t="str" cm="1">
        <f t="array" ref="HP2">IF(_xlfn.TEXTJOIN(", ", TRUE, IF(ISNUMBER(SEARCH("BLA", BL2:BT2)), COLUMN(BL2:BT2) - COLUMN(BL2) + 1, ""))&lt;&gt;"","BLA","")</f>
        <v/>
      </c>
      <c r="HQ2" s="44" t="str" cm="1">
        <f t="array" ref="HQ2">IF(_xlfn.TEXTJOIN(", ", TRUE, IF(ISNUMBER(SEARCH("BLU", BL2:BT2)), COLUMN(BL2:BT2) - COLUMN(BL2) + 1, ""))&lt;&gt;"","BLU","")</f>
        <v>BLU</v>
      </c>
      <c r="HR2" s="44" t="str" cm="1">
        <f t="array" ref="HR2">IF(_xlfn.TEXTJOIN(", ", TRUE, IF(ISNUMBER(SEARCH("GRE", BL2:BT2)), COLUMN(BL2:BT2) - COLUMN(BL2) + 1, ""))&lt;&gt;"","GRE","")</f>
        <v>GRE</v>
      </c>
      <c r="HS2" s="44" t="str" cm="1">
        <f t="array" ref="HS2">IF(_xlfn.TEXTJOIN(", ", TRUE, IF(ISNUMBER(SEARCH("RED", BL2:BT2)), COLUMN(BL2:BT2) - COLUMN(BL2) + 1, ""))&lt;&gt;"","RED","")</f>
        <v>RED</v>
      </c>
      <c r="HT2" s="44" t="str" cm="1">
        <f t="array" ref="HT2">IF(_xlfn.TEXTJOIN(", ", TRUE, IF(ISNUMBER(SEARCH("YEL", BL2:BT2)), COLUMN(BL2:BT2) - COLUMN(BL2) + 1, ""))&lt;&gt;"","YEL","")</f>
        <v>YEL</v>
      </c>
      <c r="HU2" s="44" t="str" cm="1">
        <f t="array" ref="HU2">IF(_xlfn.TEXTJOIN(", ", TRUE, IF(ISNUMBER(SEARCH("ORA", BL2:BT2)), COLUMN(BL2:BT2) - COLUMN(BL2) + 1, ""))&lt;&gt;"","ORA","")</f>
        <v/>
      </c>
      <c r="HV2" s="44" t="str" cm="1">
        <f t="array" ref="HV2">IF(_xlfn.TEXTJOIN(", ", TRUE, IF(ISNUMBER(SEARCH("BRO", BL2:BT2)), COLUMN(BL2:BT2) - COLUMN(BL2) + 1, ""))&lt;&gt;"","BRO","")</f>
        <v/>
      </c>
      <c r="HW2" s="44" t="str" cm="1">
        <f t="array" ref="HW2">IF(_xlfn.TEXTJOIN(", ", TRUE, IF(ISNUMBER(SEARCH("PUR", BL2:BT2)), COLUMN(BL2:BT2) - COLUMN(BL2) + 1, ""))&lt;&gt;"","PUR","")</f>
        <v/>
      </c>
      <c r="HX2" s="44" t="str" cm="1">
        <f t="array" ref="HX2">IF(_xlfn.TEXTJOIN(", ", TRUE, IF(ISNUMBER(SEARCH("WHI", BL2:BT2)), COLUMN(BL2:BT2) - COLUMN(BL2) + 1, ""))&lt;&gt;"","WHI","")</f>
        <v>WHI</v>
      </c>
      <c r="HY2" s="72"/>
      <c r="HZ2" s="72"/>
      <c r="IA2" s="5"/>
      <c r="IB2" s="5"/>
      <c r="IC2" s="68"/>
      <c r="ID2" s="68"/>
      <c r="IE2" s="68"/>
      <c r="IF2" s="68"/>
      <c r="IG2" s="68"/>
      <c r="IH2" s="68"/>
      <c r="II2" s="68"/>
      <c r="IJ2" s="68"/>
      <c r="IK2" s="68"/>
      <c r="IL2" s="44">
        <f>SUM(IC2:IK2)</f>
        <v>0</v>
      </c>
      <c r="IM2" s="42">
        <f>COUNTIF(IC2:IK2,"&gt;0")-CG2</f>
        <v>-5</v>
      </c>
      <c r="IN2" s="69" t="str">
        <f>"http://mkweb.bcgsc.ca/color-summarizer/?url="&amp;D2&amp;"&amp;precision=low&amp;num_clusters="&amp;CG2&amp;"&amp;text=1"</f>
        <v>http://mkweb.bcgsc.ca/color-summarizer/?url=https://upload.wikimedia.org/wikipedia/commons/thumb/0/07/Flag_of_Guam.svg/2560px-Flag_of_Guam.svg.png&amp;precision=low&amp;num_clusters=5&amp;text=1</v>
      </c>
      <c r="IO2" s="44" t="str">
        <f>IF(HP2&lt;&gt;"",CHAR(34)&amp;"black"&amp;CHAR(34),"")</f>
        <v/>
      </c>
      <c r="IP2" s="44" t="str">
        <f>IF(HQ2&lt;&gt;"",CHAR(34)&amp;"blue"&amp;CHAR(34),"")</f>
        <v>"blue"</v>
      </c>
      <c r="IQ2" s="44" t="str">
        <f>IF(HR2&lt;&gt;"",CHAR(34)&amp;"green"&amp;CHAR(34),"")</f>
        <v>"green"</v>
      </c>
      <c r="IR2" s="44" t="str">
        <f>IF(HS2&lt;&gt;"",CHAR(34)&amp;"red"&amp;CHAR(34),"")</f>
        <v>"red"</v>
      </c>
      <c r="IS2" s="44" t="str">
        <f>IF(HT2&lt;&gt;"",CHAR(34)&amp;"yellow"&amp;CHAR(34),"")</f>
        <v>"yellow"</v>
      </c>
      <c r="IT2" s="44" t="str">
        <f>IF(HU2&lt;&gt;"",CHAR(34)&amp;"orange"&amp;CHAR(34),"")</f>
        <v/>
      </c>
      <c r="IU2" s="44" t="str">
        <f>IF(HV2&lt;&gt;"",CHAR(34)&amp;"brown"&amp;CHAR(34),"")</f>
        <v/>
      </c>
      <c r="IV2" s="44" t="str">
        <f>IF(HW2&lt;&gt;"",CHAR(34)&amp;"purple"&amp;CHAR(34),"")</f>
        <v/>
      </c>
      <c r="IW2" s="44" t="str">
        <f>IF(HX2&lt;&gt;"",CHAR(34)&amp;"white"&amp;CHAR(34),"")</f>
        <v>"white"</v>
      </c>
      <c r="IX2" s="44" t="str">
        <f>"{"&amp;CHAR(34)&amp;"url"&amp;CHAR(34)&amp;":"&amp;CHAR(34)&amp;IN2&amp;CHAR(34)&amp;","&amp;CHAR(34)&amp;"name"&amp;CHAR(34)&amp;":"&amp;CHAR(34)&amp;A2&amp;CHAR(34)&amp;"},"</f>
        <v>{"url":"http://mkweb.bcgsc.ca/color-summarizer/?url=https://upload.wikimedia.org/wikipedia/commons/thumb/0/07/Flag_of_Guam.svg/2560px-Flag_of_Guam.svg.png&amp;precision=low&amp;num_clusters=5&amp;text=1","name":"Guam"},</v>
      </c>
      <c r="IY2" s="44">
        <v>89</v>
      </c>
    </row>
    <row r="3" spans="1:259" s="44" customFormat="1" ht="38.4" customHeight="1" thickBot="1" x14ac:dyDescent="0.35">
      <c r="A3" s="80" t="s">
        <v>675</v>
      </c>
      <c r="B3" s="78" t="e" vm="38">
        <v>#VALUE!</v>
      </c>
      <c r="C3" s="39">
        <v>2</v>
      </c>
      <c r="D3" s="70" t="s">
        <v>676</v>
      </c>
      <c r="E3" s="40" t="s">
        <v>677</v>
      </c>
      <c r="F3" s="41" t="s">
        <v>165</v>
      </c>
      <c r="G3" s="42">
        <f>COUNTIF($A$1:$A$8197,A3)</f>
        <v>1</v>
      </c>
      <c r="H3" s="43"/>
      <c r="I3" s="59" t="s">
        <v>678</v>
      </c>
      <c r="J3" s="44" t="str">
        <f>""</f>
        <v/>
      </c>
      <c r="K3" s="45"/>
      <c r="L3" s="46"/>
      <c r="M3" s="46"/>
      <c r="N3" s="47" t="s">
        <v>177</v>
      </c>
      <c r="O3" s="74" t="s">
        <v>352</v>
      </c>
      <c r="P3" s="48" t="s">
        <v>679</v>
      </c>
      <c r="Q3" s="73">
        <v>1</v>
      </c>
      <c r="R3" s="49" t="s">
        <v>237</v>
      </c>
      <c r="S3" s="50">
        <v>2</v>
      </c>
      <c r="T3" s="51" t="s">
        <v>166</v>
      </c>
      <c r="U3" s="52" t="s">
        <v>167</v>
      </c>
      <c r="V3" s="52" t="s">
        <v>166</v>
      </c>
      <c r="W3" s="52" t="s">
        <v>167</v>
      </c>
      <c r="X3" s="52" t="s">
        <v>167</v>
      </c>
      <c r="Y3" s="52" t="s">
        <v>166</v>
      </c>
      <c r="Z3" s="52" t="s">
        <v>167</v>
      </c>
      <c r="AA3" s="52" t="s">
        <v>166</v>
      </c>
      <c r="AB3" s="52" t="s">
        <v>167</v>
      </c>
      <c r="AC3" s="52" t="s">
        <v>166</v>
      </c>
      <c r="AD3" s="52" t="s">
        <v>166</v>
      </c>
      <c r="AE3" s="52" t="s">
        <v>166</v>
      </c>
      <c r="AF3" s="53" t="s">
        <v>166</v>
      </c>
      <c r="AG3" s="53" t="s">
        <v>167</v>
      </c>
      <c r="AH3" s="53" t="s">
        <v>166</v>
      </c>
      <c r="AI3" s="53" t="s">
        <v>166</v>
      </c>
      <c r="AJ3" s="53" t="s">
        <v>166</v>
      </c>
      <c r="AK3" s="53" t="s">
        <v>166</v>
      </c>
      <c r="AL3" s="53" t="s">
        <v>166</v>
      </c>
      <c r="AM3" s="53" t="s">
        <v>167</v>
      </c>
      <c r="AN3" s="53" t="s">
        <v>167</v>
      </c>
      <c r="AO3" s="53" t="s">
        <v>167</v>
      </c>
      <c r="AP3" s="53" t="s">
        <v>166</v>
      </c>
      <c r="AQ3" s="53" t="s">
        <v>167</v>
      </c>
      <c r="AR3" s="53" t="s">
        <v>166</v>
      </c>
      <c r="AS3" s="53" t="s">
        <v>166</v>
      </c>
      <c r="AT3" s="54">
        <v>0</v>
      </c>
      <c r="AU3" s="53" t="s">
        <v>1110</v>
      </c>
      <c r="AV3" s="53" t="str">
        <f>IF(LEFT(A3,1)="[",LEFT(A3,5)&amp;AU3&amp;A3,"")</f>
        <v>[GUM]Village, Capital[GUM] Hagatna</v>
      </c>
      <c r="AW3" s="53" t="str">
        <f>C3&amp;H3&amp;A3</f>
        <v>2[GUM] Hagatna</v>
      </c>
      <c r="AX3" s="55"/>
      <c r="AY3" s="55"/>
      <c r="AZ3" s="56" t="s">
        <v>231</v>
      </c>
      <c r="BA3" s="56" t="s">
        <v>231</v>
      </c>
      <c r="BB3" s="56"/>
      <c r="BC3" s="57"/>
      <c r="BD3" s="58" t="s">
        <v>161</v>
      </c>
      <c r="BE3" s="59"/>
      <c r="BF3" s="58" t="s">
        <v>159</v>
      </c>
      <c r="BG3" s="58" t="s">
        <v>231</v>
      </c>
      <c r="BH3" s="58" t="s">
        <v>161</v>
      </c>
      <c r="BI3" s="58"/>
      <c r="BJ3" s="58"/>
      <c r="BK3" s="59"/>
      <c r="BL3" s="58" t="s">
        <v>153</v>
      </c>
      <c r="BM3" s="58" t="s">
        <v>231</v>
      </c>
      <c r="BN3" s="58" t="s">
        <v>155</v>
      </c>
      <c r="BO3" s="58" t="s">
        <v>156</v>
      </c>
      <c r="BP3" s="58" t="s">
        <v>157</v>
      </c>
      <c r="BQ3" s="58" t="s">
        <v>158</v>
      </c>
      <c r="BR3" s="58" t="s">
        <v>159</v>
      </c>
      <c r="BS3" s="58" t="s">
        <v>231</v>
      </c>
      <c r="BT3" s="58" t="s">
        <v>161</v>
      </c>
      <c r="BU3" s="60"/>
      <c r="BV3" s="61"/>
      <c r="BW3" s="61">
        <v>0</v>
      </c>
      <c r="BX3" s="59"/>
      <c r="CB3" s="5"/>
      <c r="CC3" s="5"/>
      <c r="CD3" s="62">
        <v>0</v>
      </c>
      <c r="CE3" s="62">
        <v>0</v>
      </c>
      <c r="CF3" s="62" t="e">
        <v>#REF!</v>
      </c>
      <c r="CG3" s="75" cm="1">
        <f t="array" ref="CG3">SUMPRODUCT(--(LEN(TRIM(BL3:BT3))&gt;0))</f>
        <v>7</v>
      </c>
      <c r="CH3" s="53" t="str">
        <f>IF(CG3=2,"y","n")</f>
        <v>n</v>
      </c>
      <c r="CI3" s="53" t="str">
        <f>IF(CG3=3,"y","n")</f>
        <v>n</v>
      </c>
      <c r="CJ3" s="53" t="str">
        <f>IF(CG3=4,"y","n")</f>
        <v>n</v>
      </c>
      <c r="CK3" s="53" t="str">
        <f>IF(CG3&gt;4,"y","n")</f>
        <v>y</v>
      </c>
      <c r="CL3" s="53" t="str">
        <f>IF(S3=0,"y","n")</f>
        <v>n</v>
      </c>
      <c r="CM3" s="53" t="str">
        <f>IF(S3=2,"y","n")</f>
        <v>y</v>
      </c>
      <c r="CN3" s="53" t="str">
        <f>IF(S3=3,"y","n")</f>
        <v>n</v>
      </c>
      <c r="CO3" s="53" t="str">
        <f>IF(S3&gt;=4,"y","n")</f>
        <v>n</v>
      </c>
      <c r="CP3" s="53" t="str">
        <f>IF(AT3=0,"y","n")</f>
        <v>y</v>
      </c>
      <c r="CQ3" s="53" t="str">
        <f>IF(AT3=1,"y","n")</f>
        <v>n</v>
      </c>
      <c r="CR3" s="53" t="str">
        <f>IF(AT3=2,"y","n")</f>
        <v>n</v>
      </c>
      <c r="CS3" s="53" t="str">
        <f>IF(AT3&gt;=3,"y","n")</f>
        <v>n</v>
      </c>
      <c r="CT3" s="38" t="str">
        <f>CHAR(34)&amp;A3&amp;CHAR(34)</f>
        <v>"[GUM] Hagatna"</v>
      </c>
      <c r="CU3" s="63" t="str">
        <f>CHAR(34)&amp;"rgn_"&amp;R3&amp;CHAR(34)</f>
        <v>"rgn_Oceania, rgn_North America"</v>
      </c>
      <c r="CV3" s="44" t="str">
        <f>CHAR(34)&amp;D3&amp;CHAR(34)</f>
        <v>"https://upload.wikimedia.org/wikipedia/commons/thumb/4/4c/Flag_of_Hag%C3%A5t%C3%B1a%2C_Guam.svg/640px-Flag_of_Hag%C3%A5t%C3%B1a%2C_Guam.svg.png"</v>
      </c>
      <c r="CW3" s="44" t="str">
        <f t="shared" si="0"/>
        <v/>
      </c>
      <c r="CX3" s="44" t="str">
        <f t="shared" si="0"/>
        <v/>
      </c>
      <c r="CY3" s="44" t="str">
        <f t="shared" si="0"/>
        <v/>
      </c>
      <c r="CZ3" s="44" t="str">
        <f t="shared" si="0"/>
        <v>"5+Colo",</v>
      </c>
      <c r="DA3" s="44" t="str">
        <f>IF(Q3&gt;1,CHAR(34)&amp;"words2"&amp;CHAR(34)&amp;",","")</f>
        <v/>
      </c>
      <c r="DB3" s="44" t="str">
        <f>IF(Q3&gt;2,CHAR(34)&amp;"words3"&amp;CHAR(34)&amp;",","")</f>
        <v/>
      </c>
      <c r="DD3" s="44"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"lets07",</v>
      </c>
      <c r="DE3" s="44" t="str">
        <f>CHAR(34)&amp;"start"&amp;IFERROR(LEFT(SUBSTITUTE(A3,"["&amp;MID(A3,FIND("[",A3)+1,FIND("]",A3)-FIND("[",A3)-1)&amp;"] ",""),1),LEFT(A3,1))&amp;CHAR(34)&amp;","</f>
        <v>"startH",</v>
      </c>
      <c r="DF3" s="44" t="str">
        <f>IFERROR(IF(SEARCH("tan",A3)&gt;0,CHAR(34)&amp;"withtn"&amp;CHAR(34)&amp;",",""),"")</f>
        <v/>
      </c>
      <c r="DG3" s="44" t="str">
        <f>IFERROR(IF(SEARCH("q",A3)&gt;0,CHAR(34)&amp;"with_q"&amp;CHAR(34)&amp;",",""),"")</f>
        <v/>
      </c>
      <c r="DH3" s="44" t="str">
        <f>IFERROR(IF(SEARCH("v",A3)&gt;0,CHAR(34)&amp;"with_v"&amp;CHAR(34)&amp;",",""),"")</f>
        <v/>
      </c>
      <c r="DI3" s="44" t="str">
        <f>IFERROR(IF(SEARCH("w",A3)&gt;0,CHAR(34)&amp;"with_w"&amp;CHAR(34)&amp;",",""),"")</f>
        <v/>
      </c>
      <c r="DJ3" s="44" t="str">
        <f>IFERROR(IF(SEARCH("y",A3)&gt;0,CHAR(34)&amp;"with_y"&amp;CHAR(34)&amp;",",""),"")</f>
        <v/>
      </c>
      <c r="DK3" s="44" t="str">
        <f>IFERROR(IF(SEARCH("z",A3)&gt;0,CHAR(34)&amp;"with_z"&amp;CHAR(34)&amp;",",""),"")</f>
        <v/>
      </c>
      <c r="DL3" s="44" t="str">
        <f>IF(CG3=2, CHAR(34) &amp; _xlfn.TEXTJOIN("", TRUE, _xlfn._xlws.SORT(HP3:HX3)) &amp; CHAR(34) &amp; ",", "")</f>
        <v/>
      </c>
      <c r="DM3" s="44" t="str" cm="1">
        <f t="array" ref="DM3">IF(CG3=3,CHAR(34) &amp; _xlfn.TEXTJOIN("", TRUE, RIGHT(HP3:HX3, 2)) &amp; CHAR(34) &amp; ",", "")</f>
        <v/>
      </c>
      <c r="DN3" s="44" t="str">
        <f>IF(AND(ISNUMBER(SEARCH("18", O3)), ISERROR(SEARCH("1918", O3)), ISERROR(SEARCH("2018", O3))), CHAR(34) &amp; "year18" &amp; CHAR(34) &amp; ",", "")</f>
        <v/>
      </c>
      <c r="DO3" s="44" t="str">
        <f>IF(AND(ISNUMBER(SEARCH("19", O3)), ISERROR(SEARCH("1819", O3)),  ISERROR(SEARCH("1219", O3)),ISERROR(SEARCH("1119", O3)),ISERROR(SEARCH("1190", O3)),ISERROR(SEARCH("2019", O3))), CHAR(34) &amp; "year19" &amp; CHAR(34) &amp; ",", "")</f>
        <v>"year19",</v>
      </c>
      <c r="DP3" s="5" t="str">
        <f>IF(AND(ISNUMBER(SEARCH("20", O3)), ISERROR(SEARCH("1920", O3))), CHAR(34)&amp;"year00"&amp;CHAR(34)&amp;",", "")</f>
        <v/>
      </c>
      <c r="DQ3" s="5" t="str">
        <f>IF(CC3="y",CHAR(34)&amp;"soviet"&amp;CHAR(34)&amp;",","")</f>
        <v/>
      </c>
      <c r="DR3" s="5" t="str">
        <f>IF(BY3="y",CHAR(34)&amp;"dgband"&amp;CHAR(34)&amp;",","")</f>
        <v/>
      </c>
      <c r="DS3" s="5" t="str">
        <f>IF(W3="y",IF(AND(V3="n",BY3&lt;&gt;"y"),CHAR(34)&amp;"allver"&amp;CHAR(34)&amp;",",""),"")</f>
        <v>"allver",</v>
      </c>
      <c r="DT3" s="5" t="str">
        <f>IF(V3="y",IF(AND(W3="n",BY3&lt;&gt;"y"),CHAR(34)&amp;"allhor"&amp;CHAR(34)&amp;",",""),"")</f>
        <v/>
      </c>
      <c r="DU3" s="5" t="str">
        <f>IF(BY3="y",IF(AND(W3="n",V3="n"),CHAR(34)&amp;"alldia"&amp;CHAR(34)&amp;",",""),"")</f>
        <v/>
      </c>
      <c r="DW3" s="44" t="str">
        <f t="shared" si="1"/>
        <v/>
      </c>
      <c r="DX3" s="44" t="str">
        <f t="shared" si="1"/>
        <v>"2Bands",</v>
      </c>
      <c r="DY3" s="44" t="str">
        <f t="shared" si="1"/>
        <v/>
      </c>
      <c r="DZ3" s="44" t="str">
        <f t="shared" si="1"/>
        <v/>
      </c>
      <c r="EA3" s="44" t="str">
        <f t="shared" si="2"/>
        <v/>
      </c>
      <c r="EB3" s="44" t="str">
        <f t="shared" si="2"/>
        <v>"Crosse",</v>
      </c>
      <c r="EC3" s="44" t="str">
        <f t="shared" si="2"/>
        <v/>
      </c>
      <c r="ED3" s="44" t="str">
        <f t="shared" si="2"/>
        <v>"Vertic",</v>
      </c>
      <c r="EE3" s="44" t="str">
        <f t="shared" si="2"/>
        <v>"Circle",</v>
      </c>
      <c r="EF3" s="44" t="str">
        <f>IF(AND(Y3&lt;&gt;"n",Y3&lt;&gt;""),CHAR(34)&amp;Y$1&amp;CHAR(34)&amp;",","")</f>
        <v/>
      </c>
      <c r="EG3" s="44" t="str">
        <f t="shared" si="3"/>
        <v>"Bird",</v>
      </c>
      <c r="EH3" s="44" t="str">
        <f t="shared" si="3"/>
        <v/>
      </c>
      <c r="EI3" s="44" t="str">
        <f t="shared" si="3"/>
        <v>"Texted",</v>
      </c>
      <c r="EJ3" s="44" t="str">
        <f t="shared" si="3"/>
        <v/>
      </c>
      <c r="EK3" s="44" t="str">
        <f t="shared" si="3"/>
        <v/>
      </c>
      <c r="EL3" s="44" t="str">
        <f t="shared" si="3"/>
        <v/>
      </c>
      <c r="EM3" s="44" t="str">
        <f t="shared" si="3"/>
        <v/>
      </c>
      <c r="EN3" s="44" t="str">
        <f t="shared" si="3"/>
        <v>"Unequa",</v>
      </c>
      <c r="EO3" s="44" t="str">
        <f t="shared" si="3"/>
        <v/>
      </c>
      <c r="EP3" s="44" t="str">
        <f t="shared" si="3"/>
        <v/>
      </c>
      <c r="EQ3" s="44" t="str">
        <f t="shared" si="4"/>
        <v/>
      </c>
      <c r="ER3" s="44" t="str">
        <f t="shared" si="4"/>
        <v/>
      </c>
      <c r="ES3" s="44" t="str">
        <f t="shared" si="4"/>
        <v/>
      </c>
      <c r="ET3" s="44" t="str">
        <f t="shared" si="4"/>
        <v>"Geogrh",</v>
      </c>
      <c r="EU3" s="44" t="str">
        <f t="shared" si="4"/>
        <v>"Humans",</v>
      </c>
      <c r="EV3" s="44" t="str">
        <f t="shared" si="4"/>
        <v>"Builds",</v>
      </c>
      <c r="EW3" s="44" t="str">
        <f t="shared" si="4"/>
        <v/>
      </c>
      <c r="EX3" s="44" t="str">
        <f t="shared" si="4"/>
        <v>"Crowns",</v>
      </c>
      <c r="EY3" s="44" t="str">
        <f t="shared" si="4"/>
        <v/>
      </c>
      <c r="EZ3" s="44" t="str">
        <f t="shared" si="4"/>
        <v/>
      </c>
      <c r="FA3" s="44" t="str">
        <f>IF(AT3&gt;0,CHAR(34)&amp;"sta"&amp;AZ3&amp;CHAR(34)&amp;",","")</f>
        <v/>
      </c>
      <c r="FB3" s="44" t="str">
        <f>IF(AND(AT3&gt;0,BA3&lt;&gt;""),CHAR(34)&amp;"sta"&amp;BA3&amp;CHAR(34)&amp;",","")</f>
        <v/>
      </c>
      <c r="FD3" s="44" t="str">
        <f>IF(BV3="n",CHAR(34)&amp;"tcWHYE"&amp;CHAR(34)&amp;",",IF(BV3="y",CHAR(34)&amp;FD$1&amp;CHAR(34)&amp;",",""))</f>
        <v/>
      </c>
      <c r="FE3" s="44" t="str">
        <f>IF(COUNTIF(BL3:BT3,"BLU")=0,CHAR(34)&amp;"NO_BLU"&amp;CHAR(34)&amp;",", "")</f>
        <v>"NO_BLU",</v>
      </c>
      <c r="FF3" s="44" t="str">
        <f>IF(COUNTIF(BL3:BT3,"WHI")=0,CHAR(34)&amp;"NO_WHI"&amp;CHAR(34)&amp;",", "")</f>
        <v/>
      </c>
      <c r="FG3" s="44" t="str">
        <f>IF(COUNTIF(BL3:BT3,"RED")=0,CHAR(34)&amp;"NO_RED"&amp;CHAR(34)&amp;",", "")</f>
        <v/>
      </c>
      <c r="FH3" s="44" t="str">
        <f>IF(COUNTIF(BL3:BS3,"GRE")=0,CHAR(34)&amp;"NO_GRE"&amp;CHAR(34)&amp;",", "")</f>
        <v/>
      </c>
      <c r="FI3" s="44" t="str">
        <f>IF(COUNTIF(BL3:BT3,"YEL")=0,CHAR(34)&amp;"NO_YEL"&amp;CHAR(34)&amp;",", "")</f>
        <v/>
      </c>
      <c r="FJ3" s="44" t="str">
        <f>IF(COUNTIF(BL3:BT3,"BLA")=0,CHAR(34)&amp;"NO_BLA"&amp;CHAR(34)&amp;",", "")</f>
        <v/>
      </c>
      <c r="FK3" s="44" t="str">
        <f>IF(AND(FH3&lt;&gt;"",FF3&lt;&gt;""),CHAR(34)&amp;"WHGRNO"&amp;CHAR(34)&amp;",","")</f>
        <v/>
      </c>
      <c r="FL3" s="44" t="str">
        <f>IF(AND(FI3&lt;&gt;"",FF3&lt;&gt;""),CHAR(34)&amp;"WHYENO"&amp;CHAR(34)&amp;",","")</f>
        <v/>
      </c>
      <c r="FM3" s="44" t="str">
        <f>IF(AND(FJ3&lt;&gt;"",FF3&lt;&gt;""),CHAR(34)&amp;"BAWHNO"&amp;CHAR(34)&amp;",","")</f>
        <v/>
      </c>
      <c r="FN3" s="44" t="str">
        <f>IF(AND(FE3&lt;&gt;"",FF3&lt;&gt;""),CHAR(34)&amp;"BLWHNO"&amp;CHAR(34)&amp;",","")</f>
        <v/>
      </c>
      <c r="FO3" s="44" t="str">
        <f>IF(AND(FE3&lt;&gt;"",FG3&lt;&gt;""),CHAR(34)&amp;"BLRENO"&amp;CHAR(34)&amp;",","")</f>
        <v/>
      </c>
      <c r="FP3" s="44" t="str">
        <f>IF(AND(FF3&lt;&gt;"",FF3&lt;&gt;""),CHAR(34)&amp;"WHRENO"&amp;CHAR(34)&amp;",","")</f>
        <v/>
      </c>
      <c r="FQ3" s="44" t="str">
        <f>IF(LEN(BF3)=3,CHAR(34)&amp;"001"&amp;BF3&amp;CHAR(34)&amp;",","")</f>
        <v>"001BRO",</v>
      </c>
      <c r="FR3" s="44" t="str">
        <f>IF(LEN(BG3)=3,CHAR(34)&amp;"002"&amp;BG3&amp;CHAR(34)&amp;",","")</f>
        <v/>
      </c>
      <c r="FS3" s="44" t="str">
        <f>IF(LEN(BH3)=3,CHAR(34)&amp;"003"&amp;BH3&amp;CHAR(34)&amp;",","")</f>
        <v>"003WHI",</v>
      </c>
      <c r="FT3" s="44" t="str">
        <f>CHAR(34)&amp;"myr"&amp;BD3&amp;CHAR(34)&amp;","</f>
        <v>"myrWHI",</v>
      </c>
      <c r="FU3" s="44" t="str">
        <f>IF(AY3="y",CHAR(34)&amp;"island"&amp;CHAR(34)&amp;",","")</f>
        <v/>
      </c>
      <c r="FV3" s="44" t="str">
        <f>IF(BZ3="y",CHAR(34)&amp;"landlo"&amp;CHAR(34)&amp;",","")</f>
        <v/>
      </c>
      <c r="FW3" s="44" t="str">
        <f>IF(CA3="y",CHAR(34)&amp;"eunion"&amp;CHAR(34)&amp;",","")</f>
        <v/>
      </c>
      <c r="FY3" s="44" t="str">
        <f>IFERROR(IF(SEARCH("Arabic",CB3)&gt;0,CHAR(34)&amp;"arabic"&amp;CHAR(34)&amp;",",""),"")</f>
        <v/>
      </c>
      <c r="FZ3" s="44" t="str">
        <f>IFERROR(IF(SEARCH("English",CB3)&gt;0,CHAR(34)&amp;"englis"&amp;CHAR(34)&amp;",",""),"")</f>
        <v/>
      </c>
      <c r="GA3" s="44" t="str">
        <f>IFERROR(IF(SEARCH("French",CB3)&gt;0,CHAR(34)&amp;"french"&amp;CHAR(34)&amp;",",""),"")</f>
        <v/>
      </c>
      <c r="GB3" s="44" t="str">
        <f>IFERROR(IF(SEARCH("Spanish",CB3)&gt;0,CHAR(34)&amp;"spanis"&amp;CHAR(34)&amp;",",""),"")</f>
        <v/>
      </c>
      <c r="GE3" s="44" t="str">
        <f>IFERROR(IF(SEARCH("Dutch",CB3)&gt;0,CHAR(34)&amp;"dutchs"&amp;CHAR(34)&amp;",",""),"")</f>
        <v/>
      </c>
      <c r="GF3" s="44" t="str">
        <f>IFERROR(IF(SEARCH("Historical",AU3)&gt;0,CHAR(34)&amp;"histor"&amp;CHAR(34)&amp;",",""),"")</f>
        <v/>
      </c>
      <c r="GG3" s="44" t="str">
        <f>IF(BU3="y",CHAR(34)&amp;"unjack"&amp;CHAR(34)&amp;",","")</f>
        <v/>
      </c>
      <c r="GH3" s="44" t="str">
        <f>IF(CD3=1,CHAR(34)&amp;"southc"&amp;CHAR(34)&amp;",","")</f>
        <v/>
      </c>
      <c r="GI3" s="44" t="str">
        <f>IF(CE3=1,CHAR(34)&amp;"hasmap"&amp;CHAR(34)&amp;",","")</f>
        <v/>
      </c>
      <c r="GJ3" s="44" t="str">
        <f>IF(CP3="y",CHAR(34)&amp;CP$1&amp;CHAR(34)&amp;",","")</f>
        <v>"NoStar",</v>
      </c>
      <c r="GK3" s="44" t="str">
        <f>IF(GJ3="",CHAR(34)&amp;"HasSta"&amp;CHAR(34)&amp;",","")</f>
        <v/>
      </c>
      <c r="GL3" s="44" t="str">
        <f t="shared" si="5"/>
        <v/>
      </c>
      <c r="GM3" s="44" t="str">
        <f t="shared" si="5"/>
        <v/>
      </c>
      <c r="GN3" s="44" t="str">
        <f t="shared" si="5"/>
        <v/>
      </c>
      <c r="GP3" s="44" t="str">
        <f>CHAR(34)&amp;AU3&amp;CHAR(34)</f>
        <v>"Village, Capital"</v>
      </c>
      <c r="GS3" s="44" t="str">
        <f>SUBSTITUTE("["&amp;_xlfn.CONCAT(CW3:GN3)&amp;"]",",]","]")</f>
        <v>["5+Colo","lets07","startH","year19","allver","2Bands","Crosse","Vertic","Circle","Bird","Texted","Unequa","Geogrh","Humans","Builds","Crowns","NO_BLU","001BRO","003WHI","myrWHI","NoStar"]</v>
      </c>
      <c r="GT3" s="44" t="str">
        <f t="shared" si="6"/>
        <v>"cl_BLA",</v>
      </c>
      <c r="GU3" s="44" t="str">
        <f t="shared" si="6"/>
        <v/>
      </c>
      <c r="GV3" s="44" t="str">
        <f t="shared" si="6"/>
        <v>"cl_GRE",</v>
      </c>
      <c r="GW3" s="44" t="str">
        <f t="shared" si="6"/>
        <v>"cl_RED",</v>
      </c>
      <c r="GX3" s="44" t="str">
        <f t="shared" si="6"/>
        <v>"cl_YEL",</v>
      </c>
      <c r="GY3" s="44" t="str">
        <f t="shared" si="6"/>
        <v>"cl_ORA",</v>
      </c>
      <c r="GZ3" s="44" t="str">
        <f t="shared" si="6"/>
        <v>"cl_BRO",</v>
      </c>
      <c r="HA3" s="44" t="str">
        <f t="shared" si="6"/>
        <v/>
      </c>
      <c r="HB3" s="44" t="str">
        <f t="shared" si="6"/>
        <v>"cl_WHI",</v>
      </c>
      <c r="HC3" s="44" t="str">
        <f>SUBSTITUTE("["&amp;_xlfn.CONCAT(GT3:HB3)&amp;"]",",]","]")</f>
        <v>["cl_BLA","cl_GRE","cl_RED","cl_YEL","cl_ORA","cl_BRO","cl_WHI"]</v>
      </c>
      <c r="HE3" s="64"/>
      <c r="HF3" s="65" t="str">
        <f>"{couname:"&amp;CT3&amp;(IF(HK3&lt;&gt;"",",subtype:"&amp;CHAR(34)&amp;HK3&amp;CHAR(34),""))&amp;",year:"&amp;HJ3&amp;",region:"&amp;CU3&amp;",Colors:"&amp;HC3&amp;",Items:"&amp;GS3&amp;",Flag:"&amp;CV3&amp;",HDFlag:"&amp;CHAR(34)&amp;E3&amp;CHAR(34)&amp;",type:"&amp;GP3&amp;", describe: "&amp;HH3&amp;", isnew:"&amp;CHAR(34)&amp;F3&amp;CHAR(34)&amp;", links: "&amp;HL3&amp;"},"</f>
        <v>{couname:"[GUM] Hagatna",year:"1980",region:"rgn_Oceania, rgn_North America",Colors:["cl_BLA","cl_GRE","cl_RED","cl_YEL","cl_ORA","cl_BRO","cl_WHI"],Items:["5+Colo","lets07","startH","year19","allver","2Bands","Crosse","Vertic","Circle","Bird","Texted","Unequa","Geogrh","Humans","Builds","Crowns","NO_BLU","001BRO","003WHI","myrWHI","NoStar"],Flag:"https://upload.wikimedia.org/wikipedia/commons/thumb/4/4c/Flag_of_Hag%C3%A5t%C3%B1a%2C_Guam.svg/640px-Flag_of_Hag%C3%A5t%C3%B1a%2C_Guam.svg.png",HDFlag:"https://upload.wikimedia.org/wikipedia/commons/thumb/4/4c/Flag_of_Hag%C3%A5t%C3%B1a%2C_Guam.svg/1280px-Flag_of_Hag%C3%A5t%C3%B1a%2C_Guam.svg.png",type:"Village, Capital", describe: "\nA white field with a brown vertical band on the left side and the seal of the city over the right side of the field.", isnew:".", links: "https://en.m.wikipedia.org/wiki/Hag%C3%A5t%C3%B1a,_Guam"},</v>
      </c>
      <c r="HG3" s="66" t="str">
        <f>"{couname:"&amp;CT3&amp;(IF(HK3&lt;&gt;"",",subtype:"&amp;CHAR(34)&amp;HK3&amp;CHAR(34),""))&amp;",year:"&amp;HJ3&amp;",region:"&amp;CU3&amp;",Colors:"&amp;HC3&amp;",Items:"&amp;GS3&amp;",Flag:"&amp;CV3&amp;",HDFlag:"&amp;CHAR(34)&amp;E3&amp;CHAR(34)&amp;",type:"&amp;GP3&amp;", describe: "&amp;HI3&amp;", links: "&amp;HL3&amp;"},"</f>
        <v>{couname:"[GUM] Hagatna",year:"1980",region:"rgn_Oceania, rgn_North America",Colors:["cl_BLA","cl_GRE","cl_RED","cl_YEL","cl_ORA","cl_BRO","cl_WHI"],Items:["5+Colo","lets07","startH","year19","allver","2Bands","Crosse","Vertic","Circle","Bird","Texted","Unequa","Geogrh","Humans","Builds","Crowns","NO_BLU","001BRO","003WHI","myrWHI","NoStar"],Flag:"https://upload.wikimedia.org/wikipedia/commons/thumb/4/4c/Flag_of_Hag%C3%A5t%C3%B1a%2C_Guam.svg/640px-Flag_of_Hag%C3%A5t%C3%B1a%2C_Guam.svg.png",HDFlag:"https://upload.wikimedia.org/wikipedia/commons/thumb/4/4c/Flag_of_Hag%C3%A5t%C3%B1a%2C_Guam.svg/1280px-Flag_of_Hag%C3%A5t%C3%B1a%2C_Guam.svg.png",type:"Village, Capital", describe: "\nA white field with a brown vertical band on the left side and the seal of the city over the right side of the field.", links: "https://en.m.wikipedia.org/wiki/Hag%C3%A5t%C3%B1a,_Guam"},</v>
      </c>
      <c r="HH3" s="44" t="str">
        <f>IF(P3&lt;&gt;"",CHAR(34)&amp;"\n"&amp;P3&amp;CHAR(34),CHAR(34)&amp;CHAR(34))</f>
        <v>"\nA white field with a brown vertical band on the left side and the seal of the city over the right side of the field."</v>
      </c>
      <c r="HI3" s="44" t="str">
        <f>IF(J3=0,CHAR(34)&amp;CHAR(34),HH3)</f>
        <v>"\nA white field with a brown vertical band on the left side and the seal of the city over the right side of the field."</v>
      </c>
      <c r="HJ3" s="44" t="str">
        <f>CHAR(34)&amp;O3&amp;CHAR(34)</f>
        <v>"1980"</v>
      </c>
      <c r="HL3" s="44" t="str">
        <f>CHAR(34)&amp;I3&amp;CHAR(34)</f>
        <v>"https://en.m.wikipedia.org/wiki/Hag%C3%A5t%C3%B1a,_Guam"</v>
      </c>
      <c r="HM3" s="65"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{"couname":"[GUM] Hagatna","year":"1980","region":"rgn_Oceania, rgn_North America","Colors":["cl_BLA","cl_GRE","cl_RED","cl_YEL","cl_ORA","cl_BRO","cl_WHI"],"Items":["5+Colo","lets07","startH","year19","allver","2Bands","Crosse","Vertic","Circle","Bird","Texted","Unequa","Geogrh","Humans","Builds","Crowns","NO_BLU","001BRO","003WHI","myrWHI","NoStar"],"Flag":"https://upload.wikimedia.org/wikipedia/commons/thumb/4/4c/Flag_of_Hag%C3%A5t%C3%B1a%2C_Guam.svg/640px-Flag_of_Hag%C3%A5t%C3%B1a%2C_Guam.svg.png","HDFlag":"https://upload.wikimedia.org/wikipedia/commons/thumb/4/4c/Flag_of_Hag%C3%A5t%C3%B1a%2C_Guam.svg/1280px-Flag_of_Hag%C3%A5t%C3%B1a%2C_Guam.svg.png","type":"Village, Capital", "describe": "\nA white field with a brown vertical band on the left side and the seal of the city over the right side of the field.", "isnew": ".", "links": "https://en.m.wikipedia.org/wiki/Hag%C3%A5t%C3%B1a,_Guam"},</v>
      </c>
      <c r="HN3" s="67"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{"couname":"[GUM] Hagatna","year":"1980","region":"rgn_Oceania, rgn_North America","Colors":["cl_BLA","cl_GRE","cl_RED","cl_YEL","cl_ORA","cl_BRO","cl_WHI"],"Items":["5+Colo","lets07","startH","year19","allver","2Bands","Crosse","Vertic","Circle","Bird","Texted","Unequa","Geogrh","Humans","Builds","Crowns","NO_BLU","001BRO","003WHI","myrWHI","NoStar"],"Flag":"https://upload.wikimedia.org/wikipedia/commons/thumb/4/4c/Flag_of_Hag%C3%A5t%C3%B1a%2C_Guam.svg/640px-Flag_of_Hag%C3%A5t%C3%B1a%2C_Guam.svg.png","HDFlag":"https://upload.wikimedia.org/wikipedia/commons/thumb/4/4c/Flag_of_Hag%C3%A5t%C3%B1a%2C_Guam.svg/1280px-Flag_of_Hag%C3%A5t%C3%B1a%2C_Guam.svg.png","type":"Village, Capital", "describe": "\nA white field with a brown vertical band on the left side and the seal of the city over the right side of the field.", "isnew": ".", "links": "https://en.m.wikipedia.org/wiki/Hag%C3%A5t%C3%B1a,_Guam"},</v>
      </c>
      <c r="HO3" s="71">
        <v>45610</v>
      </c>
      <c r="HP3" s="44" t="str" cm="1">
        <f t="array" ref="HP3">IF(_xlfn.TEXTJOIN(", ", TRUE, IF(ISNUMBER(SEARCH("BLA", BL3:BT3)), COLUMN(BL3:BT3) - COLUMN(BL3) + 1, ""))&lt;&gt;"","BLA","")</f>
        <v>BLA</v>
      </c>
      <c r="HQ3" s="44" t="str" cm="1">
        <f t="array" ref="HQ3">IF(_xlfn.TEXTJOIN(", ", TRUE, IF(ISNUMBER(SEARCH("BLU", BL3:BT3)), COLUMN(BL3:BT3) - COLUMN(BL3) + 1, ""))&lt;&gt;"","BLU","")</f>
        <v/>
      </c>
      <c r="HR3" s="44" t="str" cm="1">
        <f t="array" ref="HR3">IF(_xlfn.TEXTJOIN(", ", TRUE, IF(ISNUMBER(SEARCH("GRE", BL3:BT3)), COLUMN(BL3:BT3) - COLUMN(BL3) + 1, ""))&lt;&gt;"","GRE","")</f>
        <v>GRE</v>
      </c>
      <c r="HS3" s="44" t="str" cm="1">
        <f t="array" ref="HS3">IF(_xlfn.TEXTJOIN(", ", TRUE, IF(ISNUMBER(SEARCH("RED", BL3:BT3)), COLUMN(BL3:BT3) - COLUMN(BL3) + 1, ""))&lt;&gt;"","RED","")</f>
        <v>RED</v>
      </c>
      <c r="HT3" s="44" t="str" cm="1">
        <f t="array" ref="HT3">IF(_xlfn.TEXTJOIN(", ", TRUE, IF(ISNUMBER(SEARCH("YEL", BL3:BT3)), COLUMN(BL3:BT3) - COLUMN(BL3) + 1, ""))&lt;&gt;"","YEL","")</f>
        <v>YEL</v>
      </c>
      <c r="HU3" s="44" t="str" cm="1">
        <f t="array" ref="HU3">IF(_xlfn.TEXTJOIN(", ", TRUE, IF(ISNUMBER(SEARCH("ORA", BL3:BT3)), COLUMN(BL3:BT3) - COLUMN(BL3) + 1, ""))&lt;&gt;"","ORA","")</f>
        <v>ORA</v>
      </c>
      <c r="HV3" s="44" t="str" cm="1">
        <f t="array" ref="HV3">IF(_xlfn.TEXTJOIN(", ", TRUE, IF(ISNUMBER(SEARCH("BRO", BL3:BT3)), COLUMN(BL3:BT3) - COLUMN(BL3) + 1, ""))&lt;&gt;"","BRO","")</f>
        <v>BRO</v>
      </c>
      <c r="HW3" s="44" t="str" cm="1">
        <f t="array" ref="HW3">IF(_xlfn.TEXTJOIN(", ", TRUE, IF(ISNUMBER(SEARCH("PUR", BL3:BT3)), COLUMN(BL3:BT3) - COLUMN(BL3) + 1, ""))&lt;&gt;"","PUR","")</f>
        <v/>
      </c>
      <c r="HX3" s="44" t="str" cm="1">
        <f t="array" ref="HX3">IF(_xlfn.TEXTJOIN(", ", TRUE, IF(ISNUMBER(SEARCH("WHI", BL3:BT3)), COLUMN(BL3:BT3) - COLUMN(BL3) + 1, ""))&lt;&gt;"","WHI","")</f>
        <v>WHI</v>
      </c>
      <c r="HY3" s="72"/>
      <c r="HZ3" s="72"/>
      <c r="IA3" s="5"/>
      <c r="IB3" s="5"/>
      <c r="IC3" s="68"/>
      <c r="ID3" s="68"/>
      <c r="IE3" s="68"/>
      <c r="IF3" s="68"/>
      <c r="IG3" s="68"/>
      <c r="IH3" s="68"/>
      <c r="II3" s="68"/>
      <c r="IJ3" s="68"/>
      <c r="IK3" s="68"/>
      <c r="IM3" s="42">
        <f>COUNTIF(IC3:IK3,"&gt;0")-CG3</f>
        <v>-7</v>
      </c>
      <c r="IN3" s="69" t="str">
        <f>"http://mkweb.bcgsc.ca/color-summarizer/?url="&amp;D3&amp;"&amp;precision=low&amp;num_clusters="&amp;CG3&amp;"&amp;text=1"</f>
        <v>http://mkweb.bcgsc.ca/color-summarizer/?url=https://upload.wikimedia.org/wikipedia/commons/thumb/4/4c/Flag_of_Hag%C3%A5t%C3%B1a%2C_Guam.svg/640px-Flag_of_Hag%C3%A5t%C3%B1a%2C_Guam.svg.png&amp;precision=low&amp;num_clusters=7&amp;text=1</v>
      </c>
      <c r="IO3" s="44" t="str">
        <f>IF(HP3&lt;&gt;"",CHAR(34)&amp;"black"&amp;CHAR(34),"")</f>
        <v>"black"</v>
      </c>
      <c r="IP3" s="44" t="str">
        <f>IF(HQ3&lt;&gt;"",CHAR(34)&amp;"blue"&amp;CHAR(34),"")</f>
        <v/>
      </c>
      <c r="IQ3" s="44" t="str">
        <f>IF(HR3&lt;&gt;"",CHAR(34)&amp;"green"&amp;CHAR(34),"")</f>
        <v>"green"</v>
      </c>
      <c r="IR3" s="44" t="str">
        <f>IF(HS3&lt;&gt;"",CHAR(34)&amp;"red"&amp;CHAR(34),"")</f>
        <v>"red"</v>
      </c>
      <c r="IS3" s="44" t="str">
        <f>IF(HT3&lt;&gt;"",CHAR(34)&amp;"yellow"&amp;CHAR(34),"")</f>
        <v>"yellow"</v>
      </c>
      <c r="IT3" s="44" t="str">
        <f>IF(HU3&lt;&gt;"",CHAR(34)&amp;"orange"&amp;CHAR(34),"")</f>
        <v>"orange"</v>
      </c>
      <c r="IU3" s="44" t="str">
        <f>IF(HV3&lt;&gt;"",CHAR(34)&amp;"brown"&amp;CHAR(34),"")</f>
        <v>"brown"</v>
      </c>
      <c r="IV3" s="44" t="str">
        <f>IF(HW3&lt;&gt;"",CHAR(34)&amp;"purple"&amp;CHAR(34),"")</f>
        <v/>
      </c>
      <c r="IW3" s="44" t="str">
        <f>IF(HX3&lt;&gt;"",CHAR(34)&amp;"white"&amp;CHAR(34),"")</f>
        <v>"white"</v>
      </c>
      <c r="IX3" s="44" t="str">
        <f>"{"&amp;CHAR(34)&amp;"url"&amp;CHAR(34)&amp;":"&amp;CHAR(34)&amp;IN3&amp;CHAR(34)&amp;","&amp;CHAR(34)&amp;"name"&amp;CHAR(34)&amp;":"&amp;CHAR(34)&amp;A3&amp;CHAR(34)&amp;"},"</f>
        <v>{"url":"http://mkweb.bcgsc.ca/color-summarizer/?url=https://upload.wikimedia.org/wikipedia/commons/thumb/4/4c/Flag_of_Hag%C3%A5t%C3%B1a%2C_Guam.svg/640px-Flag_of_Hag%C3%A5t%C3%B1a%2C_Guam.svg.png&amp;precision=low&amp;num_clusters=7&amp;text=1","name":"[GUM] Hagatna"},</v>
      </c>
      <c r="IY3" s="44">
        <v>1302</v>
      </c>
    </row>
  </sheetData>
  <autoFilter ref="A1:IY3" xr:uid="{A1051193-A95B-4CFB-A73C-F0184620C81F}">
    <sortState xmlns:xlrd2="http://schemas.microsoft.com/office/spreadsheetml/2017/richdata2" ref="A2:IY3">
      <sortCondition ref="AW1:AW3"/>
    </sortState>
  </autoFilter>
  <conditionalFormatting sqref="H1 CW1:GS1 IA1:IB1">
    <cfRule type="cellIs" dxfId="1495" priority="66" operator="greaterThan">
      <formula>0</formula>
    </cfRule>
  </conditionalFormatting>
  <conditionalFormatting sqref="H1:H1048576">
    <cfRule type="cellIs" dxfId="1494" priority="6" stopIfTrue="1" operator="notEqual">
      <formula>""</formula>
    </cfRule>
  </conditionalFormatting>
  <conditionalFormatting sqref="R2:R3 CU2:CU3">
    <cfRule type="cellIs" dxfId="1493" priority="8" operator="greaterThan">
      <formula>0</formula>
    </cfRule>
  </conditionalFormatting>
  <conditionalFormatting sqref="T2:AS3 CH2:CS3">
    <cfRule type="cellIs" dxfId="1492" priority="3" stopIfTrue="1" operator="equal">
      <formula>"n"</formula>
    </cfRule>
    <cfRule type="cellIs" dxfId="1491" priority="4" stopIfTrue="1" operator="equal">
      <formula>"y"</formula>
    </cfRule>
    <cfRule type="cellIs" dxfId="1490" priority="5" operator="greaterThan">
      <formula>0</formula>
    </cfRule>
  </conditionalFormatting>
  <conditionalFormatting sqref="T1:BK1">
    <cfRule type="cellIs" dxfId="1489" priority="69" operator="greaterThan">
      <formula>0</formula>
    </cfRule>
  </conditionalFormatting>
  <conditionalFormatting sqref="AZ2:BB3">
    <cfRule type="expression" dxfId="1488" priority="2">
      <formula>$AT2=0</formula>
    </cfRule>
  </conditionalFormatting>
  <conditionalFormatting sqref="AZ2:BU3">
    <cfRule type="cellIs" dxfId="1487" priority="44" operator="equal">
      <formula>"PIN"</formula>
    </cfRule>
    <cfRule type="cellIs" dxfId="1486" priority="45" operator="equal">
      <formula>"ORA"</formula>
    </cfRule>
    <cfRule type="cellIs" dxfId="1485" priority="46" operator="equal">
      <formula>"GRA"</formula>
    </cfRule>
    <cfRule type="cellIs" dxfId="1484" priority="47" operator="equal">
      <formula>"PUR"</formula>
    </cfRule>
    <cfRule type="cellIs" dxfId="1483" priority="48" operator="equal">
      <formula>"BRO"</formula>
    </cfRule>
    <cfRule type="cellIs" dxfId="1482" priority="49" operator="equal">
      <formula>"YEL"</formula>
    </cfRule>
    <cfRule type="cellIs" dxfId="1481" priority="50" operator="equal">
      <formula>"BLU"</formula>
    </cfRule>
    <cfRule type="cellIs" dxfId="1480" priority="51" operator="equal">
      <formula>"WHI"</formula>
    </cfRule>
    <cfRule type="cellIs" dxfId="1479" priority="52" operator="equal">
      <formula>"GRE"</formula>
    </cfRule>
    <cfRule type="cellIs" dxfId="1478" priority="53" operator="equal">
      <formula>"RED"</formula>
    </cfRule>
    <cfRule type="cellIs" dxfId="1477" priority="54" operator="equal">
      <formula>"BLA"</formula>
    </cfRule>
  </conditionalFormatting>
  <conditionalFormatting sqref="BV1:BW1048576">
    <cfRule type="cellIs" dxfId="1476" priority="68" operator="equal">
      <formula>"nc"</formula>
    </cfRule>
  </conditionalFormatting>
  <conditionalFormatting sqref="BX2:CA3 CD2:CF3">
    <cfRule type="cellIs" dxfId="1475" priority="7" operator="equal">
      <formula>"y"</formula>
    </cfRule>
    <cfRule type="cellIs" dxfId="1474" priority="55" operator="equal">
      <formula>"PIN"</formula>
    </cfRule>
    <cfRule type="cellIs" dxfId="1473" priority="56" operator="equal">
      <formula>"ORA"</formula>
    </cfRule>
    <cfRule type="cellIs" dxfId="1472" priority="57" operator="equal">
      <formula>"GRA"</formula>
    </cfRule>
    <cfRule type="cellIs" dxfId="1471" priority="58" operator="equal">
      <formula>"PUR"</formula>
    </cfRule>
    <cfRule type="cellIs" dxfId="1470" priority="59" operator="equal">
      <formula>"BRO"</formula>
    </cfRule>
    <cfRule type="cellIs" dxfId="1469" priority="60" operator="equal">
      <formula>"YEL"</formula>
    </cfRule>
    <cfRule type="cellIs" dxfId="1468" priority="61" operator="equal">
      <formula>"BLU"</formula>
    </cfRule>
    <cfRule type="cellIs" dxfId="1467" priority="62" operator="equal">
      <formula>"WHI"</formula>
    </cfRule>
    <cfRule type="cellIs" dxfId="1466" priority="63" operator="equal">
      <formula>"GRE"</formula>
    </cfRule>
    <cfRule type="cellIs" dxfId="1465" priority="64" operator="equal">
      <formula>"RED"</formula>
    </cfRule>
    <cfRule type="cellIs" dxfId="1464" priority="65" operator="equal">
      <formula>"BLA"</formula>
    </cfRule>
  </conditionalFormatting>
  <conditionalFormatting sqref="BZ2:CA3 CD2:CF3">
    <cfRule type="cellIs" dxfId="1463" priority="9" operator="greaterThan">
      <formula>0</formula>
    </cfRule>
  </conditionalFormatting>
  <conditionalFormatting sqref="HF1:HG1">
    <cfRule type="cellIs" dxfId="1462" priority="70" operator="greaterThan">
      <formula>0</formula>
    </cfRule>
  </conditionalFormatting>
  <conditionalFormatting sqref="HK1">
    <cfRule type="cellIs" dxfId="1461" priority="67" operator="greaterThan">
      <formula>0</formula>
    </cfRule>
  </conditionalFormatting>
  <conditionalFormatting sqref="HP1:HX1">
    <cfRule type="cellIs" dxfId="1460" priority="21" operator="equal">
      <formula>"PIN"</formula>
    </cfRule>
    <cfRule type="cellIs" dxfId="1459" priority="22" operator="equal">
      <formula>"ORA"</formula>
    </cfRule>
    <cfRule type="cellIs" dxfId="1458" priority="23" operator="equal">
      <formula>"GRA"</formula>
    </cfRule>
    <cfRule type="cellIs" dxfId="1457" priority="24" operator="equal">
      <formula>"PUR"</formula>
    </cfRule>
    <cfRule type="cellIs" dxfId="1456" priority="25" operator="equal">
      <formula>"BRO"</formula>
    </cfRule>
    <cfRule type="cellIs" dxfId="1455" priority="26" operator="equal">
      <formula>"YEL"</formula>
    </cfRule>
    <cfRule type="cellIs" dxfId="1454" priority="27" operator="equal">
      <formula>"BLU"</formula>
    </cfRule>
    <cfRule type="cellIs" dxfId="1453" priority="28" operator="equal">
      <formula>"WHI"</formula>
    </cfRule>
    <cfRule type="cellIs" dxfId="1452" priority="29" operator="equal">
      <formula>"GRE"</formula>
    </cfRule>
    <cfRule type="cellIs" dxfId="1451" priority="30" operator="equal">
      <formula>"RED"</formula>
    </cfRule>
    <cfRule type="cellIs" dxfId="1450" priority="31" operator="equal">
      <formula>"BLA"</formula>
    </cfRule>
  </conditionalFormatting>
  <conditionalFormatting sqref="IC1:IK1">
    <cfRule type="cellIs" dxfId="1449" priority="33" operator="equal">
      <formula>"PIN"</formula>
    </cfRule>
    <cfRule type="cellIs" dxfId="1448" priority="34" operator="equal">
      <formula>"ORA"</formula>
    </cfRule>
    <cfRule type="cellIs" dxfId="1447" priority="35" operator="equal">
      <formula>"GRA"</formula>
    </cfRule>
    <cfRule type="cellIs" dxfId="1446" priority="36" operator="equal">
      <formula>"PUR"</formula>
    </cfRule>
    <cfRule type="cellIs" dxfId="1445" priority="37" operator="equal">
      <formula>"BRO"</formula>
    </cfRule>
    <cfRule type="cellIs" dxfId="1444" priority="38" operator="equal">
      <formula>"YEL"</formula>
    </cfRule>
    <cfRule type="cellIs" dxfId="1443" priority="39" operator="equal">
      <formula>"BLU"</formula>
    </cfRule>
    <cfRule type="cellIs" dxfId="1442" priority="40" operator="equal">
      <formula>"WHI"</formula>
    </cfRule>
    <cfRule type="cellIs" dxfId="1441" priority="41" operator="equal">
      <formula>"GRE"</formula>
    </cfRule>
    <cfRule type="cellIs" dxfId="1440" priority="42" operator="equal">
      <formula>"RED"</formula>
    </cfRule>
    <cfRule type="cellIs" dxfId="1439" priority="43" operator="equal">
      <formula>"BLA"</formula>
    </cfRule>
  </conditionalFormatting>
  <conditionalFormatting sqref="IC2:IK3">
    <cfRule type="expression" dxfId="1438" priority="32">
      <formula>$IL2&gt;0</formula>
    </cfRule>
  </conditionalFormatting>
  <conditionalFormatting sqref="IO1:IW1">
    <cfRule type="cellIs" dxfId="1437" priority="10" operator="equal">
      <formula>"PIN"</formula>
    </cfRule>
    <cfRule type="cellIs" dxfId="1436" priority="11" operator="equal">
      <formula>"ORA"</formula>
    </cfRule>
    <cfRule type="cellIs" dxfId="1435" priority="12" operator="equal">
      <formula>"GRA"</formula>
    </cfRule>
    <cfRule type="cellIs" dxfId="1434" priority="13" operator="equal">
      <formula>"PUR"</formula>
    </cfRule>
    <cfRule type="cellIs" dxfId="1433" priority="14" operator="equal">
      <formula>"BRO"</formula>
    </cfRule>
    <cfRule type="cellIs" dxfId="1432" priority="15" operator="equal">
      <formula>"YEL"</formula>
    </cfRule>
    <cfRule type="cellIs" dxfId="1431" priority="16" operator="equal">
      <formula>"BLU"</formula>
    </cfRule>
    <cfRule type="cellIs" dxfId="1430" priority="17" operator="equal">
      <formula>"WHI"</formula>
    </cfRule>
    <cfRule type="cellIs" dxfId="1429" priority="18" operator="equal">
      <formula>"GRE"</formula>
    </cfRule>
    <cfRule type="cellIs" dxfId="1428" priority="19" operator="equal">
      <formula>"RED"</formula>
    </cfRule>
    <cfRule type="cellIs" dxfId="1427" priority="20" operator="equal">
      <formula>"BLA"</formula>
    </cfRule>
  </conditionalFormatting>
  <conditionalFormatting sqref="S2:S3">
    <cfRule type="colorScale" priority="3390">
      <colorScale>
        <cfvo type="min"/>
        <cfvo type="max"/>
        <color rgb="FFFCFCFF"/>
        <color rgb="FF754BFB"/>
      </colorScale>
    </cfRule>
  </conditionalFormatting>
  <conditionalFormatting sqref="AT2:AT3">
    <cfRule type="colorScale" priority="3391">
      <colorScale>
        <cfvo type="min"/>
        <cfvo type="max"/>
        <color rgb="FFFCFCFF"/>
        <color theme="8" tint="0.39997558519241921"/>
      </colorScale>
    </cfRule>
  </conditionalFormatting>
  <conditionalFormatting sqref="CG2:CG3">
    <cfRule type="colorScale" priority="3392">
      <colorScale>
        <cfvo type="min"/>
        <cfvo type="max"/>
        <color rgb="FFFCFCFF"/>
        <color rgb="FF63BE7B"/>
      </colorScale>
    </cfRule>
  </conditionalFormatting>
  <conditionalFormatting sqref="J2:J3">
    <cfRule type="colorScale" priority="1">
      <colorScale>
        <cfvo type="min"/>
        <cfvo type="percentile" val="50"/>
        <cfvo type="max"/>
        <color rgb="FFF8696B"/>
        <color rgb="FFFFEB84"/>
        <color rgb="FF63BE7B"/>
      </colorScale>
    </cfRule>
  </conditionalFormatting>
  <hyperlinks>
    <hyperlink ref="A2" r:id="rId1" display="https://fbref.com/en/country/GUM/Guam-Football" xr:uid="{4C31AD36-CB20-4CD5-9036-45A3B6E8B8A9}"/>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3553" r:id="rId5" name="Button 1">
              <controlPr defaultSize="0" print="0" autoFill="0" autoPict="0" macro="[0]!InsertImagesFromSelectedRange">
                <anchor moveWithCells="1" sizeWithCells="1">
                  <from>
                    <xdr:col>1</xdr:col>
                    <xdr:colOff>76200</xdr:colOff>
                    <xdr:row>0</xdr:row>
                    <xdr:rowOff>7620</xdr:rowOff>
                  </from>
                  <to>
                    <xdr:col>2</xdr:col>
                    <xdr:colOff>0</xdr:colOff>
                    <xdr:row>0</xdr:row>
                    <xdr:rowOff>487680</xdr:rowOff>
                  </to>
                </anchor>
              </controlPr>
            </control>
          </mc:Choice>
        </mc:AlternateContent>
        <mc:AlternateContent xmlns:mc="http://schemas.openxmlformats.org/markup-compatibility/2006">
          <mc:Choice Requires="x14">
            <control shapeId="23554" r:id="rId6" name="Button 2">
              <controlPr defaultSize="0" print="0" autoFill="0" autoPict="0" macro="[0]!ReplaceLineBreaksWithNewLineManualRange">
                <anchor moveWithCells="1" sizeWithCells="1">
                  <from>
                    <xdr:col>7</xdr:col>
                    <xdr:colOff>15240</xdr:colOff>
                    <xdr:row>0</xdr:row>
                    <xdr:rowOff>45720</xdr:rowOff>
                  </from>
                  <to>
                    <xdr:col>7</xdr:col>
                    <xdr:colOff>685800</xdr:colOff>
                    <xdr:row>0</xdr:row>
                    <xdr:rowOff>403860</xdr:rowOff>
                  </to>
                </anchor>
              </controlPr>
            </control>
          </mc:Choice>
        </mc:AlternateContent>
        <mc:AlternateContent xmlns:mc="http://schemas.openxmlformats.org/markup-compatibility/2006">
          <mc:Choice Requires="x14">
            <control shapeId="23555" r:id="rId7" name="Button 3">
              <controlPr defaultSize="0" print="0" autoFill="0" autoPict="0" macro="[0]!GoToSheet">
                <anchor moveWithCells="1" sizeWithCells="1">
                  <from>
                    <xdr:col>0</xdr:col>
                    <xdr:colOff>137160</xdr:colOff>
                    <xdr:row>0</xdr:row>
                    <xdr:rowOff>114300</xdr:rowOff>
                  </from>
                  <to>
                    <xdr:col>0</xdr:col>
                    <xdr:colOff>762000</xdr:colOff>
                    <xdr:row>0</xdr:row>
                    <xdr:rowOff>419100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33526-3ABF-4E0F-A17A-1A90305C6320}">
  <sheetPr codeName="Sheet24"/>
  <dimension ref="A1:IY6"/>
  <sheetViews>
    <sheetView zoomScale="70" zoomScaleNormal="70" workbookViewId="0">
      <pane xSplit="5" ySplit="1" topLeftCell="F2" activePane="bottomRight" state="frozen"/>
      <selection activeCell="A2" sqref="A2"/>
      <selection pane="topRight" activeCell="A2" sqref="A2"/>
      <selection pane="bottomLeft" activeCell="A2" sqref="A2"/>
      <selection pane="bottomRight" activeCell="B2" sqref="B2"/>
    </sheetView>
  </sheetViews>
  <sheetFormatPr defaultRowHeight="38.4" customHeight="1" x14ac:dyDescent="0.3"/>
  <cols>
    <col min="1" max="1" width="52.44140625" style="82" bestFit="1" customWidth="1"/>
    <col min="2" max="2" width="10.21875" style="82" customWidth="1"/>
    <col min="3" max="3" width="7.44140625" style="83" customWidth="1"/>
    <col min="4" max="4" width="4.77734375" style="84" customWidth="1"/>
    <col min="5" max="5" width="4.5546875" style="84" customWidth="1"/>
    <col min="6" max="6" width="5.77734375" style="84" customWidth="1"/>
    <col min="7" max="7" width="7.44140625" style="82" customWidth="1"/>
    <col min="8" max="8" width="11.44140625" style="82" customWidth="1"/>
    <col min="9" max="9" width="10" style="82" customWidth="1"/>
    <col min="10" max="10" width="4.21875" style="82" customWidth="1"/>
    <col min="11" max="11" width="5.6640625" style="84" customWidth="1"/>
    <col min="12" max="12" width="2.88671875" style="84" customWidth="1"/>
    <col min="13" max="13" width="6.44140625" style="84" customWidth="1"/>
    <col min="14" max="14" width="4.5546875" style="84" customWidth="1"/>
    <col min="15" max="15" width="10.5546875" style="85" customWidth="1"/>
    <col min="16" max="16" width="6.88671875" style="84" customWidth="1"/>
    <col min="17" max="17" width="4.77734375" style="84" customWidth="1"/>
    <col min="18" max="18" width="13.109375" style="83" customWidth="1"/>
    <col min="19" max="19" width="6.77734375" style="83" customWidth="1"/>
    <col min="20" max="46" width="8.44140625" style="82" customWidth="1"/>
    <col min="47" max="47" width="24.5546875" style="82" customWidth="1"/>
    <col min="48" max="51" width="16.6640625" style="82" customWidth="1"/>
    <col min="52" max="52" width="6.5546875" style="82" customWidth="1"/>
    <col min="53" max="54" width="5.88671875" style="82" customWidth="1"/>
    <col min="55" max="55" width="1.33203125" style="82" customWidth="1"/>
    <col min="56" max="56" width="7.44140625" style="82" customWidth="1"/>
    <col min="57" max="57" width="2.33203125" style="82" customWidth="1"/>
    <col min="58" max="62" width="6.109375" style="82" customWidth="1"/>
    <col min="63" max="63" width="2.33203125" style="82" customWidth="1"/>
    <col min="64" max="64" width="7" style="82" bestFit="1" customWidth="1"/>
    <col min="65" max="65" width="6.44140625" style="82" bestFit="1" customWidth="1"/>
    <col min="66" max="66" width="7.109375" style="82" bestFit="1" customWidth="1"/>
    <col min="67" max="71" width="6.44140625" style="82" bestFit="1" customWidth="1"/>
    <col min="72" max="73" width="6.44140625" style="82" customWidth="1"/>
    <col min="74" max="75" width="13.44140625" style="82" customWidth="1"/>
    <col min="76" max="84" width="14.6640625" style="82" customWidth="1"/>
    <col min="85" max="85" width="6.44140625" style="82" customWidth="1"/>
    <col min="86" max="87" width="11.6640625" style="82" bestFit="1" customWidth="1"/>
    <col min="88" max="88" width="11.6640625" style="82" customWidth="1"/>
    <col min="89" max="89" width="12.77734375" style="82" bestFit="1" customWidth="1"/>
    <col min="90" max="90" width="16.44140625" style="83" bestFit="1" customWidth="1"/>
    <col min="91" max="92" width="14.88671875" style="83" bestFit="1" customWidth="1"/>
    <col min="93" max="93" width="16" style="83" bestFit="1" customWidth="1"/>
    <col min="94" max="97" width="7.77734375" style="82" customWidth="1"/>
    <col min="98" max="98" width="33.21875" style="82" customWidth="1"/>
    <col min="99" max="99" width="18" style="82" customWidth="1"/>
    <col min="100" max="100" width="75.6640625" style="82" customWidth="1"/>
    <col min="101" max="125" width="33" style="82" customWidth="1"/>
    <col min="126" max="126" width="8.88671875" style="82"/>
    <col min="127" max="128" width="9.44140625" style="82" bestFit="1" customWidth="1"/>
    <col min="129" max="129" width="10.77734375" style="82" bestFit="1" customWidth="1"/>
    <col min="130" max="134" width="10.77734375" style="82" customWidth="1"/>
    <col min="135" max="135" width="10.109375" style="82" bestFit="1" customWidth="1"/>
    <col min="136" max="136" width="7.77734375" style="82" bestFit="1" customWidth="1"/>
    <col min="137" max="137" width="7.77734375" style="82" customWidth="1"/>
    <col min="138" max="138" width="9" style="82" bestFit="1" customWidth="1"/>
    <col min="139" max="139" width="11.33203125" style="82" bestFit="1" customWidth="1"/>
    <col min="140" max="140" width="9.109375" style="82" bestFit="1" customWidth="1"/>
    <col min="141" max="141" width="9" style="82" bestFit="1" customWidth="1"/>
    <col min="142" max="142" width="12" style="82" bestFit="1" customWidth="1"/>
    <col min="143" max="166" width="12" style="82" customWidth="1"/>
    <col min="167" max="167" width="17.21875" style="82" customWidth="1"/>
    <col min="168" max="191" width="12" style="82" customWidth="1"/>
    <col min="192" max="192" width="8.5546875" style="82" bestFit="1" customWidth="1"/>
    <col min="193" max="193" width="8.5546875" style="82" customWidth="1"/>
    <col min="194" max="194" width="7.109375" style="82" bestFit="1" customWidth="1"/>
    <col min="195" max="195" width="7.5546875" style="82" bestFit="1" customWidth="1"/>
    <col min="196" max="196" width="8.5546875" style="82" bestFit="1" customWidth="1"/>
    <col min="197" max="200" width="8.5546875" style="82" customWidth="1"/>
    <col min="201" max="201" width="188.88671875" style="82" customWidth="1"/>
    <col min="202" max="202" width="9.5546875" style="82" bestFit="1" customWidth="1"/>
    <col min="203" max="203" width="10.44140625" style="82" bestFit="1" customWidth="1"/>
    <col min="204" max="204" width="11.109375" style="82" bestFit="1" customWidth="1"/>
    <col min="205" max="205" width="10.44140625" style="82" bestFit="1" customWidth="1"/>
    <col min="206" max="210" width="10.44140625" style="82" customWidth="1"/>
    <col min="211" max="211" width="45.44140625" style="82" customWidth="1"/>
    <col min="212" max="212" width="47.5546875" style="82" bestFit="1" customWidth="1"/>
    <col min="213" max="213" width="9.33203125" style="86" customWidth="1"/>
    <col min="214" max="214" width="119.5546875" style="82" customWidth="1"/>
    <col min="215" max="215" width="69.6640625" style="82" customWidth="1"/>
    <col min="216" max="218" width="8.88671875" style="82"/>
    <col min="219" max="219" width="37.109375" style="82" customWidth="1"/>
    <col min="220" max="220" width="16.33203125" style="82" customWidth="1"/>
    <col min="221" max="222" width="8.88671875" style="82"/>
    <col min="223" max="223" width="10.109375" style="82" bestFit="1" customWidth="1"/>
    <col min="224" max="232" width="10.88671875" style="82" customWidth="1"/>
    <col min="233" max="234" width="30.77734375" style="82" customWidth="1"/>
    <col min="235" max="235" width="5.109375" style="82" customWidth="1"/>
    <col min="236" max="236" width="3" style="82" customWidth="1"/>
    <col min="237" max="245" width="6.77734375" style="76" customWidth="1"/>
    <col min="246" max="247" width="8.88671875" style="82"/>
    <col min="248" max="248" width="61.5546875" style="82" customWidth="1"/>
    <col min="249" max="253" width="8.88671875" style="82"/>
    <col min="254" max="254" width="9" style="82" customWidth="1"/>
    <col min="255" max="16384" width="8.88671875" style="82"/>
  </cols>
  <sheetData>
    <row r="1" spans="1:259" s="5" customFormat="1" ht="38.4" customHeight="1" thickBot="1" x14ac:dyDescent="0.35">
      <c r="A1" s="1" t="s">
        <v>0</v>
      </c>
      <c r="B1" s="79" t="s">
        <v>1</v>
      </c>
      <c r="C1" s="2" t="s">
        <v>2</v>
      </c>
      <c r="D1" s="3"/>
      <c r="E1" s="3" t="s">
        <v>3</v>
      </c>
      <c r="F1" s="4"/>
      <c r="H1" s="6" t="s">
        <v>4</v>
      </c>
      <c r="J1" s="5" t="s">
        <v>5</v>
      </c>
      <c r="K1" s="7" t="s">
        <v>6</v>
      </c>
      <c r="L1" s="8" t="s">
        <v>7</v>
      </c>
      <c r="M1" s="8" t="s">
        <v>8</v>
      </c>
      <c r="N1" s="9" t="s">
        <v>9</v>
      </c>
      <c r="O1" s="10" t="s">
        <v>10</v>
      </c>
      <c r="P1" s="11" t="s">
        <v>11</v>
      </c>
      <c r="Q1" s="11" t="s">
        <v>12</v>
      </c>
      <c r="R1" s="12" t="s">
        <v>0</v>
      </c>
      <c r="S1" s="13" t="s">
        <v>13</v>
      </c>
      <c r="T1" s="14" t="s">
        <v>14</v>
      </c>
      <c r="U1" s="14" t="s">
        <v>15</v>
      </c>
      <c r="V1" s="15" t="s">
        <v>16</v>
      </c>
      <c r="W1" s="14" t="s">
        <v>17</v>
      </c>
      <c r="X1" s="14" t="s">
        <v>18</v>
      </c>
      <c r="Y1" s="14" t="s">
        <v>19</v>
      </c>
      <c r="Z1" s="14" t="s">
        <v>20</v>
      </c>
      <c r="AA1" s="14" t="s">
        <v>21</v>
      </c>
      <c r="AB1" s="14" t="s">
        <v>22</v>
      </c>
      <c r="AC1" s="14" t="s">
        <v>23</v>
      </c>
      <c r="AD1" s="14" t="s">
        <v>24</v>
      </c>
      <c r="AE1" s="14" t="s">
        <v>25</v>
      </c>
      <c r="AF1" s="16" t="s">
        <v>26</v>
      </c>
      <c r="AG1" s="16" t="s">
        <v>27</v>
      </c>
      <c r="AH1" s="16" t="s">
        <v>28</v>
      </c>
      <c r="AI1" s="16" t="s">
        <v>29</v>
      </c>
      <c r="AJ1" s="16" t="s">
        <v>30</v>
      </c>
      <c r="AK1" s="16" t="s">
        <v>31</v>
      </c>
      <c r="AL1" s="16" t="s">
        <v>32</v>
      </c>
      <c r="AM1" s="16" t="s">
        <v>33</v>
      </c>
      <c r="AN1" s="16" t="s">
        <v>34</v>
      </c>
      <c r="AO1" s="16" t="s">
        <v>35</v>
      </c>
      <c r="AP1" s="16" t="s">
        <v>36</v>
      </c>
      <c r="AQ1" s="16" t="s">
        <v>37</v>
      </c>
      <c r="AR1" s="16" t="s">
        <v>38</v>
      </c>
      <c r="AS1" s="16" t="s">
        <v>39</v>
      </c>
      <c r="AT1" s="17" t="s">
        <v>40</v>
      </c>
      <c r="AU1" s="18" t="s">
        <v>41</v>
      </c>
      <c r="AV1" s="18" t="s">
        <v>42</v>
      </c>
      <c r="AW1" s="18" t="s">
        <v>43</v>
      </c>
      <c r="AX1" s="19"/>
      <c r="AY1" s="20" t="s">
        <v>44</v>
      </c>
      <c r="AZ1" s="19" t="s">
        <v>45</v>
      </c>
      <c r="BA1" s="19"/>
      <c r="BB1" s="19"/>
      <c r="BC1" s="21"/>
      <c r="BD1" s="19" t="s">
        <v>46</v>
      </c>
      <c r="BE1" s="21"/>
      <c r="BF1" s="19" t="s">
        <v>47</v>
      </c>
      <c r="BG1" s="19" t="s">
        <v>48</v>
      </c>
      <c r="BH1" s="19" t="s">
        <v>49</v>
      </c>
      <c r="BI1" s="19" t="s">
        <v>50</v>
      </c>
      <c r="BJ1" s="19" t="s">
        <v>51</v>
      </c>
      <c r="BK1" s="21"/>
      <c r="BL1" s="22" t="s">
        <v>52</v>
      </c>
      <c r="BM1" s="22"/>
      <c r="BN1" s="22"/>
      <c r="BO1" s="22"/>
      <c r="BP1" s="22"/>
      <c r="BQ1" s="22"/>
      <c r="BR1" s="22"/>
      <c r="BS1" s="22"/>
      <c r="BT1" s="23"/>
      <c r="BU1" s="23" t="s">
        <v>53</v>
      </c>
      <c r="BV1" s="23" t="s">
        <v>54</v>
      </c>
      <c r="BW1" s="23" t="s">
        <v>55</v>
      </c>
      <c r="BX1" s="23"/>
      <c r="BY1" s="23" t="s">
        <v>56</v>
      </c>
      <c r="BZ1" s="23" t="s">
        <v>57</v>
      </c>
      <c r="CA1" s="23" t="s">
        <v>58</v>
      </c>
      <c r="CB1" s="23" t="s">
        <v>59</v>
      </c>
      <c r="CC1" s="23" t="s">
        <v>60</v>
      </c>
      <c r="CD1" s="23" t="s">
        <v>61</v>
      </c>
      <c r="CE1" s="23" t="s">
        <v>62</v>
      </c>
      <c r="CF1" s="23" t="s">
        <v>63</v>
      </c>
      <c r="CG1" s="23"/>
      <c r="CH1" s="23" t="s">
        <v>64</v>
      </c>
      <c r="CI1" s="23" t="s">
        <v>65</v>
      </c>
      <c r="CJ1" s="23" t="s">
        <v>66</v>
      </c>
      <c r="CK1" s="23" t="s">
        <v>67</v>
      </c>
      <c r="CL1" s="24" t="s">
        <v>68</v>
      </c>
      <c r="CM1" s="24" t="s">
        <v>69</v>
      </c>
      <c r="CN1" s="24" t="s">
        <v>70</v>
      </c>
      <c r="CO1" s="24" t="s">
        <v>71</v>
      </c>
      <c r="CP1" s="24" t="s">
        <v>72</v>
      </c>
      <c r="CQ1" s="24" t="s">
        <v>73</v>
      </c>
      <c r="CR1" s="24" t="s">
        <v>74</v>
      </c>
      <c r="CS1" s="24" t="s">
        <v>75</v>
      </c>
      <c r="CT1" s="1" t="s">
        <v>76</v>
      </c>
      <c r="CU1" s="25" t="s">
        <v>0</v>
      </c>
      <c r="CV1" s="5" t="s">
        <v>77</v>
      </c>
      <c r="CW1" s="14" t="s">
        <v>78</v>
      </c>
      <c r="CX1" s="14" t="s">
        <v>79</v>
      </c>
      <c r="CY1" s="14" t="s">
        <v>66</v>
      </c>
      <c r="CZ1" s="14" t="s">
        <v>80</v>
      </c>
      <c r="DA1" s="14" t="s">
        <v>81</v>
      </c>
      <c r="DB1" s="14" t="s">
        <v>82</v>
      </c>
      <c r="DC1" s="14" t="s">
        <v>83</v>
      </c>
      <c r="DD1" s="14" t="s">
        <v>84</v>
      </c>
      <c r="DE1" s="14" t="s">
        <v>85</v>
      </c>
      <c r="DF1" s="14" t="s">
        <v>86</v>
      </c>
      <c r="DG1" s="14" t="s">
        <v>87</v>
      </c>
      <c r="DH1" s="14" t="s">
        <v>88</v>
      </c>
      <c r="DI1" s="14" t="s">
        <v>89</v>
      </c>
      <c r="DJ1" s="14" t="s">
        <v>90</v>
      </c>
      <c r="DK1" s="14" t="s">
        <v>91</v>
      </c>
      <c r="DL1" s="14" t="s">
        <v>92</v>
      </c>
      <c r="DM1" s="14" t="s">
        <v>93</v>
      </c>
      <c r="DN1" s="14" t="s">
        <v>94</v>
      </c>
      <c r="DO1" s="14" t="s">
        <v>95</v>
      </c>
      <c r="DP1" s="14" t="s">
        <v>96</v>
      </c>
      <c r="DQ1" s="14" t="s">
        <v>97</v>
      </c>
      <c r="DR1" s="14" t="s">
        <v>56</v>
      </c>
      <c r="DS1" s="14" t="s">
        <v>98</v>
      </c>
      <c r="DT1" s="14" t="s">
        <v>99</v>
      </c>
      <c r="DU1" s="14" t="s">
        <v>100</v>
      </c>
      <c r="DV1" s="14" t="s">
        <v>101</v>
      </c>
      <c r="DW1" s="14" t="s">
        <v>102</v>
      </c>
      <c r="DX1" s="14" t="s">
        <v>103</v>
      </c>
      <c r="DY1" s="14" t="s">
        <v>104</v>
      </c>
      <c r="DZ1" s="14" t="s">
        <v>105</v>
      </c>
      <c r="EA1" s="14" t="s">
        <v>106</v>
      </c>
      <c r="EB1" s="14" t="s">
        <v>107</v>
      </c>
      <c r="EC1" s="14" t="s">
        <v>108</v>
      </c>
      <c r="ED1" s="14" t="s">
        <v>109</v>
      </c>
      <c r="EE1" s="15" t="s">
        <v>18</v>
      </c>
      <c r="EF1" s="14" t="s">
        <v>19</v>
      </c>
      <c r="EG1" s="14" t="s">
        <v>20</v>
      </c>
      <c r="EH1" s="14" t="s">
        <v>21</v>
      </c>
      <c r="EI1" s="14" t="s">
        <v>110</v>
      </c>
      <c r="EJ1" s="14" t="s">
        <v>23</v>
      </c>
      <c r="EK1" s="14" t="s">
        <v>111</v>
      </c>
      <c r="EL1" s="14" t="s">
        <v>112</v>
      </c>
      <c r="EM1" s="14" t="s">
        <v>26</v>
      </c>
      <c r="EN1" s="16" t="s">
        <v>27</v>
      </c>
      <c r="EO1" s="16" t="s">
        <v>28</v>
      </c>
      <c r="EP1" s="16" t="s">
        <v>29</v>
      </c>
      <c r="EQ1" s="16" t="s">
        <v>113</v>
      </c>
      <c r="ER1" s="16" t="s">
        <v>31</v>
      </c>
      <c r="ES1" s="16" t="s">
        <v>32</v>
      </c>
      <c r="ET1" s="16" t="s">
        <v>114</v>
      </c>
      <c r="EU1" s="16" t="s">
        <v>34</v>
      </c>
      <c r="EV1" s="16" t="s">
        <v>35</v>
      </c>
      <c r="EW1" s="16" t="s">
        <v>115</v>
      </c>
      <c r="EX1" s="16" t="s">
        <v>37</v>
      </c>
      <c r="EY1" s="16" t="s">
        <v>38</v>
      </c>
      <c r="EZ1" s="16" t="s">
        <v>39</v>
      </c>
      <c r="FA1" s="16" t="s">
        <v>116</v>
      </c>
      <c r="FB1" s="16" t="s">
        <v>117</v>
      </c>
      <c r="FC1" s="16" t="s">
        <v>118</v>
      </c>
      <c r="FD1" s="16" t="s">
        <v>54</v>
      </c>
      <c r="FE1" s="16" t="s">
        <v>119</v>
      </c>
      <c r="FF1" s="16" t="s">
        <v>120</v>
      </c>
      <c r="FG1" s="16" t="s">
        <v>121</v>
      </c>
      <c r="FH1" s="16" t="s">
        <v>122</v>
      </c>
      <c r="FI1" s="16" t="s">
        <v>123</v>
      </c>
      <c r="FJ1" s="16" t="s">
        <v>124</v>
      </c>
      <c r="FK1" s="16" t="s">
        <v>125</v>
      </c>
      <c r="FL1" s="16" t="s">
        <v>126</v>
      </c>
      <c r="FM1" s="16" t="s">
        <v>127</v>
      </c>
      <c r="FN1" s="16" t="s">
        <v>128</v>
      </c>
      <c r="FO1" s="16" t="s">
        <v>129</v>
      </c>
      <c r="FP1" s="16" t="s">
        <v>130</v>
      </c>
      <c r="FQ1" s="16" t="s">
        <v>131</v>
      </c>
      <c r="FR1" s="16" t="s">
        <v>132</v>
      </c>
      <c r="FS1" s="16" t="s">
        <v>133</v>
      </c>
      <c r="FT1" s="16" t="s">
        <v>134</v>
      </c>
      <c r="FU1" s="16" t="s">
        <v>44</v>
      </c>
      <c r="FV1" s="16" t="s">
        <v>135</v>
      </c>
      <c r="FW1" s="16" t="s">
        <v>58</v>
      </c>
      <c r="FX1" s="16" t="s">
        <v>136</v>
      </c>
      <c r="FY1" s="16" t="s">
        <v>137</v>
      </c>
      <c r="FZ1" s="16" t="s">
        <v>138</v>
      </c>
      <c r="GA1" s="16" t="s">
        <v>139</v>
      </c>
      <c r="GB1" s="16" t="s">
        <v>140</v>
      </c>
      <c r="GC1" s="16" t="s">
        <v>141</v>
      </c>
      <c r="GD1" s="16" t="s">
        <v>142</v>
      </c>
      <c r="GE1" s="16" t="s">
        <v>143</v>
      </c>
      <c r="GF1" s="16" t="s">
        <v>144</v>
      </c>
      <c r="GG1" s="16" t="s">
        <v>145</v>
      </c>
      <c r="GH1" s="16" t="s">
        <v>61</v>
      </c>
      <c r="GI1" s="16" t="s">
        <v>62</v>
      </c>
      <c r="GJ1" s="14" t="s">
        <v>146</v>
      </c>
      <c r="GK1" s="14" t="s">
        <v>147</v>
      </c>
      <c r="GL1" s="14" t="s">
        <v>148</v>
      </c>
      <c r="GM1" s="17" t="s">
        <v>149</v>
      </c>
      <c r="GN1" s="26" t="s">
        <v>150</v>
      </c>
      <c r="GO1" s="26" t="s">
        <v>151</v>
      </c>
      <c r="GP1" s="18" t="s">
        <v>41</v>
      </c>
      <c r="GQ1" s="18" t="s">
        <v>42</v>
      </c>
      <c r="GR1" s="18" t="s">
        <v>43</v>
      </c>
      <c r="GS1" s="21"/>
      <c r="GT1" s="27" t="s">
        <v>52</v>
      </c>
      <c r="GU1" s="27"/>
      <c r="GV1" s="27"/>
      <c r="GW1" s="27"/>
      <c r="GX1" s="28"/>
      <c r="GY1" s="28"/>
      <c r="GZ1" s="28"/>
      <c r="HA1" s="28"/>
      <c r="HB1" s="28"/>
      <c r="HC1" s="28"/>
      <c r="HD1" s="29" t="s">
        <v>13</v>
      </c>
      <c r="HE1" s="30" t="s">
        <v>152</v>
      </c>
      <c r="HF1" s="31"/>
      <c r="HG1" s="32"/>
      <c r="HK1" s="32" t="s">
        <v>4</v>
      </c>
      <c r="HP1" s="33" t="s">
        <v>153</v>
      </c>
      <c r="HQ1" s="33" t="s">
        <v>154</v>
      </c>
      <c r="HR1" s="33" t="s">
        <v>155</v>
      </c>
      <c r="HS1" s="33" t="s">
        <v>156</v>
      </c>
      <c r="HT1" s="33" t="s">
        <v>157</v>
      </c>
      <c r="HU1" s="33" t="s">
        <v>158</v>
      </c>
      <c r="HV1" s="33" t="s">
        <v>159</v>
      </c>
      <c r="HW1" s="33" t="s">
        <v>160</v>
      </c>
      <c r="HX1" s="34" t="s">
        <v>161</v>
      </c>
      <c r="IA1" s="14" t="s">
        <v>162</v>
      </c>
      <c r="IB1" s="35" t="s">
        <v>163</v>
      </c>
      <c r="IC1" s="36" t="s">
        <v>153</v>
      </c>
      <c r="ID1" s="36" t="s">
        <v>154</v>
      </c>
      <c r="IE1" s="36" t="s">
        <v>156</v>
      </c>
      <c r="IF1" s="37" t="s">
        <v>161</v>
      </c>
      <c r="IG1" s="36" t="s">
        <v>157</v>
      </c>
      <c r="IH1" s="36" t="s">
        <v>158</v>
      </c>
      <c r="II1" s="36" t="s">
        <v>155</v>
      </c>
      <c r="IJ1" s="36" t="s">
        <v>159</v>
      </c>
      <c r="IK1" s="36" t="s">
        <v>160</v>
      </c>
      <c r="IO1" s="33" t="s">
        <v>153</v>
      </c>
      <c r="IP1" s="33" t="s">
        <v>154</v>
      </c>
      <c r="IQ1" s="33" t="s">
        <v>155</v>
      </c>
      <c r="IR1" s="33" t="s">
        <v>156</v>
      </c>
      <c r="IS1" s="33" t="s">
        <v>157</v>
      </c>
      <c r="IT1" s="33" t="s">
        <v>158</v>
      </c>
      <c r="IU1" s="33" t="s">
        <v>159</v>
      </c>
      <c r="IV1" s="33" t="s">
        <v>160</v>
      </c>
      <c r="IW1" s="34" t="s">
        <v>161</v>
      </c>
      <c r="IY1" s="5" t="s">
        <v>164</v>
      </c>
    </row>
    <row r="2" spans="1:259" s="44" customFormat="1" ht="38.4" customHeight="1" thickBot="1" x14ac:dyDescent="0.35">
      <c r="A2" s="77" t="s">
        <v>239</v>
      </c>
      <c r="B2" s="78" t="e" vm="39">
        <v>#VALUE!</v>
      </c>
      <c r="C2" s="39">
        <v>1</v>
      </c>
      <c r="D2" s="70" t="s">
        <v>240</v>
      </c>
      <c r="E2" s="40" t="s">
        <v>241</v>
      </c>
      <c r="F2" s="41" t="s">
        <v>165</v>
      </c>
      <c r="G2" s="42">
        <f>COUNTIF($A$1:$A$8222,A2)</f>
        <v>1</v>
      </c>
      <c r="H2" s="43"/>
      <c r="I2" s="59" t="s">
        <v>242</v>
      </c>
      <c r="J2" s="44" t="str">
        <f>""</f>
        <v/>
      </c>
      <c r="K2" s="45">
        <v>133315</v>
      </c>
      <c r="L2" s="46">
        <v>10000</v>
      </c>
      <c r="M2" s="46" t="s">
        <v>1150</v>
      </c>
      <c r="N2" s="47" t="s">
        <v>177</v>
      </c>
      <c r="O2" s="74" t="s">
        <v>208</v>
      </c>
      <c r="P2" s="48" t="s">
        <v>243</v>
      </c>
      <c r="Q2" s="73">
        <v>1</v>
      </c>
      <c r="R2" s="49" t="s">
        <v>177</v>
      </c>
      <c r="S2" s="50">
        <v>6</v>
      </c>
      <c r="T2" s="51" t="s">
        <v>166</v>
      </c>
      <c r="U2" s="52" t="s">
        <v>166</v>
      </c>
      <c r="V2" s="52" t="s">
        <v>167</v>
      </c>
      <c r="W2" s="52" t="s">
        <v>166</v>
      </c>
      <c r="X2" s="52" t="s">
        <v>166</v>
      </c>
      <c r="Y2" s="52" t="s">
        <v>167</v>
      </c>
      <c r="Z2" s="52" t="s">
        <v>167</v>
      </c>
      <c r="AA2" s="52" t="s">
        <v>166</v>
      </c>
      <c r="AB2" s="52" t="s">
        <v>166</v>
      </c>
      <c r="AC2" s="52" t="s">
        <v>166</v>
      </c>
      <c r="AD2" s="52" t="s">
        <v>167</v>
      </c>
      <c r="AE2" s="52" t="s">
        <v>166</v>
      </c>
      <c r="AF2" s="53" t="s">
        <v>166</v>
      </c>
      <c r="AG2" s="53" t="s">
        <v>166</v>
      </c>
      <c r="AH2" s="53" t="s">
        <v>166</v>
      </c>
      <c r="AI2" s="53" t="s">
        <v>166</v>
      </c>
      <c r="AJ2" s="53" t="s">
        <v>166</v>
      </c>
      <c r="AK2" s="53" t="s">
        <v>166</v>
      </c>
      <c r="AL2" s="53" t="s">
        <v>167</v>
      </c>
      <c r="AM2" s="53" t="s">
        <v>166</v>
      </c>
      <c r="AN2" s="53" t="s">
        <v>166</v>
      </c>
      <c r="AO2" s="53" t="s">
        <v>166</v>
      </c>
      <c r="AP2" s="53" t="s">
        <v>166</v>
      </c>
      <c r="AQ2" s="53" t="s">
        <v>166</v>
      </c>
      <c r="AR2" s="53" t="s">
        <v>166</v>
      </c>
      <c r="AS2" s="53" t="s">
        <v>167</v>
      </c>
      <c r="AT2" s="54">
        <v>0</v>
      </c>
      <c r="AU2" s="53"/>
      <c r="AV2" s="53" t="str">
        <f>IF(LEFT(A2,1)="[",LEFT(A2,5)&amp;AU2&amp;A2,"")</f>
        <v/>
      </c>
      <c r="AW2" s="53" t="str">
        <f>C2&amp;H2&amp;A2</f>
        <v>1Kiribati</v>
      </c>
      <c r="AX2" s="55" t="str">
        <f>_xlfn.TEXTJOIN(";",TRUE,AU2:AW2)</f>
        <v>1Kiribati</v>
      </c>
      <c r="AY2" s="55" t="s">
        <v>167</v>
      </c>
      <c r="AZ2" s="56"/>
      <c r="BA2" s="56"/>
      <c r="BB2" s="56"/>
      <c r="BC2" s="57"/>
      <c r="BD2" s="58" t="s">
        <v>156</v>
      </c>
      <c r="BE2" s="59"/>
      <c r="BF2" s="58" t="s">
        <v>156</v>
      </c>
      <c r="BG2" s="58" t="s">
        <v>161</v>
      </c>
      <c r="BH2" s="58" t="s">
        <v>154</v>
      </c>
      <c r="BI2" s="58"/>
      <c r="BJ2" s="58"/>
      <c r="BK2" s="59"/>
      <c r="BL2" s="58" t="s">
        <v>157</v>
      </c>
      <c r="BM2" s="58" t="s">
        <v>156</v>
      </c>
      <c r="BN2" s="58" t="s">
        <v>161</v>
      </c>
      <c r="BO2" s="58" t="s">
        <v>154</v>
      </c>
      <c r="BP2" s="58" t="s">
        <v>153</v>
      </c>
      <c r="BQ2" s="58"/>
      <c r="BR2" s="58"/>
      <c r="BS2" s="58"/>
      <c r="BT2" s="58"/>
      <c r="BU2" s="60"/>
      <c r="BV2" s="61" t="s">
        <v>166</v>
      </c>
      <c r="BW2" s="61" t="s">
        <v>170</v>
      </c>
      <c r="BX2" s="59"/>
      <c r="CB2" s="5" t="s">
        <v>244</v>
      </c>
      <c r="CC2" s="5"/>
      <c r="CD2" s="62">
        <v>0</v>
      </c>
      <c r="CE2" s="62">
        <v>0</v>
      </c>
      <c r="CF2" s="62" t="e">
        <v>#REF!</v>
      </c>
      <c r="CG2" s="75" cm="1">
        <f t="array" ref="CG2">SUMPRODUCT(--(LEN(TRIM(BL2:BT2))&gt;0))</f>
        <v>5</v>
      </c>
      <c r="CH2" s="53" t="str">
        <f>IF(CG2=2,"y","n")</f>
        <v>n</v>
      </c>
      <c r="CI2" s="53" t="str">
        <f>IF(CG2=3,"y","n")</f>
        <v>n</v>
      </c>
      <c r="CJ2" s="53" t="str">
        <f>IF(CG2=4,"y","n")</f>
        <v>n</v>
      </c>
      <c r="CK2" s="53" t="str">
        <f>IF(CG2&gt;4,"y","n")</f>
        <v>y</v>
      </c>
      <c r="CL2" s="53" t="str">
        <f>IF(S2=0,"y","n")</f>
        <v>n</v>
      </c>
      <c r="CM2" s="53" t="str">
        <f>IF(S2=2,"y","n")</f>
        <v>n</v>
      </c>
      <c r="CN2" s="53" t="str">
        <f>IF(S2=3,"y","n")</f>
        <v>n</v>
      </c>
      <c r="CO2" s="53" t="str">
        <f>IF(S2&gt;=4,"y","n")</f>
        <v>y</v>
      </c>
      <c r="CP2" s="53" t="str">
        <f>IF(AT2=0,"y","n")</f>
        <v>y</v>
      </c>
      <c r="CQ2" s="53" t="str">
        <f>IF(AT2=1,"y","n")</f>
        <v>n</v>
      </c>
      <c r="CR2" s="53" t="str">
        <f>IF(AT2=2,"y","n")</f>
        <v>n</v>
      </c>
      <c r="CS2" s="53" t="str">
        <f>IF(AT2&gt;=3,"y","n")</f>
        <v>n</v>
      </c>
      <c r="CT2" s="38" t="str">
        <f>CHAR(34)&amp;A2&amp;CHAR(34)</f>
        <v>"Kiribati"</v>
      </c>
      <c r="CU2" s="63" t="str">
        <f>CHAR(34)&amp;"rgn_"&amp;R2&amp;CHAR(34)</f>
        <v>"rgn_Oceania"</v>
      </c>
      <c r="CV2" s="44" t="str">
        <f>CHAR(34)&amp;D2&amp;CHAR(34)</f>
        <v>"https://i.ibb.co/zJCR6VG/Kiribati-Flag.png"</v>
      </c>
      <c r="CW2" s="44" t="str">
        <f t="shared" ref="CW2:CZ3" si="0">IF(CH2="y",CHAR(34)&amp;CH$1&amp;CHAR(34)&amp;",","")</f>
        <v/>
      </c>
      <c r="CX2" s="44" t="str">
        <f t="shared" si="0"/>
        <v/>
      </c>
      <c r="CY2" s="44" t="str">
        <f t="shared" si="0"/>
        <v/>
      </c>
      <c r="CZ2" s="44" t="str">
        <f t="shared" si="0"/>
        <v>"5+Colo",</v>
      </c>
      <c r="DA2" s="44" t="str">
        <f>IF(Q2&gt;1,CHAR(34)&amp;"words2"&amp;CHAR(34)&amp;",","")</f>
        <v/>
      </c>
      <c r="DB2" s="44" t="str">
        <f>IF(Q2&gt;2,CHAR(34)&amp;"words3"&amp;CHAR(34)&amp;",","")</f>
        <v/>
      </c>
      <c r="DC2" s="44" t="str">
        <f>IF(Q2=2,CHAR(34)&amp;"exact2"&amp;CHAR(34)&amp;",","")</f>
        <v/>
      </c>
      <c r="DD2" s="44"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"lets08",</v>
      </c>
      <c r="DE2" s="44"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"startK",</v>
      </c>
      <c r="DF2" s="44" t="str">
        <f>IFERROR(IF(SEARCH("tan",A2)&gt;0,CHAR(34)&amp;"withtn"&amp;CHAR(34)&amp;",",""),"")</f>
        <v/>
      </c>
      <c r="DG2" s="44" t="str">
        <f>IFERROR(IF(SEARCH("q",A2)&gt;0,CHAR(34)&amp;"with_q"&amp;CHAR(34)&amp;",",""),"")</f>
        <v/>
      </c>
      <c r="DH2" s="44" t="str">
        <f>IFERROR(IF(SEARCH("v",A2)&gt;0,CHAR(34)&amp;"with_v"&amp;CHAR(34)&amp;",",""),"")</f>
        <v/>
      </c>
      <c r="DI2" s="44" t="str">
        <f>IFERROR(IF(SEARCH("w",A2)&gt;0,CHAR(34)&amp;"with_w"&amp;CHAR(34)&amp;",",""),"")</f>
        <v/>
      </c>
      <c r="DJ2" s="44" t="str">
        <f>IFERROR(IF(SEARCH("y",A2)&gt;0,CHAR(34)&amp;"with_y"&amp;CHAR(34)&amp;",",""),"")</f>
        <v/>
      </c>
      <c r="DK2" s="44" t="str">
        <f>IFERROR(IF(SEARCH("z",A2)&gt;0,CHAR(34)&amp;"with_z"&amp;CHAR(34)&amp;",",""),"")</f>
        <v/>
      </c>
      <c r="DL2" s="44" t="str">
        <f>IF(CG2=2, CHAR(34) &amp; _xlfn.TEXTJOIN("", TRUE, _xlfn._xlws.SORT(HP2:HX2)) &amp; CHAR(34) &amp; ",", "")</f>
        <v/>
      </c>
      <c r="DM2" s="44" t="str" cm="1">
        <f t="array" ref="DM2">IF(CG2=3,CHAR(34) &amp; _xlfn.TEXTJOIN("", TRUE, RIGHT(HP2:HX2, 2)) &amp; CHAR(34) &amp; ",", "")</f>
        <v/>
      </c>
      <c r="DN2" s="44" t="str">
        <f>IF(AND(ISNUMBER(SEARCH("18", O2)), ISERROR(SEARCH("1918", O2)), ISERROR(SEARCH("2018", O2))), CHAR(34) &amp; "year18" &amp; CHAR(34) &amp; ",", "")</f>
        <v/>
      </c>
      <c r="DO2" s="44" t="str">
        <f>IF(AND(ISNUMBER(SEARCH("19", O2)), ISERROR(SEARCH("1819", O2)),  ISERROR(SEARCH("1219", O2)),ISERROR(SEARCH("1119", O2)),ISERROR(SEARCH("1190", O2)),ISERROR(SEARCH("2019", O2))), CHAR(34) &amp; "year19" &amp; CHAR(34) &amp; ",", "")</f>
        <v>"year19",</v>
      </c>
      <c r="DP2" s="5" t="str">
        <f>IF(AND(ISNUMBER(SEARCH("20", O2)), ISERROR(SEARCH("1920", O2))), CHAR(34)&amp;"year00"&amp;CHAR(34)&amp;",", "")</f>
        <v/>
      </c>
      <c r="DQ2" s="5" t="str">
        <f>IF(CC2="y",CHAR(34)&amp;"soviet"&amp;CHAR(34)&amp;",","")</f>
        <v/>
      </c>
      <c r="DR2" s="5" t="str">
        <f>IF(BY2="y",CHAR(34)&amp;"dgband"&amp;CHAR(34)&amp;",","")</f>
        <v/>
      </c>
      <c r="DS2" s="5" t="str">
        <f>IF(W2="y",IF(AND(V2="n",BY2&lt;&gt;"y"),CHAR(34)&amp;"allver"&amp;CHAR(34)&amp;",",""),"")</f>
        <v/>
      </c>
      <c r="DT2" s="5" t="str">
        <f>IF(V2="y",IF(AND(W2="n",BY2&lt;&gt;"y"),CHAR(34)&amp;"allhor"&amp;CHAR(34)&amp;",",""),"")</f>
        <v>"allhor",</v>
      </c>
      <c r="DU2" s="5" t="str">
        <f>IF(BY2="y",IF(AND(W2="n",V2="n"),CHAR(34)&amp;"alldia"&amp;CHAR(34)&amp;",",""),"")</f>
        <v/>
      </c>
      <c r="DV2" s="44" t="str">
        <f>IF(IA2&lt;&gt;"",(IF(IA2="y",CHAR(34)&amp;"largec"&amp;CHAR(34)&amp;",",CHAR(34)&amp;"smallc"&amp;CHAR(34)&amp;",")),"")</f>
        <v/>
      </c>
      <c r="DW2" s="44" t="str">
        <f t="shared" ref="DW2:DZ3" si="1">IF(CL2="y",CHAR(34)&amp;CL$1&amp;CHAR(34)&amp;",","")</f>
        <v/>
      </c>
      <c r="DX2" s="44" t="str">
        <f t="shared" si="1"/>
        <v/>
      </c>
      <c r="DY2" s="44" t="str">
        <f t="shared" si="1"/>
        <v/>
      </c>
      <c r="DZ2" s="44" t="str">
        <f t="shared" si="1"/>
        <v>"4+Band",</v>
      </c>
      <c r="EA2" s="44" t="str">
        <f t="shared" ref="EA2:EE3" si="2">IF(T2="y",CHAR(34)&amp;T$1&amp;CHAR(34)&amp;",","")</f>
        <v/>
      </c>
      <c r="EB2" s="44" t="str">
        <f t="shared" si="2"/>
        <v/>
      </c>
      <c r="EC2" s="44" t="str">
        <f t="shared" si="2"/>
        <v>"Horizo",</v>
      </c>
      <c r="ED2" s="44" t="str">
        <f t="shared" si="2"/>
        <v/>
      </c>
      <c r="EE2" s="44" t="str">
        <f t="shared" si="2"/>
        <v/>
      </c>
      <c r="EF2" s="44" t="str">
        <f>IF(AND(Y2&lt;&gt;"n",Y2&lt;&gt;""),CHAR(34)&amp;Y$1&amp;CHAR(34)&amp;",","")</f>
        <v>"Animal",</v>
      </c>
      <c r="EG2" s="44" t="str">
        <f t="shared" ref="EG2:EP3" si="3">IF(Z2="y",CHAR(34)&amp;Z$1&amp;CHAR(34)&amp;",","")</f>
        <v>"Bird",</v>
      </c>
      <c r="EH2" s="44" t="str">
        <f t="shared" si="3"/>
        <v/>
      </c>
      <c r="EI2" s="44" t="str">
        <f t="shared" si="3"/>
        <v/>
      </c>
      <c r="EJ2" s="44" t="str">
        <f t="shared" si="3"/>
        <v/>
      </c>
      <c r="EK2" s="44" t="str">
        <f t="shared" si="3"/>
        <v>"HasSun",</v>
      </c>
      <c r="EL2" s="44" t="str">
        <f t="shared" si="3"/>
        <v/>
      </c>
      <c r="EM2" s="44" t="str">
        <f t="shared" si="3"/>
        <v/>
      </c>
      <c r="EN2" s="44" t="str">
        <f t="shared" si="3"/>
        <v/>
      </c>
      <c r="EO2" s="44" t="str">
        <f t="shared" si="3"/>
        <v/>
      </c>
      <c r="EP2" s="44" t="str">
        <f t="shared" si="3"/>
        <v/>
      </c>
      <c r="EQ2" s="44" t="str">
        <f t="shared" ref="EQ2:EZ3" si="4">IF(AJ2="y",CHAR(34)&amp;AJ$1&amp;CHAR(34)&amp;",","")</f>
        <v/>
      </c>
      <c r="ER2" s="44" t="str">
        <f t="shared" si="4"/>
        <v/>
      </c>
      <c r="ES2" s="44" t="str">
        <f t="shared" si="4"/>
        <v>"Wavess",</v>
      </c>
      <c r="ET2" s="44" t="str">
        <f t="shared" si="4"/>
        <v/>
      </c>
      <c r="EU2" s="44" t="str">
        <f t="shared" si="4"/>
        <v/>
      </c>
      <c r="EV2" s="44" t="str">
        <f t="shared" si="4"/>
        <v/>
      </c>
      <c r="EW2" s="44" t="str">
        <f t="shared" si="4"/>
        <v/>
      </c>
      <c r="EX2" s="44" t="str">
        <f t="shared" si="4"/>
        <v/>
      </c>
      <c r="EY2" s="44" t="str">
        <f t="shared" si="4"/>
        <v/>
      </c>
      <c r="EZ2" s="44" t="str">
        <f t="shared" si="4"/>
        <v>"Waters",</v>
      </c>
      <c r="FA2" s="44" t="str">
        <f>IF(AT2&gt;0,CHAR(34)&amp;"sta"&amp;AZ2&amp;CHAR(34)&amp;",","")</f>
        <v/>
      </c>
      <c r="FB2" s="44" t="str">
        <f>IF(AND(AT2&gt;0,BA2&lt;&gt;""),CHAR(34)&amp;"sta"&amp;BA2&amp;CHAR(34)&amp;",","")</f>
        <v/>
      </c>
      <c r="FC2" s="44" t="str">
        <f>IF(AND(AT2&gt;0,BB2&lt;&gt;""),CHAR(34)&amp;"sta"&amp;BB2&amp;CHAR(34)&amp;",","")</f>
        <v/>
      </c>
      <c r="FD2" s="44" t="str">
        <f>IF(BV2="n",CHAR(34)&amp;"tcWHYE"&amp;CHAR(34)&amp;",",IF(BV2="y",CHAR(34)&amp;FD$1&amp;CHAR(34)&amp;",",""))</f>
        <v>"tcWHYE",</v>
      </c>
      <c r="FE2" s="44" t="str">
        <f>IF(COUNTIF(BL2:BT2,"BLU")=0,CHAR(34)&amp;"NO_BLU"&amp;CHAR(34)&amp;",", "")</f>
        <v/>
      </c>
      <c r="FF2" s="44" t="str">
        <f>IF(COUNTIF(BL2:BT2,"WHI")=0,CHAR(34)&amp;"NO_WHI"&amp;CHAR(34)&amp;",", "")</f>
        <v/>
      </c>
      <c r="FG2" s="44" t="str">
        <f>IF(COUNTIF(BL2:BT2,"RED")=0,CHAR(34)&amp;"NO_RED"&amp;CHAR(34)&amp;",", "")</f>
        <v/>
      </c>
      <c r="FH2" s="44" t="str">
        <f>IF(COUNTIF(BL2:BS2,"GRE")=0,CHAR(34)&amp;"NO_GRE"&amp;CHAR(34)&amp;",", "")</f>
        <v>"NO_GRE",</v>
      </c>
      <c r="FI2" s="44" t="str">
        <f>IF(COUNTIF(BL2:BT2,"YEL")=0,CHAR(34)&amp;"NO_YEL"&amp;CHAR(34)&amp;",", "")</f>
        <v/>
      </c>
      <c r="FJ2" s="44" t="str">
        <f>IF(COUNTIF(BL2:BT2,"BLA")=0,CHAR(34)&amp;"NO_BLA"&amp;CHAR(34)&amp;",", "")</f>
        <v/>
      </c>
      <c r="FK2" s="44" t="str">
        <f>IF(AND(FH2&lt;&gt;"",FF2&lt;&gt;""),CHAR(34)&amp;"WHGRNO"&amp;CHAR(34)&amp;",","")</f>
        <v/>
      </c>
      <c r="FL2" s="44" t="str">
        <f>IF(AND(FI2&lt;&gt;"",FF2&lt;&gt;""),CHAR(34)&amp;"WHYENO"&amp;CHAR(34)&amp;",","")</f>
        <v/>
      </c>
      <c r="FM2" s="44" t="str">
        <f>IF(AND(FJ2&lt;&gt;"",FF2&lt;&gt;""),CHAR(34)&amp;"BAWHNO"&amp;CHAR(34)&amp;",","")</f>
        <v/>
      </c>
      <c r="FN2" s="44" t="str">
        <f>IF(AND(FE2&lt;&gt;"",FF2&lt;&gt;""),CHAR(34)&amp;"BLWHNO"&amp;CHAR(34)&amp;",","")</f>
        <v/>
      </c>
      <c r="FO2" s="44" t="str">
        <f>IF(AND(FE2&lt;&gt;"",FG2&lt;&gt;""),CHAR(34)&amp;"BLRENO"&amp;CHAR(34)&amp;",","")</f>
        <v/>
      </c>
      <c r="FP2" s="44" t="str">
        <f>IF(AND(FF2&lt;&gt;"",FF2&lt;&gt;""),CHAR(34)&amp;"WHRENO"&amp;CHAR(34)&amp;",","")</f>
        <v/>
      </c>
      <c r="FQ2" s="44" t="str">
        <f>IF(LEN(BF2)=3,CHAR(34)&amp;"001"&amp;BF2&amp;CHAR(34)&amp;",","")</f>
        <v>"001RED",</v>
      </c>
      <c r="FR2" s="44" t="str">
        <f>IF(LEN(BG2)=3,CHAR(34)&amp;"002"&amp;BG2&amp;CHAR(34)&amp;",","")</f>
        <v>"002WHI",</v>
      </c>
      <c r="FS2" s="44" t="str">
        <f>IF(LEN(BH2)=3,CHAR(34)&amp;"003"&amp;BH2&amp;CHAR(34)&amp;",","")</f>
        <v>"003BLU",</v>
      </c>
      <c r="FT2" s="44" t="str">
        <f>CHAR(34)&amp;"myr"&amp;BD2&amp;CHAR(34)&amp;","</f>
        <v>"myrRED",</v>
      </c>
      <c r="FU2" s="44" t="str">
        <f>IF(AY2="y",CHAR(34)&amp;"island"&amp;CHAR(34)&amp;",","")</f>
        <v>"island",</v>
      </c>
      <c r="FV2" s="44" t="str">
        <f>IF(BZ2="y",CHAR(34)&amp;"landlo"&amp;CHAR(34)&amp;",","")</f>
        <v/>
      </c>
      <c r="FW2" s="44" t="str">
        <f>IF(CA2="y",CHAR(34)&amp;"eunion"&amp;CHAR(34)&amp;",","")</f>
        <v/>
      </c>
      <c r="FX2" s="44" t="str">
        <f>SUBSTITUTE(IFERROR(SEARCH("[",A2),IFERROR(IF(AND(CA2&lt;&gt;"y",SEARCH("Europe",R2)&gt;0),CHAR(34)&amp;"noeuni"&amp;CHAR(34)&amp;",",""),"")),"1","")</f>
        <v/>
      </c>
      <c r="FY2" s="44" t="str">
        <f>IFERROR(IF(SEARCH("Arabic",CB2)&gt;0,CHAR(34)&amp;"arabic"&amp;CHAR(34)&amp;",",""),"")</f>
        <v/>
      </c>
      <c r="FZ2" s="44" t="str">
        <f>IFERROR(IF(SEARCH("English",CB2)&gt;0,CHAR(34)&amp;"englis"&amp;CHAR(34)&amp;",",""),"")</f>
        <v>"englis",</v>
      </c>
      <c r="GA2" s="44" t="str">
        <f>IFERROR(IF(SEARCH("French",CB2)&gt;0,CHAR(34)&amp;"french"&amp;CHAR(34)&amp;",",""),"")</f>
        <v/>
      </c>
      <c r="GB2" s="44" t="str">
        <f>IFERROR(IF(SEARCH("Spanish",CB2)&gt;0,CHAR(34)&amp;"spanis"&amp;CHAR(34)&amp;",",""),"")</f>
        <v/>
      </c>
      <c r="GC2" s="44" t="str">
        <f>IFERROR(IF(SEARCH("Portuguese",CB2)&gt;0,CHAR(34)&amp;"portug"&amp;CHAR(34)&amp;",",""),"")</f>
        <v/>
      </c>
      <c r="GD2" s="44" t="str">
        <f>IFERROR(IF(SEARCH("German",CB2)&gt;0,CHAR(34)&amp;"german"&amp;CHAR(34)&amp;",",""),"")</f>
        <v/>
      </c>
      <c r="GE2" s="44" t="str">
        <f>IFERROR(IF(SEARCH("Dutch",CB2)&gt;0,CHAR(34)&amp;"dutchs"&amp;CHAR(34)&amp;",",""),"")</f>
        <v/>
      </c>
      <c r="GF2" s="44" t="str">
        <f>IFERROR(IF(SEARCH("Histor",AU2)&gt;0,CHAR(34)&amp;"histor"&amp;CHAR(34)&amp;",",""),"")</f>
        <v/>
      </c>
      <c r="GG2" s="44" t="str">
        <f>IF(BU2="y",CHAR(34)&amp;"unjack"&amp;CHAR(34)&amp;",","")</f>
        <v/>
      </c>
      <c r="GH2" s="44" t="str">
        <f>IF(CD2=1,CHAR(34)&amp;"southc"&amp;CHAR(34)&amp;",","")</f>
        <v/>
      </c>
      <c r="GI2" s="44" t="str">
        <f>IF(CE2=1,CHAR(34)&amp;"hasmap"&amp;CHAR(34)&amp;",","")</f>
        <v/>
      </c>
      <c r="GJ2" s="44" t="str">
        <f>IF(CP2="y",CHAR(34)&amp;CP$1&amp;CHAR(34)&amp;",","")</f>
        <v>"NoStar",</v>
      </c>
      <c r="GK2" s="44" t="str">
        <f>IF(GJ2="",CHAR(34)&amp;"HasSta"&amp;CHAR(34)&amp;",","")</f>
        <v/>
      </c>
      <c r="GL2" s="44" t="str">
        <f t="shared" ref="GL2:GN3" si="5">IF(CQ2="y",CHAR(34)&amp;CQ$1&amp;CHAR(34)&amp;",","")</f>
        <v/>
      </c>
      <c r="GM2" s="44" t="str">
        <f t="shared" si="5"/>
        <v/>
      </c>
      <c r="GN2" s="44" t="str">
        <f t="shared" si="5"/>
        <v/>
      </c>
      <c r="GP2" s="44" t="str">
        <f>CHAR(34)&amp;AU2&amp;CHAR(34)</f>
        <v>""</v>
      </c>
      <c r="GS2" s="44" t="str">
        <f>SUBSTITUTE("["&amp;_xlfn.CONCAT(CW2:GN2)&amp;"]",",]","]")</f>
        <v>["5+Colo","lets08","startK","year19","allhor","4+Band","Horizo","Animal","Bird","HasSun","Wavess","Waters","tcWHYE","NO_GRE","001RED","002WHI","003BLU","myrRED","island","englis","NoStar"]</v>
      </c>
      <c r="GT2" s="44" t="str">
        <f t="shared" ref="GT2:HB3" si="6">IF(BL2&lt;&gt;"",CHAR(34)&amp;"cl_"&amp;BL2&amp;CHAR(34)&amp;",","")</f>
        <v>"cl_YEL",</v>
      </c>
      <c r="GU2" s="44" t="str">
        <f t="shared" si="6"/>
        <v>"cl_RED",</v>
      </c>
      <c r="GV2" s="44" t="str">
        <f t="shared" si="6"/>
        <v>"cl_WHI",</v>
      </c>
      <c r="GW2" s="44" t="str">
        <f t="shared" si="6"/>
        <v>"cl_BLU",</v>
      </c>
      <c r="GX2" s="44" t="str">
        <f t="shared" si="6"/>
        <v>"cl_BLA",</v>
      </c>
      <c r="GY2" s="44" t="str">
        <f t="shared" si="6"/>
        <v/>
      </c>
      <c r="GZ2" s="44" t="str">
        <f t="shared" si="6"/>
        <v/>
      </c>
      <c r="HA2" s="44" t="str">
        <f t="shared" si="6"/>
        <v/>
      </c>
      <c r="HB2" s="44" t="str">
        <f t="shared" si="6"/>
        <v/>
      </c>
      <c r="HC2" s="44" t="str">
        <f>SUBSTITUTE("["&amp;_xlfn.CONCAT(GT2:HB2)&amp;"]",",]","]")</f>
        <v>["cl_YEL","cl_RED","cl_WHI","cl_BLU","cl_BLA"]</v>
      </c>
      <c r="HE2" s="64"/>
      <c r="HF2" s="65" t="str">
        <f>"{couname:"&amp;CT2&amp;(IF(HK2&lt;&gt;"",",subtype:"&amp;CHAR(34)&amp;HK2&amp;CHAR(34),""))&amp;",year:"&amp;HJ2&amp;",region:"&amp;CU2&amp;",Colors:"&amp;HC2&amp;",Items:"&amp;GS2&amp;",Flag:"&amp;CV2&amp;",HDFlag:"&amp;CHAR(34)&amp;E2&amp;CHAR(34)&amp;",type:"&amp;GP2&amp;", describe: "&amp;HH2&amp;", isnew:"&amp;CHAR(34)&amp;F2&amp;CHAR(34)&amp;", links: "&amp;HL2&amp;"},"</f>
        <v>{couname:"Kiribati",year:"1979 ",region:"rgn_Oceania",Colors:["cl_YEL","cl_RED","cl_WHI","cl_BLU","cl_BLA"],Items:["5+Colo","lets08","startK","year19","allhor","4+Band","Horizo","Animal","Bird","HasSun","Wavess","Waters","tcWHYE","NO_GRE","001RED","002WHI","003BLU","myrRED","island","englis","NoStar"],Flag:"https://i.ibb.co/zJCR6VG/Kiribati-Flag.png",HDFlag:"https://upload.wikimedia.org/wikipedia/commons/thumb/d/d3/Flag_of_Kiribati.svg/2560px-Flag_of_Kiribati.svg.png",type:"", describe: "\nThe bird is a frigate bird which represents power, freedom and Kiribati cultural dance patterns. The rising sun is the tropical sun as Kiribati lies astride the Equator.The sea is the Pacific Ocean which surrounds Kiribati.", isnew:".", links: "https://en.wikipedia.org/wiki/Flag_of_Kiribati"},</v>
      </c>
      <c r="HG2" s="66" t="str">
        <f>"{couname:"&amp;CT2&amp;(IF(HK2&lt;&gt;"",",subtype:"&amp;CHAR(34)&amp;HK2&amp;CHAR(34),""))&amp;",year:"&amp;HJ2&amp;",region:"&amp;CU2&amp;",Colors:"&amp;HC2&amp;",Items:"&amp;GS2&amp;",Flag:"&amp;CV2&amp;",HDFlag:"&amp;CHAR(34)&amp;E2&amp;CHAR(34)&amp;",type:"&amp;GP2&amp;", describe: "&amp;HI2&amp;", links: "&amp;HL2&amp;"},"</f>
        <v>{couname:"Kiribati",year:"1979 ",region:"rgn_Oceania",Colors:["cl_YEL","cl_RED","cl_WHI","cl_BLU","cl_BLA"],Items:["5+Colo","lets08","startK","year19","allhor","4+Band","Horizo","Animal","Bird","HasSun","Wavess","Waters","tcWHYE","NO_GRE","001RED","002WHI","003BLU","myrRED","island","englis","NoStar"],Flag:"https://i.ibb.co/zJCR6VG/Kiribati-Flag.png",HDFlag:"https://upload.wikimedia.org/wikipedia/commons/thumb/d/d3/Flag_of_Kiribati.svg/2560px-Flag_of_Kiribati.svg.png",type:"", describe: "\nThe bird is a frigate bird which represents power, freedom and Kiribati cultural dance patterns. The rising sun is the tropical sun as Kiribati lies astride the Equator.The sea is the Pacific Ocean which surrounds Kiribati.", links: "https://en.wikipedia.org/wiki/Flag_of_Kiribati"},</v>
      </c>
      <c r="HH2" s="44" t="str">
        <f>IF(P2&lt;&gt;"",CHAR(34)&amp;"\n"&amp;P2&amp;CHAR(34),CHAR(34)&amp;CHAR(34))</f>
        <v>"\nThe bird is a frigate bird which represents power, freedom and Kiribati cultural dance patterns. The rising sun is the tropical sun as Kiribati lies astride the Equator.The sea is the Pacific Ocean which surrounds Kiribati."</v>
      </c>
      <c r="HI2" s="44" t="str">
        <f>IF(J2=0,CHAR(34)&amp;CHAR(34),HH2)</f>
        <v>"\nThe bird is a frigate bird which represents power, freedom and Kiribati cultural dance patterns. The rising sun is the tropical sun as Kiribati lies astride the Equator.The sea is the Pacific Ocean which surrounds Kiribati."</v>
      </c>
      <c r="HJ2" s="44" t="str">
        <f>CHAR(34)&amp;O2&amp;CHAR(34)</f>
        <v>"1979 "</v>
      </c>
      <c r="HL2" s="44" t="str">
        <f>CHAR(34)&amp;I2&amp;CHAR(34)</f>
        <v>"https://en.wikipedia.org/wiki/Flag_of_Kiribati"</v>
      </c>
      <c r="HM2" s="65"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{"couname":"Kiribati","year":"1979 ","region":"rgn_Oceania","Colors":["cl_YEL","cl_RED","cl_WHI","cl_BLU","cl_BLA"],"Items":["5+Colo","lets08","startK","year19","allhor","4+Band","Horizo","Animal","Bird","HasSun","Wavess","Waters","tcWHYE","NO_GRE","001RED","002WHI","003BLU","myrRED","island","englis","NoStar"],"Flag":"https://i.ibb.co/zJCR6VG/Kiribati-Flag.png","HDFlag":"https://upload.wikimedia.org/wikipedia/commons/thumb/d/d3/Flag_of_Kiribati.svg/2560px-Flag_of_Kiribati.svg.png","type":"", "describe": "\nThe bird is a frigate bird which represents power, freedom and Kiribati cultural dance patterns. The rising sun is the tropical sun as Kiribati lies astride the Equator.The sea is the Pacific Ocean which surrounds Kiribati.", "isnew": ".", "links": "https://en.wikipedia.org/wiki/Flag_of_Kiribati"},</v>
      </c>
      <c r="HN2" s="67"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{"couname":"Kiribati","year":"1979 ","region":"rgn_Oceania","Colors":["cl_YEL","cl_RED","cl_WHI","cl_BLU","cl_BLA"],"Items":["5+Colo","lets08","startK","year19","allhor","4+Band","Horizo","Animal","Bird","HasSun","Wavess","Waters","tcWHYE","NO_GRE","001RED","002WHI","003BLU","myrRED","island","englis","NoStar"],"Flag":"https://i.ibb.co/zJCR6VG/Kiribati-Flag.png","HDFlag":"https://upload.wikimedia.org/wikipedia/commons/thumb/d/d3/Flag_of_Kiribati.svg/2560px-Flag_of_Kiribati.svg.png","type":"", "describe": "\nThe bird is a frigate bird which represents power, freedom and Kiribati cultural dance patterns. The rising sun is the tropical sun as Kiribati lies astride the Equator.The sea is the Pacific Ocean which surrounds Kiribati.", "isnew": ".", "links": "https://en.wikipedia.org/wiki/Flag_of_Kiribati"},</v>
      </c>
      <c r="HO2" s="71"/>
      <c r="HP2" s="44" t="str" cm="1">
        <f t="array" ref="HP2">IF(_xlfn.TEXTJOIN(", ", TRUE, IF(ISNUMBER(SEARCH("BLA", BL2:BT2)), COLUMN(BL2:BT2) - COLUMN(BL2) + 1, ""))&lt;&gt;"","BLA","")</f>
        <v>BLA</v>
      </c>
      <c r="HQ2" s="44" t="str" cm="1">
        <f t="array" ref="HQ2">IF(_xlfn.TEXTJOIN(", ", TRUE, IF(ISNUMBER(SEARCH("BLU", BL2:BT2)), COLUMN(BL2:BT2) - COLUMN(BL2) + 1, ""))&lt;&gt;"","BLU","")</f>
        <v>BLU</v>
      </c>
      <c r="HR2" s="44" t="str" cm="1">
        <f t="array" ref="HR2">IF(_xlfn.TEXTJOIN(", ", TRUE, IF(ISNUMBER(SEARCH("GRE", BL2:BT2)), COLUMN(BL2:BT2) - COLUMN(BL2) + 1, ""))&lt;&gt;"","GRE","")</f>
        <v/>
      </c>
      <c r="HS2" s="44" t="str" cm="1">
        <f t="array" ref="HS2">IF(_xlfn.TEXTJOIN(", ", TRUE, IF(ISNUMBER(SEARCH("RED", BL2:BT2)), COLUMN(BL2:BT2) - COLUMN(BL2) + 1, ""))&lt;&gt;"","RED","")</f>
        <v>RED</v>
      </c>
      <c r="HT2" s="44" t="str" cm="1">
        <f t="array" ref="HT2">IF(_xlfn.TEXTJOIN(", ", TRUE, IF(ISNUMBER(SEARCH("YEL", BL2:BT2)), COLUMN(BL2:BT2) - COLUMN(BL2) + 1, ""))&lt;&gt;"","YEL","")</f>
        <v>YEL</v>
      </c>
      <c r="HU2" s="44" t="str" cm="1">
        <f t="array" ref="HU2">IF(_xlfn.TEXTJOIN(", ", TRUE, IF(ISNUMBER(SEARCH("ORA", BL2:BT2)), COLUMN(BL2:BT2) - COLUMN(BL2) + 1, ""))&lt;&gt;"","ORA","")</f>
        <v/>
      </c>
      <c r="HV2" s="44" t="str" cm="1">
        <f t="array" ref="HV2">IF(_xlfn.TEXTJOIN(", ", TRUE, IF(ISNUMBER(SEARCH("BRO", BL2:BT2)), COLUMN(BL2:BT2) - COLUMN(BL2) + 1, ""))&lt;&gt;"","BRO","")</f>
        <v/>
      </c>
      <c r="HW2" s="44" t="str" cm="1">
        <f t="array" ref="HW2">IF(_xlfn.TEXTJOIN(", ", TRUE, IF(ISNUMBER(SEARCH("PUR", BL2:BT2)), COLUMN(BL2:BT2) - COLUMN(BL2) + 1, ""))&lt;&gt;"","PUR","")</f>
        <v/>
      </c>
      <c r="HX2" s="44" t="str" cm="1">
        <f t="array" ref="HX2">IF(_xlfn.TEXTJOIN(", ", TRUE, IF(ISNUMBER(SEARCH("WHI", BL2:BT2)), COLUMN(BL2:BT2) - COLUMN(BL2) + 1, ""))&lt;&gt;"","WHI","")</f>
        <v>WHI</v>
      </c>
      <c r="HY2" s="72"/>
      <c r="HZ2" s="72"/>
      <c r="IA2" s="5"/>
      <c r="IB2" s="5"/>
      <c r="IC2" s="68"/>
      <c r="ID2" s="68"/>
      <c r="IE2" s="68"/>
      <c r="IF2" s="68"/>
      <c r="IG2" s="68"/>
      <c r="IH2" s="68"/>
      <c r="II2" s="68"/>
      <c r="IJ2" s="68"/>
      <c r="IK2" s="68"/>
      <c r="IL2" s="44">
        <f>SUM(IC2:IK2)</f>
        <v>0</v>
      </c>
      <c r="IM2" s="42">
        <f>COUNTIF(IC2:IK2,"&gt;0")-CG2</f>
        <v>-5</v>
      </c>
      <c r="IN2" s="69" t="str">
        <f>"http://mkweb.bcgsc.ca/color-summarizer/?url="&amp;D2&amp;"&amp;precision=low&amp;num_clusters="&amp;CG2&amp;"&amp;text=1"</f>
        <v>http://mkweb.bcgsc.ca/color-summarizer/?url=https://i.ibb.co/zJCR6VG/Kiribati-Flag.png&amp;precision=low&amp;num_clusters=5&amp;text=1</v>
      </c>
      <c r="IO2" s="44" t="str">
        <f>IF(HP2&lt;&gt;"",CHAR(34)&amp;"black"&amp;CHAR(34),"")</f>
        <v>"black"</v>
      </c>
      <c r="IP2" s="44" t="str">
        <f>IF(HQ2&lt;&gt;"",CHAR(34)&amp;"blue"&amp;CHAR(34),"")</f>
        <v>"blue"</v>
      </c>
      <c r="IQ2" s="44" t="str">
        <f>IF(HR2&lt;&gt;"",CHAR(34)&amp;"green"&amp;CHAR(34),"")</f>
        <v/>
      </c>
      <c r="IR2" s="44" t="str">
        <f>IF(HS2&lt;&gt;"",CHAR(34)&amp;"red"&amp;CHAR(34),"")</f>
        <v>"red"</v>
      </c>
      <c r="IS2" s="44" t="str">
        <f>IF(HT2&lt;&gt;"",CHAR(34)&amp;"yellow"&amp;CHAR(34),"")</f>
        <v>"yellow"</v>
      </c>
      <c r="IT2" s="44" t="str">
        <f>IF(HU2&lt;&gt;"",CHAR(34)&amp;"orange"&amp;CHAR(34),"")</f>
        <v/>
      </c>
      <c r="IU2" s="44" t="str">
        <f>IF(HV2&lt;&gt;"",CHAR(34)&amp;"brown"&amp;CHAR(34),"")</f>
        <v/>
      </c>
      <c r="IV2" s="44" t="str">
        <f>IF(HW2&lt;&gt;"",CHAR(34)&amp;"purple"&amp;CHAR(34),"")</f>
        <v/>
      </c>
      <c r="IW2" s="44" t="str">
        <f>IF(HX2&lt;&gt;"",CHAR(34)&amp;"white"&amp;CHAR(34),"")</f>
        <v>"white"</v>
      </c>
      <c r="IX2" s="44" t="str">
        <f>"{"&amp;CHAR(34)&amp;"url"&amp;CHAR(34)&amp;":"&amp;CHAR(34)&amp;IN2&amp;CHAR(34)&amp;","&amp;CHAR(34)&amp;"name"&amp;CHAR(34)&amp;":"&amp;CHAR(34)&amp;A2&amp;CHAR(34)&amp;"},"</f>
        <v>{"url":"http://mkweb.bcgsc.ca/color-summarizer/?url=https://i.ibb.co/zJCR6VG/Kiribati-Flag.png&amp;precision=low&amp;num_clusters=5&amp;text=1","name":"Kiribati"},</v>
      </c>
      <c r="IY2" s="44">
        <v>114</v>
      </c>
    </row>
    <row r="3" spans="1:259" s="44" customFormat="1" ht="38.4" customHeight="1" thickBot="1" x14ac:dyDescent="0.35">
      <c r="A3" s="81" t="s">
        <v>680</v>
      </c>
      <c r="B3" s="78" t="e" vm="40">
        <v>#VALUE!</v>
      </c>
      <c r="C3" s="39">
        <v>3</v>
      </c>
      <c r="D3" s="70" t="s">
        <v>681</v>
      </c>
      <c r="E3" s="40" t="s">
        <v>682</v>
      </c>
      <c r="F3" s="41" t="s">
        <v>165</v>
      </c>
      <c r="G3" s="42">
        <f>COUNTIF($A$1:$A$8222,A3)</f>
        <v>1</v>
      </c>
      <c r="H3" s="43" t="s">
        <v>1133</v>
      </c>
      <c r="I3" s="59" t="s">
        <v>683</v>
      </c>
      <c r="J3" s="44" t="str">
        <f>""</f>
        <v/>
      </c>
      <c r="K3" s="45"/>
      <c r="L3" s="46"/>
      <c r="M3" s="46"/>
      <c r="N3" s="47" t="s">
        <v>177</v>
      </c>
      <c r="O3" s="74">
        <v>1889</v>
      </c>
      <c r="P3" s="48" t="s">
        <v>684</v>
      </c>
      <c r="Q3" s="73">
        <v>3</v>
      </c>
      <c r="R3" s="49" t="s">
        <v>177</v>
      </c>
      <c r="S3" s="50">
        <v>3</v>
      </c>
      <c r="T3" s="51" t="s">
        <v>166</v>
      </c>
      <c r="U3" s="52" t="s">
        <v>166</v>
      </c>
      <c r="V3" s="52" t="s">
        <v>167</v>
      </c>
      <c r="W3" s="52" t="s">
        <v>166</v>
      </c>
      <c r="X3" s="52" t="s">
        <v>167</v>
      </c>
      <c r="Y3" s="52" t="s">
        <v>167</v>
      </c>
      <c r="Z3" s="52" t="s">
        <v>166</v>
      </c>
      <c r="AA3" s="52" t="s">
        <v>166</v>
      </c>
      <c r="AB3" s="52" t="s">
        <v>166</v>
      </c>
      <c r="AC3" s="52" t="s">
        <v>166</v>
      </c>
      <c r="AD3" s="52" t="s">
        <v>166</v>
      </c>
      <c r="AE3" s="52" t="s">
        <v>166</v>
      </c>
      <c r="AF3" s="53" t="s">
        <v>166</v>
      </c>
      <c r="AG3" s="53" t="s">
        <v>167</v>
      </c>
      <c r="AH3" s="53" t="s">
        <v>167</v>
      </c>
      <c r="AI3" s="53" t="s">
        <v>166</v>
      </c>
      <c r="AJ3" s="53" t="s">
        <v>166</v>
      </c>
      <c r="AK3" s="53" t="s">
        <v>166</v>
      </c>
      <c r="AL3" s="53" t="s">
        <v>166</v>
      </c>
      <c r="AM3" s="53" t="s">
        <v>166</v>
      </c>
      <c r="AN3" s="53" t="s">
        <v>166</v>
      </c>
      <c r="AO3" s="53" t="s">
        <v>166</v>
      </c>
      <c r="AP3" s="53" t="s">
        <v>166</v>
      </c>
      <c r="AQ3" s="53" t="s">
        <v>166</v>
      </c>
      <c r="AR3" s="53" t="s">
        <v>166</v>
      </c>
      <c r="AS3" s="53" t="s">
        <v>166</v>
      </c>
      <c r="AT3" s="54">
        <v>0</v>
      </c>
      <c r="AU3" s="53" t="s">
        <v>349</v>
      </c>
      <c r="AV3" s="53" t="str">
        <f>IF(LEFT(A3,1)="[",LEFT(A3,5)&amp;AU3&amp;A3,"")</f>
        <v>[KIR]Historical[KIR] Kingdom of Abemama (1889-1892)</v>
      </c>
      <c r="AW3" s="53" t="str">
        <f>C3&amp;H3&amp;A3</f>
        <v>3[KIR] Other[KIR] Kingdom of Abemama (1889-1892)</v>
      </c>
      <c r="AX3" s="55"/>
      <c r="AY3" s="55"/>
      <c r="AZ3" s="56" t="s">
        <v>231</v>
      </c>
      <c r="BA3" s="56" t="s">
        <v>231</v>
      </c>
      <c r="BB3" s="56"/>
      <c r="BC3" s="57"/>
      <c r="BD3" s="58" t="s">
        <v>156</v>
      </c>
      <c r="BE3" s="59"/>
      <c r="BF3" s="58" t="s">
        <v>156</v>
      </c>
      <c r="BG3" s="58" t="s">
        <v>157</v>
      </c>
      <c r="BH3" s="58" t="s">
        <v>155</v>
      </c>
      <c r="BI3" s="58"/>
      <c r="BJ3" s="58"/>
      <c r="BK3" s="59"/>
      <c r="BL3" s="58" t="s">
        <v>153</v>
      </c>
      <c r="BM3" s="58" t="s">
        <v>231</v>
      </c>
      <c r="BN3" s="58" t="s">
        <v>155</v>
      </c>
      <c r="BO3" s="58" t="s">
        <v>156</v>
      </c>
      <c r="BP3" s="58" t="s">
        <v>157</v>
      </c>
      <c r="BQ3" s="58" t="s">
        <v>231</v>
      </c>
      <c r="BR3" s="58" t="s">
        <v>231</v>
      </c>
      <c r="BS3" s="58" t="s">
        <v>231</v>
      </c>
      <c r="BT3" s="58" t="s">
        <v>231</v>
      </c>
      <c r="BU3" s="60"/>
      <c r="BV3" s="61"/>
      <c r="BW3" s="61">
        <v>0</v>
      </c>
      <c r="BX3" s="59"/>
      <c r="CB3" s="5"/>
      <c r="CC3" s="5"/>
      <c r="CD3" s="62">
        <v>0</v>
      </c>
      <c r="CE3" s="62">
        <v>0</v>
      </c>
      <c r="CF3" s="62" t="e">
        <v>#REF!</v>
      </c>
      <c r="CG3" s="75" cm="1">
        <f t="array" ref="CG3">SUMPRODUCT(--(LEN(TRIM(BL3:BT3))&gt;0))</f>
        <v>4</v>
      </c>
      <c r="CH3" s="53" t="str">
        <f>IF(CG3=2,"y","n")</f>
        <v>n</v>
      </c>
      <c r="CI3" s="53" t="str">
        <f>IF(CG3=3,"y","n")</f>
        <v>n</v>
      </c>
      <c r="CJ3" s="53" t="str">
        <f>IF(CG3=4,"y","n")</f>
        <v>y</v>
      </c>
      <c r="CK3" s="53" t="str">
        <f>IF(CG3&gt;4,"y","n")</f>
        <v>n</v>
      </c>
      <c r="CL3" s="53" t="str">
        <f>IF(S3=0,"y","n")</f>
        <v>n</v>
      </c>
      <c r="CM3" s="53" t="str">
        <f>IF(S3=2,"y","n")</f>
        <v>n</v>
      </c>
      <c r="CN3" s="53" t="str">
        <f>IF(S3=3,"y","n")</f>
        <v>y</v>
      </c>
      <c r="CO3" s="53" t="str">
        <f>IF(S3&gt;=4,"y","n")</f>
        <v>n</v>
      </c>
      <c r="CP3" s="53" t="str">
        <f>IF(AT3=0,"y","n")</f>
        <v>y</v>
      </c>
      <c r="CQ3" s="53" t="str">
        <f>IF(AT3=1,"y","n")</f>
        <v>n</v>
      </c>
      <c r="CR3" s="53" t="str">
        <f>IF(AT3=2,"y","n")</f>
        <v>n</v>
      </c>
      <c r="CS3" s="53" t="str">
        <f>IF(AT3&gt;=3,"y","n")</f>
        <v>n</v>
      </c>
      <c r="CT3" s="38" t="str">
        <f>CHAR(34)&amp;A3&amp;CHAR(34)</f>
        <v>"[KIR] Kingdom of Abemama (1889-1892)"</v>
      </c>
      <c r="CU3" s="63" t="str">
        <f>CHAR(34)&amp;"rgn_"&amp;R3&amp;CHAR(34)</f>
        <v>"rgn_Oceania"</v>
      </c>
      <c r="CV3" s="44" t="str">
        <f>CHAR(34)&amp;D3&amp;CHAR(34)</f>
        <v>"https://upload.wikimedia.org/wikipedia/commons/thumb/a/a4/Kingdom_of_Abemama_Flag.svg/640px-Kingdom_of_Abemama_Flag.svg.png"</v>
      </c>
      <c r="CW3" s="44" t="str">
        <f t="shared" si="0"/>
        <v/>
      </c>
      <c r="CX3" s="44" t="str">
        <f t="shared" si="0"/>
        <v/>
      </c>
      <c r="CY3" s="44" t="str">
        <f t="shared" si="0"/>
        <v>"4Color",</v>
      </c>
      <c r="CZ3" s="44" t="str">
        <f t="shared" si="0"/>
        <v/>
      </c>
      <c r="DA3" s="44" t="str">
        <f>IF(Q3&gt;1,CHAR(34)&amp;"words2"&amp;CHAR(34)&amp;",","")</f>
        <v>"words2",</v>
      </c>
      <c r="DB3" s="44" t="str">
        <f>IF(Q3&gt;2,CHAR(34)&amp;"words3"&amp;CHAR(34)&amp;",","")</f>
        <v>"words3",</v>
      </c>
      <c r="DD3" s="44"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"lets26",</v>
      </c>
      <c r="DE3" s="44" t="str">
        <f>CHAR(34)&amp;"start"&amp;IFERROR(LEFT(SUBSTITUTE(A3,"["&amp;MID(A3,FIND("[",A3)+1,FIND("]",A3)-FIND("[",A3)-1)&amp;"] ",""),1),LEFT(A3,1))&amp;CHAR(34)&amp;","</f>
        <v>"startK",</v>
      </c>
      <c r="DF3" s="44" t="str">
        <f>IFERROR(IF(SEARCH("tan",A3)&gt;0,CHAR(34)&amp;"withtn"&amp;CHAR(34)&amp;",",""),"")</f>
        <v/>
      </c>
      <c r="DG3" s="44" t="str">
        <f>IFERROR(IF(SEARCH("q",A3)&gt;0,CHAR(34)&amp;"with_q"&amp;CHAR(34)&amp;",",""),"")</f>
        <v/>
      </c>
      <c r="DH3" s="44" t="str">
        <f>IFERROR(IF(SEARCH("v",A3)&gt;0,CHAR(34)&amp;"with_v"&amp;CHAR(34)&amp;",",""),"")</f>
        <v/>
      </c>
      <c r="DI3" s="44" t="str">
        <f>IFERROR(IF(SEARCH("w",A3)&gt;0,CHAR(34)&amp;"with_w"&amp;CHAR(34)&amp;",",""),"")</f>
        <v/>
      </c>
      <c r="DJ3" s="44" t="str">
        <f>IFERROR(IF(SEARCH("y",A3)&gt;0,CHAR(34)&amp;"with_y"&amp;CHAR(34)&amp;",",""),"")</f>
        <v/>
      </c>
      <c r="DK3" s="44" t="str">
        <f>IFERROR(IF(SEARCH("z",A3)&gt;0,CHAR(34)&amp;"with_z"&amp;CHAR(34)&amp;",",""),"")</f>
        <v/>
      </c>
      <c r="DL3" s="44" t="str">
        <f>IF(CG3=2, CHAR(34) &amp; _xlfn.TEXTJOIN("", TRUE, _xlfn._xlws.SORT(HP3:HX3)) &amp; CHAR(34) &amp; ",", "")</f>
        <v/>
      </c>
      <c r="DM3" s="44" t="str" cm="1">
        <f t="array" ref="DM3">IF(CG3=3,CHAR(34) &amp; _xlfn.TEXTJOIN("", TRUE, RIGHT(HP3:HX3, 2)) &amp; CHAR(34) &amp; ",", "")</f>
        <v/>
      </c>
      <c r="DN3" s="44" t="str">
        <f>IF(AND(ISNUMBER(SEARCH("18", O3)), ISERROR(SEARCH("1918", O3)), ISERROR(SEARCH("2018", O3))), CHAR(34) &amp; "year18" &amp; CHAR(34) &amp; ",", "")</f>
        <v>"year18",</v>
      </c>
      <c r="DO3" s="44" t="str">
        <f>IF(AND(ISNUMBER(SEARCH("19", O3)), ISERROR(SEARCH("1819", O3)),  ISERROR(SEARCH("1219", O3)),ISERROR(SEARCH("1119", O3)),ISERROR(SEARCH("1190", O3)),ISERROR(SEARCH("2019", O3))), CHAR(34) &amp; "year19" &amp; CHAR(34) &amp; ",", "")</f>
        <v/>
      </c>
      <c r="DP3" s="5" t="str">
        <f>IF(AND(ISNUMBER(SEARCH("20", O3)), ISERROR(SEARCH("1920", O3))), CHAR(34)&amp;"year00"&amp;CHAR(34)&amp;",", "")</f>
        <v/>
      </c>
      <c r="DQ3" s="5" t="str">
        <f>IF(CC3="y",CHAR(34)&amp;"soviet"&amp;CHAR(34)&amp;",","")</f>
        <v/>
      </c>
      <c r="DR3" s="5" t="str">
        <f>IF(BY3="y",CHAR(34)&amp;"dgband"&amp;CHAR(34)&amp;",","")</f>
        <v/>
      </c>
      <c r="DS3" s="5" t="str">
        <f>IF(W3="y",IF(AND(V3="n",BY3&lt;&gt;"y"),CHAR(34)&amp;"allver"&amp;CHAR(34)&amp;",",""),"")</f>
        <v/>
      </c>
      <c r="DT3" s="5" t="str">
        <f>IF(V3="y",IF(AND(W3="n",BY3&lt;&gt;"y"),CHAR(34)&amp;"allhor"&amp;CHAR(34)&amp;",",""),"")</f>
        <v>"allhor",</v>
      </c>
      <c r="DU3" s="5" t="str">
        <f>IF(BY3="y",IF(AND(W3="n",V3="n"),CHAR(34)&amp;"alldia"&amp;CHAR(34)&amp;",",""),"")</f>
        <v/>
      </c>
      <c r="DW3" s="44" t="str">
        <f t="shared" si="1"/>
        <v/>
      </c>
      <c r="DX3" s="44" t="str">
        <f t="shared" si="1"/>
        <v/>
      </c>
      <c r="DY3" s="44" t="str">
        <f t="shared" si="1"/>
        <v>"3Bands",</v>
      </c>
      <c r="DZ3" s="44" t="str">
        <f t="shared" si="1"/>
        <v/>
      </c>
      <c r="EA3" s="44" t="str">
        <f t="shared" si="2"/>
        <v/>
      </c>
      <c r="EB3" s="44" t="str">
        <f t="shared" si="2"/>
        <v/>
      </c>
      <c r="EC3" s="44" t="str">
        <f t="shared" si="2"/>
        <v>"Horizo",</v>
      </c>
      <c r="ED3" s="44" t="str">
        <f t="shared" si="2"/>
        <v/>
      </c>
      <c r="EE3" s="44" t="str">
        <f t="shared" si="2"/>
        <v>"Circle",</v>
      </c>
      <c r="EF3" s="44" t="str">
        <f>IF(AND(Y3&lt;&gt;"n",Y3&lt;&gt;""),CHAR(34)&amp;Y$1&amp;CHAR(34)&amp;",","")</f>
        <v>"Animal",</v>
      </c>
      <c r="EG3" s="44" t="str">
        <f t="shared" si="3"/>
        <v/>
      </c>
      <c r="EH3" s="44" t="str">
        <f t="shared" si="3"/>
        <v/>
      </c>
      <c r="EI3" s="44" t="str">
        <f t="shared" si="3"/>
        <v/>
      </c>
      <c r="EJ3" s="44" t="str">
        <f t="shared" si="3"/>
        <v/>
      </c>
      <c r="EK3" s="44" t="str">
        <f t="shared" si="3"/>
        <v/>
      </c>
      <c r="EL3" s="44" t="str">
        <f t="shared" si="3"/>
        <v/>
      </c>
      <c r="EM3" s="44" t="str">
        <f t="shared" si="3"/>
        <v/>
      </c>
      <c r="EN3" s="44" t="str">
        <f t="shared" si="3"/>
        <v>"Unequa",</v>
      </c>
      <c r="EO3" s="44" t="str">
        <f t="shared" si="3"/>
        <v>"Center",</v>
      </c>
      <c r="EP3" s="44" t="str">
        <f t="shared" si="3"/>
        <v/>
      </c>
      <c r="EQ3" s="44" t="str">
        <f t="shared" si="4"/>
        <v/>
      </c>
      <c r="ER3" s="44" t="str">
        <f t="shared" si="4"/>
        <v/>
      </c>
      <c r="ES3" s="44" t="str">
        <f t="shared" si="4"/>
        <v/>
      </c>
      <c r="ET3" s="44" t="str">
        <f t="shared" si="4"/>
        <v/>
      </c>
      <c r="EU3" s="44" t="str">
        <f t="shared" si="4"/>
        <v/>
      </c>
      <c r="EV3" s="44" t="str">
        <f t="shared" si="4"/>
        <v/>
      </c>
      <c r="EW3" s="44" t="str">
        <f t="shared" si="4"/>
        <v/>
      </c>
      <c r="EX3" s="44" t="str">
        <f t="shared" si="4"/>
        <v/>
      </c>
      <c r="EY3" s="44" t="str">
        <f t="shared" si="4"/>
        <v/>
      </c>
      <c r="EZ3" s="44" t="str">
        <f t="shared" si="4"/>
        <v/>
      </c>
      <c r="FA3" s="44" t="str">
        <f>IF(AT3&gt;0,CHAR(34)&amp;"sta"&amp;AZ3&amp;CHAR(34)&amp;",","")</f>
        <v/>
      </c>
      <c r="FB3" s="44" t="str">
        <f>IF(AND(AT3&gt;0,BA3&lt;&gt;""),CHAR(34)&amp;"sta"&amp;BA3&amp;CHAR(34)&amp;",","")</f>
        <v/>
      </c>
      <c r="FD3" s="44" t="str">
        <f>IF(BV3="n",CHAR(34)&amp;"tcWHYE"&amp;CHAR(34)&amp;",",IF(BV3="y",CHAR(34)&amp;FD$1&amp;CHAR(34)&amp;",",""))</f>
        <v/>
      </c>
      <c r="FE3" s="44" t="str">
        <f>IF(COUNTIF(BL3:BT3,"BLU")=0,CHAR(34)&amp;"NO_BLU"&amp;CHAR(34)&amp;",", "")</f>
        <v>"NO_BLU",</v>
      </c>
      <c r="FF3" s="44" t="str">
        <f>IF(COUNTIF(BL3:BT3,"WHI")=0,CHAR(34)&amp;"NO_WHI"&amp;CHAR(34)&amp;",", "")</f>
        <v>"NO_WHI",</v>
      </c>
      <c r="FG3" s="44" t="str">
        <f>IF(COUNTIF(BL3:BT3,"RED")=0,CHAR(34)&amp;"NO_RED"&amp;CHAR(34)&amp;",", "")</f>
        <v/>
      </c>
      <c r="FH3" s="44" t="str">
        <f>IF(COUNTIF(BL3:BS3,"GRE")=0,CHAR(34)&amp;"NO_GRE"&amp;CHAR(34)&amp;",", "")</f>
        <v/>
      </c>
      <c r="FI3" s="44" t="str">
        <f>IF(COUNTIF(BL3:BT3,"YEL")=0,CHAR(34)&amp;"NO_YEL"&amp;CHAR(34)&amp;",", "")</f>
        <v/>
      </c>
      <c r="FJ3" s="44" t="str">
        <f>IF(COUNTIF(BL3:BT3,"BLA")=0,CHAR(34)&amp;"NO_BLA"&amp;CHAR(34)&amp;",", "")</f>
        <v/>
      </c>
      <c r="FK3" s="44" t="str">
        <f>IF(AND(FH3&lt;&gt;"",FF3&lt;&gt;""),CHAR(34)&amp;"WHGRNO"&amp;CHAR(34)&amp;",","")</f>
        <v/>
      </c>
      <c r="FL3" s="44" t="str">
        <f>IF(AND(FI3&lt;&gt;"",FF3&lt;&gt;""),CHAR(34)&amp;"WHYENO"&amp;CHAR(34)&amp;",","")</f>
        <v/>
      </c>
      <c r="FM3" s="44" t="str">
        <f>IF(AND(FJ3&lt;&gt;"",FF3&lt;&gt;""),CHAR(34)&amp;"BAWHNO"&amp;CHAR(34)&amp;",","")</f>
        <v/>
      </c>
      <c r="FN3" s="44" t="str">
        <f>IF(AND(FE3&lt;&gt;"",FF3&lt;&gt;""),CHAR(34)&amp;"BLWHNO"&amp;CHAR(34)&amp;",","")</f>
        <v>"BLWHNO",</v>
      </c>
      <c r="FO3" s="44" t="str">
        <f>IF(AND(FE3&lt;&gt;"",FG3&lt;&gt;""),CHAR(34)&amp;"BLRENO"&amp;CHAR(34)&amp;",","")</f>
        <v/>
      </c>
      <c r="FP3" s="44" t="str">
        <f>IF(AND(FF3&lt;&gt;"",FF3&lt;&gt;""),CHAR(34)&amp;"WHRENO"&amp;CHAR(34)&amp;",","")</f>
        <v>"WHRENO",</v>
      </c>
      <c r="FQ3" s="44" t="str">
        <f>IF(LEN(BF3)=3,CHAR(34)&amp;"001"&amp;BF3&amp;CHAR(34)&amp;",","")</f>
        <v>"001RED",</v>
      </c>
      <c r="FR3" s="44" t="str">
        <f>IF(LEN(BG3)=3,CHAR(34)&amp;"002"&amp;BG3&amp;CHAR(34)&amp;",","")</f>
        <v>"002YEL",</v>
      </c>
      <c r="FS3" s="44" t="str">
        <f>IF(LEN(BH3)=3,CHAR(34)&amp;"003"&amp;BH3&amp;CHAR(34)&amp;",","")</f>
        <v>"003GRE",</v>
      </c>
      <c r="FT3" s="44" t="str">
        <f>CHAR(34)&amp;"myr"&amp;BD3&amp;CHAR(34)&amp;","</f>
        <v>"myrRED",</v>
      </c>
      <c r="FU3" s="44" t="str">
        <f>IF(AY3="y",CHAR(34)&amp;"island"&amp;CHAR(34)&amp;",","")</f>
        <v/>
      </c>
      <c r="FV3" s="44" t="str">
        <f>IF(BZ3="y",CHAR(34)&amp;"landlo"&amp;CHAR(34)&amp;",","")</f>
        <v/>
      </c>
      <c r="FW3" s="44" t="str">
        <f>IF(CA3="y",CHAR(34)&amp;"eunion"&amp;CHAR(34)&amp;",","")</f>
        <v/>
      </c>
      <c r="FY3" s="44" t="str">
        <f>IFERROR(IF(SEARCH("Arabic",CB3)&gt;0,CHAR(34)&amp;"arabic"&amp;CHAR(34)&amp;",",""),"")</f>
        <v/>
      </c>
      <c r="FZ3" s="44" t="str">
        <f>IFERROR(IF(SEARCH("English",CB3)&gt;0,CHAR(34)&amp;"englis"&amp;CHAR(34)&amp;",",""),"")</f>
        <v/>
      </c>
      <c r="GA3" s="44" t="str">
        <f>IFERROR(IF(SEARCH("French",CB3)&gt;0,CHAR(34)&amp;"french"&amp;CHAR(34)&amp;",",""),"")</f>
        <v/>
      </c>
      <c r="GB3" s="44" t="str">
        <f>IFERROR(IF(SEARCH("Spanish",CB3)&gt;0,CHAR(34)&amp;"spanis"&amp;CHAR(34)&amp;",",""),"")</f>
        <v/>
      </c>
      <c r="GE3" s="44" t="str">
        <f>IFERROR(IF(SEARCH("Dutch",CB3)&gt;0,CHAR(34)&amp;"dutchs"&amp;CHAR(34)&amp;",",""),"")</f>
        <v/>
      </c>
      <c r="GF3" s="44" t="str">
        <f>IFERROR(IF(SEARCH("Historical",AU3)&gt;0,CHAR(34)&amp;"histor"&amp;CHAR(34)&amp;",",""),"")</f>
        <v>"histor",</v>
      </c>
      <c r="GG3" s="44" t="str">
        <f>IF(BU3="y",CHAR(34)&amp;"unjack"&amp;CHAR(34)&amp;",","")</f>
        <v/>
      </c>
      <c r="GH3" s="44" t="str">
        <f>IF(CD3=1,CHAR(34)&amp;"southc"&amp;CHAR(34)&amp;",","")</f>
        <v/>
      </c>
      <c r="GI3" s="44" t="str">
        <f>IF(CE3=1,CHAR(34)&amp;"hasmap"&amp;CHAR(34)&amp;",","")</f>
        <v/>
      </c>
      <c r="GJ3" s="44" t="str">
        <f>IF(CP3="y",CHAR(34)&amp;CP$1&amp;CHAR(34)&amp;",","")</f>
        <v>"NoStar",</v>
      </c>
      <c r="GK3" s="44" t="str">
        <f>IF(GJ3="",CHAR(34)&amp;"HasSta"&amp;CHAR(34)&amp;",","")</f>
        <v/>
      </c>
      <c r="GL3" s="44" t="str">
        <f t="shared" si="5"/>
        <v/>
      </c>
      <c r="GM3" s="44" t="str">
        <f t="shared" si="5"/>
        <v/>
      </c>
      <c r="GN3" s="44" t="str">
        <f t="shared" si="5"/>
        <v/>
      </c>
      <c r="GP3" s="44" t="str">
        <f>CHAR(34)&amp;AU3&amp;CHAR(34)</f>
        <v>"Historical"</v>
      </c>
      <c r="GS3" s="44" t="str">
        <f>SUBSTITUTE("["&amp;_xlfn.CONCAT(CW3:GN3)&amp;"]",",]","]")</f>
        <v>["4Color","words2","words3","lets26","startK","year18","allhor","3Bands","Horizo","Circle","Animal","Unequa","Center","NO_BLU","NO_WHI","BLWHNO","WHRENO","001RED","002YEL","003GRE","myrRED","histor","NoStar"]</v>
      </c>
      <c r="GT3" s="44" t="str">
        <f t="shared" si="6"/>
        <v>"cl_BLA",</v>
      </c>
      <c r="GU3" s="44" t="str">
        <f t="shared" si="6"/>
        <v/>
      </c>
      <c r="GV3" s="44" t="str">
        <f t="shared" si="6"/>
        <v>"cl_GRE",</v>
      </c>
      <c r="GW3" s="44" t="str">
        <f t="shared" si="6"/>
        <v>"cl_RED",</v>
      </c>
      <c r="GX3" s="44" t="str">
        <f t="shared" si="6"/>
        <v>"cl_YEL",</v>
      </c>
      <c r="GY3" s="44" t="str">
        <f t="shared" si="6"/>
        <v/>
      </c>
      <c r="GZ3" s="44" t="str">
        <f t="shared" si="6"/>
        <v/>
      </c>
      <c r="HA3" s="44" t="str">
        <f t="shared" si="6"/>
        <v/>
      </c>
      <c r="HB3" s="44" t="str">
        <f t="shared" si="6"/>
        <v/>
      </c>
      <c r="HC3" s="44" t="str">
        <f>SUBSTITUTE("["&amp;_xlfn.CONCAT(GT3:HB3)&amp;"]",",]","]")</f>
        <v>["cl_BLA","cl_GRE","cl_RED","cl_YEL"]</v>
      </c>
      <c r="HE3" s="64"/>
      <c r="HF3" s="65" t="str">
        <f>"{couname:"&amp;CT3&amp;(IF(HK3&lt;&gt;"",",subtype:"&amp;CHAR(34)&amp;HK3&amp;CHAR(34),""))&amp;",year:"&amp;HJ3&amp;",region:"&amp;CU3&amp;",Colors:"&amp;HC3&amp;",Items:"&amp;GS3&amp;",Flag:"&amp;CV3&amp;",HDFlag:"&amp;CHAR(34)&amp;E3&amp;CHAR(34)&amp;",type:"&amp;GP3&amp;", describe: "&amp;HH3&amp;", isnew:"&amp;CHAR(34)&amp;F3&amp;CHAR(34)&amp;", links: "&amp;HL3&amp;"},"</f>
        <v>{couname:"[KIR] Kingdom of Abemama (1889-1892)",year:"1889",region:"rgn_Oceania",Colors:["cl_BLA","cl_GRE","cl_RED","cl_YEL"],Items:["4Color","words2","words3","lets26","startK","year18","allhor","3Bands","Horizo","Circle","Animal","Unequa","Center","NO_BLU","NO_WHI","BLWHNO","WHRENO","001RED","002YEL","003GRE","myrRED","histor","NoStar"],Flag:"https://upload.wikimedia.org/wikipedia/commons/thumb/a/a4/Kingdom_of_Abemama_Flag.svg/640px-Kingdom_of_Abemama_Flag.svg.png",HDFlag:"https://upload.wikimedia.org/wikipedia/commons/thumb/a/a4/Kingdom_of_Abemama_Flag.svg/1280px-Kingdom_of_Abemama_Flag.svg.png",type:"Historical", describe: "\nA horizontal tricolor of red,yellow, and green with a black silhouette of a shark on the central band.", isnew:".", links: "https://en.m.wikipedia.org/wiki/Flag_of_Kiribati"},</v>
      </c>
      <c r="HG3" s="66" t="str">
        <f>"{couname:"&amp;CT3&amp;(IF(HK3&lt;&gt;"",",subtype:"&amp;CHAR(34)&amp;HK3&amp;CHAR(34),""))&amp;",year:"&amp;HJ3&amp;",region:"&amp;CU3&amp;",Colors:"&amp;HC3&amp;",Items:"&amp;GS3&amp;",Flag:"&amp;CV3&amp;",HDFlag:"&amp;CHAR(34)&amp;E3&amp;CHAR(34)&amp;",type:"&amp;GP3&amp;", describe: "&amp;HI3&amp;", links: "&amp;HL3&amp;"},"</f>
        <v>{couname:"[KIR] Kingdom of Abemama (1889-1892)",year:"1889",region:"rgn_Oceania",Colors:["cl_BLA","cl_GRE","cl_RED","cl_YEL"],Items:["4Color","words2","words3","lets26","startK","year18","allhor","3Bands","Horizo","Circle","Animal","Unequa","Center","NO_BLU","NO_WHI","BLWHNO","WHRENO","001RED","002YEL","003GRE","myrRED","histor","NoStar"],Flag:"https://upload.wikimedia.org/wikipedia/commons/thumb/a/a4/Kingdom_of_Abemama_Flag.svg/640px-Kingdom_of_Abemama_Flag.svg.png",HDFlag:"https://upload.wikimedia.org/wikipedia/commons/thumb/a/a4/Kingdom_of_Abemama_Flag.svg/1280px-Kingdom_of_Abemama_Flag.svg.png",type:"Historical", describe: "\nA horizontal tricolor of red,yellow, and green with a black silhouette of a shark on the central band.", links: "https://en.m.wikipedia.org/wiki/Flag_of_Kiribati"},</v>
      </c>
      <c r="HH3" s="44" t="str">
        <f>IF(P3&lt;&gt;"",CHAR(34)&amp;"\n"&amp;P3&amp;CHAR(34),CHAR(34)&amp;CHAR(34))</f>
        <v>"\nA horizontal tricolor of red,yellow, and green with a black silhouette of a shark on the central band."</v>
      </c>
      <c r="HI3" s="44" t="str">
        <f>IF(J3=0,CHAR(34)&amp;CHAR(34),HH3)</f>
        <v>"\nA horizontal tricolor of red,yellow, and green with a black silhouette of a shark on the central band."</v>
      </c>
      <c r="HJ3" s="44" t="str">
        <f>CHAR(34)&amp;O3&amp;CHAR(34)</f>
        <v>"1889"</v>
      </c>
      <c r="HL3" s="44" t="str">
        <f>CHAR(34)&amp;I3&amp;CHAR(34)</f>
        <v>"https://en.m.wikipedia.org/wiki/Flag_of_Kiribati"</v>
      </c>
      <c r="HM3" s="65"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{"couname":"[KIR] Kingdom of Abemama (1889-1892)","subtype":"[KIR] Other","year":"1889","region":"rgn_Oceania","Colors":["cl_BLA","cl_GRE","cl_RED","cl_YEL"],"Items":["4Color","words2","words3","lets26","startK","year18","allhor","3Bands","Horizo","Circle","Animal","Unequa","Center","NO_BLU","NO_WHI","BLWHNO","WHRENO","001RED","002YEL","003GRE","myrRED","histor","NoStar"],"Flag":"https://upload.wikimedia.org/wikipedia/commons/thumb/a/a4/Kingdom_of_Abemama_Flag.svg/640px-Kingdom_of_Abemama_Flag.svg.png","HDFlag":"https://upload.wikimedia.org/wikipedia/commons/thumb/a/a4/Kingdom_of_Abemama_Flag.svg/1280px-Kingdom_of_Abemama_Flag.svg.png","type":"Historical", "describe": "\nA horizontal tricolor of red,yellow, and green with a black silhouette of a shark on the central band.", "isnew": ".", "links": "https://en.m.wikipedia.org/wiki/Flag_of_Kiribati"},</v>
      </c>
      <c r="HN3" s="67"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{"couname":"[KIR] Kingdom of Abemama (1889-1892)","subtype":"[KIR] Other","year":"1889","region":"rgn_Oceania","Colors":["cl_BLA","cl_GRE","cl_RED","cl_YEL"],"Items":["4Color","words2","words3","lets26","startK","year18","allhor","3Bands","Horizo","Circle","Animal","Unequa","Center","NO_BLU","NO_WHI","BLWHNO","WHRENO","001RED","002YEL","003GRE","myrRED","histor","NoStar"],"Flag":"https://upload.wikimedia.org/wikipedia/commons/thumb/a/a4/Kingdom_of_Abemama_Flag.svg/640px-Kingdom_of_Abemama_Flag.svg.png","HDFlag":"https://upload.wikimedia.org/wikipedia/commons/thumb/a/a4/Kingdom_of_Abemama_Flag.svg/1280px-Kingdom_of_Abemama_Flag.svg.png","type":"Historical", "describe": "\nA horizontal tricolor of red,yellow, and green with a black silhouette of a shark on the central band.", "isnew": ".", "links": "https://en.m.wikipedia.org/wiki/Flag_of_Kiribati"},</v>
      </c>
      <c r="HO3" s="71">
        <v>45596</v>
      </c>
      <c r="HP3" s="44" t="str" cm="1">
        <f t="array" ref="HP3">IF(_xlfn.TEXTJOIN(", ", TRUE, IF(ISNUMBER(SEARCH("BLA", BL3:BT3)), COLUMN(BL3:BT3) - COLUMN(BL3) + 1, ""))&lt;&gt;"","BLA","")</f>
        <v>BLA</v>
      </c>
      <c r="HQ3" s="44" t="str" cm="1">
        <f t="array" ref="HQ3">IF(_xlfn.TEXTJOIN(", ", TRUE, IF(ISNUMBER(SEARCH("BLU", BL3:BT3)), COLUMN(BL3:BT3) - COLUMN(BL3) + 1, ""))&lt;&gt;"","BLU","")</f>
        <v/>
      </c>
      <c r="HR3" s="44" t="str" cm="1">
        <f t="array" ref="HR3">IF(_xlfn.TEXTJOIN(", ", TRUE, IF(ISNUMBER(SEARCH("GRE", BL3:BT3)), COLUMN(BL3:BT3) - COLUMN(BL3) + 1, ""))&lt;&gt;"","GRE","")</f>
        <v>GRE</v>
      </c>
      <c r="HS3" s="44" t="str" cm="1">
        <f t="array" ref="HS3">IF(_xlfn.TEXTJOIN(", ", TRUE, IF(ISNUMBER(SEARCH("RED", BL3:BT3)), COLUMN(BL3:BT3) - COLUMN(BL3) + 1, ""))&lt;&gt;"","RED","")</f>
        <v>RED</v>
      </c>
      <c r="HT3" s="44" t="str" cm="1">
        <f t="array" ref="HT3">IF(_xlfn.TEXTJOIN(", ", TRUE, IF(ISNUMBER(SEARCH("YEL", BL3:BT3)), COLUMN(BL3:BT3) - COLUMN(BL3) + 1, ""))&lt;&gt;"","YEL","")</f>
        <v>YEL</v>
      </c>
      <c r="HU3" s="44" t="str" cm="1">
        <f t="array" ref="HU3">IF(_xlfn.TEXTJOIN(", ", TRUE, IF(ISNUMBER(SEARCH("ORA", BL3:BT3)), COLUMN(BL3:BT3) - COLUMN(BL3) + 1, ""))&lt;&gt;"","ORA","")</f>
        <v/>
      </c>
      <c r="HV3" s="44" t="str" cm="1">
        <f t="array" ref="HV3">IF(_xlfn.TEXTJOIN(", ", TRUE, IF(ISNUMBER(SEARCH("BRO", BL3:BT3)), COLUMN(BL3:BT3) - COLUMN(BL3) + 1, ""))&lt;&gt;"","BRO","")</f>
        <v/>
      </c>
      <c r="HW3" s="44" t="str" cm="1">
        <f t="array" ref="HW3">IF(_xlfn.TEXTJOIN(", ", TRUE, IF(ISNUMBER(SEARCH("PUR", BL3:BT3)), COLUMN(BL3:BT3) - COLUMN(BL3) + 1, ""))&lt;&gt;"","PUR","")</f>
        <v/>
      </c>
      <c r="HX3" s="44" t="str" cm="1">
        <f t="array" ref="HX3">IF(_xlfn.TEXTJOIN(", ", TRUE, IF(ISNUMBER(SEARCH("WHI", BL3:BT3)), COLUMN(BL3:BT3) - COLUMN(BL3) + 1, ""))&lt;&gt;"","WHI","")</f>
        <v/>
      </c>
      <c r="HY3" s="72"/>
      <c r="HZ3" s="72"/>
      <c r="IA3" s="5"/>
      <c r="IB3" s="5"/>
      <c r="IC3" s="68"/>
      <c r="ID3" s="68"/>
      <c r="IE3" s="68"/>
      <c r="IF3" s="68"/>
      <c r="IG3" s="68"/>
      <c r="IH3" s="68"/>
      <c r="II3" s="68"/>
      <c r="IJ3" s="68"/>
      <c r="IK3" s="68"/>
      <c r="IM3" s="42">
        <f>COUNTIF(IC3:IK3,"&gt;0")-CG3</f>
        <v>-4</v>
      </c>
      <c r="IN3" s="69" t="str">
        <f>"http://mkweb.bcgsc.ca/color-summarizer/?url="&amp;D3&amp;"&amp;precision=low&amp;num_clusters="&amp;CG3&amp;"&amp;text=1"</f>
        <v>http://mkweb.bcgsc.ca/color-summarizer/?url=https://upload.wikimedia.org/wikipedia/commons/thumb/a/a4/Kingdom_of_Abemama_Flag.svg/640px-Kingdom_of_Abemama_Flag.svg.png&amp;precision=low&amp;num_clusters=4&amp;text=1</v>
      </c>
      <c r="IO3" s="44" t="str">
        <f>IF(HP3&lt;&gt;"",CHAR(34)&amp;"black"&amp;CHAR(34),"")</f>
        <v>"black"</v>
      </c>
      <c r="IP3" s="44" t="str">
        <f>IF(HQ3&lt;&gt;"",CHAR(34)&amp;"blue"&amp;CHAR(34),"")</f>
        <v/>
      </c>
      <c r="IQ3" s="44" t="str">
        <f>IF(HR3&lt;&gt;"",CHAR(34)&amp;"green"&amp;CHAR(34),"")</f>
        <v>"green"</v>
      </c>
      <c r="IR3" s="44" t="str">
        <f>IF(HS3&lt;&gt;"",CHAR(34)&amp;"red"&amp;CHAR(34),"")</f>
        <v>"red"</v>
      </c>
      <c r="IS3" s="44" t="str">
        <f>IF(HT3&lt;&gt;"",CHAR(34)&amp;"yellow"&amp;CHAR(34),"")</f>
        <v>"yellow"</v>
      </c>
      <c r="IT3" s="44" t="str">
        <f>IF(HU3&lt;&gt;"",CHAR(34)&amp;"orange"&amp;CHAR(34),"")</f>
        <v/>
      </c>
      <c r="IU3" s="44" t="str">
        <f>IF(HV3&lt;&gt;"",CHAR(34)&amp;"brown"&amp;CHAR(34),"")</f>
        <v/>
      </c>
      <c r="IV3" s="44" t="str">
        <f>IF(HW3&lt;&gt;"",CHAR(34)&amp;"purple"&amp;CHAR(34),"")</f>
        <v/>
      </c>
      <c r="IW3" s="44" t="str">
        <f>IF(HX3&lt;&gt;"",CHAR(34)&amp;"white"&amp;CHAR(34),"")</f>
        <v/>
      </c>
      <c r="IX3" s="44" t="str">
        <f>"{"&amp;CHAR(34)&amp;"url"&amp;CHAR(34)&amp;":"&amp;CHAR(34)&amp;IN3&amp;CHAR(34)&amp;","&amp;CHAR(34)&amp;"name"&amp;CHAR(34)&amp;":"&amp;CHAR(34)&amp;A3&amp;CHAR(34)&amp;"},"</f>
        <v>{"url":"http://mkweb.bcgsc.ca/color-summarizer/?url=https://upload.wikimedia.org/wikipedia/commons/thumb/a/a4/Kingdom_of_Abemama_Flag.svg/640px-Kingdom_of_Abemama_Flag.svg.png&amp;precision=low&amp;num_clusters=4&amp;text=1","name":"[KIR] Kingdom of Abemama (1889-1892)"},</v>
      </c>
      <c r="IY3" s="44">
        <v>1328</v>
      </c>
    </row>
    <row r="5" spans="1:259" ht="38.4" customHeight="1" x14ac:dyDescent="0.3">
      <c r="D5" s="82"/>
      <c r="E5" s="82"/>
      <c r="F5" s="82"/>
    </row>
    <row r="6" spans="1:259" ht="38.4" customHeight="1" x14ac:dyDescent="0.3">
      <c r="D6" s="82"/>
      <c r="E6" s="82"/>
      <c r="F6" s="82"/>
    </row>
  </sheetData>
  <autoFilter ref="A1:IY3" xr:uid="{A1051193-A95B-4CFB-A73C-F0184620C81F}">
    <sortState xmlns:xlrd2="http://schemas.microsoft.com/office/spreadsheetml/2017/richdata2" ref="A2:IY3">
      <sortCondition ref="AW1:AW3"/>
    </sortState>
  </autoFilter>
  <conditionalFormatting sqref="H1 CW1:GS1 IA1:IB1">
    <cfRule type="cellIs" dxfId="1426" priority="66" operator="greaterThan">
      <formula>0</formula>
    </cfRule>
  </conditionalFormatting>
  <conditionalFormatting sqref="H1:H1048576">
    <cfRule type="cellIs" dxfId="1425" priority="6" stopIfTrue="1" operator="notEqual">
      <formula>""</formula>
    </cfRule>
  </conditionalFormatting>
  <conditionalFormatting sqref="R2:R3 CU2:CU3">
    <cfRule type="cellIs" dxfId="1424" priority="8" operator="greaterThan">
      <formula>0</formula>
    </cfRule>
  </conditionalFormatting>
  <conditionalFormatting sqref="T2:AS3 CH2:CS3">
    <cfRule type="cellIs" dxfId="1423" priority="3" stopIfTrue="1" operator="equal">
      <formula>"n"</formula>
    </cfRule>
    <cfRule type="cellIs" dxfId="1422" priority="4" stopIfTrue="1" operator="equal">
      <formula>"y"</formula>
    </cfRule>
    <cfRule type="cellIs" dxfId="1421" priority="5" operator="greaterThan">
      <formula>0</formula>
    </cfRule>
  </conditionalFormatting>
  <conditionalFormatting sqref="T1:BK1">
    <cfRule type="cellIs" dxfId="1420" priority="69" operator="greaterThan">
      <formula>0</formula>
    </cfRule>
  </conditionalFormatting>
  <conditionalFormatting sqref="AZ2:BB3">
    <cfRule type="expression" dxfId="1419" priority="2">
      <formula>$AT2=0</formula>
    </cfRule>
  </conditionalFormatting>
  <conditionalFormatting sqref="AZ2:BU3">
    <cfRule type="cellIs" dxfId="1418" priority="44" operator="equal">
      <formula>"PIN"</formula>
    </cfRule>
    <cfRule type="cellIs" dxfId="1417" priority="45" operator="equal">
      <formula>"ORA"</formula>
    </cfRule>
    <cfRule type="cellIs" dxfId="1416" priority="46" operator="equal">
      <formula>"GRA"</formula>
    </cfRule>
    <cfRule type="cellIs" dxfId="1415" priority="47" operator="equal">
      <formula>"PUR"</formula>
    </cfRule>
    <cfRule type="cellIs" dxfId="1414" priority="48" operator="equal">
      <formula>"BRO"</formula>
    </cfRule>
    <cfRule type="cellIs" dxfId="1413" priority="49" operator="equal">
      <formula>"YEL"</formula>
    </cfRule>
    <cfRule type="cellIs" dxfId="1412" priority="50" operator="equal">
      <formula>"BLU"</formula>
    </cfRule>
    <cfRule type="cellIs" dxfId="1411" priority="51" operator="equal">
      <formula>"WHI"</formula>
    </cfRule>
    <cfRule type="cellIs" dxfId="1410" priority="52" operator="equal">
      <formula>"GRE"</formula>
    </cfRule>
    <cfRule type="cellIs" dxfId="1409" priority="53" operator="equal">
      <formula>"RED"</formula>
    </cfRule>
    <cfRule type="cellIs" dxfId="1408" priority="54" operator="equal">
      <formula>"BLA"</formula>
    </cfRule>
  </conditionalFormatting>
  <conditionalFormatting sqref="BV1:BW1 BV2 BV3:BW1048576">
    <cfRule type="cellIs" dxfId="1407" priority="68" operator="equal">
      <formula>"nc"</formula>
    </cfRule>
  </conditionalFormatting>
  <conditionalFormatting sqref="BX2:CA3 CD2:CF3">
    <cfRule type="cellIs" dxfId="1406" priority="7" operator="equal">
      <formula>"y"</formula>
    </cfRule>
    <cfRule type="cellIs" dxfId="1405" priority="55" operator="equal">
      <formula>"PIN"</formula>
    </cfRule>
    <cfRule type="cellIs" dxfId="1404" priority="56" operator="equal">
      <formula>"ORA"</formula>
    </cfRule>
    <cfRule type="cellIs" dxfId="1403" priority="57" operator="equal">
      <formula>"GRA"</formula>
    </cfRule>
    <cfRule type="cellIs" dxfId="1402" priority="58" operator="equal">
      <formula>"PUR"</formula>
    </cfRule>
    <cfRule type="cellIs" dxfId="1401" priority="59" operator="equal">
      <formula>"BRO"</formula>
    </cfRule>
    <cfRule type="cellIs" dxfId="1400" priority="60" operator="equal">
      <formula>"YEL"</formula>
    </cfRule>
    <cfRule type="cellIs" dxfId="1399" priority="61" operator="equal">
      <formula>"BLU"</formula>
    </cfRule>
    <cfRule type="cellIs" dxfId="1398" priority="62" operator="equal">
      <formula>"WHI"</formula>
    </cfRule>
    <cfRule type="cellIs" dxfId="1397" priority="63" operator="equal">
      <formula>"GRE"</formula>
    </cfRule>
    <cfRule type="cellIs" dxfId="1396" priority="64" operator="equal">
      <formula>"RED"</formula>
    </cfRule>
    <cfRule type="cellIs" dxfId="1395" priority="65" operator="equal">
      <formula>"BLA"</formula>
    </cfRule>
  </conditionalFormatting>
  <conditionalFormatting sqref="BZ2:CA3 CD2:CF3">
    <cfRule type="cellIs" dxfId="1394" priority="9" operator="greaterThan">
      <formula>0</formula>
    </cfRule>
  </conditionalFormatting>
  <conditionalFormatting sqref="HF1:HG1">
    <cfRule type="cellIs" dxfId="1393" priority="70" operator="greaterThan">
      <formula>0</formula>
    </cfRule>
  </conditionalFormatting>
  <conditionalFormatting sqref="HK1">
    <cfRule type="cellIs" dxfId="1392" priority="67" operator="greaterThan">
      <formula>0</formula>
    </cfRule>
  </conditionalFormatting>
  <conditionalFormatting sqref="HP1:HX1">
    <cfRule type="cellIs" dxfId="1391" priority="21" operator="equal">
      <formula>"PIN"</formula>
    </cfRule>
    <cfRule type="cellIs" dxfId="1390" priority="22" operator="equal">
      <formula>"ORA"</formula>
    </cfRule>
    <cfRule type="cellIs" dxfId="1389" priority="23" operator="equal">
      <formula>"GRA"</formula>
    </cfRule>
    <cfRule type="cellIs" dxfId="1388" priority="24" operator="equal">
      <formula>"PUR"</formula>
    </cfRule>
    <cfRule type="cellIs" dxfId="1387" priority="25" operator="equal">
      <formula>"BRO"</formula>
    </cfRule>
    <cfRule type="cellIs" dxfId="1386" priority="26" operator="equal">
      <formula>"YEL"</formula>
    </cfRule>
    <cfRule type="cellIs" dxfId="1385" priority="27" operator="equal">
      <formula>"BLU"</formula>
    </cfRule>
    <cfRule type="cellIs" dxfId="1384" priority="28" operator="equal">
      <formula>"WHI"</formula>
    </cfRule>
    <cfRule type="cellIs" dxfId="1383" priority="29" operator="equal">
      <formula>"GRE"</formula>
    </cfRule>
    <cfRule type="cellIs" dxfId="1382" priority="30" operator="equal">
      <formula>"RED"</formula>
    </cfRule>
    <cfRule type="cellIs" dxfId="1381" priority="31" operator="equal">
      <formula>"BLA"</formula>
    </cfRule>
  </conditionalFormatting>
  <conditionalFormatting sqref="IC1:IK1">
    <cfRule type="cellIs" dxfId="1380" priority="33" operator="equal">
      <formula>"PIN"</formula>
    </cfRule>
    <cfRule type="cellIs" dxfId="1379" priority="34" operator="equal">
      <formula>"ORA"</formula>
    </cfRule>
    <cfRule type="cellIs" dxfId="1378" priority="35" operator="equal">
      <formula>"GRA"</formula>
    </cfRule>
    <cfRule type="cellIs" dxfId="1377" priority="36" operator="equal">
      <formula>"PUR"</formula>
    </cfRule>
    <cfRule type="cellIs" dxfId="1376" priority="37" operator="equal">
      <formula>"BRO"</formula>
    </cfRule>
    <cfRule type="cellIs" dxfId="1375" priority="38" operator="equal">
      <formula>"YEL"</formula>
    </cfRule>
    <cfRule type="cellIs" dxfId="1374" priority="39" operator="equal">
      <formula>"BLU"</formula>
    </cfRule>
    <cfRule type="cellIs" dxfId="1373" priority="40" operator="equal">
      <formula>"WHI"</formula>
    </cfRule>
    <cfRule type="cellIs" dxfId="1372" priority="41" operator="equal">
      <formula>"GRE"</formula>
    </cfRule>
    <cfRule type="cellIs" dxfId="1371" priority="42" operator="equal">
      <formula>"RED"</formula>
    </cfRule>
    <cfRule type="cellIs" dxfId="1370" priority="43" operator="equal">
      <formula>"BLA"</formula>
    </cfRule>
  </conditionalFormatting>
  <conditionalFormatting sqref="IC2:IK3">
    <cfRule type="expression" dxfId="1369" priority="32">
      <formula>$IL2&gt;0</formula>
    </cfRule>
  </conditionalFormatting>
  <conditionalFormatting sqref="IO1:IW1">
    <cfRule type="cellIs" dxfId="1368" priority="10" operator="equal">
      <formula>"PIN"</formula>
    </cfRule>
    <cfRule type="cellIs" dxfId="1367" priority="11" operator="equal">
      <formula>"ORA"</formula>
    </cfRule>
    <cfRule type="cellIs" dxfId="1366" priority="12" operator="equal">
      <formula>"GRA"</formula>
    </cfRule>
    <cfRule type="cellIs" dxfId="1365" priority="13" operator="equal">
      <formula>"PUR"</formula>
    </cfRule>
    <cfRule type="cellIs" dxfId="1364" priority="14" operator="equal">
      <formula>"BRO"</formula>
    </cfRule>
    <cfRule type="cellIs" dxfId="1363" priority="15" operator="equal">
      <formula>"YEL"</formula>
    </cfRule>
    <cfRule type="cellIs" dxfId="1362" priority="16" operator="equal">
      <formula>"BLU"</formula>
    </cfRule>
    <cfRule type="cellIs" dxfId="1361" priority="17" operator="equal">
      <formula>"WHI"</formula>
    </cfRule>
    <cfRule type="cellIs" dxfId="1360" priority="18" operator="equal">
      <formula>"GRE"</formula>
    </cfRule>
    <cfRule type="cellIs" dxfId="1359" priority="19" operator="equal">
      <formula>"RED"</formula>
    </cfRule>
    <cfRule type="cellIs" dxfId="1358" priority="20" operator="equal">
      <formula>"BLA"</formula>
    </cfRule>
  </conditionalFormatting>
  <conditionalFormatting sqref="S2:S3">
    <cfRule type="colorScale" priority="4084">
      <colorScale>
        <cfvo type="min"/>
        <cfvo type="max"/>
        <color rgb="FFFCFCFF"/>
        <color rgb="FF754BFB"/>
      </colorScale>
    </cfRule>
  </conditionalFormatting>
  <conditionalFormatting sqref="AT2:AT3">
    <cfRule type="colorScale" priority="4085">
      <colorScale>
        <cfvo type="min"/>
        <cfvo type="max"/>
        <color rgb="FFFCFCFF"/>
        <color theme="8" tint="0.39997558519241921"/>
      </colorScale>
    </cfRule>
  </conditionalFormatting>
  <conditionalFormatting sqref="CG2:CG3">
    <cfRule type="colorScale" priority="4086">
      <colorScale>
        <cfvo type="min"/>
        <cfvo type="max"/>
        <color rgb="FFFCFCFF"/>
        <color rgb="FF63BE7B"/>
      </colorScale>
    </cfRule>
  </conditionalFormatting>
  <conditionalFormatting sqref="J2:J3">
    <cfRule type="colorScale" priority="1">
      <colorScale>
        <cfvo type="min"/>
        <cfvo type="percentile" val="50"/>
        <cfvo type="max"/>
        <color rgb="FFF8696B"/>
        <color rgb="FFFFEB84"/>
        <color rgb="FF63BE7B"/>
      </colorScale>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InsertImagesFromSelectedRange">
                <anchor moveWithCells="1" sizeWithCells="1">
                  <from>
                    <xdr:col>1</xdr:col>
                    <xdr:colOff>76200</xdr:colOff>
                    <xdr:row>0</xdr:row>
                    <xdr:rowOff>7620</xdr:rowOff>
                  </from>
                  <to>
                    <xdr:col>2</xdr:col>
                    <xdr:colOff>0</xdr:colOff>
                    <xdr:row>0</xdr:row>
                    <xdr:rowOff>487680</xdr:rowOff>
                  </to>
                </anchor>
              </controlPr>
            </control>
          </mc:Choice>
        </mc:AlternateContent>
        <mc:AlternateContent xmlns:mc="http://schemas.openxmlformats.org/markup-compatibility/2006">
          <mc:Choice Requires="x14">
            <control shapeId="27650" r:id="rId5" name="Button 2">
              <controlPr defaultSize="0" print="0" autoFill="0" autoPict="0" macro="[0]!ReplaceLineBreaksWithNewLineManualRange">
                <anchor moveWithCells="1" sizeWithCells="1">
                  <from>
                    <xdr:col>7</xdr:col>
                    <xdr:colOff>15240</xdr:colOff>
                    <xdr:row>0</xdr:row>
                    <xdr:rowOff>45720</xdr:rowOff>
                  </from>
                  <to>
                    <xdr:col>7</xdr:col>
                    <xdr:colOff>685800</xdr:colOff>
                    <xdr:row>0</xdr:row>
                    <xdr:rowOff>403860</xdr:rowOff>
                  </to>
                </anchor>
              </controlPr>
            </control>
          </mc:Choice>
        </mc:AlternateContent>
        <mc:AlternateContent xmlns:mc="http://schemas.openxmlformats.org/markup-compatibility/2006">
          <mc:Choice Requires="x14">
            <control shapeId="27651" r:id="rId6" name="Button 3">
              <controlPr defaultSize="0" print="0" autoFill="0" autoPict="0" macro="[0]!GoToSheet">
                <anchor moveWithCells="1" sizeWithCells="1">
                  <from>
                    <xdr:col>0</xdr:col>
                    <xdr:colOff>137160</xdr:colOff>
                    <xdr:row>0</xdr:row>
                    <xdr:rowOff>114300</xdr:rowOff>
                  </from>
                  <to>
                    <xdr:col>0</xdr:col>
                    <xdr:colOff>762000</xdr:colOff>
                    <xdr:row>0</xdr:row>
                    <xdr:rowOff>419100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0C6277-066B-4410-8C85-04F647CBB736}">
  <sheetPr codeName="Sheet9"/>
  <dimension ref="A1:IY47"/>
  <sheetViews>
    <sheetView zoomScale="70" zoomScaleNormal="70" workbookViewId="0">
      <pane xSplit="5" ySplit="1" topLeftCell="F2" activePane="bottomRight" state="frozen"/>
      <selection activeCell="A2" sqref="A2"/>
      <selection pane="topRight" activeCell="A2" sqref="A2"/>
      <selection pane="bottomLeft" activeCell="A2" sqref="A2"/>
      <selection pane="bottomRight" activeCell="F11" sqref="F11"/>
    </sheetView>
  </sheetViews>
  <sheetFormatPr defaultRowHeight="38.4" customHeight="1" x14ac:dyDescent="0.3"/>
  <cols>
    <col min="1" max="1" width="52.44140625" style="82" bestFit="1" customWidth="1"/>
    <col min="2" max="2" width="10.21875" style="82" customWidth="1"/>
    <col min="3" max="3" width="7.44140625" style="83" customWidth="1"/>
    <col min="4" max="4" width="4.77734375" style="84" customWidth="1"/>
    <col min="5" max="5" width="4.5546875" style="84" customWidth="1"/>
    <col min="6" max="6" width="5.77734375" style="84" customWidth="1"/>
    <col min="7" max="7" width="7.44140625" style="82" customWidth="1"/>
    <col min="8" max="8" width="11.44140625" style="82" customWidth="1"/>
    <col min="9" max="9" width="10" style="82" customWidth="1"/>
    <col min="10" max="10" width="4.21875" style="82" customWidth="1"/>
    <col min="11" max="11" width="5.6640625" style="84" customWidth="1"/>
    <col min="12" max="12" width="2.88671875" style="84" customWidth="1"/>
    <col min="13" max="13" width="6.44140625" style="84" customWidth="1"/>
    <col min="14" max="14" width="4.5546875" style="84" customWidth="1"/>
    <col min="15" max="15" width="10.5546875" style="85" customWidth="1"/>
    <col min="16" max="16" width="6.88671875" style="84" customWidth="1"/>
    <col min="17" max="17" width="4.77734375" style="84" customWidth="1"/>
    <col min="18" max="18" width="13.109375" style="83" customWidth="1"/>
    <col min="19" max="19" width="6.77734375" style="83" customWidth="1"/>
    <col min="20" max="46" width="8.44140625" style="82" customWidth="1"/>
    <col min="47" max="47" width="24.5546875" style="82" customWidth="1"/>
    <col min="48" max="51" width="16.6640625" style="82" customWidth="1"/>
    <col min="52" max="52" width="6.5546875" style="82" customWidth="1"/>
    <col min="53" max="54" width="5.88671875" style="82" customWidth="1"/>
    <col min="55" max="55" width="1.33203125" style="82" customWidth="1"/>
    <col min="56" max="56" width="7.44140625" style="82" customWidth="1"/>
    <col min="57" max="57" width="2.33203125" style="82" customWidth="1"/>
    <col min="58" max="62" width="6.109375" style="82" customWidth="1"/>
    <col min="63" max="63" width="2.33203125" style="82" customWidth="1"/>
    <col min="64" max="64" width="7" style="82" bestFit="1" customWidth="1"/>
    <col min="65" max="65" width="6.44140625" style="82" bestFit="1" customWidth="1"/>
    <col min="66" max="66" width="7.109375" style="82" bestFit="1" customWidth="1"/>
    <col min="67" max="71" width="6.44140625" style="82" bestFit="1" customWidth="1"/>
    <col min="72" max="73" width="6.44140625" style="82" customWidth="1"/>
    <col min="74" max="75" width="13.44140625" style="82" customWidth="1"/>
    <col min="76" max="84" width="14.6640625" style="82" customWidth="1"/>
    <col min="85" max="85" width="6.44140625" style="82" customWidth="1"/>
    <col min="86" max="87" width="11.6640625" style="82" bestFit="1" customWidth="1"/>
    <col min="88" max="88" width="11.6640625" style="82" customWidth="1"/>
    <col min="89" max="89" width="12.77734375" style="82" bestFit="1" customWidth="1"/>
    <col min="90" max="90" width="16.44140625" style="83" bestFit="1" customWidth="1"/>
    <col min="91" max="92" width="14.88671875" style="83" bestFit="1" customWidth="1"/>
    <col min="93" max="93" width="16" style="83" bestFit="1" customWidth="1"/>
    <col min="94" max="97" width="7.77734375" style="82" customWidth="1"/>
    <col min="98" max="98" width="33.21875" style="82" customWidth="1"/>
    <col min="99" max="99" width="18" style="82" customWidth="1"/>
    <col min="100" max="100" width="75.6640625" style="82" customWidth="1"/>
    <col min="101" max="125" width="33" style="82" customWidth="1"/>
    <col min="126" max="126" width="8.88671875" style="82"/>
    <col min="127" max="128" width="9.44140625" style="82" bestFit="1" customWidth="1"/>
    <col min="129" max="129" width="10.77734375" style="82" bestFit="1" customWidth="1"/>
    <col min="130" max="134" width="10.77734375" style="82" customWidth="1"/>
    <col min="135" max="135" width="10.109375" style="82" bestFit="1" customWidth="1"/>
    <col min="136" max="136" width="7.77734375" style="82" bestFit="1" customWidth="1"/>
    <col min="137" max="137" width="7.77734375" style="82" customWidth="1"/>
    <col min="138" max="138" width="9" style="82" bestFit="1" customWidth="1"/>
    <col min="139" max="139" width="11.33203125" style="82" bestFit="1" customWidth="1"/>
    <col min="140" max="140" width="9.109375" style="82" bestFit="1" customWidth="1"/>
    <col min="141" max="141" width="9" style="82" bestFit="1" customWidth="1"/>
    <col min="142" max="142" width="12" style="82" bestFit="1" customWidth="1"/>
    <col min="143" max="166" width="12" style="82" customWidth="1"/>
    <col min="167" max="167" width="17.21875" style="82" customWidth="1"/>
    <col min="168" max="191" width="12" style="82" customWidth="1"/>
    <col min="192" max="192" width="8.5546875" style="82" bestFit="1" customWidth="1"/>
    <col min="193" max="193" width="8.5546875" style="82" customWidth="1"/>
    <col min="194" max="194" width="7.109375" style="82" bestFit="1" customWidth="1"/>
    <col min="195" max="195" width="7.5546875" style="82" bestFit="1" customWidth="1"/>
    <col min="196" max="196" width="8.5546875" style="82" bestFit="1" customWidth="1"/>
    <col min="197" max="200" width="8.5546875" style="82" customWidth="1"/>
    <col min="201" max="201" width="188.88671875" style="82" customWidth="1"/>
    <col min="202" max="202" width="9.5546875" style="82" bestFit="1" customWidth="1"/>
    <col min="203" max="203" width="10.44140625" style="82" bestFit="1" customWidth="1"/>
    <col min="204" max="204" width="11.109375" style="82" bestFit="1" customWidth="1"/>
    <col min="205" max="205" width="10.44140625" style="82" bestFit="1" customWidth="1"/>
    <col min="206" max="210" width="10.44140625" style="82" customWidth="1"/>
    <col min="211" max="211" width="45.44140625" style="82" customWidth="1"/>
    <col min="212" max="212" width="47.5546875" style="82" bestFit="1" customWidth="1"/>
    <col min="213" max="213" width="9.33203125" style="86" customWidth="1"/>
    <col min="214" max="214" width="119.5546875" style="82" customWidth="1"/>
    <col min="215" max="215" width="69.6640625" style="82" customWidth="1"/>
    <col min="216" max="218" width="8.88671875" style="82"/>
    <col min="219" max="219" width="37.109375" style="82" customWidth="1"/>
    <col min="220" max="220" width="16.33203125" style="82" customWidth="1"/>
    <col min="221" max="222" width="8.88671875" style="82"/>
    <col min="223" max="223" width="10.109375" style="82" bestFit="1" customWidth="1"/>
    <col min="224" max="232" width="10.88671875" style="82" customWidth="1"/>
    <col min="233" max="234" width="30.77734375" style="82" customWidth="1"/>
    <col min="235" max="235" width="5.109375" style="82" customWidth="1"/>
    <col min="236" max="236" width="3" style="82" customWidth="1"/>
    <col min="237" max="245" width="6.77734375" style="76" customWidth="1"/>
    <col min="246" max="247" width="8.88671875" style="82"/>
    <col min="248" max="248" width="61.5546875" style="82" customWidth="1"/>
    <col min="249" max="253" width="8.88671875" style="82"/>
    <col min="254" max="254" width="9" style="82" customWidth="1"/>
    <col min="255" max="16384" width="8.88671875" style="82"/>
  </cols>
  <sheetData>
    <row r="1" spans="1:259" s="5" customFormat="1" ht="38.4" customHeight="1" thickBot="1" x14ac:dyDescent="0.35">
      <c r="A1" s="1" t="s">
        <v>0</v>
      </c>
      <c r="B1" s="79" t="s">
        <v>1</v>
      </c>
      <c r="C1" s="2" t="s">
        <v>2</v>
      </c>
      <c r="D1" s="3"/>
      <c r="E1" s="3" t="s">
        <v>3</v>
      </c>
      <c r="F1" s="4"/>
      <c r="H1" s="6" t="s">
        <v>4</v>
      </c>
      <c r="J1" s="5" t="s">
        <v>5</v>
      </c>
      <c r="K1" s="7" t="s">
        <v>6</v>
      </c>
      <c r="L1" s="8" t="s">
        <v>7</v>
      </c>
      <c r="M1" s="8" t="s">
        <v>8</v>
      </c>
      <c r="N1" s="9" t="s">
        <v>9</v>
      </c>
      <c r="O1" s="10" t="s">
        <v>10</v>
      </c>
      <c r="P1" s="11" t="s">
        <v>11</v>
      </c>
      <c r="Q1" s="11" t="s">
        <v>12</v>
      </c>
      <c r="R1" s="12" t="s">
        <v>0</v>
      </c>
      <c r="S1" s="13" t="s">
        <v>13</v>
      </c>
      <c r="T1" s="14" t="s">
        <v>14</v>
      </c>
      <c r="U1" s="14" t="s">
        <v>15</v>
      </c>
      <c r="V1" s="15" t="s">
        <v>16</v>
      </c>
      <c r="W1" s="14" t="s">
        <v>17</v>
      </c>
      <c r="X1" s="14" t="s">
        <v>18</v>
      </c>
      <c r="Y1" s="14" t="s">
        <v>19</v>
      </c>
      <c r="Z1" s="14" t="s">
        <v>20</v>
      </c>
      <c r="AA1" s="14" t="s">
        <v>21</v>
      </c>
      <c r="AB1" s="14" t="s">
        <v>22</v>
      </c>
      <c r="AC1" s="14" t="s">
        <v>23</v>
      </c>
      <c r="AD1" s="14" t="s">
        <v>24</v>
      </c>
      <c r="AE1" s="14" t="s">
        <v>25</v>
      </c>
      <c r="AF1" s="16" t="s">
        <v>26</v>
      </c>
      <c r="AG1" s="16" t="s">
        <v>27</v>
      </c>
      <c r="AH1" s="16" t="s">
        <v>28</v>
      </c>
      <c r="AI1" s="16" t="s">
        <v>29</v>
      </c>
      <c r="AJ1" s="16" t="s">
        <v>30</v>
      </c>
      <c r="AK1" s="16" t="s">
        <v>31</v>
      </c>
      <c r="AL1" s="16" t="s">
        <v>32</v>
      </c>
      <c r="AM1" s="16" t="s">
        <v>33</v>
      </c>
      <c r="AN1" s="16" t="s">
        <v>34</v>
      </c>
      <c r="AO1" s="16" t="s">
        <v>35</v>
      </c>
      <c r="AP1" s="16" t="s">
        <v>36</v>
      </c>
      <c r="AQ1" s="16" t="s">
        <v>37</v>
      </c>
      <c r="AR1" s="16" t="s">
        <v>38</v>
      </c>
      <c r="AS1" s="16" t="s">
        <v>39</v>
      </c>
      <c r="AT1" s="17" t="s">
        <v>40</v>
      </c>
      <c r="AU1" s="18" t="s">
        <v>41</v>
      </c>
      <c r="AV1" s="18" t="s">
        <v>42</v>
      </c>
      <c r="AW1" s="18" t="s">
        <v>43</v>
      </c>
      <c r="AX1" s="19"/>
      <c r="AY1" s="20" t="s">
        <v>44</v>
      </c>
      <c r="AZ1" s="19" t="s">
        <v>45</v>
      </c>
      <c r="BA1" s="19"/>
      <c r="BB1" s="19"/>
      <c r="BC1" s="21"/>
      <c r="BD1" s="19" t="s">
        <v>46</v>
      </c>
      <c r="BE1" s="21"/>
      <c r="BF1" s="19" t="s">
        <v>47</v>
      </c>
      <c r="BG1" s="19" t="s">
        <v>48</v>
      </c>
      <c r="BH1" s="19" t="s">
        <v>49</v>
      </c>
      <c r="BI1" s="19" t="s">
        <v>50</v>
      </c>
      <c r="BJ1" s="19" t="s">
        <v>51</v>
      </c>
      <c r="BK1" s="21"/>
      <c r="BL1" s="22" t="s">
        <v>52</v>
      </c>
      <c r="BM1" s="22"/>
      <c r="BN1" s="22"/>
      <c r="BO1" s="22"/>
      <c r="BP1" s="22"/>
      <c r="BQ1" s="22"/>
      <c r="BR1" s="22"/>
      <c r="BS1" s="22"/>
      <c r="BT1" s="23"/>
      <c r="BU1" s="23" t="s">
        <v>53</v>
      </c>
      <c r="BV1" s="23" t="s">
        <v>54</v>
      </c>
      <c r="BW1" s="23" t="s">
        <v>55</v>
      </c>
      <c r="BX1" s="23"/>
      <c r="BY1" s="23" t="s">
        <v>56</v>
      </c>
      <c r="BZ1" s="23" t="s">
        <v>57</v>
      </c>
      <c r="CA1" s="23" t="s">
        <v>58</v>
      </c>
      <c r="CB1" s="23" t="s">
        <v>59</v>
      </c>
      <c r="CC1" s="23" t="s">
        <v>60</v>
      </c>
      <c r="CD1" s="23" t="s">
        <v>61</v>
      </c>
      <c r="CE1" s="23" t="s">
        <v>62</v>
      </c>
      <c r="CF1" s="23" t="s">
        <v>63</v>
      </c>
      <c r="CG1" s="23"/>
      <c r="CH1" s="23" t="s">
        <v>64</v>
      </c>
      <c r="CI1" s="23" t="s">
        <v>65</v>
      </c>
      <c r="CJ1" s="23" t="s">
        <v>66</v>
      </c>
      <c r="CK1" s="23" t="s">
        <v>67</v>
      </c>
      <c r="CL1" s="24" t="s">
        <v>68</v>
      </c>
      <c r="CM1" s="24" t="s">
        <v>69</v>
      </c>
      <c r="CN1" s="24" t="s">
        <v>70</v>
      </c>
      <c r="CO1" s="24" t="s">
        <v>71</v>
      </c>
      <c r="CP1" s="24" t="s">
        <v>72</v>
      </c>
      <c r="CQ1" s="24" t="s">
        <v>73</v>
      </c>
      <c r="CR1" s="24" t="s">
        <v>74</v>
      </c>
      <c r="CS1" s="24" t="s">
        <v>75</v>
      </c>
      <c r="CT1" s="1" t="s">
        <v>76</v>
      </c>
      <c r="CU1" s="25" t="s">
        <v>0</v>
      </c>
      <c r="CV1" s="5" t="s">
        <v>77</v>
      </c>
      <c r="CW1" s="14" t="s">
        <v>78</v>
      </c>
      <c r="CX1" s="14" t="s">
        <v>79</v>
      </c>
      <c r="CY1" s="14" t="s">
        <v>66</v>
      </c>
      <c r="CZ1" s="14" t="s">
        <v>80</v>
      </c>
      <c r="DA1" s="14" t="s">
        <v>81</v>
      </c>
      <c r="DB1" s="14" t="s">
        <v>82</v>
      </c>
      <c r="DC1" s="14" t="s">
        <v>83</v>
      </c>
      <c r="DD1" s="14" t="s">
        <v>84</v>
      </c>
      <c r="DE1" s="14" t="s">
        <v>85</v>
      </c>
      <c r="DF1" s="14" t="s">
        <v>86</v>
      </c>
      <c r="DG1" s="14" t="s">
        <v>87</v>
      </c>
      <c r="DH1" s="14" t="s">
        <v>88</v>
      </c>
      <c r="DI1" s="14" t="s">
        <v>89</v>
      </c>
      <c r="DJ1" s="14" t="s">
        <v>90</v>
      </c>
      <c r="DK1" s="14" t="s">
        <v>91</v>
      </c>
      <c r="DL1" s="14" t="s">
        <v>92</v>
      </c>
      <c r="DM1" s="14" t="s">
        <v>93</v>
      </c>
      <c r="DN1" s="14" t="s">
        <v>94</v>
      </c>
      <c r="DO1" s="14" t="s">
        <v>95</v>
      </c>
      <c r="DP1" s="14" t="s">
        <v>96</v>
      </c>
      <c r="DQ1" s="14" t="s">
        <v>97</v>
      </c>
      <c r="DR1" s="14" t="s">
        <v>56</v>
      </c>
      <c r="DS1" s="14" t="s">
        <v>98</v>
      </c>
      <c r="DT1" s="14" t="s">
        <v>99</v>
      </c>
      <c r="DU1" s="14" t="s">
        <v>100</v>
      </c>
      <c r="DV1" s="14" t="s">
        <v>101</v>
      </c>
      <c r="DW1" s="14" t="s">
        <v>102</v>
      </c>
      <c r="DX1" s="14" t="s">
        <v>103</v>
      </c>
      <c r="DY1" s="14" t="s">
        <v>104</v>
      </c>
      <c r="DZ1" s="14" t="s">
        <v>105</v>
      </c>
      <c r="EA1" s="14" t="s">
        <v>106</v>
      </c>
      <c r="EB1" s="14" t="s">
        <v>107</v>
      </c>
      <c r="EC1" s="14" t="s">
        <v>108</v>
      </c>
      <c r="ED1" s="14" t="s">
        <v>109</v>
      </c>
      <c r="EE1" s="15" t="s">
        <v>18</v>
      </c>
      <c r="EF1" s="14" t="s">
        <v>19</v>
      </c>
      <c r="EG1" s="14" t="s">
        <v>20</v>
      </c>
      <c r="EH1" s="14" t="s">
        <v>21</v>
      </c>
      <c r="EI1" s="14" t="s">
        <v>110</v>
      </c>
      <c r="EJ1" s="14" t="s">
        <v>23</v>
      </c>
      <c r="EK1" s="14" t="s">
        <v>111</v>
      </c>
      <c r="EL1" s="14" t="s">
        <v>112</v>
      </c>
      <c r="EM1" s="14" t="s">
        <v>26</v>
      </c>
      <c r="EN1" s="16" t="s">
        <v>27</v>
      </c>
      <c r="EO1" s="16" t="s">
        <v>28</v>
      </c>
      <c r="EP1" s="16" t="s">
        <v>29</v>
      </c>
      <c r="EQ1" s="16" t="s">
        <v>113</v>
      </c>
      <c r="ER1" s="16" t="s">
        <v>31</v>
      </c>
      <c r="ES1" s="16" t="s">
        <v>32</v>
      </c>
      <c r="ET1" s="16" t="s">
        <v>114</v>
      </c>
      <c r="EU1" s="16" t="s">
        <v>34</v>
      </c>
      <c r="EV1" s="16" t="s">
        <v>35</v>
      </c>
      <c r="EW1" s="16" t="s">
        <v>115</v>
      </c>
      <c r="EX1" s="16" t="s">
        <v>37</v>
      </c>
      <c r="EY1" s="16" t="s">
        <v>38</v>
      </c>
      <c r="EZ1" s="16" t="s">
        <v>39</v>
      </c>
      <c r="FA1" s="16" t="s">
        <v>116</v>
      </c>
      <c r="FB1" s="16" t="s">
        <v>117</v>
      </c>
      <c r="FC1" s="16" t="s">
        <v>118</v>
      </c>
      <c r="FD1" s="16" t="s">
        <v>54</v>
      </c>
      <c r="FE1" s="16" t="s">
        <v>119</v>
      </c>
      <c r="FF1" s="16" t="s">
        <v>120</v>
      </c>
      <c r="FG1" s="16" t="s">
        <v>121</v>
      </c>
      <c r="FH1" s="16" t="s">
        <v>122</v>
      </c>
      <c r="FI1" s="16" t="s">
        <v>123</v>
      </c>
      <c r="FJ1" s="16" t="s">
        <v>124</v>
      </c>
      <c r="FK1" s="16" t="s">
        <v>125</v>
      </c>
      <c r="FL1" s="16" t="s">
        <v>126</v>
      </c>
      <c r="FM1" s="16" t="s">
        <v>127</v>
      </c>
      <c r="FN1" s="16" t="s">
        <v>128</v>
      </c>
      <c r="FO1" s="16" t="s">
        <v>129</v>
      </c>
      <c r="FP1" s="16" t="s">
        <v>130</v>
      </c>
      <c r="FQ1" s="16" t="s">
        <v>131</v>
      </c>
      <c r="FR1" s="16" t="s">
        <v>132</v>
      </c>
      <c r="FS1" s="16" t="s">
        <v>133</v>
      </c>
      <c r="FT1" s="16" t="s">
        <v>134</v>
      </c>
      <c r="FU1" s="16" t="s">
        <v>44</v>
      </c>
      <c r="FV1" s="16" t="s">
        <v>135</v>
      </c>
      <c r="FW1" s="16" t="s">
        <v>58</v>
      </c>
      <c r="FX1" s="16" t="s">
        <v>136</v>
      </c>
      <c r="FY1" s="16" t="s">
        <v>137</v>
      </c>
      <c r="FZ1" s="16" t="s">
        <v>138</v>
      </c>
      <c r="GA1" s="16" t="s">
        <v>139</v>
      </c>
      <c r="GB1" s="16" t="s">
        <v>140</v>
      </c>
      <c r="GC1" s="16" t="s">
        <v>141</v>
      </c>
      <c r="GD1" s="16" t="s">
        <v>142</v>
      </c>
      <c r="GE1" s="16" t="s">
        <v>143</v>
      </c>
      <c r="GF1" s="16" t="s">
        <v>144</v>
      </c>
      <c r="GG1" s="16" t="s">
        <v>145</v>
      </c>
      <c r="GH1" s="16" t="s">
        <v>61</v>
      </c>
      <c r="GI1" s="16" t="s">
        <v>62</v>
      </c>
      <c r="GJ1" s="14" t="s">
        <v>146</v>
      </c>
      <c r="GK1" s="14" t="s">
        <v>147</v>
      </c>
      <c r="GL1" s="14" t="s">
        <v>148</v>
      </c>
      <c r="GM1" s="17" t="s">
        <v>149</v>
      </c>
      <c r="GN1" s="26" t="s">
        <v>150</v>
      </c>
      <c r="GO1" s="26" t="s">
        <v>151</v>
      </c>
      <c r="GP1" s="18" t="s">
        <v>41</v>
      </c>
      <c r="GQ1" s="18" t="s">
        <v>42</v>
      </c>
      <c r="GR1" s="18" t="s">
        <v>43</v>
      </c>
      <c r="GS1" s="21"/>
      <c r="GT1" s="27" t="s">
        <v>52</v>
      </c>
      <c r="GU1" s="27"/>
      <c r="GV1" s="27"/>
      <c r="GW1" s="27"/>
      <c r="GX1" s="28"/>
      <c r="GY1" s="28"/>
      <c r="GZ1" s="28"/>
      <c r="HA1" s="28"/>
      <c r="HB1" s="28"/>
      <c r="HC1" s="28"/>
      <c r="HD1" s="29" t="s">
        <v>13</v>
      </c>
      <c r="HE1" s="30" t="s">
        <v>152</v>
      </c>
      <c r="HF1" s="31"/>
      <c r="HG1" s="32"/>
      <c r="HK1" s="32" t="s">
        <v>4</v>
      </c>
      <c r="HP1" s="33" t="s">
        <v>153</v>
      </c>
      <c r="HQ1" s="33" t="s">
        <v>154</v>
      </c>
      <c r="HR1" s="33" t="s">
        <v>155</v>
      </c>
      <c r="HS1" s="33" t="s">
        <v>156</v>
      </c>
      <c r="HT1" s="33" t="s">
        <v>157</v>
      </c>
      <c r="HU1" s="33" t="s">
        <v>158</v>
      </c>
      <c r="HV1" s="33" t="s">
        <v>159</v>
      </c>
      <c r="HW1" s="33" t="s">
        <v>160</v>
      </c>
      <c r="HX1" s="34" t="s">
        <v>161</v>
      </c>
      <c r="IA1" s="14" t="s">
        <v>162</v>
      </c>
      <c r="IB1" s="35" t="s">
        <v>163</v>
      </c>
      <c r="IC1" s="36" t="s">
        <v>153</v>
      </c>
      <c r="ID1" s="36" t="s">
        <v>154</v>
      </c>
      <c r="IE1" s="36" t="s">
        <v>156</v>
      </c>
      <c r="IF1" s="37" t="s">
        <v>161</v>
      </c>
      <c r="IG1" s="36" t="s">
        <v>157</v>
      </c>
      <c r="IH1" s="36" t="s">
        <v>158</v>
      </c>
      <c r="II1" s="36" t="s">
        <v>155</v>
      </c>
      <c r="IJ1" s="36" t="s">
        <v>159</v>
      </c>
      <c r="IK1" s="36" t="s">
        <v>160</v>
      </c>
      <c r="IO1" s="33" t="s">
        <v>153</v>
      </c>
      <c r="IP1" s="33" t="s">
        <v>154</v>
      </c>
      <c r="IQ1" s="33" t="s">
        <v>155</v>
      </c>
      <c r="IR1" s="33" t="s">
        <v>156</v>
      </c>
      <c r="IS1" s="33" t="s">
        <v>157</v>
      </c>
      <c r="IT1" s="33" t="s">
        <v>158</v>
      </c>
      <c r="IU1" s="33" t="s">
        <v>159</v>
      </c>
      <c r="IV1" s="33" t="s">
        <v>160</v>
      </c>
      <c r="IW1" s="34" t="s">
        <v>161</v>
      </c>
      <c r="IY1" s="5" t="s">
        <v>164</v>
      </c>
    </row>
    <row r="2" spans="1:259" s="44" customFormat="1" ht="38.4" customHeight="1" thickBot="1" x14ac:dyDescent="0.35">
      <c r="A2" s="77" t="s">
        <v>252</v>
      </c>
      <c r="B2" s="78" t="e" vm="41">
        <v>#VALUE!</v>
      </c>
      <c r="C2" s="39">
        <v>1</v>
      </c>
      <c r="D2" s="70" t="s">
        <v>253</v>
      </c>
      <c r="E2" s="40" t="s">
        <v>254</v>
      </c>
      <c r="F2" s="41" t="s">
        <v>165</v>
      </c>
      <c r="G2" s="42">
        <f t="shared" ref="G2:G7" si="0">COUNTIF($A$1:$A$8341,A2)</f>
        <v>1</v>
      </c>
      <c r="H2" s="43"/>
      <c r="I2" s="59" t="s">
        <v>255</v>
      </c>
      <c r="J2" s="44" t="str">
        <f>""</f>
        <v/>
      </c>
      <c r="K2" s="45">
        <v>114700</v>
      </c>
      <c r="L2" s="46">
        <v>18000</v>
      </c>
      <c r="M2" s="46" t="s">
        <v>1151</v>
      </c>
      <c r="N2" s="47" t="s">
        <v>177</v>
      </c>
      <c r="O2" s="74" t="s">
        <v>228</v>
      </c>
      <c r="P2" s="48" t="s">
        <v>256</v>
      </c>
      <c r="Q2" s="73">
        <v>1</v>
      </c>
      <c r="R2" s="49" t="s">
        <v>177</v>
      </c>
      <c r="S2" s="50">
        <v>0</v>
      </c>
      <c r="T2" s="51" t="s">
        <v>166</v>
      </c>
      <c r="U2" s="52" t="s">
        <v>166</v>
      </c>
      <c r="V2" s="52" t="s">
        <v>166</v>
      </c>
      <c r="W2" s="52" t="s">
        <v>166</v>
      </c>
      <c r="X2" s="52" t="s">
        <v>166</v>
      </c>
      <c r="Y2" s="52" t="s">
        <v>166</v>
      </c>
      <c r="Z2" s="52" t="s">
        <v>166</v>
      </c>
      <c r="AA2" s="52" t="s">
        <v>166</v>
      </c>
      <c r="AB2" s="52" t="s">
        <v>166</v>
      </c>
      <c r="AC2" s="52" t="s">
        <v>166</v>
      </c>
      <c r="AD2" s="52" t="s">
        <v>166</v>
      </c>
      <c r="AE2" s="52" t="s">
        <v>166</v>
      </c>
      <c r="AF2" s="53" t="s">
        <v>166</v>
      </c>
      <c r="AG2" s="53" t="s">
        <v>166</v>
      </c>
      <c r="AH2" s="53" t="s">
        <v>167</v>
      </c>
      <c r="AI2" s="53" t="s">
        <v>166</v>
      </c>
      <c r="AJ2" s="53" t="s">
        <v>166</v>
      </c>
      <c r="AK2" s="53" t="s">
        <v>166</v>
      </c>
      <c r="AL2" s="53" t="s">
        <v>166</v>
      </c>
      <c r="AM2" s="53" t="s">
        <v>166</v>
      </c>
      <c r="AN2" s="53" t="s">
        <v>166</v>
      </c>
      <c r="AO2" s="53" t="s">
        <v>166</v>
      </c>
      <c r="AP2" s="53" t="s">
        <v>166</v>
      </c>
      <c r="AQ2" s="53" t="s">
        <v>166</v>
      </c>
      <c r="AR2" s="53" t="s">
        <v>167</v>
      </c>
      <c r="AS2" s="53" t="s">
        <v>166</v>
      </c>
      <c r="AT2" s="54">
        <v>4</v>
      </c>
      <c r="AU2" s="53"/>
      <c r="AV2" s="53" t="str">
        <f t="shared" ref="AV2:AV7" si="1">IF(LEFT(A2,1)="[",LEFT(A2,5)&amp;AU2&amp;A2,"")</f>
        <v/>
      </c>
      <c r="AW2" s="53" t="str">
        <f t="shared" ref="AW2:AW7" si="2">C2&amp;H2&amp;A2</f>
        <v>1Micronesia</v>
      </c>
      <c r="AX2" s="55" t="str">
        <f>_xlfn.TEXTJOIN(";",TRUE,AU2:AW2)</f>
        <v>1Micronesia</v>
      </c>
      <c r="AY2" s="55" t="s">
        <v>167</v>
      </c>
      <c r="AZ2" s="56" t="s">
        <v>161</v>
      </c>
      <c r="BA2" s="56"/>
      <c r="BB2" s="56"/>
      <c r="BC2" s="57"/>
      <c r="BD2" s="58" t="s">
        <v>154</v>
      </c>
      <c r="BE2" s="59"/>
      <c r="BF2" s="58"/>
      <c r="BG2" s="58"/>
      <c r="BH2" s="58"/>
      <c r="BI2" s="58"/>
      <c r="BJ2" s="58"/>
      <c r="BK2" s="59"/>
      <c r="BL2" s="58" t="s">
        <v>154</v>
      </c>
      <c r="BM2" s="58" t="s">
        <v>161</v>
      </c>
      <c r="BN2" s="58"/>
      <c r="BO2" s="58"/>
      <c r="BP2" s="58"/>
      <c r="BQ2" s="58"/>
      <c r="BR2" s="58"/>
      <c r="BS2" s="58"/>
      <c r="BT2" s="58"/>
      <c r="BU2" s="60"/>
      <c r="BV2" s="61" t="s">
        <v>168</v>
      </c>
      <c r="BW2" s="61">
        <v>0</v>
      </c>
      <c r="BX2" s="59"/>
      <c r="CB2" s="5" t="s">
        <v>138</v>
      </c>
      <c r="CC2" s="5"/>
      <c r="CD2" s="62">
        <v>0</v>
      </c>
      <c r="CE2" s="62">
        <v>0</v>
      </c>
      <c r="CF2" s="62" t="e">
        <v>#REF!</v>
      </c>
      <c r="CG2" s="75" cm="1">
        <f t="array" ref="CG2">SUMPRODUCT(--(LEN(TRIM(BL2:BT2))&gt;0))</f>
        <v>2</v>
      </c>
      <c r="CH2" s="53" t="str">
        <f t="shared" ref="CH2:CH7" si="3">IF(CG2=2,"y","n")</f>
        <v>y</v>
      </c>
      <c r="CI2" s="53" t="str">
        <f t="shared" ref="CI2:CI7" si="4">IF(CG2=3,"y","n")</f>
        <v>n</v>
      </c>
      <c r="CJ2" s="53" t="str">
        <f t="shared" ref="CJ2:CJ7" si="5">IF(CG2=4,"y","n")</f>
        <v>n</v>
      </c>
      <c r="CK2" s="53" t="str">
        <f t="shared" ref="CK2:CK7" si="6">IF(CG2&gt;4,"y","n")</f>
        <v>n</v>
      </c>
      <c r="CL2" s="53" t="str">
        <f t="shared" ref="CL2:CL7" si="7">IF(S2=0,"y","n")</f>
        <v>y</v>
      </c>
      <c r="CM2" s="53" t="str">
        <f t="shared" ref="CM2:CM7" si="8">IF(S2=2,"y","n")</f>
        <v>n</v>
      </c>
      <c r="CN2" s="53" t="str">
        <f t="shared" ref="CN2:CN7" si="9">IF(S2=3,"y","n")</f>
        <v>n</v>
      </c>
      <c r="CO2" s="53" t="str">
        <f t="shared" ref="CO2:CO7" si="10">IF(S2&gt;=4,"y","n")</f>
        <v>n</v>
      </c>
      <c r="CP2" s="53" t="str">
        <f t="shared" ref="CP2:CP7" si="11">IF(AT2=0,"y","n")</f>
        <v>n</v>
      </c>
      <c r="CQ2" s="53" t="str">
        <f t="shared" ref="CQ2:CQ7" si="12">IF(AT2=1,"y","n")</f>
        <v>n</v>
      </c>
      <c r="CR2" s="53" t="str">
        <f t="shared" ref="CR2:CR7" si="13">IF(AT2=2,"y","n")</f>
        <v>n</v>
      </c>
      <c r="CS2" s="53" t="str">
        <f t="shared" ref="CS2:CS7" si="14">IF(AT2&gt;=3,"y","n")</f>
        <v>y</v>
      </c>
      <c r="CT2" s="38" t="str">
        <f t="shared" ref="CT2:CT7" si="15">CHAR(34)&amp;A2&amp;CHAR(34)</f>
        <v>"Micronesia"</v>
      </c>
      <c r="CU2" s="63" t="str">
        <f t="shared" ref="CU2:CU7" si="16">CHAR(34)&amp;"rgn_"&amp;R2&amp;CHAR(34)</f>
        <v>"rgn_Oceania"</v>
      </c>
      <c r="CV2" s="44" t="str">
        <f t="shared" ref="CV2:CV7" si="17">CHAR(34)&amp;D2&amp;CHAR(34)</f>
        <v>"https://i.ibb.co/j4nBMmd/Micronesia-Flag.png"</v>
      </c>
      <c r="CW2" s="44" t="str">
        <f t="shared" ref="CW2:CZ7" si="18">IF(CH2="y",CHAR(34)&amp;CH$1&amp;CHAR(34)&amp;",","")</f>
        <v>"2Color",</v>
      </c>
      <c r="CX2" s="44" t="str">
        <f t="shared" si="18"/>
        <v/>
      </c>
      <c r="CY2" s="44" t="str">
        <f t="shared" si="18"/>
        <v/>
      </c>
      <c r="CZ2" s="44" t="str">
        <f t="shared" si="18"/>
        <v/>
      </c>
      <c r="DA2" s="44" t="str">
        <f t="shared" ref="DA2:DA7" si="19">IF(Q2&gt;1,CHAR(34)&amp;"words2"&amp;CHAR(34)&amp;",","")</f>
        <v/>
      </c>
      <c r="DB2" s="44" t="str">
        <f t="shared" ref="DB2:DB7" si="20">IF(Q2&gt;2,CHAR(34)&amp;"words3"&amp;CHAR(34)&amp;",","")</f>
        <v/>
      </c>
      <c r="DC2" s="44" t="str">
        <f t="shared" ref="DC2:DC7" si="21">IF(Q2=2,CHAR(34)&amp;"exact2"&amp;CHAR(34)&amp;",","")</f>
        <v/>
      </c>
      <c r="DD2" s="44" t="str">
        <f t="shared" ref="DD2:DD7" si="22">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"lets10",</v>
      </c>
      <c r="DE2" s="44" t="str">
        <f t="shared" ref="DE2:DE7" si="23">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"startM",</v>
      </c>
      <c r="DF2" s="44" t="str">
        <f t="shared" ref="DF2:DF7" si="24">IFERROR(IF(SEARCH("tan",A2)&gt;0,CHAR(34)&amp;"withtn"&amp;CHAR(34)&amp;",",""),"")</f>
        <v/>
      </c>
      <c r="DG2" s="44" t="str">
        <f t="shared" ref="DG2:DG7" si="25">IFERROR(IF(SEARCH("q",A2)&gt;0,CHAR(34)&amp;"with_q"&amp;CHAR(34)&amp;",",""),"")</f>
        <v/>
      </c>
      <c r="DH2" s="44" t="str">
        <f t="shared" ref="DH2:DH7" si="26">IFERROR(IF(SEARCH("v",A2)&gt;0,CHAR(34)&amp;"with_v"&amp;CHAR(34)&amp;",",""),"")</f>
        <v/>
      </c>
      <c r="DI2" s="44" t="str">
        <f t="shared" ref="DI2:DI7" si="27">IFERROR(IF(SEARCH("w",A2)&gt;0,CHAR(34)&amp;"with_w"&amp;CHAR(34)&amp;",",""),"")</f>
        <v/>
      </c>
      <c r="DJ2" s="44" t="str">
        <f t="shared" ref="DJ2:DJ7" si="28">IFERROR(IF(SEARCH("y",A2)&gt;0,CHAR(34)&amp;"with_y"&amp;CHAR(34)&amp;",",""),"")</f>
        <v/>
      </c>
      <c r="DK2" s="44" t="str">
        <f t="shared" ref="DK2:DK7" si="29">IFERROR(IF(SEARCH("z",A2)&gt;0,CHAR(34)&amp;"with_z"&amp;CHAR(34)&amp;",",""),"")</f>
        <v/>
      </c>
      <c r="DL2" s="44" t="str">
        <f t="shared" ref="DL2:DL7" si="30">IF(CG2=2, CHAR(34) &amp; _xlfn.TEXTJOIN("", TRUE, _xlfn._xlws.SORT(HP2:HX2)) &amp; CHAR(34) &amp; ",", "")</f>
        <v>"BLUWHI",</v>
      </c>
      <c r="DM2" s="44" t="str" cm="1">
        <f t="array" ref="DM2">IF(CG2=3,CHAR(34) &amp; _xlfn.TEXTJOIN("", TRUE, RIGHT(HP2:HX2, 2)) &amp; CHAR(34) &amp; ",", "")</f>
        <v/>
      </c>
      <c r="DN2" s="44" t="str">
        <f t="shared" ref="DN2:DN7" si="31">IF(AND(ISNUMBER(SEARCH("18", O2)), ISERROR(SEARCH("1918", O2)), ISERROR(SEARCH("2018", O2))), CHAR(34) &amp; "year18" &amp; CHAR(34) &amp; ",", "")</f>
        <v/>
      </c>
      <c r="DO2" s="44" t="str">
        <f t="shared" ref="DO2:DO7" si="32">IF(AND(ISNUMBER(SEARCH("19", O2)), ISERROR(SEARCH("1819", O2)),  ISERROR(SEARCH("1219", O2)),ISERROR(SEARCH("1119", O2)),ISERROR(SEARCH("1190", O2)),ISERROR(SEARCH("2019", O2))), CHAR(34) &amp; "year19" &amp; CHAR(34) &amp; ",", "")</f>
        <v>"year19",</v>
      </c>
      <c r="DP2" s="5" t="str">
        <f t="shared" ref="DP2:DP7" si="33">IF(AND(ISNUMBER(SEARCH("20", O2)), ISERROR(SEARCH("1920", O2))), CHAR(34)&amp;"year00"&amp;CHAR(34)&amp;",", "")</f>
        <v/>
      </c>
      <c r="DQ2" s="5" t="str">
        <f t="shared" ref="DQ2:DQ7" si="34">IF(CC2="y",CHAR(34)&amp;"soviet"&amp;CHAR(34)&amp;",","")</f>
        <v/>
      </c>
      <c r="DR2" s="5" t="str">
        <f t="shared" ref="DR2:DR7" si="35">IF(BY2="y",CHAR(34)&amp;"dgband"&amp;CHAR(34)&amp;",","")</f>
        <v/>
      </c>
      <c r="DS2" s="5" t="str">
        <f t="shared" ref="DS2:DS7" si="36">IF(W2="y",IF(AND(V2="n",BY2&lt;&gt;"y"),CHAR(34)&amp;"allver"&amp;CHAR(34)&amp;",",""),"")</f>
        <v/>
      </c>
      <c r="DT2" s="5" t="str">
        <f t="shared" ref="DT2:DT7" si="37">IF(V2="y",IF(AND(W2="n",BY2&lt;&gt;"y"),CHAR(34)&amp;"allhor"&amp;CHAR(34)&amp;",",""),"")</f>
        <v/>
      </c>
      <c r="DU2" s="5" t="str">
        <f t="shared" ref="DU2:DU7" si="38">IF(BY2="y",IF(AND(W2="n",V2="n"),CHAR(34)&amp;"alldia"&amp;CHAR(34)&amp;",",""),"")</f>
        <v/>
      </c>
      <c r="DV2" s="44" t="str">
        <f t="shared" ref="DV2:DV7" si="39">IF(IA2&lt;&gt;"",(IF(IA2="y",CHAR(34)&amp;"largec"&amp;CHAR(34)&amp;",",CHAR(34)&amp;"smallc"&amp;CHAR(34)&amp;",")),"")</f>
        <v/>
      </c>
      <c r="DW2" s="44" t="str">
        <f t="shared" ref="DW2:DZ7" si="40">IF(CL2="y",CHAR(34)&amp;CL$1&amp;CHAR(34)&amp;",","")</f>
        <v>"NoBand",</v>
      </c>
      <c r="DX2" s="44" t="str">
        <f t="shared" si="40"/>
        <v/>
      </c>
      <c r="DY2" s="44" t="str">
        <f t="shared" si="40"/>
        <v/>
      </c>
      <c r="DZ2" s="44" t="str">
        <f t="shared" si="40"/>
        <v/>
      </c>
      <c r="EA2" s="44" t="str">
        <f t="shared" ref="EA2:EE7" si="41">IF(T2="y",CHAR(34)&amp;T$1&amp;CHAR(34)&amp;",","")</f>
        <v/>
      </c>
      <c r="EB2" s="44" t="str">
        <f t="shared" si="41"/>
        <v/>
      </c>
      <c r="EC2" s="44" t="str">
        <f t="shared" si="41"/>
        <v/>
      </c>
      <c r="ED2" s="44" t="str">
        <f t="shared" si="41"/>
        <v/>
      </c>
      <c r="EE2" s="44" t="str">
        <f t="shared" si="41"/>
        <v/>
      </c>
      <c r="EF2" s="44" t="str">
        <f t="shared" ref="EF2:EF7" si="42">IF(AND(Y2&lt;&gt;"n",Y2&lt;&gt;""),CHAR(34)&amp;Y$1&amp;CHAR(34)&amp;",","")</f>
        <v/>
      </c>
      <c r="EG2" s="44" t="str">
        <f t="shared" ref="EG2:EP7" si="43">IF(Z2="y",CHAR(34)&amp;Z$1&amp;CHAR(34)&amp;",","")</f>
        <v/>
      </c>
      <c r="EH2" s="44" t="str">
        <f t="shared" si="43"/>
        <v/>
      </c>
      <c r="EI2" s="44" t="str">
        <f t="shared" si="43"/>
        <v/>
      </c>
      <c r="EJ2" s="44" t="str">
        <f t="shared" si="43"/>
        <v/>
      </c>
      <c r="EK2" s="44" t="str">
        <f t="shared" si="43"/>
        <v/>
      </c>
      <c r="EL2" s="44" t="str">
        <f t="shared" si="43"/>
        <v/>
      </c>
      <c r="EM2" s="44" t="str">
        <f t="shared" si="43"/>
        <v/>
      </c>
      <c r="EN2" s="44" t="str">
        <f t="shared" si="43"/>
        <v/>
      </c>
      <c r="EO2" s="44" t="str">
        <f t="shared" si="43"/>
        <v>"Center",</v>
      </c>
      <c r="EP2" s="44" t="str">
        <f t="shared" si="43"/>
        <v/>
      </c>
      <c r="EQ2" s="44" t="str">
        <f t="shared" ref="EQ2:EZ7" si="44">IF(AJ2="y",CHAR(34)&amp;AJ$1&amp;CHAR(34)&amp;",","")</f>
        <v/>
      </c>
      <c r="ER2" s="44" t="str">
        <f t="shared" si="44"/>
        <v/>
      </c>
      <c r="ES2" s="44" t="str">
        <f t="shared" si="44"/>
        <v/>
      </c>
      <c r="ET2" s="44" t="str">
        <f t="shared" si="44"/>
        <v/>
      </c>
      <c r="EU2" s="44" t="str">
        <f t="shared" si="44"/>
        <v/>
      </c>
      <c r="EV2" s="44" t="str">
        <f t="shared" si="44"/>
        <v/>
      </c>
      <c r="EW2" s="44" t="str">
        <f t="shared" si="44"/>
        <v/>
      </c>
      <c r="EX2" s="44" t="str">
        <f t="shared" si="44"/>
        <v/>
      </c>
      <c r="EY2" s="44" t="str">
        <f t="shared" si="44"/>
        <v>"Rotate",</v>
      </c>
      <c r="EZ2" s="44" t="str">
        <f t="shared" si="44"/>
        <v/>
      </c>
      <c r="FA2" s="44" t="str">
        <f t="shared" ref="FA2:FA7" si="45">IF(AT2&gt;0,CHAR(34)&amp;"sta"&amp;AZ2&amp;CHAR(34)&amp;",","")</f>
        <v>"staWHI",</v>
      </c>
      <c r="FB2" s="44" t="str">
        <f t="shared" ref="FB2:FB7" si="46">IF(AND(AT2&gt;0,BA2&lt;&gt;""),CHAR(34)&amp;"sta"&amp;BA2&amp;CHAR(34)&amp;",","")</f>
        <v/>
      </c>
      <c r="FC2" s="44" t="str">
        <f t="shared" ref="FC2:FC7" si="47">IF(AND(AT2&gt;0,BB2&lt;&gt;""),CHAR(34)&amp;"sta"&amp;BB2&amp;CHAR(34)&amp;",","")</f>
        <v/>
      </c>
      <c r="FD2" s="44" t="str">
        <f t="shared" ref="FD2:FD7" si="48">IF(BV2="n",CHAR(34)&amp;"tcWHYE"&amp;CHAR(34)&amp;",",IF(BV2="y",CHAR(34)&amp;FD$1&amp;CHAR(34)&amp;",",""))</f>
        <v/>
      </c>
      <c r="FE2" s="44" t="str">
        <f t="shared" ref="FE2:FE7" si="49">IF(COUNTIF(BL2:BT2,"BLU")=0,CHAR(34)&amp;"NO_BLU"&amp;CHAR(34)&amp;",", "")</f>
        <v/>
      </c>
      <c r="FF2" s="44" t="str">
        <f t="shared" ref="FF2:FF7" si="50">IF(COUNTIF(BL2:BT2,"WHI")=0,CHAR(34)&amp;"NO_WHI"&amp;CHAR(34)&amp;",", "")</f>
        <v/>
      </c>
      <c r="FG2" s="44" t="str">
        <f t="shared" ref="FG2:FG7" si="51">IF(COUNTIF(BL2:BT2,"RED")=0,CHAR(34)&amp;"NO_RED"&amp;CHAR(34)&amp;",", "")</f>
        <v>"NO_RED",</v>
      </c>
      <c r="FH2" s="44" t="str">
        <f t="shared" ref="FH2:FH7" si="52">IF(COUNTIF(BL2:BS2,"GRE")=0,CHAR(34)&amp;"NO_GRE"&amp;CHAR(34)&amp;",", "")</f>
        <v>"NO_GRE",</v>
      </c>
      <c r="FI2" s="44" t="str">
        <f t="shared" ref="FI2:FI7" si="53">IF(COUNTIF(BL2:BT2,"YEL")=0,CHAR(34)&amp;"NO_YEL"&amp;CHAR(34)&amp;",", "")</f>
        <v>"NO_YEL",</v>
      </c>
      <c r="FJ2" s="44" t="str">
        <f t="shared" ref="FJ2:FJ7" si="54">IF(COUNTIF(BL2:BT2,"BLA")=0,CHAR(34)&amp;"NO_BLA"&amp;CHAR(34)&amp;",", "")</f>
        <v>"NO_BLA",</v>
      </c>
      <c r="FK2" s="44" t="str">
        <f t="shared" ref="FK2:FK7" si="55">IF(AND(FH2&lt;&gt;"",FF2&lt;&gt;""),CHAR(34)&amp;"WHGRNO"&amp;CHAR(34)&amp;",","")</f>
        <v/>
      </c>
      <c r="FL2" s="44" t="str">
        <f t="shared" ref="FL2:FL7" si="56">IF(AND(FI2&lt;&gt;"",FF2&lt;&gt;""),CHAR(34)&amp;"WHYENO"&amp;CHAR(34)&amp;",","")</f>
        <v/>
      </c>
      <c r="FM2" s="44" t="str">
        <f t="shared" ref="FM2:FM7" si="57">IF(AND(FJ2&lt;&gt;"",FF2&lt;&gt;""),CHAR(34)&amp;"BAWHNO"&amp;CHAR(34)&amp;",","")</f>
        <v/>
      </c>
      <c r="FN2" s="44" t="str">
        <f t="shared" ref="FN2:FN7" si="58">IF(AND(FE2&lt;&gt;"",FF2&lt;&gt;""),CHAR(34)&amp;"BLWHNO"&amp;CHAR(34)&amp;",","")</f>
        <v/>
      </c>
      <c r="FO2" s="44" t="str">
        <f t="shared" ref="FO2:FO7" si="59">IF(AND(FE2&lt;&gt;"",FG2&lt;&gt;""),CHAR(34)&amp;"BLRENO"&amp;CHAR(34)&amp;",","")</f>
        <v/>
      </c>
      <c r="FP2" s="44" t="str">
        <f t="shared" ref="FP2:FP7" si="60">IF(AND(FF2&lt;&gt;"",FF2&lt;&gt;""),CHAR(34)&amp;"WHRENO"&amp;CHAR(34)&amp;",","")</f>
        <v/>
      </c>
      <c r="FQ2" s="44" t="str">
        <f t="shared" ref="FQ2:FQ7" si="61">IF(LEN(BF2)=3,CHAR(34)&amp;"001"&amp;BF2&amp;CHAR(34)&amp;",","")</f>
        <v/>
      </c>
      <c r="FR2" s="44" t="str">
        <f t="shared" ref="FR2:FR7" si="62">IF(LEN(BG2)=3,CHAR(34)&amp;"002"&amp;BG2&amp;CHAR(34)&amp;",","")</f>
        <v/>
      </c>
      <c r="FS2" s="44" t="str">
        <f t="shared" ref="FS2:FS7" si="63">IF(LEN(BH2)=3,CHAR(34)&amp;"003"&amp;BH2&amp;CHAR(34)&amp;",","")</f>
        <v/>
      </c>
      <c r="FT2" s="44" t="str">
        <f t="shared" ref="FT2:FT7" si="64">CHAR(34)&amp;"myr"&amp;BD2&amp;CHAR(34)&amp;","</f>
        <v>"myrBLU",</v>
      </c>
      <c r="FU2" s="44" t="str">
        <f t="shared" ref="FU2:FU7" si="65">IF(AY2="y",CHAR(34)&amp;"island"&amp;CHAR(34)&amp;",","")</f>
        <v>"island",</v>
      </c>
      <c r="FV2" s="44" t="str">
        <f t="shared" ref="FV2:FV7" si="66">IF(BZ2="y",CHAR(34)&amp;"landlo"&amp;CHAR(34)&amp;",","")</f>
        <v/>
      </c>
      <c r="FW2" s="44" t="str">
        <f t="shared" ref="FW2:FW7" si="67">IF(CA2="y",CHAR(34)&amp;"eunion"&amp;CHAR(34)&amp;",","")</f>
        <v/>
      </c>
      <c r="FX2" s="44" t="str">
        <f t="shared" ref="FX2:FX7" si="68">SUBSTITUTE(IFERROR(SEARCH("[",A2),IFERROR(IF(AND(CA2&lt;&gt;"y",SEARCH("Europe",R2)&gt;0),CHAR(34)&amp;"noeuni"&amp;CHAR(34)&amp;",",""),"")),"1","")</f>
        <v/>
      </c>
      <c r="FY2" s="44" t="str">
        <f t="shared" ref="FY2:FY7" si="69">IFERROR(IF(SEARCH("Arabic",CB2)&gt;0,CHAR(34)&amp;"arabic"&amp;CHAR(34)&amp;",",""),"")</f>
        <v/>
      </c>
      <c r="FZ2" s="44" t="str">
        <f t="shared" ref="FZ2:FZ7" si="70">IFERROR(IF(SEARCH("English",CB2)&gt;0,CHAR(34)&amp;"englis"&amp;CHAR(34)&amp;",",""),"")</f>
        <v>"englis",</v>
      </c>
      <c r="GA2" s="44" t="str">
        <f t="shared" ref="GA2:GA7" si="71">IFERROR(IF(SEARCH("French",CB2)&gt;0,CHAR(34)&amp;"french"&amp;CHAR(34)&amp;",",""),"")</f>
        <v/>
      </c>
      <c r="GB2" s="44" t="str">
        <f t="shared" ref="GB2:GB7" si="72">IFERROR(IF(SEARCH("Spanish",CB2)&gt;0,CHAR(34)&amp;"spanis"&amp;CHAR(34)&amp;",",""),"")</f>
        <v/>
      </c>
      <c r="GC2" s="44" t="str">
        <f t="shared" ref="GC2:GC7" si="73">IFERROR(IF(SEARCH("Portuguese",CB2)&gt;0,CHAR(34)&amp;"portug"&amp;CHAR(34)&amp;",",""),"")</f>
        <v/>
      </c>
      <c r="GD2" s="44" t="str">
        <f t="shared" ref="GD2:GD7" si="74">IFERROR(IF(SEARCH("German",CB2)&gt;0,CHAR(34)&amp;"german"&amp;CHAR(34)&amp;",",""),"")</f>
        <v/>
      </c>
      <c r="GE2" s="44" t="str">
        <f t="shared" ref="GE2:GE47" si="75">IFERROR(IF(SEARCH("Dutch",CB2)&gt;0,CHAR(34)&amp;"dutchs"&amp;CHAR(34)&amp;",",""),"")</f>
        <v/>
      </c>
      <c r="GF2" s="44" t="str">
        <f>IFERROR(IF(SEARCH("Histor",AU2)&gt;0,CHAR(34)&amp;"histor"&amp;CHAR(34)&amp;",",""),"")</f>
        <v/>
      </c>
      <c r="GG2" s="44" t="str">
        <f t="shared" ref="GG2:GG47" si="76">IF(BU2="y",CHAR(34)&amp;"unjack"&amp;CHAR(34)&amp;",","")</f>
        <v/>
      </c>
      <c r="GH2" s="44" t="str">
        <f t="shared" ref="GH2:GH47" si="77">IF(CD2=1,CHAR(34)&amp;"southc"&amp;CHAR(34)&amp;",","")</f>
        <v/>
      </c>
      <c r="GI2" s="44" t="str">
        <f t="shared" ref="GI2:GI47" si="78">IF(CE2=1,CHAR(34)&amp;"hasmap"&amp;CHAR(34)&amp;",","")</f>
        <v/>
      </c>
      <c r="GJ2" s="44" t="str">
        <f t="shared" ref="GJ2:GJ7" si="79">IF(CP2="y",CHAR(34)&amp;CP$1&amp;CHAR(34)&amp;",","")</f>
        <v/>
      </c>
      <c r="GK2" s="44" t="str">
        <f t="shared" ref="GK2:GK7" si="80">IF(GJ2="",CHAR(34)&amp;"HasSta"&amp;CHAR(34)&amp;",","")</f>
        <v>"HasSta",</v>
      </c>
      <c r="GL2" s="44" t="str">
        <f t="shared" ref="GL2:GN7" si="81">IF(CQ2="y",CHAR(34)&amp;CQ$1&amp;CHAR(34)&amp;",","")</f>
        <v/>
      </c>
      <c r="GM2" s="44" t="str">
        <f t="shared" si="81"/>
        <v/>
      </c>
      <c r="GN2" s="44" t="str">
        <f t="shared" si="81"/>
        <v>"3+Star",</v>
      </c>
      <c r="GP2" s="44" t="str">
        <f t="shared" ref="GP2:GP7" si="82">CHAR(34)&amp;AU2&amp;CHAR(34)</f>
        <v>""</v>
      </c>
      <c r="GS2" s="44" t="str">
        <f t="shared" ref="GS2:GS7" si="83">SUBSTITUTE("["&amp;_xlfn.CONCAT(CW2:GN2)&amp;"]",",]","]")</f>
        <v>["2Color","lets10","startM","BLUWHI","year19","NoBand","Center","Rotate","staWHI","NO_RED","NO_GRE","NO_YEL","NO_BLA","myrBLU","island","englis","HasSta","3+Star"]</v>
      </c>
      <c r="GT2" s="44" t="str">
        <f t="shared" ref="GT2:HB7" si="84">IF(BL2&lt;&gt;"",CHAR(34)&amp;"cl_"&amp;BL2&amp;CHAR(34)&amp;",","")</f>
        <v>"cl_BLU",</v>
      </c>
      <c r="GU2" s="44" t="str">
        <f t="shared" si="84"/>
        <v>"cl_WHI",</v>
      </c>
      <c r="GV2" s="44" t="str">
        <f t="shared" si="84"/>
        <v/>
      </c>
      <c r="GW2" s="44" t="str">
        <f t="shared" si="84"/>
        <v/>
      </c>
      <c r="GX2" s="44" t="str">
        <f t="shared" si="84"/>
        <v/>
      </c>
      <c r="GY2" s="44" t="str">
        <f t="shared" si="84"/>
        <v/>
      </c>
      <c r="GZ2" s="44" t="str">
        <f t="shared" si="84"/>
        <v/>
      </c>
      <c r="HA2" s="44" t="str">
        <f t="shared" si="84"/>
        <v/>
      </c>
      <c r="HB2" s="44" t="str">
        <f t="shared" si="84"/>
        <v/>
      </c>
      <c r="HC2" s="44" t="str">
        <f t="shared" ref="HC2:HC7" si="85">SUBSTITUTE("["&amp;_xlfn.CONCAT(GT2:HB2)&amp;"]",",]","]")</f>
        <v>["cl_BLU","cl_WHI"]</v>
      </c>
      <c r="HE2" s="64"/>
      <c r="HF2" s="65" t="str">
        <f t="shared" ref="HF2:HF7" si="86">"{couname:"&amp;CT2&amp;(IF(HK2&lt;&gt;"",",subtype:"&amp;CHAR(34)&amp;HK2&amp;CHAR(34),""))&amp;",year:"&amp;HJ2&amp;",region:"&amp;CU2&amp;",Colors:"&amp;HC2&amp;",Items:"&amp;GS2&amp;",Flag:"&amp;CV2&amp;",HDFlag:"&amp;CHAR(34)&amp;E2&amp;CHAR(34)&amp;",type:"&amp;GP2&amp;", describe: "&amp;HH2&amp;", isnew:"&amp;CHAR(34)&amp;F2&amp;CHAR(34)&amp;", links: "&amp;HL2&amp;"},"</f>
        <v>{couname:"Micronesia",year:"1978 ",region:"rgn_Oceania",Colors:["cl_BLU","cl_WHI"],Items:["2Color","lets10","startM","BLUWHI","year19","NoBand","Center","Rotate","staWHI","NO_RED","NO_GRE","NO_YEL","NO_BLA","myrBLU","island","englis","HasSta","3+Star"],Flag:"https://i.ibb.co/j4nBMmd/Micronesia-Flag.png",HDFlag:"https://upload.wikimedia.org/wikipedia/commons/thumb/e/e4/Flag_of_the_Federated_States_of_Micronesia.svg/2560px-Flag_of_the_Federated_States_of_Micronesia.svg.png",type:"", describe: "\nThe blue field represents the Pacific Ocean. In an echo of U.S. heraldic practice, the stars represent the four federated states: Chuuk, Pohnpei, Kosrae and Yap, arranged like the points of the compass.", isnew:".", links: "https://en.wikipedia.org/wiki/Flag_of_the_Federated_States_of_Micronesia"},</v>
      </c>
      <c r="HG2" s="66" t="str">
        <f t="shared" ref="HG2:HG7" si="87">"{couname:"&amp;CT2&amp;(IF(HK2&lt;&gt;"",",subtype:"&amp;CHAR(34)&amp;HK2&amp;CHAR(34),""))&amp;",year:"&amp;HJ2&amp;",region:"&amp;CU2&amp;",Colors:"&amp;HC2&amp;",Items:"&amp;GS2&amp;",Flag:"&amp;CV2&amp;",HDFlag:"&amp;CHAR(34)&amp;E2&amp;CHAR(34)&amp;",type:"&amp;GP2&amp;", describe: "&amp;HI2&amp;", links: "&amp;HL2&amp;"},"</f>
        <v>{couname:"Micronesia",year:"1978 ",region:"rgn_Oceania",Colors:["cl_BLU","cl_WHI"],Items:["2Color","lets10","startM","BLUWHI","year19","NoBand","Center","Rotate","staWHI","NO_RED","NO_GRE","NO_YEL","NO_BLA","myrBLU","island","englis","HasSta","3+Star"],Flag:"https://i.ibb.co/j4nBMmd/Micronesia-Flag.png",HDFlag:"https://upload.wikimedia.org/wikipedia/commons/thumb/e/e4/Flag_of_the_Federated_States_of_Micronesia.svg/2560px-Flag_of_the_Federated_States_of_Micronesia.svg.png",type:"", describe: "\nThe blue field represents the Pacific Ocean. In an echo of U.S. heraldic practice, the stars represent the four federated states: Chuuk, Pohnpei, Kosrae and Yap, arranged like the points of the compass.", links: "https://en.wikipedia.org/wiki/Flag_of_the_Federated_States_of_Micronesia"},</v>
      </c>
      <c r="HH2" s="44" t="str">
        <f t="shared" ref="HH2:HH7" si="88">IF(P2&lt;&gt;"",CHAR(34)&amp;"\n"&amp;P2&amp;CHAR(34),CHAR(34)&amp;CHAR(34))</f>
        <v>"\nThe blue field represents the Pacific Ocean. In an echo of U.S. heraldic practice, the stars represent the four federated states: Chuuk, Pohnpei, Kosrae and Yap, arranged like the points of the compass."</v>
      </c>
      <c r="HI2" s="44" t="str">
        <f t="shared" ref="HI2:HI7" si="89">IF(J2=0,CHAR(34)&amp;CHAR(34),HH2)</f>
        <v>"\nThe blue field represents the Pacific Ocean. In an echo of U.S. heraldic practice, the stars represent the four federated states: Chuuk, Pohnpei, Kosrae and Yap, arranged like the points of the compass."</v>
      </c>
      <c r="HJ2" s="44" t="str">
        <f t="shared" ref="HJ2:HJ7" si="90">CHAR(34)&amp;O2&amp;CHAR(34)</f>
        <v>"1978 "</v>
      </c>
      <c r="HL2" s="44" t="str">
        <f t="shared" ref="HL2:HL7" si="91">CHAR(34)&amp;I2&amp;CHAR(34)</f>
        <v>"https://en.wikipedia.org/wiki/Flag_of_the_Federated_States_of_Micronesia"</v>
      </c>
      <c r="HM2" s="65" t="str">
        <f t="shared" ref="HM2:HM7" si="92">"{"&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{"couname":"Micronesia","year":"1978 ","region":"rgn_Oceania","Colors":["cl_BLU","cl_WHI"],"Items":["2Color","lets10","startM","BLUWHI","year19","NoBand","Center","Rotate","staWHI","NO_RED","NO_GRE","NO_YEL","NO_BLA","myrBLU","island","englis","HasSta","3+Star"],"Flag":"https://i.ibb.co/j4nBMmd/Micronesia-Flag.png","HDFlag":"https://upload.wikimedia.org/wikipedia/commons/thumb/e/e4/Flag_of_the_Federated_States_of_Micronesia.svg/2560px-Flag_of_the_Federated_States_of_Micronesia.svg.png","type":"", "describe": "\nThe blue field represents the Pacific Ocean. In an echo of U.S. heraldic practice, the stars represent the four federated states: Chuuk, Pohnpei, Kosrae and Yap, arranged like the points of the compass.", "isnew": ".", "links": "https://en.wikipedia.org/wiki/Flag_of_the_Federated_States_of_Micronesia"},</v>
      </c>
      <c r="HN2" s="67" t="str">
        <f t="shared" ref="HN2:HN7" si="93">"{"&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{"couname":"Micronesia","year":"1978 ","region":"rgn_Oceania","Colors":["cl_BLU","cl_WHI"],"Items":["2Color","lets10","startM","BLUWHI","year19","NoBand","Center","Rotate","staWHI","NO_RED","NO_GRE","NO_YEL","NO_BLA","myrBLU","island","englis","HasSta","3+Star"],"Flag":"https://i.ibb.co/j4nBMmd/Micronesia-Flag.png","HDFlag":"https://upload.wikimedia.org/wikipedia/commons/thumb/e/e4/Flag_of_the_Federated_States_of_Micronesia.svg/2560px-Flag_of_the_Federated_States_of_Micronesia.svg.png","type":"", "describe": "\nThe blue field represents the Pacific Ocean. In an echo of U.S. heraldic practice, the stars represent the four federated states: Chuuk, Pohnpei, Kosrae and Yap, arranged like the points of the compass.", "isnew": ".", "links": "https://en.wikipedia.org/wiki/Flag_of_the_Federated_States_of_Micronesia"},</v>
      </c>
      <c r="HO2" s="71"/>
      <c r="HP2" s="44" t="str" cm="1">
        <f t="array" ref="HP2">IF(_xlfn.TEXTJOIN(", ", TRUE, IF(ISNUMBER(SEARCH("BLA", BL2:BT2)), COLUMN(BL2:BT2) - COLUMN(BL2) + 1, ""))&lt;&gt;"","BLA","")</f>
        <v/>
      </c>
      <c r="HQ2" s="44" t="str" cm="1">
        <f t="array" ref="HQ2">IF(_xlfn.TEXTJOIN(", ", TRUE, IF(ISNUMBER(SEARCH("BLU", BL2:BT2)), COLUMN(BL2:BT2) - COLUMN(BL2) + 1, ""))&lt;&gt;"","BLU","")</f>
        <v>BLU</v>
      </c>
      <c r="HR2" s="44" t="str" cm="1">
        <f t="array" ref="HR2">IF(_xlfn.TEXTJOIN(", ", TRUE, IF(ISNUMBER(SEARCH("GRE", BL2:BT2)), COLUMN(BL2:BT2) - COLUMN(BL2) + 1, ""))&lt;&gt;"","GRE","")</f>
        <v/>
      </c>
      <c r="HS2" s="44" t="str" cm="1">
        <f t="array" ref="HS2">IF(_xlfn.TEXTJOIN(", ", TRUE, IF(ISNUMBER(SEARCH("RED", BL2:BT2)), COLUMN(BL2:BT2) - COLUMN(BL2) + 1, ""))&lt;&gt;"","RED","")</f>
        <v/>
      </c>
      <c r="HT2" s="44" t="str" cm="1">
        <f t="array" ref="HT2">IF(_xlfn.TEXTJOIN(", ", TRUE, IF(ISNUMBER(SEARCH("YEL", BL2:BT2)), COLUMN(BL2:BT2) - COLUMN(BL2) + 1, ""))&lt;&gt;"","YEL","")</f>
        <v/>
      </c>
      <c r="HU2" s="44" t="str" cm="1">
        <f t="array" ref="HU2">IF(_xlfn.TEXTJOIN(", ", TRUE, IF(ISNUMBER(SEARCH("ORA", BL2:BT2)), COLUMN(BL2:BT2) - COLUMN(BL2) + 1, ""))&lt;&gt;"","ORA","")</f>
        <v/>
      </c>
      <c r="HV2" s="44" t="str" cm="1">
        <f t="array" ref="HV2">IF(_xlfn.TEXTJOIN(", ", TRUE, IF(ISNUMBER(SEARCH("BRO", BL2:BT2)), COLUMN(BL2:BT2) - COLUMN(BL2) + 1, ""))&lt;&gt;"","BRO","")</f>
        <v/>
      </c>
      <c r="HW2" s="44" t="str" cm="1">
        <f t="array" ref="HW2">IF(_xlfn.TEXTJOIN(", ", TRUE, IF(ISNUMBER(SEARCH("PUR", BL2:BT2)), COLUMN(BL2:BT2) - COLUMN(BL2) + 1, ""))&lt;&gt;"","PUR","")</f>
        <v/>
      </c>
      <c r="HX2" s="44" t="str" cm="1">
        <f t="array" ref="HX2">IF(_xlfn.TEXTJOIN(", ", TRUE, IF(ISNUMBER(SEARCH("WHI", BL2:BT2)), COLUMN(BL2:BT2) - COLUMN(BL2) + 1, ""))&lt;&gt;"","WHI","")</f>
        <v>WHI</v>
      </c>
      <c r="HY2" s="72"/>
      <c r="HZ2" s="72"/>
      <c r="IA2" s="5"/>
      <c r="IB2" s="5"/>
      <c r="IC2" s="68"/>
      <c r="ID2" s="68"/>
      <c r="IE2" s="68"/>
      <c r="IF2" s="68"/>
      <c r="IG2" s="68"/>
      <c r="IH2" s="68"/>
      <c r="II2" s="68"/>
      <c r="IJ2" s="68"/>
      <c r="IK2" s="68"/>
      <c r="IL2" s="44">
        <f t="shared" ref="IL2:IL7" si="94">SUM(IC2:IK2)</f>
        <v>0</v>
      </c>
      <c r="IM2" s="42">
        <f t="shared" ref="IM2:IM7" si="95">COUNTIF(IC2:IK2,"&gt;0")-CG2</f>
        <v>-2</v>
      </c>
      <c r="IN2" s="69" t="str">
        <f t="shared" ref="IN2:IN7" si="96">"http://mkweb.bcgsc.ca/color-summarizer/?url="&amp;D2&amp;"&amp;precision=low&amp;num_clusters="&amp;CG2&amp;"&amp;text=1"</f>
        <v>http://mkweb.bcgsc.ca/color-summarizer/?url=https://i.ibb.co/j4nBMmd/Micronesia-Flag.png&amp;precision=low&amp;num_clusters=2&amp;text=1</v>
      </c>
      <c r="IO2" s="44" t="str">
        <f t="shared" ref="IO2:IO7" si="97">IF(HP2&lt;&gt;"",CHAR(34)&amp;"black"&amp;CHAR(34),"")</f>
        <v/>
      </c>
      <c r="IP2" s="44" t="str">
        <f t="shared" ref="IP2:IP7" si="98">IF(HQ2&lt;&gt;"",CHAR(34)&amp;"blue"&amp;CHAR(34),"")</f>
        <v>"blue"</v>
      </c>
      <c r="IQ2" s="44" t="str">
        <f t="shared" ref="IQ2:IQ7" si="99">IF(HR2&lt;&gt;"",CHAR(34)&amp;"green"&amp;CHAR(34),"")</f>
        <v/>
      </c>
      <c r="IR2" s="44" t="str">
        <f t="shared" ref="IR2:IR7" si="100">IF(HS2&lt;&gt;"",CHAR(34)&amp;"red"&amp;CHAR(34),"")</f>
        <v/>
      </c>
      <c r="IS2" s="44" t="str">
        <f t="shared" ref="IS2:IS7" si="101">IF(HT2&lt;&gt;"",CHAR(34)&amp;"yellow"&amp;CHAR(34),"")</f>
        <v/>
      </c>
      <c r="IT2" s="44" t="str">
        <f t="shared" ref="IT2:IT7" si="102">IF(HU2&lt;&gt;"",CHAR(34)&amp;"orange"&amp;CHAR(34),"")</f>
        <v/>
      </c>
      <c r="IU2" s="44" t="str">
        <f t="shared" ref="IU2:IU7" si="103">IF(HV2&lt;&gt;"",CHAR(34)&amp;"brown"&amp;CHAR(34),"")</f>
        <v/>
      </c>
      <c r="IV2" s="44" t="str">
        <f t="shared" ref="IV2:IV7" si="104">IF(HW2&lt;&gt;"",CHAR(34)&amp;"purple"&amp;CHAR(34),"")</f>
        <v/>
      </c>
      <c r="IW2" s="44" t="str">
        <f t="shared" ref="IW2:IW7" si="105">IF(HX2&lt;&gt;"",CHAR(34)&amp;"white"&amp;CHAR(34),"")</f>
        <v>"white"</v>
      </c>
      <c r="IX2" s="44" t="str">
        <f t="shared" ref="IX2:IX7" si="106">"{"&amp;CHAR(34)&amp;"url"&amp;CHAR(34)&amp;":"&amp;CHAR(34)&amp;IN2&amp;CHAR(34)&amp;","&amp;CHAR(34)&amp;"name"&amp;CHAR(34)&amp;":"&amp;CHAR(34)&amp;A2&amp;CHAR(34)&amp;"},"</f>
        <v>{"url":"http://mkweb.bcgsc.ca/color-summarizer/?url=https://i.ibb.co/j4nBMmd/Micronesia-Flag.png&amp;precision=low&amp;num_clusters=2&amp;text=1","name":"Micronesia"},</v>
      </c>
      <c r="IY2" s="44">
        <v>139</v>
      </c>
    </row>
    <row r="3" spans="1:259" s="44" customFormat="1" ht="38.4" customHeight="1" thickBot="1" x14ac:dyDescent="0.35">
      <c r="A3" s="80" t="s">
        <v>422</v>
      </c>
      <c r="B3" s="78" t="e" vm="42">
        <v>#VALUE!</v>
      </c>
      <c r="C3" s="39">
        <v>2</v>
      </c>
      <c r="D3" s="70" t="s">
        <v>423</v>
      </c>
      <c r="E3" s="40" t="s">
        <v>424</v>
      </c>
      <c r="F3" s="41" t="s">
        <v>165</v>
      </c>
      <c r="G3" s="42">
        <f t="shared" si="0"/>
        <v>1</v>
      </c>
      <c r="H3" s="43"/>
      <c r="I3" s="59" t="s">
        <v>425</v>
      </c>
      <c r="J3" s="44" t="str">
        <f>""</f>
        <v/>
      </c>
      <c r="K3" s="45"/>
      <c r="L3" s="46"/>
      <c r="M3" s="46"/>
      <c r="N3" s="47" t="s">
        <v>177</v>
      </c>
      <c r="O3" s="74">
        <v>1997</v>
      </c>
      <c r="P3" s="48" t="s">
        <v>426</v>
      </c>
      <c r="Q3" s="73">
        <v>1</v>
      </c>
      <c r="R3" s="49" t="s">
        <v>177</v>
      </c>
      <c r="S3" s="50">
        <v>0</v>
      </c>
      <c r="T3" s="51" t="s">
        <v>166</v>
      </c>
      <c r="U3" s="52" t="s">
        <v>166</v>
      </c>
      <c r="V3" s="52" t="s">
        <v>166</v>
      </c>
      <c r="W3" s="52" t="s">
        <v>166</v>
      </c>
      <c r="X3" s="52" t="s">
        <v>167</v>
      </c>
      <c r="Y3" s="52" t="s">
        <v>166</v>
      </c>
      <c r="Z3" s="52" t="s">
        <v>166</v>
      </c>
      <c r="AA3" s="52" t="s">
        <v>167</v>
      </c>
      <c r="AB3" s="52" t="s">
        <v>166</v>
      </c>
      <c r="AC3" s="52" t="s">
        <v>166</v>
      </c>
      <c r="AD3" s="52" t="s">
        <v>166</v>
      </c>
      <c r="AE3" s="52" t="s">
        <v>166</v>
      </c>
      <c r="AF3" s="53" t="s">
        <v>166</v>
      </c>
      <c r="AG3" s="53" t="s">
        <v>166</v>
      </c>
      <c r="AH3" s="53" t="s">
        <v>167</v>
      </c>
      <c r="AI3" s="53" t="s">
        <v>166</v>
      </c>
      <c r="AJ3" s="53" t="s">
        <v>166</v>
      </c>
      <c r="AK3" s="53" t="s">
        <v>166</v>
      </c>
      <c r="AL3" s="53" t="s">
        <v>166</v>
      </c>
      <c r="AM3" s="53" t="s">
        <v>166</v>
      </c>
      <c r="AN3" s="53" t="s">
        <v>166</v>
      </c>
      <c r="AO3" s="53" t="s">
        <v>166</v>
      </c>
      <c r="AP3" s="53" t="s">
        <v>166</v>
      </c>
      <c r="AQ3" s="53" t="s">
        <v>166</v>
      </c>
      <c r="AR3" s="53" t="s">
        <v>166</v>
      </c>
      <c r="AS3" s="53" t="s">
        <v>166</v>
      </c>
      <c r="AT3" s="54">
        <v>38</v>
      </c>
      <c r="AU3" s="53" t="s">
        <v>377</v>
      </c>
      <c r="AV3" s="53" t="str">
        <f t="shared" si="1"/>
        <v>[MIC]State[MIC] Chuuk</v>
      </c>
      <c r="AW3" s="53" t="str">
        <f t="shared" si="2"/>
        <v>2[MIC] Chuuk</v>
      </c>
      <c r="AX3" s="55"/>
      <c r="AY3" s="55"/>
      <c r="AZ3" s="56" t="s">
        <v>161</v>
      </c>
      <c r="BA3" s="56" t="s">
        <v>231</v>
      </c>
      <c r="BB3" s="56"/>
      <c r="BC3" s="57"/>
      <c r="BD3" s="58" t="s">
        <v>154</v>
      </c>
      <c r="BE3" s="59"/>
      <c r="BF3" s="58" t="s">
        <v>231</v>
      </c>
      <c r="BG3" s="58" t="s">
        <v>231</v>
      </c>
      <c r="BH3" s="58" t="s">
        <v>231</v>
      </c>
      <c r="BI3" s="58"/>
      <c r="BJ3" s="58"/>
      <c r="BK3" s="59"/>
      <c r="BL3" s="58" t="s">
        <v>231</v>
      </c>
      <c r="BM3" s="58" t="s">
        <v>154</v>
      </c>
      <c r="BN3" s="58" t="s">
        <v>231</v>
      </c>
      <c r="BO3" s="58" t="s">
        <v>231</v>
      </c>
      <c r="BP3" s="58" t="s">
        <v>231</v>
      </c>
      <c r="BQ3" s="58" t="s">
        <v>231</v>
      </c>
      <c r="BR3" s="58" t="s">
        <v>231</v>
      </c>
      <c r="BS3" s="58" t="s">
        <v>231</v>
      </c>
      <c r="BT3" s="58" t="s">
        <v>161</v>
      </c>
      <c r="BU3" s="60"/>
      <c r="BV3" s="61"/>
      <c r="BW3" s="61">
        <v>0</v>
      </c>
      <c r="BX3" s="59"/>
      <c r="CB3" s="5"/>
      <c r="CC3" s="5"/>
      <c r="CD3" s="62">
        <v>0</v>
      </c>
      <c r="CE3" s="62">
        <v>0</v>
      </c>
      <c r="CF3" s="62" t="e">
        <v>#REF!</v>
      </c>
      <c r="CG3" s="75" cm="1">
        <f t="array" ref="CG3">SUMPRODUCT(--(LEN(TRIM(BL3:BT3))&gt;0))</f>
        <v>2</v>
      </c>
      <c r="CH3" s="53" t="str">
        <f t="shared" si="3"/>
        <v>y</v>
      </c>
      <c r="CI3" s="53" t="str">
        <f t="shared" si="4"/>
        <v>n</v>
      </c>
      <c r="CJ3" s="53" t="str">
        <f t="shared" si="5"/>
        <v>n</v>
      </c>
      <c r="CK3" s="53" t="str">
        <f t="shared" si="6"/>
        <v>n</v>
      </c>
      <c r="CL3" s="53" t="str">
        <f t="shared" si="7"/>
        <v>y</v>
      </c>
      <c r="CM3" s="53" t="str">
        <f t="shared" si="8"/>
        <v>n</v>
      </c>
      <c r="CN3" s="53" t="str">
        <f t="shared" si="9"/>
        <v>n</v>
      </c>
      <c r="CO3" s="53" t="str">
        <f t="shared" si="10"/>
        <v>n</v>
      </c>
      <c r="CP3" s="53" t="str">
        <f t="shared" si="11"/>
        <v>n</v>
      </c>
      <c r="CQ3" s="53" t="str">
        <f t="shared" si="12"/>
        <v>n</v>
      </c>
      <c r="CR3" s="53" t="str">
        <f t="shared" si="13"/>
        <v>n</v>
      </c>
      <c r="CS3" s="53" t="str">
        <f t="shared" si="14"/>
        <v>y</v>
      </c>
      <c r="CT3" s="38" t="str">
        <f t="shared" si="15"/>
        <v>"[MIC] Chuuk"</v>
      </c>
      <c r="CU3" s="63" t="str">
        <f t="shared" si="16"/>
        <v>"rgn_Oceania"</v>
      </c>
      <c r="CV3" s="44" t="str">
        <f t="shared" si="17"/>
        <v>"https://upload.wikimedia.org/wikipedia/commons/thumb/5/55/Flag_of_Chuuk.svg/640px-Flag_of_Chuuk.svg.png"</v>
      </c>
      <c r="CW3" s="44" t="str">
        <f t="shared" si="18"/>
        <v>"2Color",</v>
      </c>
      <c r="CX3" s="44" t="str">
        <f t="shared" si="18"/>
        <v/>
      </c>
      <c r="CY3" s="44" t="str">
        <f t="shared" si="18"/>
        <v/>
      </c>
      <c r="CZ3" s="44" t="str">
        <f t="shared" si="18"/>
        <v/>
      </c>
      <c r="DA3" s="44" t="str">
        <f t="shared" si="19"/>
        <v/>
      </c>
      <c r="DB3" s="44" t="str">
        <f t="shared" si="20"/>
        <v/>
      </c>
      <c r="DC3" s="44" t="str">
        <f t="shared" si="21"/>
        <v/>
      </c>
      <c r="DD3" s="44" t="str">
        <f t="shared" si="22"/>
        <v>"lets05",</v>
      </c>
      <c r="DE3" s="44" t="str">
        <f t="shared" si="23"/>
        <v>"startC",</v>
      </c>
      <c r="DF3" s="44" t="str">
        <f t="shared" si="24"/>
        <v/>
      </c>
      <c r="DG3" s="44" t="str">
        <f t="shared" si="25"/>
        <v/>
      </c>
      <c r="DH3" s="44" t="str">
        <f t="shared" si="26"/>
        <v/>
      </c>
      <c r="DI3" s="44" t="str">
        <f t="shared" si="27"/>
        <v/>
      </c>
      <c r="DJ3" s="44" t="str">
        <f t="shared" si="28"/>
        <v/>
      </c>
      <c r="DK3" s="44" t="str">
        <f t="shared" si="29"/>
        <v/>
      </c>
      <c r="DL3" s="44" t="str">
        <f t="shared" si="30"/>
        <v>"BLUWHI",</v>
      </c>
      <c r="DM3" s="44" t="str" cm="1">
        <f t="array" ref="DM3">IF(CG3=3,CHAR(34) &amp; _xlfn.TEXTJOIN("", TRUE, RIGHT(HP3:HX3, 2)) &amp; CHAR(34) &amp; ",", "")</f>
        <v/>
      </c>
      <c r="DN3" s="44" t="str">
        <f t="shared" si="31"/>
        <v/>
      </c>
      <c r="DO3" s="44" t="str">
        <f t="shared" si="32"/>
        <v>"year19",</v>
      </c>
      <c r="DP3" s="5" t="str">
        <f t="shared" si="33"/>
        <v/>
      </c>
      <c r="DQ3" s="5" t="str">
        <f t="shared" si="34"/>
        <v/>
      </c>
      <c r="DR3" s="5" t="str">
        <f t="shared" si="35"/>
        <v/>
      </c>
      <c r="DS3" s="5" t="str">
        <f t="shared" si="36"/>
        <v/>
      </c>
      <c r="DT3" s="5" t="str">
        <f t="shared" si="37"/>
        <v/>
      </c>
      <c r="DU3" s="5" t="str">
        <f t="shared" si="38"/>
        <v/>
      </c>
      <c r="DV3" s="44" t="str">
        <f t="shared" si="39"/>
        <v/>
      </c>
      <c r="DW3" s="44" t="str">
        <f t="shared" si="40"/>
        <v>"NoBand",</v>
      </c>
      <c r="DX3" s="44" t="str">
        <f t="shared" si="40"/>
        <v/>
      </c>
      <c r="DY3" s="44" t="str">
        <f t="shared" si="40"/>
        <v/>
      </c>
      <c r="DZ3" s="44" t="str">
        <f t="shared" si="40"/>
        <v/>
      </c>
      <c r="EA3" s="44" t="str">
        <f t="shared" si="41"/>
        <v/>
      </c>
      <c r="EB3" s="44" t="str">
        <f t="shared" si="41"/>
        <v/>
      </c>
      <c r="EC3" s="44" t="str">
        <f t="shared" si="41"/>
        <v/>
      </c>
      <c r="ED3" s="44" t="str">
        <f t="shared" si="41"/>
        <v/>
      </c>
      <c r="EE3" s="44" t="str">
        <f t="shared" si="41"/>
        <v>"Circle",</v>
      </c>
      <c r="EF3" s="44" t="str">
        <f t="shared" si="42"/>
        <v/>
      </c>
      <c r="EG3" s="44" t="str">
        <f t="shared" si="43"/>
        <v/>
      </c>
      <c r="EH3" s="44" t="str">
        <f t="shared" si="43"/>
        <v>"Plants",</v>
      </c>
      <c r="EI3" s="44" t="str">
        <f t="shared" si="43"/>
        <v/>
      </c>
      <c r="EJ3" s="44" t="str">
        <f t="shared" si="43"/>
        <v/>
      </c>
      <c r="EK3" s="44" t="str">
        <f t="shared" si="43"/>
        <v/>
      </c>
      <c r="EL3" s="44" t="str">
        <f t="shared" si="43"/>
        <v/>
      </c>
      <c r="EM3" s="44" t="str">
        <f t="shared" si="43"/>
        <v/>
      </c>
      <c r="EN3" s="44" t="str">
        <f t="shared" si="43"/>
        <v/>
      </c>
      <c r="EO3" s="44" t="str">
        <f t="shared" si="43"/>
        <v>"Center",</v>
      </c>
      <c r="EP3" s="44" t="str">
        <f t="shared" si="43"/>
        <v/>
      </c>
      <c r="EQ3" s="44" t="str">
        <f t="shared" si="44"/>
        <v/>
      </c>
      <c r="ER3" s="44" t="str">
        <f t="shared" si="44"/>
        <v/>
      </c>
      <c r="ES3" s="44" t="str">
        <f t="shared" si="44"/>
        <v/>
      </c>
      <c r="ET3" s="44" t="str">
        <f t="shared" si="44"/>
        <v/>
      </c>
      <c r="EU3" s="44" t="str">
        <f t="shared" si="44"/>
        <v/>
      </c>
      <c r="EV3" s="44" t="str">
        <f t="shared" si="44"/>
        <v/>
      </c>
      <c r="EW3" s="44" t="str">
        <f t="shared" si="44"/>
        <v/>
      </c>
      <c r="EX3" s="44" t="str">
        <f t="shared" si="44"/>
        <v/>
      </c>
      <c r="EY3" s="44" t="str">
        <f t="shared" si="44"/>
        <v/>
      </c>
      <c r="EZ3" s="44" t="str">
        <f t="shared" si="44"/>
        <v/>
      </c>
      <c r="FA3" s="44" t="str">
        <f t="shared" si="45"/>
        <v>"staWHI",</v>
      </c>
      <c r="FB3" s="44" t="str">
        <f t="shared" si="46"/>
        <v/>
      </c>
      <c r="FC3" s="44" t="str">
        <f t="shared" si="47"/>
        <v/>
      </c>
      <c r="FD3" s="44" t="str">
        <f t="shared" si="48"/>
        <v/>
      </c>
      <c r="FE3" s="44" t="str">
        <f t="shared" si="49"/>
        <v/>
      </c>
      <c r="FF3" s="44" t="str">
        <f t="shared" si="50"/>
        <v/>
      </c>
      <c r="FG3" s="44" t="str">
        <f t="shared" si="51"/>
        <v>"NO_RED",</v>
      </c>
      <c r="FH3" s="44" t="str">
        <f t="shared" si="52"/>
        <v>"NO_GRE",</v>
      </c>
      <c r="FI3" s="44" t="str">
        <f t="shared" si="53"/>
        <v>"NO_YEL",</v>
      </c>
      <c r="FJ3" s="44" t="str">
        <f t="shared" si="54"/>
        <v>"NO_BLA",</v>
      </c>
      <c r="FK3" s="44" t="str">
        <f t="shared" si="55"/>
        <v/>
      </c>
      <c r="FL3" s="44" t="str">
        <f t="shared" si="56"/>
        <v/>
      </c>
      <c r="FM3" s="44" t="str">
        <f t="shared" si="57"/>
        <v/>
      </c>
      <c r="FN3" s="44" t="str">
        <f t="shared" si="58"/>
        <v/>
      </c>
      <c r="FO3" s="44" t="str">
        <f t="shared" si="59"/>
        <v/>
      </c>
      <c r="FP3" s="44" t="str">
        <f t="shared" si="60"/>
        <v/>
      </c>
      <c r="FQ3" s="44" t="str">
        <f t="shared" si="61"/>
        <v/>
      </c>
      <c r="FR3" s="44" t="str">
        <f t="shared" si="62"/>
        <v/>
      </c>
      <c r="FS3" s="44" t="str">
        <f t="shared" si="63"/>
        <v/>
      </c>
      <c r="FT3" s="44" t="str">
        <f t="shared" si="64"/>
        <v>"myrBLU",</v>
      </c>
      <c r="FU3" s="44" t="str">
        <f t="shared" si="65"/>
        <v/>
      </c>
      <c r="FV3" s="44" t="str">
        <f t="shared" si="66"/>
        <v/>
      </c>
      <c r="FW3" s="44" t="str">
        <f t="shared" si="67"/>
        <v/>
      </c>
      <c r="FX3" s="44" t="str">
        <f t="shared" si="68"/>
        <v/>
      </c>
      <c r="FY3" s="44" t="str">
        <f t="shared" si="69"/>
        <v/>
      </c>
      <c r="FZ3" s="44" t="str">
        <f t="shared" si="70"/>
        <v/>
      </c>
      <c r="GA3" s="44" t="str">
        <f t="shared" si="71"/>
        <v/>
      </c>
      <c r="GB3" s="44" t="str">
        <f t="shared" si="72"/>
        <v/>
      </c>
      <c r="GC3" s="44" t="str">
        <f t="shared" si="73"/>
        <v/>
      </c>
      <c r="GD3" s="44" t="str">
        <f t="shared" si="74"/>
        <v/>
      </c>
      <c r="GE3" s="44" t="str">
        <f t="shared" si="75"/>
        <v/>
      </c>
      <c r="GF3" s="44" t="str">
        <f>IFERROR(IF(SEARCH("Historical",AU3)&gt;0,CHAR(34)&amp;"histor"&amp;CHAR(34)&amp;",",""),"")</f>
        <v/>
      </c>
      <c r="GG3" s="44" t="str">
        <f t="shared" si="76"/>
        <v/>
      </c>
      <c r="GH3" s="44" t="str">
        <f t="shared" si="77"/>
        <v/>
      </c>
      <c r="GI3" s="44" t="str">
        <f t="shared" si="78"/>
        <v/>
      </c>
      <c r="GJ3" s="44" t="str">
        <f t="shared" si="79"/>
        <v/>
      </c>
      <c r="GK3" s="44" t="str">
        <f t="shared" si="80"/>
        <v>"HasSta",</v>
      </c>
      <c r="GL3" s="44" t="str">
        <f t="shared" si="81"/>
        <v/>
      </c>
      <c r="GM3" s="44" t="str">
        <f t="shared" si="81"/>
        <v/>
      </c>
      <c r="GN3" s="44" t="str">
        <f t="shared" si="81"/>
        <v>"3+Star",</v>
      </c>
      <c r="GP3" s="44" t="str">
        <f t="shared" si="82"/>
        <v>"State"</v>
      </c>
      <c r="GS3" s="44" t="str">
        <f t="shared" si="83"/>
        <v>["2Color","lets05","startC","BLUWHI","year19","NoBand","Circle","Plants","Center","staWHI","NO_RED","NO_GRE","NO_YEL","NO_BLA","myrBLU","HasSta","3+Star"]</v>
      </c>
      <c r="GT3" s="44" t="str">
        <f t="shared" si="84"/>
        <v/>
      </c>
      <c r="GU3" s="44" t="str">
        <f t="shared" si="84"/>
        <v>"cl_BLU",</v>
      </c>
      <c r="GV3" s="44" t="str">
        <f t="shared" si="84"/>
        <v/>
      </c>
      <c r="GW3" s="44" t="str">
        <f t="shared" si="84"/>
        <v/>
      </c>
      <c r="GX3" s="44" t="str">
        <f t="shared" si="84"/>
        <v/>
      </c>
      <c r="GY3" s="44" t="str">
        <f t="shared" si="84"/>
        <v/>
      </c>
      <c r="GZ3" s="44" t="str">
        <f t="shared" si="84"/>
        <v/>
      </c>
      <c r="HA3" s="44" t="str">
        <f t="shared" si="84"/>
        <v/>
      </c>
      <c r="HB3" s="44" t="str">
        <f t="shared" si="84"/>
        <v>"cl_WHI",</v>
      </c>
      <c r="HC3" s="44" t="str">
        <f t="shared" si="85"/>
        <v>["cl_BLU","cl_WHI"]</v>
      </c>
      <c r="HE3" s="64"/>
      <c r="HF3" s="65" t="str">
        <f t="shared" si="86"/>
        <v>{couname:"[MIC] Chuuk",year:"1997",region:"rgn_Oceania",Colors:["cl_BLU","cl_WHI"],Items:["2Color","lets05","startC","BLUWHI","year19","NoBand","Circle","Plants","Center","staWHI","NO_RED","NO_GRE","NO_YEL","NO_BLA","myrBLU","HasSta","3+Star"],Flag:"https://upload.wikimedia.org/wikipedia/commons/thumb/5/55/Flag_of_Chuuk.svg/640px-Flag_of_Chuuk.svg.png",HDFlag:"https://upload.wikimedia.org/wikipedia/commons/thumb/5/55/Flag_of_Chuuk.svg/2560px-Flag_of_Chuuk.svg.png",type:"State", describe: "\nPalm tree on a blue banner surrounded by a ring of stars", isnew:".", links: "https://en.wikipedia.org/wiki/List_of_Micronesian_flags"},</v>
      </c>
      <c r="HG3" s="66" t="str">
        <f t="shared" si="87"/>
        <v>{couname:"[MIC] Chuuk",year:"1997",region:"rgn_Oceania",Colors:["cl_BLU","cl_WHI"],Items:["2Color","lets05","startC","BLUWHI","year19","NoBand","Circle","Plants","Center","staWHI","NO_RED","NO_GRE","NO_YEL","NO_BLA","myrBLU","HasSta","3+Star"],Flag:"https://upload.wikimedia.org/wikipedia/commons/thumb/5/55/Flag_of_Chuuk.svg/640px-Flag_of_Chuuk.svg.png",HDFlag:"https://upload.wikimedia.org/wikipedia/commons/thumb/5/55/Flag_of_Chuuk.svg/2560px-Flag_of_Chuuk.svg.png",type:"State", describe: "\nPalm tree on a blue banner surrounded by a ring of stars", links: "https://en.wikipedia.org/wiki/List_of_Micronesian_flags"},</v>
      </c>
      <c r="HH3" s="44" t="str">
        <f t="shared" si="88"/>
        <v>"\nPalm tree on a blue banner surrounded by a ring of stars"</v>
      </c>
      <c r="HI3" s="44" t="str">
        <f t="shared" si="89"/>
        <v>"\nPalm tree on a blue banner surrounded by a ring of stars"</v>
      </c>
      <c r="HJ3" s="44" t="str">
        <f t="shared" si="90"/>
        <v>"1997"</v>
      </c>
      <c r="HL3" s="44" t="str">
        <f t="shared" si="91"/>
        <v>"https://en.wikipedia.org/wiki/List_of_Micronesian_flags"</v>
      </c>
      <c r="HM3" s="65" t="str">
        <f t="shared" si="92"/>
        <v>{"couname":"[MIC] Chuuk","year":"1997","region":"rgn_Oceania","Colors":["cl_BLU","cl_WHI"],"Items":["2Color","lets05","startC","BLUWHI","year19","NoBand","Circle","Plants","Center","staWHI","NO_RED","NO_GRE","NO_YEL","NO_BLA","myrBLU","HasSta","3+Star"],"Flag":"https://upload.wikimedia.org/wikipedia/commons/thumb/5/55/Flag_of_Chuuk.svg/640px-Flag_of_Chuuk.svg.png","HDFlag":"https://upload.wikimedia.org/wikipedia/commons/thumb/5/55/Flag_of_Chuuk.svg/2560px-Flag_of_Chuuk.svg.png","type":"State", "describe": "\nPalm tree on a blue banner surrounded by a ring of stars", "isnew": ".", "links": "https://en.wikipedia.org/wiki/List_of_Micronesian_flags"},</v>
      </c>
      <c r="HN3" s="67" t="str">
        <f t="shared" si="93"/>
        <v>{"couname":"[MIC] Chuuk","year":"1997","region":"rgn_Oceania","Colors":["cl_BLU","cl_WHI"],"Items":["2Color","lets05","startC","BLUWHI","year19","NoBand","Circle","Plants","Center","staWHI","NO_RED","NO_GRE","NO_YEL","NO_BLA","myrBLU","HasSta","3+Star"],"Flag":"https://upload.wikimedia.org/wikipedia/commons/thumb/5/55/Flag_of_Chuuk.svg/640px-Flag_of_Chuuk.svg.png","HDFlag":"https://upload.wikimedia.org/wikipedia/commons/thumb/5/55/Flag_of_Chuuk.svg/2560px-Flag_of_Chuuk.svg.png","type":"State", "describe": "\nPalm tree on a blue banner surrounded by a ring of stars", "isnew": ".", "links": "https://en.wikipedia.org/wiki/List_of_Micronesian_flags"},</v>
      </c>
      <c r="HO3" s="71">
        <v>45583</v>
      </c>
      <c r="HP3" s="44" t="str" cm="1">
        <f t="array" ref="HP3">IF(_xlfn.TEXTJOIN(", ", TRUE, IF(ISNUMBER(SEARCH("BLA", BL3:BT3)), COLUMN(BL3:BT3) - COLUMN(BL3) + 1, ""))&lt;&gt;"","BLA","")</f>
        <v/>
      </c>
      <c r="HQ3" s="44" t="str" cm="1">
        <f t="array" ref="HQ3">IF(_xlfn.TEXTJOIN(", ", TRUE, IF(ISNUMBER(SEARCH("BLU", BL3:BT3)), COLUMN(BL3:BT3) - COLUMN(BL3) + 1, ""))&lt;&gt;"","BLU","")</f>
        <v>BLU</v>
      </c>
      <c r="HR3" s="44" t="str" cm="1">
        <f t="array" ref="HR3">IF(_xlfn.TEXTJOIN(", ", TRUE, IF(ISNUMBER(SEARCH("GRE", BL3:BT3)), COLUMN(BL3:BT3) - COLUMN(BL3) + 1, ""))&lt;&gt;"","GRE","")</f>
        <v/>
      </c>
      <c r="HS3" s="44" t="str" cm="1">
        <f t="array" ref="HS3">IF(_xlfn.TEXTJOIN(", ", TRUE, IF(ISNUMBER(SEARCH("RED", BL3:BT3)), COLUMN(BL3:BT3) - COLUMN(BL3) + 1, ""))&lt;&gt;"","RED","")</f>
        <v/>
      </c>
      <c r="HT3" s="44" t="str" cm="1">
        <f t="array" ref="HT3">IF(_xlfn.TEXTJOIN(", ", TRUE, IF(ISNUMBER(SEARCH("YEL", BL3:BT3)), COLUMN(BL3:BT3) - COLUMN(BL3) + 1, ""))&lt;&gt;"","YEL","")</f>
        <v/>
      </c>
      <c r="HU3" s="44" t="str" cm="1">
        <f t="array" ref="HU3">IF(_xlfn.TEXTJOIN(", ", TRUE, IF(ISNUMBER(SEARCH("ORA", BL3:BT3)), COLUMN(BL3:BT3) - COLUMN(BL3) + 1, ""))&lt;&gt;"","ORA","")</f>
        <v/>
      </c>
      <c r="HV3" s="44" t="str" cm="1">
        <f t="array" ref="HV3">IF(_xlfn.TEXTJOIN(", ", TRUE, IF(ISNUMBER(SEARCH("BRO", BL3:BT3)), COLUMN(BL3:BT3) - COLUMN(BL3) + 1, ""))&lt;&gt;"","BRO","")</f>
        <v/>
      </c>
      <c r="HW3" s="44" t="str" cm="1">
        <f t="array" ref="HW3">IF(_xlfn.TEXTJOIN(", ", TRUE, IF(ISNUMBER(SEARCH("PUR", BL3:BT3)), COLUMN(BL3:BT3) - COLUMN(BL3) + 1, ""))&lt;&gt;"","PUR","")</f>
        <v/>
      </c>
      <c r="HX3" s="44" t="str" cm="1">
        <f t="array" ref="HX3">IF(_xlfn.TEXTJOIN(", ", TRUE, IF(ISNUMBER(SEARCH("WHI", BL3:BT3)), COLUMN(BL3:BT3) - COLUMN(BL3) + 1, ""))&lt;&gt;"","WHI","")</f>
        <v>WHI</v>
      </c>
      <c r="HY3" s="72"/>
      <c r="HZ3" s="72"/>
      <c r="IA3" s="5"/>
      <c r="IB3" s="5"/>
      <c r="IC3" s="68"/>
      <c r="ID3" s="68"/>
      <c r="IE3" s="68"/>
      <c r="IF3" s="68"/>
      <c r="IG3" s="68"/>
      <c r="IH3" s="68"/>
      <c r="II3" s="68"/>
      <c r="IJ3" s="68"/>
      <c r="IK3" s="68"/>
      <c r="IL3" s="44">
        <f t="shared" si="94"/>
        <v>0</v>
      </c>
      <c r="IM3" s="42">
        <f t="shared" si="95"/>
        <v>-2</v>
      </c>
      <c r="IN3" s="69" t="str">
        <f t="shared" si="96"/>
        <v>http://mkweb.bcgsc.ca/color-summarizer/?url=https://upload.wikimedia.org/wikipedia/commons/thumb/5/55/Flag_of_Chuuk.svg/640px-Flag_of_Chuuk.svg.png&amp;precision=low&amp;num_clusters=2&amp;text=1</v>
      </c>
      <c r="IO3" s="44" t="str">
        <f t="shared" si="97"/>
        <v/>
      </c>
      <c r="IP3" s="44" t="str">
        <f t="shared" si="98"/>
        <v>"blue"</v>
      </c>
      <c r="IQ3" s="44" t="str">
        <f t="shared" si="99"/>
        <v/>
      </c>
      <c r="IR3" s="44" t="str">
        <f t="shared" si="100"/>
        <v/>
      </c>
      <c r="IS3" s="44" t="str">
        <f t="shared" si="101"/>
        <v/>
      </c>
      <c r="IT3" s="44" t="str">
        <f t="shared" si="102"/>
        <v/>
      </c>
      <c r="IU3" s="44" t="str">
        <f t="shared" si="103"/>
        <v/>
      </c>
      <c r="IV3" s="44" t="str">
        <f t="shared" si="104"/>
        <v/>
      </c>
      <c r="IW3" s="44" t="str">
        <f t="shared" si="105"/>
        <v>"white"</v>
      </c>
      <c r="IX3" s="44" t="str">
        <f t="shared" si="106"/>
        <v>{"url":"http://mkweb.bcgsc.ca/color-summarizer/?url=https://upload.wikimedia.org/wikipedia/commons/thumb/5/55/Flag_of_Chuuk.svg/640px-Flag_of_Chuuk.svg.png&amp;precision=low&amp;num_clusters=2&amp;text=1","name":"[MIC] Chuuk"},</v>
      </c>
      <c r="IY3" s="44">
        <v>642</v>
      </c>
    </row>
    <row r="4" spans="1:259" s="44" customFormat="1" ht="38.4" customHeight="1" thickBot="1" x14ac:dyDescent="0.35">
      <c r="A4" s="80" t="s">
        <v>427</v>
      </c>
      <c r="B4" s="78" t="e" vm="43">
        <v>#VALUE!</v>
      </c>
      <c r="C4" s="39">
        <v>2</v>
      </c>
      <c r="D4" s="70" t="s">
        <v>428</v>
      </c>
      <c r="E4" s="40" t="s">
        <v>429</v>
      </c>
      <c r="F4" s="41" t="s">
        <v>165</v>
      </c>
      <c r="G4" s="42">
        <f t="shared" si="0"/>
        <v>1</v>
      </c>
      <c r="H4" s="43"/>
      <c r="I4" s="59" t="s">
        <v>425</v>
      </c>
      <c r="J4" s="44" t="str">
        <f>""</f>
        <v/>
      </c>
      <c r="K4" s="45"/>
      <c r="L4" s="46"/>
      <c r="M4" s="46"/>
      <c r="N4" s="47" t="s">
        <v>177</v>
      </c>
      <c r="O4" s="74">
        <v>1981</v>
      </c>
      <c r="P4" s="48" t="s">
        <v>430</v>
      </c>
      <c r="Q4" s="73">
        <v>1</v>
      </c>
      <c r="R4" s="49" t="s">
        <v>177</v>
      </c>
      <c r="S4" s="50">
        <v>0</v>
      </c>
      <c r="T4" s="51" t="s">
        <v>166</v>
      </c>
      <c r="U4" s="52" t="s">
        <v>166</v>
      </c>
      <c r="V4" s="52" t="s">
        <v>166</v>
      </c>
      <c r="W4" s="52" t="s">
        <v>166</v>
      </c>
      <c r="X4" s="52" t="s">
        <v>166</v>
      </c>
      <c r="Y4" s="52" t="s">
        <v>166</v>
      </c>
      <c r="Z4" s="52" t="s">
        <v>166</v>
      </c>
      <c r="AA4" s="52" t="s">
        <v>167</v>
      </c>
      <c r="AB4" s="52" t="s">
        <v>166</v>
      </c>
      <c r="AC4" s="52" t="s">
        <v>166</v>
      </c>
      <c r="AD4" s="52" t="s">
        <v>166</v>
      </c>
      <c r="AE4" s="52" t="s">
        <v>166</v>
      </c>
      <c r="AF4" s="53" t="s">
        <v>166</v>
      </c>
      <c r="AG4" s="53" t="s">
        <v>166</v>
      </c>
      <c r="AH4" s="53" t="s">
        <v>167</v>
      </c>
      <c r="AI4" s="53" t="s">
        <v>166</v>
      </c>
      <c r="AJ4" s="53" t="s">
        <v>166</v>
      </c>
      <c r="AK4" s="53" t="s">
        <v>166</v>
      </c>
      <c r="AL4" s="53" t="s">
        <v>166</v>
      </c>
      <c r="AM4" s="53" t="s">
        <v>166</v>
      </c>
      <c r="AN4" s="53" t="s">
        <v>166</v>
      </c>
      <c r="AO4" s="53" t="s">
        <v>166</v>
      </c>
      <c r="AP4" s="53" t="s">
        <v>166</v>
      </c>
      <c r="AQ4" s="53" t="s">
        <v>166</v>
      </c>
      <c r="AR4" s="53" t="s">
        <v>166</v>
      </c>
      <c r="AS4" s="53" t="s">
        <v>166</v>
      </c>
      <c r="AT4" s="54">
        <v>4</v>
      </c>
      <c r="AU4" s="53" t="s">
        <v>377</v>
      </c>
      <c r="AV4" s="53" t="str">
        <f t="shared" si="1"/>
        <v>[MIC]State[MIC] Kosrae</v>
      </c>
      <c r="AW4" s="53" t="str">
        <f t="shared" si="2"/>
        <v>2[MIC] Kosrae</v>
      </c>
      <c r="AX4" s="55"/>
      <c r="AY4" s="55"/>
      <c r="AZ4" s="56" t="s">
        <v>161</v>
      </c>
      <c r="BA4" s="56" t="s">
        <v>231</v>
      </c>
      <c r="BB4" s="56"/>
      <c r="BC4" s="57"/>
      <c r="BD4" s="58" t="s">
        <v>154</v>
      </c>
      <c r="BE4" s="59"/>
      <c r="BF4" s="58" t="s">
        <v>231</v>
      </c>
      <c r="BG4" s="58" t="s">
        <v>231</v>
      </c>
      <c r="BH4" s="58" t="s">
        <v>231</v>
      </c>
      <c r="BI4" s="58"/>
      <c r="BJ4" s="58"/>
      <c r="BK4" s="59"/>
      <c r="BL4" s="58" t="s">
        <v>231</v>
      </c>
      <c r="BM4" s="58" t="s">
        <v>154</v>
      </c>
      <c r="BN4" s="58" t="s">
        <v>231</v>
      </c>
      <c r="BO4" s="58" t="s">
        <v>231</v>
      </c>
      <c r="BP4" s="58" t="s">
        <v>231</v>
      </c>
      <c r="BQ4" s="58" t="s">
        <v>231</v>
      </c>
      <c r="BR4" s="58" t="s">
        <v>231</v>
      </c>
      <c r="BS4" s="58" t="s">
        <v>231</v>
      </c>
      <c r="BT4" s="58" t="s">
        <v>161</v>
      </c>
      <c r="BU4" s="60"/>
      <c r="BV4" s="61"/>
      <c r="BW4" s="61">
        <v>0</v>
      </c>
      <c r="BX4" s="59"/>
      <c r="CB4" s="5"/>
      <c r="CC4" s="5"/>
      <c r="CD4" s="62">
        <v>0</v>
      </c>
      <c r="CE4" s="62">
        <v>0</v>
      </c>
      <c r="CF4" s="62" t="e">
        <v>#REF!</v>
      </c>
      <c r="CG4" s="75" cm="1">
        <f t="array" ref="CG4">SUMPRODUCT(--(LEN(TRIM(BL4:BT4))&gt;0))</f>
        <v>2</v>
      </c>
      <c r="CH4" s="53" t="str">
        <f t="shared" si="3"/>
        <v>y</v>
      </c>
      <c r="CI4" s="53" t="str">
        <f t="shared" si="4"/>
        <v>n</v>
      </c>
      <c r="CJ4" s="53" t="str">
        <f t="shared" si="5"/>
        <v>n</v>
      </c>
      <c r="CK4" s="53" t="str">
        <f t="shared" si="6"/>
        <v>n</v>
      </c>
      <c r="CL4" s="53" t="str">
        <f t="shared" si="7"/>
        <v>y</v>
      </c>
      <c r="CM4" s="53" t="str">
        <f t="shared" si="8"/>
        <v>n</v>
      </c>
      <c r="CN4" s="53" t="str">
        <f t="shared" si="9"/>
        <v>n</v>
      </c>
      <c r="CO4" s="53" t="str">
        <f t="shared" si="10"/>
        <v>n</v>
      </c>
      <c r="CP4" s="53" t="str">
        <f t="shared" si="11"/>
        <v>n</v>
      </c>
      <c r="CQ4" s="53" t="str">
        <f t="shared" si="12"/>
        <v>n</v>
      </c>
      <c r="CR4" s="53" t="str">
        <f t="shared" si="13"/>
        <v>n</v>
      </c>
      <c r="CS4" s="53" t="str">
        <f t="shared" si="14"/>
        <v>y</v>
      </c>
      <c r="CT4" s="38" t="str">
        <f t="shared" si="15"/>
        <v>"[MIC] Kosrae"</v>
      </c>
      <c r="CU4" s="63" t="str">
        <f t="shared" si="16"/>
        <v>"rgn_Oceania"</v>
      </c>
      <c r="CV4" s="44" t="str">
        <f t="shared" si="17"/>
        <v>"https://upload.wikimedia.org/wikipedia/commons/thumb/2/23/Flag_of_Kosrae.svg/640px-Flag_of_Kosrae.svg.png"</v>
      </c>
      <c r="CW4" s="44" t="str">
        <f t="shared" si="18"/>
        <v>"2Color",</v>
      </c>
      <c r="CX4" s="44" t="str">
        <f t="shared" si="18"/>
        <v/>
      </c>
      <c r="CY4" s="44" t="str">
        <f t="shared" si="18"/>
        <v/>
      </c>
      <c r="CZ4" s="44" t="str">
        <f t="shared" si="18"/>
        <v/>
      </c>
      <c r="DA4" s="44" t="str">
        <f t="shared" si="19"/>
        <v/>
      </c>
      <c r="DB4" s="44" t="str">
        <f t="shared" si="20"/>
        <v/>
      </c>
      <c r="DC4" s="44" t="str">
        <f t="shared" si="21"/>
        <v/>
      </c>
      <c r="DD4" s="44" t="str">
        <f t="shared" si="22"/>
        <v>"lets06",</v>
      </c>
      <c r="DE4" s="44" t="str">
        <f t="shared" si="23"/>
        <v>"startK",</v>
      </c>
      <c r="DF4" s="44" t="str">
        <f t="shared" si="24"/>
        <v/>
      </c>
      <c r="DG4" s="44" t="str">
        <f t="shared" si="25"/>
        <v/>
      </c>
      <c r="DH4" s="44" t="str">
        <f t="shared" si="26"/>
        <v/>
      </c>
      <c r="DI4" s="44" t="str">
        <f t="shared" si="27"/>
        <v/>
      </c>
      <c r="DJ4" s="44" t="str">
        <f t="shared" si="28"/>
        <v/>
      </c>
      <c r="DK4" s="44" t="str">
        <f t="shared" si="29"/>
        <v/>
      </c>
      <c r="DL4" s="44" t="str">
        <f t="shared" si="30"/>
        <v>"BLUWHI",</v>
      </c>
      <c r="DM4" s="44" t="str" cm="1">
        <f t="array" ref="DM4">IF(CG4=3,CHAR(34) &amp; _xlfn.TEXTJOIN("", TRUE, RIGHT(HP4:HX4, 2)) &amp; CHAR(34) &amp; ",", "")</f>
        <v/>
      </c>
      <c r="DN4" s="44" t="str">
        <f t="shared" si="31"/>
        <v/>
      </c>
      <c r="DO4" s="44" t="str">
        <f t="shared" si="32"/>
        <v>"year19",</v>
      </c>
      <c r="DP4" s="5" t="str">
        <f t="shared" si="33"/>
        <v/>
      </c>
      <c r="DQ4" s="5" t="str">
        <f t="shared" si="34"/>
        <v/>
      </c>
      <c r="DR4" s="5" t="str">
        <f t="shared" si="35"/>
        <v/>
      </c>
      <c r="DS4" s="5" t="str">
        <f t="shared" si="36"/>
        <v/>
      </c>
      <c r="DT4" s="5" t="str">
        <f t="shared" si="37"/>
        <v/>
      </c>
      <c r="DU4" s="5" t="str">
        <f t="shared" si="38"/>
        <v/>
      </c>
      <c r="DV4" s="44" t="str">
        <f t="shared" si="39"/>
        <v/>
      </c>
      <c r="DW4" s="44" t="str">
        <f t="shared" si="40"/>
        <v>"NoBand",</v>
      </c>
      <c r="DX4" s="44" t="str">
        <f t="shared" si="40"/>
        <v/>
      </c>
      <c r="DY4" s="44" t="str">
        <f t="shared" si="40"/>
        <v/>
      </c>
      <c r="DZ4" s="44" t="str">
        <f t="shared" si="40"/>
        <v/>
      </c>
      <c r="EA4" s="44" t="str">
        <f t="shared" si="41"/>
        <v/>
      </c>
      <c r="EB4" s="44" t="str">
        <f t="shared" si="41"/>
        <v/>
      </c>
      <c r="EC4" s="44" t="str">
        <f t="shared" si="41"/>
        <v/>
      </c>
      <c r="ED4" s="44" t="str">
        <f t="shared" si="41"/>
        <v/>
      </c>
      <c r="EE4" s="44" t="str">
        <f t="shared" si="41"/>
        <v/>
      </c>
      <c r="EF4" s="44" t="str">
        <f t="shared" si="42"/>
        <v/>
      </c>
      <c r="EG4" s="44" t="str">
        <f t="shared" si="43"/>
        <v/>
      </c>
      <c r="EH4" s="44" t="str">
        <f t="shared" si="43"/>
        <v>"Plants",</v>
      </c>
      <c r="EI4" s="44" t="str">
        <f t="shared" si="43"/>
        <v/>
      </c>
      <c r="EJ4" s="44" t="str">
        <f t="shared" si="43"/>
        <v/>
      </c>
      <c r="EK4" s="44" t="str">
        <f t="shared" si="43"/>
        <v/>
      </c>
      <c r="EL4" s="44" t="str">
        <f t="shared" si="43"/>
        <v/>
      </c>
      <c r="EM4" s="44" t="str">
        <f t="shared" si="43"/>
        <v/>
      </c>
      <c r="EN4" s="44" t="str">
        <f t="shared" si="43"/>
        <v/>
      </c>
      <c r="EO4" s="44" t="str">
        <f t="shared" si="43"/>
        <v>"Center",</v>
      </c>
      <c r="EP4" s="44" t="str">
        <f t="shared" si="43"/>
        <v/>
      </c>
      <c r="EQ4" s="44" t="str">
        <f t="shared" si="44"/>
        <v/>
      </c>
      <c r="ER4" s="44" t="str">
        <f t="shared" si="44"/>
        <v/>
      </c>
      <c r="ES4" s="44" t="str">
        <f t="shared" si="44"/>
        <v/>
      </c>
      <c r="ET4" s="44" t="str">
        <f t="shared" si="44"/>
        <v/>
      </c>
      <c r="EU4" s="44" t="str">
        <f t="shared" si="44"/>
        <v/>
      </c>
      <c r="EV4" s="44" t="str">
        <f t="shared" si="44"/>
        <v/>
      </c>
      <c r="EW4" s="44" t="str">
        <f t="shared" si="44"/>
        <v/>
      </c>
      <c r="EX4" s="44" t="str">
        <f t="shared" si="44"/>
        <v/>
      </c>
      <c r="EY4" s="44" t="str">
        <f t="shared" si="44"/>
        <v/>
      </c>
      <c r="EZ4" s="44" t="str">
        <f t="shared" si="44"/>
        <v/>
      </c>
      <c r="FA4" s="44" t="str">
        <f t="shared" si="45"/>
        <v>"staWHI",</v>
      </c>
      <c r="FB4" s="44" t="str">
        <f t="shared" si="46"/>
        <v/>
      </c>
      <c r="FC4" s="44" t="str">
        <f t="shared" si="47"/>
        <v/>
      </c>
      <c r="FD4" s="44" t="str">
        <f t="shared" si="48"/>
        <v/>
      </c>
      <c r="FE4" s="44" t="str">
        <f t="shared" si="49"/>
        <v/>
      </c>
      <c r="FF4" s="44" t="str">
        <f t="shared" si="50"/>
        <v/>
      </c>
      <c r="FG4" s="44" t="str">
        <f t="shared" si="51"/>
        <v>"NO_RED",</v>
      </c>
      <c r="FH4" s="44" t="str">
        <f t="shared" si="52"/>
        <v>"NO_GRE",</v>
      </c>
      <c r="FI4" s="44" t="str">
        <f t="shared" si="53"/>
        <v>"NO_YEL",</v>
      </c>
      <c r="FJ4" s="44" t="str">
        <f t="shared" si="54"/>
        <v>"NO_BLA",</v>
      </c>
      <c r="FK4" s="44" t="str">
        <f t="shared" si="55"/>
        <v/>
      </c>
      <c r="FL4" s="44" t="str">
        <f t="shared" si="56"/>
        <v/>
      </c>
      <c r="FM4" s="44" t="str">
        <f t="shared" si="57"/>
        <v/>
      </c>
      <c r="FN4" s="44" t="str">
        <f t="shared" si="58"/>
        <v/>
      </c>
      <c r="FO4" s="44" t="str">
        <f t="shared" si="59"/>
        <v/>
      </c>
      <c r="FP4" s="44" t="str">
        <f t="shared" si="60"/>
        <v/>
      </c>
      <c r="FQ4" s="44" t="str">
        <f t="shared" si="61"/>
        <v/>
      </c>
      <c r="FR4" s="44" t="str">
        <f t="shared" si="62"/>
        <v/>
      </c>
      <c r="FS4" s="44" t="str">
        <f t="shared" si="63"/>
        <v/>
      </c>
      <c r="FT4" s="44" t="str">
        <f t="shared" si="64"/>
        <v>"myrBLU",</v>
      </c>
      <c r="FU4" s="44" t="str">
        <f t="shared" si="65"/>
        <v/>
      </c>
      <c r="FV4" s="44" t="str">
        <f t="shared" si="66"/>
        <v/>
      </c>
      <c r="FW4" s="44" t="str">
        <f t="shared" si="67"/>
        <v/>
      </c>
      <c r="FX4" s="44" t="str">
        <f t="shared" si="68"/>
        <v/>
      </c>
      <c r="FY4" s="44" t="str">
        <f t="shared" si="69"/>
        <v/>
      </c>
      <c r="FZ4" s="44" t="str">
        <f t="shared" si="70"/>
        <v/>
      </c>
      <c r="GA4" s="44" t="str">
        <f t="shared" si="71"/>
        <v/>
      </c>
      <c r="GB4" s="44" t="str">
        <f t="shared" si="72"/>
        <v/>
      </c>
      <c r="GC4" s="44" t="str">
        <f t="shared" si="73"/>
        <v/>
      </c>
      <c r="GD4" s="44" t="str">
        <f t="shared" si="74"/>
        <v/>
      </c>
      <c r="GE4" s="44" t="str">
        <f t="shared" si="75"/>
        <v/>
      </c>
      <c r="GF4" s="44" t="str">
        <f>IFERROR(IF(SEARCH("Historical",AU4)&gt;0,CHAR(34)&amp;"histor"&amp;CHAR(34)&amp;",",""),"")</f>
        <v/>
      </c>
      <c r="GG4" s="44" t="str">
        <f t="shared" si="76"/>
        <v/>
      </c>
      <c r="GH4" s="44" t="str">
        <f t="shared" si="77"/>
        <v/>
      </c>
      <c r="GI4" s="44" t="str">
        <f t="shared" si="78"/>
        <v/>
      </c>
      <c r="GJ4" s="44" t="str">
        <f t="shared" si="79"/>
        <v/>
      </c>
      <c r="GK4" s="44" t="str">
        <f t="shared" si="80"/>
        <v>"HasSta",</v>
      </c>
      <c r="GL4" s="44" t="str">
        <f t="shared" si="81"/>
        <v/>
      </c>
      <c r="GM4" s="44" t="str">
        <f t="shared" si="81"/>
        <v/>
      </c>
      <c r="GN4" s="44" t="str">
        <f t="shared" si="81"/>
        <v>"3+Star",</v>
      </c>
      <c r="GP4" s="44" t="str">
        <f t="shared" si="82"/>
        <v>"State"</v>
      </c>
      <c r="GS4" s="44" t="str">
        <f t="shared" si="83"/>
        <v>["2Color","lets06","startK","BLUWHI","year19","NoBand","Plants","Center","staWHI","NO_RED","NO_GRE","NO_YEL","NO_BLA","myrBLU","HasSta","3+Star"]</v>
      </c>
      <c r="GT4" s="44" t="str">
        <f t="shared" si="84"/>
        <v/>
      </c>
      <c r="GU4" s="44" t="str">
        <f t="shared" si="84"/>
        <v>"cl_BLU",</v>
      </c>
      <c r="GV4" s="44" t="str">
        <f t="shared" si="84"/>
        <v/>
      </c>
      <c r="GW4" s="44" t="str">
        <f t="shared" si="84"/>
        <v/>
      </c>
      <c r="GX4" s="44" t="str">
        <f t="shared" si="84"/>
        <v/>
      </c>
      <c r="GY4" s="44" t="str">
        <f t="shared" si="84"/>
        <v/>
      </c>
      <c r="GZ4" s="44" t="str">
        <f t="shared" si="84"/>
        <v/>
      </c>
      <c r="HA4" s="44" t="str">
        <f t="shared" si="84"/>
        <v/>
      </c>
      <c r="HB4" s="44" t="str">
        <f t="shared" si="84"/>
        <v>"cl_WHI",</v>
      </c>
      <c r="HC4" s="44" t="str">
        <f t="shared" si="85"/>
        <v>["cl_BLU","cl_WHI"]</v>
      </c>
      <c r="HE4" s="64"/>
      <c r="HF4" s="65" t="str">
        <f t="shared" si="86"/>
        <v>{couname:"[MIC] Kosrae",year:"1981",region:"rgn_Oceania",Colors:["cl_BLU","cl_WHI"],Items:["2Color","lets06","startK","BLUWHI","year19","NoBand","Plants","Center","staWHI","NO_RED","NO_GRE","NO_YEL","NO_BLA","myrBLU","HasSta","3+Star"],Flag:"https://upload.wikimedia.org/wikipedia/commons/thumb/2/23/Flag_of_Kosrae.svg/640px-Flag_of_Kosrae.svg.png",HDFlag:"https://upload.wikimedia.org/wikipedia/commons/thumb/2/23/Flag_of_Kosrae.svg/2560px-Flag_of_Kosrae.svg.png",type:"State", describe: "\nFour white stars, the fafa stone (a ceremonial stone) and an olive branch wreath on a blue background.", isnew:".", links: "https://en.wikipedia.org/wiki/List_of_Micronesian_flags"},</v>
      </c>
      <c r="HG4" s="66" t="str">
        <f t="shared" si="87"/>
        <v>{couname:"[MIC] Kosrae",year:"1981",region:"rgn_Oceania",Colors:["cl_BLU","cl_WHI"],Items:["2Color","lets06","startK","BLUWHI","year19","NoBand","Plants","Center","staWHI","NO_RED","NO_GRE","NO_YEL","NO_BLA","myrBLU","HasSta","3+Star"],Flag:"https://upload.wikimedia.org/wikipedia/commons/thumb/2/23/Flag_of_Kosrae.svg/640px-Flag_of_Kosrae.svg.png",HDFlag:"https://upload.wikimedia.org/wikipedia/commons/thumb/2/23/Flag_of_Kosrae.svg/2560px-Flag_of_Kosrae.svg.png",type:"State", describe: "\nFour white stars, the fafa stone (a ceremonial stone) and an olive branch wreath on a blue background.", links: "https://en.wikipedia.org/wiki/List_of_Micronesian_flags"},</v>
      </c>
      <c r="HH4" s="44" t="str">
        <f t="shared" si="88"/>
        <v>"\nFour white stars, the fafa stone (a ceremonial stone) and an olive branch wreath on a blue background."</v>
      </c>
      <c r="HI4" s="44" t="str">
        <f t="shared" si="89"/>
        <v>"\nFour white stars, the fafa stone (a ceremonial stone) and an olive branch wreath on a blue background."</v>
      </c>
      <c r="HJ4" s="44" t="str">
        <f t="shared" si="90"/>
        <v>"1981"</v>
      </c>
      <c r="HL4" s="44" t="str">
        <f t="shared" si="91"/>
        <v>"https://en.wikipedia.org/wiki/List_of_Micronesian_flags"</v>
      </c>
      <c r="HM4" s="65" t="str">
        <f t="shared" si="92"/>
        <v>{"couname":"[MIC] Kosrae","year":"1981","region":"rgn_Oceania","Colors":["cl_BLU","cl_WHI"],"Items":["2Color","lets06","startK","BLUWHI","year19","NoBand","Plants","Center","staWHI","NO_RED","NO_GRE","NO_YEL","NO_BLA","myrBLU","HasSta","3+Star"],"Flag":"https://upload.wikimedia.org/wikipedia/commons/thumb/2/23/Flag_of_Kosrae.svg/640px-Flag_of_Kosrae.svg.png","HDFlag":"https://upload.wikimedia.org/wikipedia/commons/thumb/2/23/Flag_of_Kosrae.svg/2560px-Flag_of_Kosrae.svg.png","type":"State", "describe": "\nFour white stars, the fafa stone (a ceremonial stone) and an olive branch wreath on a blue background.", "isnew": ".", "links": "https://en.wikipedia.org/wiki/List_of_Micronesian_flags"},</v>
      </c>
      <c r="HN4" s="67" t="str">
        <f t="shared" si="93"/>
        <v>{"couname":"[MIC] Kosrae","year":"1981","region":"rgn_Oceania","Colors":["cl_BLU","cl_WHI"],"Items":["2Color","lets06","startK","BLUWHI","year19","NoBand","Plants","Center","staWHI","NO_RED","NO_GRE","NO_YEL","NO_BLA","myrBLU","HasSta","3+Star"],"Flag":"https://upload.wikimedia.org/wikipedia/commons/thumb/2/23/Flag_of_Kosrae.svg/640px-Flag_of_Kosrae.svg.png","HDFlag":"https://upload.wikimedia.org/wikipedia/commons/thumb/2/23/Flag_of_Kosrae.svg/2560px-Flag_of_Kosrae.svg.png","type":"State", "describe": "\nFour white stars, the fafa stone (a ceremonial stone) and an olive branch wreath on a blue background.", "isnew": ".", "links": "https://en.wikipedia.org/wiki/List_of_Micronesian_flags"},</v>
      </c>
      <c r="HO4" s="71">
        <v>45583</v>
      </c>
      <c r="HP4" s="44" t="str" cm="1">
        <f t="array" ref="HP4">IF(_xlfn.TEXTJOIN(", ", TRUE, IF(ISNUMBER(SEARCH("BLA", BL4:BT4)), COLUMN(BL4:BT4) - COLUMN(BL4) + 1, ""))&lt;&gt;"","BLA","")</f>
        <v/>
      </c>
      <c r="HQ4" s="44" t="str" cm="1">
        <f t="array" ref="HQ4">IF(_xlfn.TEXTJOIN(", ", TRUE, IF(ISNUMBER(SEARCH("BLU", BL4:BT4)), COLUMN(BL4:BT4) - COLUMN(BL4) + 1, ""))&lt;&gt;"","BLU","")</f>
        <v>BLU</v>
      </c>
      <c r="HR4" s="44" t="str" cm="1">
        <f t="array" ref="HR4">IF(_xlfn.TEXTJOIN(", ", TRUE, IF(ISNUMBER(SEARCH("GRE", BL4:BT4)), COLUMN(BL4:BT4) - COLUMN(BL4) + 1, ""))&lt;&gt;"","GRE","")</f>
        <v/>
      </c>
      <c r="HS4" s="44" t="str" cm="1">
        <f t="array" ref="HS4">IF(_xlfn.TEXTJOIN(", ", TRUE, IF(ISNUMBER(SEARCH("RED", BL4:BT4)), COLUMN(BL4:BT4) - COLUMN(BL4) + 1, ""))&lt;&gt;"","RED","")</f>
        <v/>
      </c>
      <c r="HT4" s="44" t="str" cm="1">
        <f t="array" ref="HT4">IF(_xlfn.TEXTJOIN(", ", TRUE, IF(ISNUMBER(SEARCH("YEL", BL4:BT4)), COLUMN(BL4:BT4) - COLUMN(BL4) + 1, ""))&lt;&gt;"","YEL","")</f>
        <v/>
      </c>
      <c r="HU4" s="44" t="str" cm="1">
        <f t="array" ref="HU4">IF(_xlfn.TEXTJOIN(", ", TRUE, IF(ISNUMBER(SEARCH("ORA", BL4:BT4)), COLUMN(BL4:BT4) - COLUMN(BL4) + 1, ""))&lt;&gt;"","ORA","")</f>
        <v/>
      </c>
      <c r="HV4" s="44" t="str" cm="1">
        <f t="array" ref="HV4">IF(_xlfn.TEXTJOIN(", ", TRUE, IF(ISNUMBER(SEARCH("BRO", BL4:BT4)), COLUMN(BL4:BT4) - COLUMN(BL4) + 1, ""))&lt;&gt;"","BRO","")</f>
        <v/>
      </c>
      <c r="HW4" s="44" t="str" cm="1">
        <f t="array" ref="HW4">IF(_xlfn.TEXTJOIN(", ", TRUE, IF(ISNUMBER(SEARCH("PUR", BL4:BT4)), COLUMN(BL4:BT4) - COLUMN(BL4) + 1, ""))&lt;&gt;"","PUR","")</f>
        <v/>
      </c>
      <c r="HX4" s="44" t="str" cm="1">
        <f t="array" ref="HX4">IF(_xlfn.TEXTJOIN(", ", TRUE, IF(ISNUMBER(SEARCH("WHI", BL4:BT4)), COLUMN(BL4:BT4) - COLUMN(BL4) + 1, ""))&lt;&gt;"","WHI","")</f>
        <v>WHI</v>
      </c>
      <c r="HY4" s="72"/>
      <c r="HZ4" s="72"/>
      <c r="IA4" s="5"/>
      <c r="IB4" s="5"/>
      <c r="IC4" s="68"/>
      <c r="ID4" s="68"/>
      <c r="IE4" s="68"/>
      <c r="IF4" s="68"/>
      <c r="IG4" s="68"/>
      <c r="IH4" s="68"/>
      <c r="II4" s="68"/>
      <c r="IJ4" s="68"/>
      <c r="IK4" s="68"/>
      <c r="IL4" s="44">
        <f t="shared" si="94"/>
        <v>0</v>
      </c>
      <c r="IM4" s="42">
        <f t="shared" si="95"/>
        <v>-2</v>
      </c>
      <c r="IN4" s="69" t="str">
        <f t="shared" si="96"/>
        <v>http://mkweb.bcgsc.ca/color-summarizer/?url=https://upload.wikimedia.org/wikipedia/commons/thumb/2/23/Flag_of_Kosrae.svg/640px-Flag_of_Kosrae.svg.png&amp;precision=low&amp;num_clusters=2&amp;text=1</v>
      </c>
      <c r="IO4" s="44" t="str">
        <f t="shared" si="97"/>
        <v/>
      </c>
      <c r="IP4" s="44" t="str">
        <f t="shared" si="98"/>
        <v>"blue"</v>
      </c>
      <c r="IQ4" s="44" t="str">
        <f t="shared" si="99"/>
        <v/>
      </c>
      <c r="IR4" s="44" t="str">
        <f t="shared" si="100"/>
        <v/>
      </c>
      <c r="IS4" s="44" t="str">
        <f t="shared" si="101"/>
        <v/>
      </c>
      <c r="IT4" s="44" t="str">
        <f t="shared" si="102"/>
        <v/>
      </c>
      <c r="IU4" s="44" t="str">
        <f t="shared" si="103"/>
        <v/>
      </c>
      <c r="IV4" s="44" t="str">
        <f t="shared" si="104"/>
        <v/>
      </c>
      <c r="IW4" s="44" t="str">
        <f t="shared" si="105"/>
        <v>"white"</v>
      </c>
      <c r="IX4" s="44" t="str">
        <f t="shared" si="106"/>
        <v>{"url":"http://mkweb.bcgsc.ca/color-summarizer/?url=https://upload.wikimedia.org/wikipedia/commons/thumb/2/23/Flag_of_Kosrae.svg/640px-Flag_of_Kosrae.svg.png&amp;precision=low&amp;num_clusters=2&amp;text=1","name":"[MIC] Kosrae"},</v>
      </c>
      <c r="IY4" s="44">
        <v>643</v>
      </c>
    </row>
    <row r="5" spans="1:259" s="44" customFormat="1" ht="38.4" customHeight="1" thickBot="1" x14ac:dyDescent="0.35">
      <c r="A5" s="80" t="s">
        <v>431</v>
      </c>
      <c r="B5" s="78" t="e" vm="44">
        <v>#VALUE!</v>
      </c>
      <c r="C5" s="39">
        <v>2</v>
      </c>
      <c r="D5" s="70" t="s">
        <v>432</v>
      </c>
      <c r="E5" s="40" t="s">
        <v>433</v>
      </c>
      <c r="F5" s="41" t="s">
        <v>165</v>
      </c>
      <c r="G5" s="42">
        <f t="shared" si="0"/>
        <v>1</v>
      </c>
      <c r="H5" s="43"/>
      <c r="I5" s="59" t="s">
        <v>425</v>
      </c>
      <c r="J5" s="44" t="str">
        <f>""</f>
        <v/>
      </c>
      <c r="K5" s="45"/>
      <c r="L5" s="46"/>
      <c r="M5" s="46"/>
      <c r="N5" s="47" t="s">
        <v>177</v>
      </c>
      <c r="O5" s="74">
        <v>1993</v>
      </c>
      <c r="P5" s="48" t="s">
        <v>434</v>
      </c>
      <c r="Q5" s="73">
        <v>1</v>
      </c>
      <c r="R5" s="49" t="s">
        <v>177</v>
      </c>
      <c r="S5" s="50">
        <v>0</v>
      </c>
      <c r="T5" s="51" t="s">
        <v>166</v>
      </c>
      <c r="U5" s="52" t="s">
        <v>166</v>
      </c>
      <c r="V5" s="52" t="s">
        <v>166</v>
      </c>
      <c r="W5" s="52" t="s">
        <v>166</v>
      </c>
      <c r="X5" s="52" t="s">
        <v>167</v>
      </c>
      <c r="Y5" s="52" t="s">
        <v>166</v>
      </c>
      <c r="Z5" s="52" t="s">
        <v>166</v>
      </c>
      <c r="AA5" s="52" t="s">
        <v>167</v>
      </c>
      <c r="AB5" s="52" t="s">
        <v>166</v>
      </c>
      <c r="AC5" s="52" t="s">
        <v>166</v>
      </c>
      <c r="AD5" s="52" t="s">
        <v>166</v>
      </c>
      <c r="AE5" s="52" t="s">
        <v>166</v>
      </c>
      <c r="AF5" s="53" t="s">
        <v>166</v>
      </c>
      <c r="AG5" s="53" t="s">
        <v>166</v>
      </c>
      <c r="AH5" s="53" t="s">
        <v>167</v>
      </c>
      <c r="AI5" s="53" t="s">
        <v>166</v>
      </c>
      <c r="AJ5" s="53" t="s">
        <v>166</v>
      </c>
      <c r="AK5" s="53" t="s">
        <v>166</v>
      </c>
      <c r="AL5" s="53" t="s">
        <v>166</v>
      </c>
      <c r="AM5" s="53" t="s">
        <v>166</v>
      </c>
      <c r="AN5" s="53" t="s">
        <v>166</v>
      </c>
      <c r="AO5" s="53" t="s">
        <v>166</v>
      </c>
      <c r="AP5" s="53" t="s">
        <v>166</v>
      </c>
      <c r="AQ5" s="53" t="s">
        <v>166</v>
      </c>
      <c r="AR5" s="53" t="s">
        <v>166</v>
      </c>
      <c r="AS5" s="53" t="s">
        <v>166</v>
      </c>
      <c r="AT5" s="54">
        <v>11</v>
      </c>
      <c r="AU5" s="53" t="s">
        <v>377</v>
      </c>
      <c r="AV5" s="53" t="str">
        <f t="shared" si="1"/>
        <v>[MIC]State[MIC] Pohnpei</v>
      </c>
      <c r="AW5" s="53" t="str">
        <f t="shared" si="2"/>
        <v>2[MIC] Pohnpei</v>
      </c>
      <c r="AX5" s="55"/>
      <c r="AY5" s="55"/>
      <c r="AZ5" s="56" t="s">
        <v>161</v>
      </c>
      <c r="BA5" s="56" t="s">
        <v>231</v>
      </c>
      <c r="BB5" s="56"/>
      <c r="BC5" s="57"/>
      <c r="BD5" s="58" t="s">
        <v>154</v>
      </c>
      <c r="BE5" s="59"/>
      <c r="BF5" s="58" t="s">
        <v>231</v>
      </c>
      <c r="BG5" s="58" t="s">
        <v>231</v>
      </c>
      <c r="BH5" s="58" t="s">
        <v>231</v>
      </c>
      <c r="BI5" s="58"/>
      <c r="BJ5" s="58"/>
      <c r="BK5" s="59"/>
      <c r="BL5" s="58" t="s">
        <v>231</v>
      </c>
      <c r="BM5" s="58" t="s">
        <v>154</v>
      </c>
      <c r="BN5" s="58" t="s">
        <v>155</v>
      </c>
      <c r="BO5" s="58" t="s">
        <v>231</v>
      </c>
      <c r="BP5" s="58" t="s">
        <v>231</v>
      </c>
      <c r="BQ5" s="58" t="s">
        <v>231</v>
      </c>
      <c r="BR5" s="58" t="s">
        <v>159</v>
      </c>
      <c r="BS5" s="58" t="s">
        <v>231</v>
      </c>
      <c r="BT5" s="58" t="s">
        <v>161</v>
      </c>
      <c r="BU5" s="60"/>
      <c r="BV5" s="61"/>
      <c r="BW5" s="61">
        <v>0</v>
      </c>
      <c r="BX5" s="59"/>
      <c r="CB5" s="5"/>
      <c r="CC5" s="5"/>
      <c r="CD5" s="62">
        <v>0</v>
      </c>
      <c r="CE5" s="62">
        <v>0</v>
      </c>
      <c r="CF5" s="62" t="e">
        <v>#REF!</v>
      </c>
      <c r="CG5" s="75" cm="1">
        <f t="array" ref="CG5">SUMPRODUCT(--(LEN(TRIM(BL5:BT5))&gt;0))</f>
        <v>4</v>
      </c>
      <c r="CH5" s="53" t="str">
        <f t="shared" si="3"/>
        <v>n</v>
      </c>
      <c r="CI5" s="53" t="str">
        <f t="shared" si="4"/>
        <v>n</v>
      </c>
      <c r="CJ5" s="53" t="str">
        <f t="shared" si="5"/>
        <v>y</v>
      </c>
      <c r="CK5" s="53" t="str">
        <f t="shared" si="6"/>
        <v>n</v>
      </c>
      <c r="CL5" s="53" t="str">
        <f t="shared" si="7"/>
        <v>y</v>
      </c>
      <c r="CM5" s="53" t="str">
        <f t="shared" si="8"/>
        <v>n</v>
      </c>
      <c r="CN5" s="53" t="str">
        <f t="shared" si="9"/>
        <v>n</v>
      </c>
      <c r="CO5" s="53" t="str">
        <f t="shared" si="10"/>
        <v>n</v>
      </c>
      <c r="CP5" s="53" t="str">
        <f t="shared" si="11"/>
        <v>n</v>
      </c>
      <c r="CQ5" s="53" t="str">
        <f t="shared" si="12"/>
        <v>n</v>
      </c>
      <c r="CR5" s="53" t="str">
        <f t="shared" si="13"/>
        <v>n</v>
      </c>
      <c r="CS5" s="53" t="str">
        <f t="shared" si="14"/>
        <v>y</v>
      </c>
      <c r="CT5" s="38" t="str">
        <f t="shared" si="15"/>
        <v>"[MIC] Pohnpei"</v>
      </c>
      <c r="CU5" s="63" t="str">
        <f t="shared" si="16"/>
        <v>"rgn_Oceania"</v>
      </c>
      <c r="CV5" s="44" t="str">
        <f t="shared" si="17"/>
        <v>"https://upload.wikimedia.org/wikipedia/commons/thumb/c/ce/Flag_of_Pohnpei.svg/640px-Flag_of_Pohnpei.svg.png"</v>
      </c>
      <c r="CW5" s="44" t="str">
        <f t="shared" si="18"/>
        <v/>
      </c>
      <c r="CX5" s="44" t="str">
        <f t="shared" si="18"/>
        <v/>
      </c>
      <c r="CY5" s="44" t="str">
        <f t="shared" si="18"/>
        <v>"4Color",</v>
      </c>
      <c r="CZ5" s="44" t="str">
        <f t="shared" si="18"/>
        <v/>
      </c>
      <c r="DA5" s="44" t="str">
        <f t="shared" si="19"/>
        <v/>
      </c>
      <c r="DB5" s="44" t="str">
        <f t="shared" si="20"/>
        <v/>
      </c>
      <c r="DC5" s="44" t="str">
        <f t="shared" si="21"/>
        <v/>
      </c>
      <c r="DD5" s="44" t="str">
        <f t="shared" si="22"/>
        <v>"lets07",</v>
      </c>
      <c r="DE5" s="44" t="str">
        <f t="shared" si="23"/>
        <v>"startP",</v>
      </c>
      <c r="DF5" s="44" t="str">
        <f t="shared" si="24"/>
        <v/>
      </c>
      <c r="DG5" s="44" t="str">
        <f t="shared" si="25"/>
        <v/>
      </c>
      <c r="DH5" s="44" t="str">
        <f t="shared" si="26"/>
        <v/>
      </c>
      <c r="DI5" s="44" t="str">
        <f t="shared" si="27"/>
        <v/>
      </c>
      <c r="DJ5" s="44" t="str">
        <f t="shared" si="28"/>
        <v/>
      </c>
      <c r="DK5" s="44" t="str">
        <f t="shared" si="29"/>
        <v/>
      </c>
      <c r="DL5" s="44" t="str">
        <f t="shared" si="30"/>
        <v/>
      </c>
      <c r="DM5" s="44" t="str" cm="1">
        <f t="array" ref="DM5">IF(CG5=3,CHAR(34) &amp; _xlfn.TEXTJOIN("", TRUE, RIGHT(HP5:HX5, 2)) &amp; CHAR(34) &amp; ",", "")</f>
        <v/>
      </c>
      <c r="DN5" s="44" t="str">
        <f t="shared" si="31"/>
        <v/>
      </c>
      <c r="DO5" s="44" t="str">
        <f t="shared" si="32"/>
        <v>"year19",</v>
      </c>
      <c r="DP5" s="5" t="str">
        <f t="shared" si="33"/>
        <v/>
      </c>
      <c r="DQ5" s="5" t="str">
        <f t="shared" si="34"/>
        <v/>
      </c>
      <c r="DR5" s="5" t="str">
        <f t="shared" si="35"/>
        <v/>
      </c>
      <c r="DS5" s="5" t="str">
        <f t="shared" si="36"/>
        <v/>
      </c>
      <c r="DT5" s="5" t="str">
        <f t="shared" si="37"/>
        <v/>
      </c>
      <c r="DU5" s="5" t="str">
        <f t="shared" si="38"/>
        <v/>
      </c>
      <c r="DV5" s="44" t="str">
        <f t="shared" si="39"/>
        <v/>
      </c>
      <c r="DW5" s="44" t="str">
        <f t="shared" si="40"/>
        <v>"NoBand",</v>
      </c>
      <c r="DX5" s="44" t="str">
        <f t="shared" si="40"/>
        <v/>
      </c>
      <c r="DY5" s="44" t="str">
        <f t="shared" si="40"/>
        <v/>
      </c>
      <c r="DZ5" s="44" t="str">
        <f t="shared" si="40"/>
        <v/>
      </c>
      <c r="EA5" s="44" t="str">
        <f t="shared" si="41"/>
        <v/>
      </c>
      <c r="EB5" s="44" t="str">
        <f t="shared" si="41"/>
        <v/>
      </c>
      <c r="EC5" s="44" t="str">
        <f t="shared" si="41"/>
        <v/>
      </c>
      <c r="ED5" s="44" t="str">
        <f t="shared" si="41"/>
        <v/>
      </c>
      <c r="EE5" s="44" t="str">
        <f t="shared" si="41"/>
        <v>"Circle",</v>
      </c>
      <c r="EF5" s="44" t="str">
        <f t="shared" si="42"/>
        <v/>
      </c>
      <c r="EG5" s="44" t="str">
        <f t="shared" si="43"/>
        <v/>
      </c>
      <c r="EH5" s="44" t="str">
        <f t="shared" si="43"/>
        <v>"Plants",</v>
      </c>
      <c r="EI5" s="44" t="str">
        <f t="shared" si="43"/>
        <v/>
      </c>
      <c r="EJ5" s="44" t="str">
        <f t="shared" si="43"/>
        <v/>
      </c>
      <c r="EK5" s="44" t="str">
        <f t="shared" si="43"/>
        <v/>
      </c>
      <c r="EL5" s="44" t="str">
        <f t="shared" si="43"/>
        <v/>
      </c>
      <c r="EM5" s="44" t="str">
        <f t="shared" si="43"/>
        <v/>
      </c>
      <c r="EN5" s="44" t="str">
        <f t="shared" si="43"/>
        <v/>
      </c>
      <c r="EO5" s="44" t="str">
        <f t="shared" si="43"/>
        <v>"Center",</v>
      </c>
      <c r="EP5" s="44" t="str">
        <f t="shared" si="43"/>
        <v/>
      </c>
      <c r="EQ5" s="44" t="str">
        <f t="shared" si="44"/>
        <v/>
      </c>
      <c r="ER5" s="44" t="str">
        <f t="shared" si="44"/>
        <v/>
      </c>
      <c r="ES5" s="44" t="str">
        <f t="shared" si="44"/>
        <v/>
      </c>
      <c r="ET5" s="44" t="str">
        <f t="shared" si="44"/>
        <v/>
      </c>
      <c r="EU5" s="44" t="str">
        <f t="shared" si="44"/>
        <v/>
      </c>
      <c r="EV5" s="44" t="str">
        <f t="shared" si="44"/>
        <v/>
      </c>
      <c r="EW5" s="44" t="str">
        <f t="shared" si="44"/>
        <v/>
      </c>
      <c r="EX5" s="44" t="str">
        <f t="shared" si="44"/>
        <v/>
      </c>
      <c r="EY5" s="44" t="str">
        <f t="shared" si="44"/>
        <v/>
      </c>
      <c r="EZ5" s="44" t="str">
        <f t="shared" si="44"/>
        <v/>
      </c>
      <c r="FA5" s="44" t="str">
        <f t="shared" si="45"/>
        <v>"staWHI",</v>
      </c>
      <c r="FB5" s="44" t="str">
        <f t="shared" si="46"/>
        <v/>
      </c>
      <c r="FC5" s="44" t="str">
        <f t="shared" si="47"/>
        <v/>
      </c>
      <c r="FD5" s="44" t="str">
        <f t="shared" si="48"/>
        <v/>
      </c>
      <c r="FE5" s="44" t="str">
        <f t="shared" si="49"/>
        <v/>
      </c>
      <c r="FF5" s="44" t="str">
        <f t="shared" si="50"/>
        <v/>
      </c>
      <c r="FG5" s="44" t="str">
        <f t="shared" si="51"/>
        <v>"NO_RED",</v>
      </c>
      <c r="FH5" s="44" t="str">
        <f t="shared" si="52"/>
        <v/>
      </c>
      <c r="FI5" s="44" t="str">
        <f t="shared" si="53"/>
        <v>"NO_YEL",</v>
      </c>
      <c r="FJ5" s="44" t="str">
        <f t="shared" si="54"/>
        <v>"NO_BLA",</v>
      </c>
      <c r="FK5" s="44" t="str">
        <f t="shared" si="55"/>
        <v/>
      </c>
      <c r="FL5" s="44" t="str">
        <f t="shared" si="56"/>
        <v/>
      </c>
      <c r="FM5" s="44" t="str">
        <f t="shared" si="57"/>
        <v/>
      </c>
      <c r="FN5" s="44" t="str">
        <f t="shared" si="58"/>
        <v/>
      </c>
      <c r="FO5" s="44" t="str">
        <f t="shared" si="59"/>
        <v/>
      </c>
      <c r="FP5" s="44" t="str">
        <f t="shared" si="60"/>
        <v/>
      </c>
      <c r="FQ5" s="44" t="str">
        <f t="shared" si="61"/>
        <v/>
      </c>
      <c r="FR5" s="44" t="str">
        <f t="shared" si="62"/>
        <v/>
      </c>
      <c r="FS5" s="44" t="str">
        <f t="shared" si="63"/>
        <v/>
      </c>
      <c r="FT5" s="44" t="str">
        <f t="shared" si="64"/>
        <v>"myrBLU",</v>
      </c>
      <c r="FU5" s="44" t="str">
        <f t="shared" si="65"/>
        <v/>
      </c>
      <c r="FV5" s="44" t="str">
        <f t="shared" si="66"/>
        <v/>
      </c>
      <c r="FW5" s="44" t="str">
        <f t="shared" si="67"/>
        <v/>
      </c>
      <c r="FX5" s="44" t="str">
        <f t="shared" si="68"/>
        <v/>
      </c>
      <c r="FY5" s="44" t="str">
        <f t="shared" si="69"/>
        <v/>
      </c>
      <c r="FZ5" s="44" t="str">
        <f t="shared" si="70"/>
        <v/>
      </c>
      <c r="GA5" s="44" t="str">
        <f t="shared" si="71"/>
        <v/>
      </c>
      <c r="GB5" s="44" t="str">
        <f t="shared" si="72"/>
        <v/>
      </c>
      <c r="GC5" s="44" t="str">
        <f t="shared" si="73"/>
        <v/>
      </c>
      <c r="GD5" s="44" t="str">
        <f t="shared" si="74"/>
        <v/>
      </c>
      <c r="GE5" s="44" t="str">
        <f t="shared" si="75"/>
        <v/>
      </c>
      <c r="GF5" s="44" t="str">
        <f>IFERROR(IF(SEARCH("Historical",AU5)&gt;0,CHAR(34)&amp;"histor"&amp;CHAR(34)&amp;",",""),"")</f>
        <v/>
      </c>
      <c r="GG5" s="44" t="str">
        <f t="shared" si="76"/>
        <v/>
      </c>
      <c r="GH5" s="44" t="str">
        <f t="shared" si="77"/>
        <v/>
      </c>
      <c r="GI5" s="44" t="str">
        <f t="shared" si="78"/>
        <v/>
      </c>
      <c r="GJ5" s="44" t="str">
        <f t="shared" si="79"/>
        <v/>
      </c>
      <c r="GK5" s="44" t="str">
        <f t="shared" si="80"/>
        <v>"HasSta",</v>
      </c>
      <c r="GL5" s="44" t="str">
        <f t="shared" si="81"/>
        <v/>
      </c>
      <c r="GM5" s="44" t="str">
        <f t="shared" si="81"/>
        <v/>
      </c>
      <c r="GN5" s="44" t="str">
        <f t="shared" si="81"/>
        <v>"3+Star",</v>
      </c>
      <c r="GP5" s="44" t="str">
        <f t="shared" si="82"/>
        <v>"State"</v>
      </c>
      <c r="GS5" s="44" t="str">
        <f t="shared" si="83"/>
        <v>["4Color","lets07","startP","year19","NoBand","Circle","Plants","Center","staWHI","NO_RED","NO_YEL","NO_BLA","myrBLU","HasSta","3+Star"]</v>
      </c>
      <c r="GT5" s="44" t="str">
        <f t="shared" si="84"/>
        <v/>
      </c>
      <c r="GU5" s="44" t="str">
        <f t="shared" si="84"/>
        <v>"cl_BLU",</v>
      </c>
      <c r="GV5" s="44" t="str">
        <f t="shared" si="84"/>
        <v>"cl_GRE",</v>
      </c>
      <c r="GW5" s="44" t="str">
        <f t="shared" si="84"/>
        <v/>
      </c>
      <c r="GX5" s="44" t="str">
        <f t="shared" si="84"/>
        <v/>
      </c>
      <c r="GY5" s="44" t="str">
        <f t="shared" si="84"/>
        <v/>
      </c>
      <c r="GZ5" s="44" t="str">
        <f t="shared" si="84"/>
        <v>"cl_BRO",</v>
      </c>
      <c r="HA5" s="44" t="str">
        <f t="shared" si="84"/>
        <v/>
      </c>
      <c r="HB5" s="44" t="str">
        <f t="shared" si="84"/>
        <v>"cl_WHI",</v>
      </c>
      <c r="HC5" s="44" t="str">
        <f t="shared" si="85"/>
        <v>["cl_BLU","cl_GRE","cl_BRO","cl_WHI"]</v>
      </c>
      <c r="HE5" s="64"/>
      <c r="HF5" s="65" t="str">
        <f t="shared" si="86"/>
        <v>{couname:"[MIC] Pohnpei",year:"1993",region:"rgn_Oceania",Colors:["cl_BLU","cl_GRE","cl_BRO","cl_WHI"],Items:["4Color","lets07","startP","year19","NoBand","Circle","Plants","Center","staWHI","NO_RED","NO_YEL","NO_BLA","myrBLU","HasSta","3+Star"],Flag:"https://upload.wikimedia.org/wikipedia/commons/thumb/c/ce/Flag_of_Pohnpei.svg/640px-Flag_of_Pohnpei.svg.png",HDFlag:"https://upload.wikimedia.org/wikipedia/commons/thumb/c/ce/Flag_of_Pohnpei.svg/2560px-Flag_of_Pohnpei.svg.png",type:"State", describe: "\nA blue flag with a ring of 11 stars, a wreath of coconut leaves, and a cup made from a coconut shell.", isnew:".", links: "https://en.wikipedia.org/wiki/List_of_Micronesian_flags"},</v>
      </c>
      <c r="HG5" s="66" t="str">
        <f t="shared" si="87"/>
        <v>{couname:"[MIC] Pohnpei",year:"1993",region:"rgn_Oceania",Colors:["cl_BLU","cl_GRE","cl_BRO","cl_WHI"],Items:["4Color","lets07","startP","year19","NoBand","Circle","Plants","Center","staWHI","NO_RED","NO_YEL","NO_BLA","myrBLU","HasSta","3+Star"],Flag:"https://upload.wikimedia.org/wikipedia/commons/thumb/c/ce/Flag_of_Pohnpei.svg/640px-Flag_of_Pohnpei.svg.png",HDFlag:"https://upload.wikimedia.org/wikipedia/commons/thumb/c/ce/Flag_of_Pohnpei.svg/2560px-Flag_of_Pohnpei.svg.png",type:"State", describe: "\nA blue flag with a ring of 11 stars, a wreath of coconut leaves, and a cup made from a coconut shell.", links: "https://en.wikipedia.org/wiki/List_of_Micronesian_flags"},</v>
      </c>
      <c r="HH5" s="44" t="str">
        <f t="shared" si="88"/>
        <v>"\nA blue flag with a ring of 11 stars, a wreath of coconut leaves, and a cup made from a coconut shell."</v>
      </c>
      <c r="HI5" s="44" t="str">
        <f t="shared" si="89"/>
        <v>"\nA blue flag with a ring of 11 stars, a wreath of coconut leaves, and a cup made from a coconut shell."</v>
      </c>
      <c r="HJ5" s="44" t="str">
        <f t="shared" si="90"/>
        <v>"1993"</v>
      </c>
      <c r="HL5" s="44" t="str">
        <f t="shared" si="91"/>
        <v>"https://en.wikipedia.org/wiki/List_of_Micronesian_flags"</v>
      </c>
      <c r="HM5" s="65" t="str">
        <f t="shared" si="92"/>
        <v>{"couname":"[MIC] Pohnpei","year":"1993","region":"rgn_Oceania","Colors":["cl_BLU","cl_GRE","cl_BRO","cl_WHI"],"Items":["4Color","lets07","startP","year19","NoBand","Circle","Plants","Center","staWHI","NO_RED","NO_YEL","NO_BLA","myrBLU","HasSta","3+Star"],"Flag":"https://upload.wikimedia.org/wikipedia/commons/thumb/c/ce/Flag_of_Pohnpei.svg/640px-Flag_of_Pohnpei.svg.png","HDFlag":"https://upload.wikimedia.org/wikipedia/commons/thumb/c/ce/Flag_of_Pohnpei.svg/2560px-Flag_of_Pohnpei.svg.png","type":"State", "describe": "\nA blue flag with a ring of 11 stars, a wreath of coconut leaves, and a cup made from a coconut shell.", "isnew": ".", "links": "https://en.wikipedia.org/wiki/List_of_Micronesian_flags"},</v>
      </c>
      <c r="HN5" s="67" t="str">
        <f t="shared" si="93"/>
        <v>{"couname":"[MIC] Pohnpei","year":"1993","region":"rgn_Oceania","Colors":["cl_BLU","cl_GRE","cl_BRO","cl_WHI"],"Items":["4Color","lets07","startP","year19","NoBand","Circle","Plants","Center","staWHI","NO_RED","NO_YEL","NO_BLA","myrBLU","HasSta","3+Star"],"Flag":"https://upload.wikimedia.org/wikipedia/commons/thumb/c/ce/Flag_of_Pohnpei.svg/640px-Flag_of_Pohnpei.svg.png","HDFlag":"https://upload.wikimedia.org/wikipedia/commons/thumb/c/ce/Flag_of_Pohnpei.svg/2560px-Flag_of_Pohnpei.svg.png","type":"State", "describe": "\nA blue flag with a ring of 11 stars, a wreath of coconut leaves, and a cup made from a coconut shell.", "isnew": ".", "links": "https://en.wikipedia.org/wiki/List_of_Micronesian_flags"},</v>
      </c>
      <c r="HO5" s="71">
        <v>45583</v>
      </c>
      <c r="HP5" s="44" t="str" cm="1">
        <f t="array" ref="HP5">IF(_xlfn.TEXTJOIN(", ", TRUE, IF(ISNUMBER(SEARCH("BLA", BL5:BT5)), COLUMN(BL5:BT5) - COLUMN(BL5) + 1, ""))&lt;&gt;"","BLA","")</f>
        <v/>
      </c>
      <c r="HQ5" s="44" t="str" cm="1">
        <f t="array" ref="HQ5">IF(_xlfn.TEXTJOIN(", ", TRUE, IF(ISNUMBER(SEARCH("BLU", BL5:BT5)), COLUMN(BL5:BT5) - COLUMN(BL5) + 1, ""))&lt;&gt;"","BLU","")</f>
        <v>BLU</v>
      </c>
      <c r="HR5" s="44" t="str" cm="1">
        <f t="array" ref="HR5">IF(_xlfn.TEXTJOIN(", ", TRUE, IF(ISNUMBER(SEARCH("GRE", BL5:BT5)), COLUMN(BL5:BT5) - COLUMN(BL5) + 1, ""))&lt;&gt;"","GRE","")</f>
        <v>GRE</v>
      </c>
      <c r="HS5" s="44" t="str" cm="1">
        <f t="array" ref="HS5">IF(_xlfn.TEXTJOIN(", ", TRUE, IF(ISNUMBER(SEARCH("RED", BL5:BT5)), COLUMN(BL5:BT5) - COLUMN(BL5) + 1, ""))&lt;&gt;"","RED","")</f>
        <v/>
      </c>
      <c r="HT5" s="44" t="str" cm="1">
        <f t="array" ref="HT5">IF(_xlfn.TEXTJOIN(", ", TRUE, IF(ISNUMBER(SEARCH("YEL", BL5:BT5)), COLUMN(BL5:BT5) - COLUMN(BL5) + 1, ""))&lt;&gt;"","YEL","")</f>
        <v/>
      </c>
      <c r="HU5" s="44" t="str" cm="1">
        <f t="array" ref="HU5">IF(_xlfn.TEXTJOIN(", ", TRUE, IF(ISNUMBER(SEARCH("ORA", BL5:BT5)), COLUMN(BL5:BT5) - COLUMN(BL5) + 1, ""))&lt;&gt;"","ORA","")</f>
        <v/>
      </c>
      <c r="HV5" s="44" t="str" cm="1">
        <f t="array" ref="HV5">IF(_xlfn.TEXTJOIN(", ", TRUE, IF(ISNUMBER(SEARCH("BRO", BL5:BT5)), COLUMN(BL5:BT5) - COLUMN(BL5) + 1, ""))&lt;&gt;"","BRO","")</f>
        <v>BRO</v>
      </c>
      <c r="HW5" s="44" t="str" cm="1">
        <f t="array" ref="HW5">IF(_xlfn.TEXTJOIN(", ", TRUE, IF(ISNUMBER(SEARCH("PUR", BL5:BT5)), COLUMN(BL5:BT5) - COLUMN(BL5) + 1, ""))&lt;&gt;"","PUR","")</f>
        <v/>
      </c>
      <c r="HX5" s="44" t="str" cm="1">
        <f t="array" ref="HX5">IF(_xlfn.TEXTJOIN(", ", TRUE, IF(ISNUMBER(SEARCH("WHI", BL5:BT5)), COLUMN(BL5:BT5) - COLUMN(BL5) + 1, ""))&lt;&gt;"","WHI","")</f>
        <v>WHI</v>
      </c>
      <c r="HY5" s="72"/>
      <c r="HZ5" s="72"/>
      <c r="IA5" s="5"/>
      <c r="IB5" s="5"/>
      <c r="IC5" s="68"/>
      <c r="ID5" s="68"/>
      <c r="IE5" s="68"/>
      <c r="IF5" s="68"/>
      <c r="IG5" s="68"/>
      <c r="IH5" s="68"/>
      <c r="II5" s="68"/>
      <c r="IJ5" s="68"/>
      <c r="IK5" s="68"/>
      <c r="IL5" s="44">
        <f t="shared" si="94"/>
        <v>0</v>
      </c>
      <c r="IM5" s="42">
        <f t="shared" si="95"/>
        <v>-4</v>
      </c>
      <c r="IN5" s="69" t="str">
        <f t="shared" si="96"/>
        <v>http://mkweb.bcgsc.ca/color-summarizer/?url=https://upload.wikimedia.org/wikipedia/commons/thumb/c/ce/Flag_of_Pohnpei.svg/640px-Flag_of_Pohnpei.svg.png&amp;precision=low&amp;num_clusters=4&amp;text=1</v>
      </c>
      <c r="IO5" s="44" t="str">
        <f t="shared" si="97"/>
        <v/>
      </c>
      <c r="IP5" s="44" t="str">
        <f t="shared" si="98"/>
        <v>"blue"</v>
      </c>
      <c r="IQ5" s="44" t="str">
        <f t="shared" si="99"/>
        <v>"green"</v>
      </c>
      <c r="IR5" s="44" t="str">
        <f t="shared" si="100"/>
        <v/>
      </c>
      <c r="IS5" s="44" t="str">
        <f t="shared" si="101"/>
        <v/>
      </c>
      <c r="IT5" s="44" t="str">
        <f t="shared" si="102"/>
        <v/>
      </c>
      <c r="IU5" s="44" t="str">
        <f t="shared" si="103"/>
        <v>"brown"</v>
      </c>
      <c r="IV5" s="44" t="str">
        <f t="shared" si="104"/>
        <v/>
      </c>
      <c r="IW5" s="44" t="str">
        <f t="shared" si="105"/>
        <v>"white"</v>
      </c>
      <c r="IX5" s="44" t="str">
        <f t="shared" si="106"/>
        <v>{"url":"http://mkweb.bcgsc.ca/color-summarizer/?url=https://upload.wikimedia.org/wikipedia/commons/thumb/c/ce/Flag_of_Pohnpei.svg/640px-Flag_of_Pohnpei.svg.png&amp;precision=low&amp;num_clusters=4&amp;text=1","name":"[MIC] Pohnpei"},</v>
      </c>
      <c r="IY5" s="44">
        <v>644</v>
      </c>
    </row>
    <row r="6" spans="1:259" s="44" customFormat="1" ht="38.4" customHeight="1" thickBot="1" x14ac:dyDescent="0.35">
      <c r="A6" s="80" t="s">
        <v>435</v>
      </c>
      <c r="B6" s="78" t="e" vm="45">
        <v>#VALUE!</v>
      </c>
      <c r="C6" s="39">
        <v>2</v>
      </c>
      <c r="D6" s="70" t="s">
        <v>436</v>
      </c>
      <c r="E6" s="40" t="s">
        <v>437</v>
      </c>
      <c r="F6" s="41" t="s">
        <v>165</v>
      </c>
      <c r="G6" s="42">
        <f t="shared" si="0"/>
        <v>1</v>
      </c>
      <c r="H6" s="43"/>
      <c r="I6" s="59" t="s">
        <v>425</v>
      </c>
      <c r="J6" s="44" t="str">
        <f>""</f>
        <v/>
      </c>
      <c r="K6" s="45"/>
      <c r="L6" s="46"/>
      <c r="M6" s="46"/>
      <c r="N6" s="47" t="s">
        <v>177</v>
      </c>
      <c r="O6" s="74">
        <v>1980</v>
      </c>
      <c r="P6" s="48" t="s">
        <v>438</v>
      </c>
      <c r="Q6" s="73">
        <v>1</v>
      </c>
      <c r="R6" s="49" t="s">
        <v>177</v>
      </c>
      <c r="S6" s="50">
        <v>0</v>
      </c>
      <c r="T6" s="51" t="s">
        <v>166</v>
      </c>
      <c r="U6" s="52" t="s">
        <v>166</v>
      </c>
      <c r="V6" s="52" t="s">
        <v>166</v>
      </c>
      <c r="W6" s="52" t="s">
        <v>166</v>
      </c>
      <c r="X6" s="52" t="s">
        <v>167</v>
      </c>
      <c r="Y6" s="52" t="s">
        <v>166</v>
      </c>
      <c r="Z6" s="52" t="s">
        <v>166</v>
      </c>
      <c r="AA6" s="52" t="s">
        <v>166</v>
      </c>
      <c r="AB6" s="52" t="s">
        <v>166</v>
      </c>
      <c r="AC6" s="52" t="s">
        <v>166</v>
      </c>
      <c r="AD6" s="52" t="s">
        <v>166</v>
      </c>
      <c r="AE6" s="52" t="s">
        <v>166</v>
      </c>
      <c r="AF6" s="53" t="s">
        <v>166</v>
      </c>
      <c r="AG6" s="53" t="s">
        <v>166</v>
      </c>
      <c r="AH6" s="53" t="s">
        <v>167</v>
      </c>
      <c r="AI6" s="53" t="s">
        <v>166</v>
      </c>
      <c r="AJ6" s="53" t="s">
        <v>166</v>
      </c>
      <c r="AK6" s="53" t="s">
        <v>166</v>
      </c>
      <c r="AL6" s="53" t="s">
        <v>166</v>
      </c>
      <c r="AM6" s="53" t="s">
        <v>166</v>
      </c>
      <c r="AN6" s="53" t="s">
        <v>166</v>
      </c>
      <c r="AO6" s="53" t="s">
        <v>166</v>
      </c>
      <c r="AP6" s="53" t="s">
        <v>167</v>
      </c>
      <c r="AQ6" s="53" t="s">
        <v>166</v>
      </c>
      <c r="AR6" s="53" t="s">
        <v>166</v>
      </c>
      <c r="AS6" s="53" t="s">
        <v>166</v>
      </c>
      <c r="AT6" s="54">
        <v>1</v>
      </c>
      <c r="AU6" s="53" t="s">
        <v>377</v>
      </c>
      <c r="AV6" s="53" t="str">
        <f t="shared" si="1"/>
        <v>[MIC]State[MIC] Yap</v>
      </c>
      <c r="AW6" s="53" t="str">
        <f t="shared" si="2"/>
        <v>2[MIC] Yap</v>
      </c>
      <c r="AX6" s="55"/>
      <c r="AY6" s="55"/>
      <c r="AZ6" s="56" t="s">
        <v>161</v>
      </c>
      <c r="BA6" s="56" t="s">
        <v>231</v>
      </c>
      <c r="BB6" s="56"/>
      <c r="BC6" s="57"/>
      <c r="BD6" s="58" t="s">
        <v>154</v>
      </c>
      <c r="BE6" s="59"/>
      <c r="BF6" s="58" t="s">
        <v>231</v>
      </c>
      <c r="BG6" s="58" t="s">
        <v>231</v>
      </c>
      <c r="BH6" s="58" t="s">
        <v>231</v>
      </c>
      <c r="BI6" s="58"/>
      <c r="BJ6" s="58"/>
      <c r="BK6" s="59"/>
      <c r="BL6" s="58" t="s">
        <v>231</v>
      </c>
      <c r="BM6" s="58" t="s">
        <v>154</v>
      </c>
      <c r="BN6" s="58" t="s">
        <v>231</v>
      </c>
      <c r="BO6" s="58" t="s">
        <v>231</v>
      </c>
      <c r="BP6" s="58" t="s">
        <v>231</v>
      </c>
      <c r="BQ6" s="58" t="s">
        <v>231</v>
      </c>
      <c r="BR6" s="58" t="s">
        <v>231</v>
      </c>
      <c r="BS6" s="58" t="s">
        <v>231</v>
      </c>
      <c r="BT6" s="58" t="s">
        <v>161</v>
      </c>
      <c r="BU6" s="60"/>
      <c r="BV6" s="61"/>
      <c r="BW6" s="61">
        <v>0</v>
      </c>
      <c r="BX6" s="59"/>
      <c r="CB6" s="5"/>
      <c r="CC6" s="5"/>
      <c r="CD6" s="62">
        <v>0</v>
      </c>
      <c r="CE6" s="62">
        <v>0</v>
      </c>
      <c r="CF6" s="62" t="e">
        <v>#REF!</v>
      </c>
      <c r="CG6" s="75" cm="1">
        <f t="array" ref="CG6">SUMPRODUCT(--(LEN(TRIM(BL6:BT6))&gt;0))</f>
        <v>2</v>
      </c>
      <c r="CH6" s="53" t="str">
        <f t="shared" si="3"/>
        <v>y</v>
      </c>
      <c r="CI6" s="53" t="str">
        <f t="shared" si="4"/>
        <v>n</v>
      </c>
      <c r="CJ6" s="53" t="str">
        <f t="shared" si="5"/>
        <v>n</v>
      </c>
      <c r="CK6" s="53" t="str">
        <f t="shared" si="6"/>
        <v>n</v>
      </c>
      <c r="CL6" s="53" t="str">
        <f t="shared" si="7"/>
        <v>y</v>
      </c>
      <c r="CM6" s="53" t="str">
        <f t="shared" si="8"/>
        <v>n</v>
      </c>
      <c r="CN6" s="53" t="str">
        <f t="shared" si="9"/>
        <v>n</v>
      </c>
      <c r="CO6" s="53" t="str">
        <f t="shared" si="10"/>
        <v>n</v>
      </c>
      <c r="CP6" s="53" t="str">
        <f t="shared" si="11"/>
        <v>n</v>
      </c>
      <c r="CQ6" s="53" t="str">
        <f t="shared" si="12"/>
        <v>y</v>
      </c>
      <c r="CR6" s="53" t="str">
        <f t="shared" si="13"/>
        <v>n</v>
      </c>
      <c r="CS6" s="53" t="str">
        <f t="shared" si="14"/>
        <v>n</v>
      </c>
      <c r="CT6" s="38" t="str">
        <f t="shared" si="15"/>
        <v>"[MIC] Yap"</v>
      </c>
      <c r="CU6" s="63" t="str">
        <f t="shared" si="16"/>
        <v>"rgn_Oceania"</v>
      </c>
      <c r="CV6" s="44" t="str">
        <f t="shared" si="17"/>
        <v>"https://upload.wikimedia.org/wikipedia/commons/thumb/2/2c/Flag_of_Yap.svg/640px-Flag_of_Yap.svg.png"</v>
      </c>
      <c r="CW6" s="44" t="str">
        <f t="shared" si="18"/>
        <v>"2Color",</v>
      </c>
      <c r="CX6" s="44" t="str">
        <f t="shared" si="18"/>
        <v/>
      </c>
      <c r="CY6" s="44" t="str">
        <f t="shared" si="18"/>
        <v/>
      </c>
      <c r="CZ6" s="44" t="str">
        <f t="shared" si="18"/>
        <v/>
      </c>
      <c r="DA6" s="44" t="str">
        <f t="shared" si="19"/>
        <v/>
      </c>
      <c r="DB6" s="44" t="str">
        <f t="shared" si="20"/>
        <v/>
      </c>
      <c r="DC6" s="44" t="str">
        <f t="shared" si="21"/>
        <v/>
      </c>
      <c r="DD6" s="44" t="str">
        <f t="shared" si="22"/>
        <v>"lets03",</v>
      </c>
      <c r="DE6" s="44" t="str">
        <f t="shared" si="23"/>
        <v>"startY",</v>
      </c>
      <c r="DF6" s="44" t="str">
        <f t="shared" si="24"/>
        <v/>
      </c>
      <c r="DG6" s="44" t="str">
        <f t="shared" si="25"/>
        <v/>
      </c>
      <c r="DH6" s="44" t="str">
        <f t="shared" si="26"/>
        <v/>
      </c>
      <c r="DI6" s="44" t="str">
        <f t="shared" si="27"/>
        <v/>
      </c>
      <c r="DJ6" s="44" t="str">
        <f t="shared" si="28"/>
        <v>"with_y",</v>
      </c>
      <c r="DK6" s="44" t="str">
        <f t="shared" si="29"/>
        <v/>
      </c>
      <c r="DL6" s="44" t="str">
        <f t="shared" si="30"/>
        <v>"BLUWHI",</v>
      </c>
      <c r="DM6" s="44" t="str" cm="1">
        <f t="array" ref="DM6">IF(CG6=3,CHAR(34) &amp; _xlfn.TEXTJOIN("", TRUE, RIGHT(HP6:HX6, 2)) &amp; CHAR(34) &amp; ",", "")</f>
        <v/>
      </c>
      <c r="DN6" s="44" t="str">
        <f t="shared" si="31"/>
        <v/>
      </c>
      <c r="DO6" s="44" t="str">
        <f t="shared" si="32"/>
        <v>"year19",</v>
      </c>
      <c r="DP6" s="5" t="str">
        <f t="shared" si="33"/>
        <v/>
      </c>
      <c r="DQ6" s="5" t="str">
        <f t="shared" si="34"/>
        <v/>
      </c>
      <c r="DR6" s="5" t="str">
        <f t="shared" si="35"/>
        <v/>
      </c>
      <c r="DS6" s="5" t="str">
        <f t="shared" si="36"/>
        <v/>
      </c>
      <c r="DT6" s="5" t="str">
        <f t="shared" si="37"/>
        <v/>
      </c>
      <c r="DU6" s="5" t="str">
        <f t="shared" si="38"/>
        <v/>
      </c>
      <c r="DV6" s="44" t="str">
        <f t="shared" si="39"/>
        <v/>
      </c>
      <c r="DW6" s="44" t="str">
        <f t="shared" si="40"/>
        <v>"NoBand",</v>
      </c>
      <c r="DX6" s="44" t="str">
        <f t="shared" si="40"/>
        <v/>
      </c>
      <c r="DY6" s="44" t="str">
        <f t="shared" si="40"/>
        <v/>
      </c>
      <c r="DZ6" s="44" t="str">
        <f t="shared" si="40"/>
        <v/>
      </c>
      <c r="EA6" s="44" t="str">
        <f t="shared" si="41"/>
        <v/>
      </c>
      <c r="EB6" s="44" t="str">
        <f t="shared" si="41"/>
        <v/>
      </c>
      <c r="EC6" s="44" t="str">
        <f t="shared" si="41"/>
        <v/>
      </c>
      <c r="ED6" s="44" t="str">
        <f t="shared" si="41"/>
        <v/>
      </c>
      <c r="EE6" s="44" t="str">
        <f t="shared" si="41"/>
        <v>"Circle",</v>
      </c>
      <c r="EF6" s="44" t="str">
        <f t="shared" si="42"/>
        <v/>
      </c>
      <c r="EG6" s="44" t="str">
        <f t="shared" si="43"/>
        <v/>
      </c>
      <c r="EH6" s="44" t="str">
        <f t="shared" si="43"/>
        <v/>
      </c>
      <c r="EI6" s="44" t="str">
        <f t="shared" si="43"/>
        <v/>
      </c>
      <c r="EJ6" s="44" t="str">
        <f t="shared" si="43"/>
        <v/>
      </c>
      <c r="EK6" s="44" t="str">
        <f t="shared" si="43"/>
        <v/>
      </c>
      <c r="EL6" s="44" t="str">
        <f t="shared" si="43"/>
        <v/>
      </c>
      <c r="EM6" s="44" t="str">
        <f t="shared" si="43"/>
        <v/>
      </c>
      <c r="EN6" s="44" t="str">
        <f t="shared" si="43"/>
        <v/>
      </c>
      <c r="EO6" s="44" t="str">
        <f t="shared" si="43"/>
        <v>"Center",</v>
      </c>
      <c r="EP6" s="44" t="str">
        <f t="shared" si="43"/>
        <v/>
      </c>
      <c r="EQ6" s="44" t="str">
        <f t="shared" si="44"/>
        <v/>
      </c>
      <c r="ER6" s="44" t="str">
        <f t="shared" si="44"/>
        <v/>
      </c>
      <c r="ES6" s="44" t="str">
        <f t="shared" si="44"/>
        <v/>
      </c>
      <c r="ET6" s="44" t="str">
        <f t="shared" si="44"/>
        <v/>
      </c>
      <c r="EU6" s="44" t="str">
        <f t="shared" si="44"/>
        <v/>
      </c>
      <c r="EV6" s="44" t="str">
        <f t="shared" si="44"/>
        <v/>
      </c>
      <c r="EW6" s="44" t="str">
        <f t="shared" si="44"/>
        <v>"Ships!",</v>
      </c>
      <c r="EX6" s="44" t="str">
        <f t="shared" si="44"/>
        <v/>
      </c>
      <c r="EY6" s="44" t="str">
        <f t="shared" si="44"/>
        <v/>
      </c>
      <c r="EZ6" s="44" t="str">
        <f t="shared" si="44"/>
        <v/>
      </c>
      <c r="FA6" s="44" t="str">
        <f t="shared" si="45"/>
        <v>"staWHI",</v>
      </c>
      <c r="FB6" s="44" t="str">
        <f t="shared" si="46"/>
        <v/>
      </c>
      <c r="FC6" s="44" t="str">
        <f t="shared" si="47"/>
        <v/>
      </c>
      <c r="FD6" s="44" t="str">
        <f t="shared" si="48"/>
        <v/>
      </c>
      <c r="FE6" s="44" t="str">
        <f t="shared" si="49"/>
        <v/>
      </c>
      <c r="FF6" s="44" t="str">
        <f t="shared" si="50"/>
        <v/>
      </c>
      <c r="FG6" s="44" t="str">
        <f t="shared" si="51"/>
        <v>"NO_RED",</v>
      </c>
      <c r="FH6" s="44" t="str">
        <f t="shared" si="52"/>
        <v>"NO_GRE",</v>
      </c>
      <c r="FI6" s="44" t="str">
        <f t="shared" si="53"/>
        <v>"NO_YEL",</v>
      </c>
      <c r="FJ6" s="44" t="str">
        <f t="shared" si="54"/>
        <v>"NO_BLA",</v>
      </c>
      <c r="FK6" s="44" t="str">
        <f t="shared" si="55"/>
        <v/>
      </c>
      <c r="FL6" s="44" t="str">
        <f t="shared" si="56"/>
        <v/>
      </c>
      <c r="FM6" s="44" t="str">
        <f t="shared" si="57"/>
        <v/>
      </c>
      <c r="FN6" s="44" t="str">
        <f t="shared" si="58"/>
        <v/>
      </c>
      <c r="FO6" s="44" t="str">
        <f t="shared" si="59"/>
        <v/>
      </c>
      <c r="FP6" s="44" t="str">
        <f t="shared" si="60"/>
        <v/>
      </c>
      <c r="FQ6" s="44" t="str">
        <f t="shared" si="61"/>
        <v/>
      </c>
      <c r="FR6" s="44" t="str">
        <f t="shared" si="62"/>
        <v/>
      </c>
      <c r="FS6" s="44" t="str">
        <f t="shared" si="63"/>
        <v/>
      </c>
      <c r="FT6" s="44" t="str">
        <f t="shared" si="64"/>
        <v>"myrBLU",</v>
      </c>
      <c r="FU6" s="44" t="str">
        <f t="shared" si="65"/>
        <v/>
      </c>
      <c r="FV6" s="44" t="str">
        <f t="shared" si="66"/>
        <v/>
      </c>
      <c r="FW6" s="44" t="str">
        <f t="shared" si="67"/>
        <v/>
      </c>
      <c r="FX6" s="44" t="str">
        <f t="shared" si="68"/>
        <v/>
      </c>
      <c r="FY6" s="44" t="str">
        <f t="shared" si="69"/>
        <v/>
      </c>
      <c r="FZ6" s="44" t="str">
        <f t="shared" si="70"/>
        <v/>
      </c>
      <c r="GA6" s="44" t="str">
        <f t="shared" si="71"/>
        <v/>
      </c>
      <c r="GB6" s="44" t="str">
        <f t="shared" si="72"/>
        <v/>
      </c>
      <c r="GC6" s="44" t="str">
        <f t="shared" si="73"/>
        <v/>
      </c>
      <c r="GD6" s="44" t="str">
        <f t="shared" si="74"/>
        <v/>
      </c>
      <c r="GE6" s="44" t="str">
        <f t="shared" si="75"/>
        <v/>
      </c>
      <c r="GF6" s="44" t="str">
        <f>IFERROR(IF(SEARCH("Historical",AU6)&gt;0,CHAR(34)&amp;"histor"&amp;CHAR(34)&amp;",",""),"")</f>
        <v/>
      </c>
      <c r="GG6" s="44" t="str">
        <f t="shared" si="76"/>
        <v/>
      </c>
      <c r="GH6" s="44" t="str">
        <f t="shared" si="77"/>
        <v/>
      </c>
      <c r="GI6" s="44" t="str">
        <f t="shared" si="78"/>
        <v/>
      </c>
      <c r="GJ6" s="44" t="str">
        <f t="shared" si="79"/>
        <v/>
      </c>
      <c r="GK6" s="44" t="str">
        <f t="shared" si="80"/>
        <v>"HasSta",</v>
      </c>
      <c r="GL6" s="44" t="str">
        <f t="shared" si="81"/>
        <v>"1Stars",</v>
      </c>
      <c r="GM6" s="44" t="str">
        <f t="shared" si="81"/>
        <v/>
      </c>
      <c r="GN6" s="44" t="str">
        <f t="shared" si="81"/>
        <v/>
      </c>
      <c r="GP6" s="44" t="str">
        <f t="shared" si="82"/>
        <v>"State"</v>
      </c>
      <c r="GS6" s="44" t="str">
        <f t="shared" si="83"/>
        <v>["2Color","lets03","startY","with_y","BLUWHI","year19","NoBand","Circle","Center","Ships!","staWHI","NO_RED","NO_GRE","NO_YEL","NO_BLA","myrBLU","HasSta","1Stars"]</v>
      </c>
      <c r="GT6" s="44" t="str">
        <f t="shared" si="84"/>
        <v/>
      </c>
      <c r="GU6" s="44" t="str">
        <f t="shared" si="84"/>
        <v>"cl_BLU",</v>
      </c>
      <c r="GV6" s="44" t="str">
        <f t="shared" si="84"/>
        <v/>
      </c>
      <c r="GW6" s="44" t="str">
        <f t="shared" si="84"/>
        <v/>
      </c>
      <c r="GX6" s="44" t="str">
        <f t="shared" si="84"/>
        <v/>
      </c>
      <c r="GY6" s="44" t="str">
        <f t="shared" si="84"/>
        <v/>
      </c>
      <c r="GZ6" s="44" t="str">
        <f t="shared" si="84"/>
        <v/>
      </c>
      <c r="HA6" s="44" t="str">
        <f t="shared" si="84"/>
        <v/>
      </c>
      <c r="HB6" s="44" t="str">
        <f t="shared" si="84"/>
        <v>"cl_WHI",</v>
      </c>
      <c r="HC6" s="44" t="str">
        <f t="shared" si="85"/>
        <v>["cl_BLU","cl_WHI"]</v>
      </c>
      <c r="HE6" s="64"/>
      <c r="HF6" s="65" t="str">
        <f t="shared" si="86"/>
        <v>{couname:"[MIC] Yap",year:"1980",region:"rgn_Oceania",Colors:["cl_BLU","cl_WHI"],Items:["2Color","lets03","startY","with_y","BLUWHI","year19","NoBand","Circle","Center","Ships!","staWHI","NO_RED","NO_GRE","NO_YEL","NO_BLA","myrBLU","HasSta","1Stars"],Flag:"https://upload.wikimedia.org/wikipedia/commons/thumb/2/2c/Flag_of_Yap.svg/640px-Flag_of_Yap.svg.png",HDFlag:"https://upload.wikimedia.org/wikipedia/commons/thumb/2/2c/Flag_of_Yap.svg/2560px-Flag_of_Yap.svg.png",type:"State", describe: "\nBlue flag with a centered polynesian boat. In the very center is a white star. ", isnew:".", links: "https://en.wikipedia.org/wiki/List_of_Micronesian_flags"},</v>
      </c>
      <c r="HG6" s="66" t="str">
        <f t="shared" si="87"/>
        <v>{couname:"[MIC] Yap",year:"1980",region:"rgn_Oceania",Colors:["cl_BLU","cl_WHI"],Items:["2Color","lets03","startY","with_y","BLUWHI","year19","NoBand","Circle","Center","Ships!","staWHI","NO_RED","NO_GRE","NO_YEL","NO_BLA","myrBLU","HasSta","1Stars"],Flag:"https://upload.wikimedia.org/wikipedia/commons/thumb/2/2c/Flag_of_Yap.svg/640px-Flag_of_Yap.svg.png",HDFlag:"https://upload.wikimedia.org/wikipedia/commons/thumb/2/2c/Flag_of_Yap.svg/2560px-Flag_of_Yap.svg.png",type:"State", describe: "\nBlue flag with a centered polynesian boat. In the very center is a white star. ", links: "https://en.wikipedia.org/wiki/List_of_Micronesian_flags"},</v>
      </c>
      <c r="HH6" s="44" t="str">
        <f t="shared" si="88"/>
        <v>"\nBlue flag with a centered polynesian boat. In the very center is a white star. "</v>
      </c>
      <c r="HI6" s="44" t="str">
        <f t="shared" si="89"/>
        <v>"\nBlue flag with a centered polynesian boat. In the very center is a white star. "</v>
      </c>
      <c r="HJ6" s="44" t="str">
        <f t="shared" si="90"/>
        <v>"1980"</v>
      </c>
      <c r="HL6" s="44" t="str">
        <f t="shared" si="91"/>
        <v>"https://en.wikipedia.org/wiki/List_of_Micronesian_flags"</v>
      </c>
      <c r="HM6" s="65" t="str">
        <f t="shared" si="92"/>
        <v>{"couname":"[MIC] Yap","year":"1980","region":"rgn_Oceania","Colors":["cl_BLU","cl_WHI"],"Items":["2Color","lets03","startY","with_y","BLUWHI","year19","NoBand","Circle","Center","Ships!","staWHI","NO_RED","NO_GRE","NO_YEL","NO_BLA","myrBLU","HasSta","1Stars"],"Flag":"https://upload.wikimedia.org/wikipedia/commons/thumb/2/2c/Flag_of_Yap.svg/640px-Flag_of_Yap.svg.png","HDFlag":"https://upload.wikimedia.org/wikipedia/commons/thumb/2/2c/Flag_of_Yap.svg/2560px-Flag_of_Yap.svg.png","type":"State", "describe": "\nBlue flag with a centered polynesian boat. In the very center is a white star. ", "isnew": ".", "links": "https://en.wikipedia.org/wiki/List_of_Micronesian_flags"},</v>
      </c>
      <c r="HN6" s="67" t="str">
        <f t="shared" si="93"/>
        <v>{"couname":"[MIC] Yap","year":"1980","region":"rgn_Oceania","Colors":["cl_BLU","cl_WHI"],"Items":["2Color","lets03","startY","with_y","BLUWHI","year19","NoBand","Circle","Center","Ships!","staWHI","NO_RED","NO_GRE","NO_YEL","NO_BLA","myrBLU","HasSta","1Stars"],"Flag":"https://upload.wikimedia.org/wikipedia/commons/thumb/2/2c/Flag_of_Yap.svg/640px-Flag_of_Yap.svg.png","HDFlag":"https://upload.wikimedia.org/wikipedia/commons/thumb/2/2c/Flag_of_Yap.svg/2560px-Flag_of_Yap.svg.png","type":"State", "describe": "\nBlue flag with a centered polynesian boat. In the very center is a white star. ", "isnew": ".", "links": "https://en.wikipedia.org/wiki/List_of_Micronesian_flags"},</v>
      </c>
      <c r="HO6" s="71">
        <v>45583</v>
      </c>
      <c r="HP6" s="44" t="str" cm="1">
        <f t="array" ref="HP6">IF(_xlfn.TEXTJOIN(", ", TRUE, IF(ISNUMBER(SEARCH("BLA", BL6:BT6)), COLUMN(BL6:BT6) - COLUMN(BL6) + 1, ""))&lt;&gt;"","BLA","")</f>
        <v/>
      </c>
      <c r="HQ6" s="44" t="str" cm="1">
        <f t="array" ref="HQ6">IF(_xlfn.TEXTJOIN(", ", TRUE, IF(ISNUMBER(SEARCH("BLU", BL6:BT6)), COLUMN(BL6:BT6) - COLUMN(BL6) + 1, ""))&lt;&gt;"","BLU","")</f>
        <v>BLU</v>
      </c>
      <c r="HR6" s="44" t="str" cm="1">
        <f t="array" ref="HR6">IF(_xlfn.TEXTJOIN(", ", TRUE, IF(ISNUMBER(SEARCH("GRE", BL6:BT6)), COLUMN(BL6:BT6) - COLUMN(BL6) + 1, ""))&lt;&gt;"","GRE","")</f>
        <v/>
      </c>
      <c r="HS6" s="44" t="str" cm="1">
        <f t="array" ref="HS6">IF(_xlfn.TEXTJOIN(", ", TRUE, IF(ISNUMBER(SEARCH("RED", BL6:BT6)), COLUMN(BL6:BT6) - COLUMN(BL6) + 1, ""))&lt;&gt;"","RED","")</f>
        <v/>
      </c>
      <c r="HT6" s="44" t="str" cm="1">
        <f t="array" ref="HT6">IF(_xlfn.TEXTJOIN(", ", TRUE, IF(ISNUMBER(SEARCH("YEL", BL6:BT6)), COLUMN(BL6:BT6) - COLUMN(BL6) + 1, ""))&lt;&gt;"","YEL","")</f>
        <v/>
      </c>
      <c r="HU6" s="44" t="str" cm="1">
        <f t="array" ref="HU6">IF(_xlfn.TEXTJOIN(", ", TRUE, IF(ISNUMBER(SEARCH("ORA", BL6:BT6)), COLUMN(BL6:BT6) - COLUMN(BL6) + 1, ""))&lt;&gt;"","ORA","")</f>
        <v/>
      </c>
      <c r="HV6" s="44" t="str" cm="1">
        <f t="array" ref="HV6">IF(_xlfn.TEXTJOIN(", ", TRUE, IF(ISNUMBER(SEARCH("BRO", BL6:BT6)), COLUMN(BL6:BT6) - COLUMN(BL6) + 1, ""))&lt;&gt;"","BRO","")</f>
        <v/>
      </c>
      <c r="HW6" s="44" t="str" cm="1">
        <f t="array" ref="HW6">IF(_xlfn.TEXTJOIN(", ", TRUE, IF(ISNUMBER(SEARCH("PUR", BL6:BT6)), COLUMN(BL6:BT6) - COLUMN(BL6) + 1, ""))&lt;&gt;"","PUR","")</f>
        <v/>
      </c>
      <c r="HX6" s="44" t="str" cm="1">
        <f t="array" ref="HX6">IF(_xlfn.TEXTJOIN(", ", TRUE, IF(ISNUMBER(SEARCH("WHI", BL6:BT6)), COLUMN(BL6:BT6) - COLUMN(BL6) + 1, ""))&lt;&gt;"","WHI","")</f>
        <v>WHI</v>
      </c>
      <c r="HY6" s="72"/>
      <c r="HZ6" s="72"/>
      <c r="IA6" s="5"/>
      <c r="IB6" s="5"/>
      <c r="IC6" s="68"/>
      <c r="ID6" s="68"/>
      <c r="IE6" s="68"/>
      <c r="IF6" s="68"/>
      <c r="IG6" s="68"/>
      <c r="IH6" s="68"/>
      <c r="II6" s="68"/>
      <c r="IJ6" s="68"/>
      <c r="IK6" s="68"/>
      <c r="IL6" s="44">
        <f t="shared" si="94"/>
        <v>0</v>
      </c>
      <c r="IM6" s="42">
        <f t="shared" si="95"/>
        <v>-2</v>
      </c>
      <c r="IN6" s="69" t="str">
        <f t="shared" si="96"/>
        <v>http://mkweb.bcgsc.ca/color-summarizer/?url=https://upload.wikimedia.org/wikipedia/commons/thumb/2/2c/Flag_of_Yap.svg/640px-Flag_of_Yap.svg.png&amp;precision=low&amp;num_clusters=2&amp;text=1</v>
      </c>
      <c r="IO6" s="44" t="str">
        <f t="shared" si="97"/>
        <v/>
      </c>
      <c r="IP6" s="44" t="str">
        <f t="shared" si="98"/>
        <v>"blue"</v>
      </c>
      <c r="IQ6" s="44" t="str">
        <f t="shared" si="99"/>
        <v/>
      </c>
      <c r="IR6" s="44" t="str">
        <f t="shared" si="100"/>
        <v/>
      </c>
      <c r="IS6" s="44" t="str">
        <f t="shared" si="101"/>
        <v/>
      </c>
      <c r="IT6" s="44" t="str">
        <f t="shared" si="102"/>
        <v/>
      </c>
      <c r="IU6" s="44" t="str">
        <f t="shared" si="103"/>
        <v/>
      </c>
      <c r="IV6" s="44" t="str">
        <f t="shared" si="104"/>
        <v/>
      </c>
      <c r="IW6" s="44" t="str">
        <f t="shared" si="105"/>
        <v>"white"</v>
      </c>
      <c r="IX6" s="44" t="str">
        <f t="shared" si="106"/>
        <v>{"url":"http://mkweb.bcgsc.ca/color-summarizer/?url=https://upload.wikimedia.org/wikipedia/commons/thumb/2/2c/Flag_of_Yap.svg/640px-Flag_of_Yap.svg.png&amp;precision=low&amp;num_clusters=2&amp;text=1","name":"[MIC] Yap"},</v>
      </c>
      <c r="IY6" s="44">
        <v>645</v>
      </c>
    </row>
    <row r="7" spans="1:259" s="44" customFormat="1" ht="38.4" customHeight="1" thickBot="1" x14ac:dyDescent="0.35">
      <c r="A7" s="81" t="s">
        <v>418</v>
      </c>
      <c r="B7" s="78" t="e" vm="46">
        <v>#VALUE!</v>
      </c>
      <c r="C7" s="39">
        <v>3</v>
      </c>
      <c r="D7" s="70" t="s">
        <v>419</v>
      </c>
      <c r="E7" s="40" t="s">
        <v>419</v>
      </c>
      <c r="F7" s="41" t="s">
        <v>165</v>
      </c>
      <c r="G7" s="42">
        <f t="shared" si="0"/>
        <v>1</v>
      </c>
      <c r="H7" s="43" t="s">
        <v>913</v>
      </c>
      <c r="I7" s="59" t="s">
        <v>420</v>
      </c>
      <c r="J7" s="44" t="str">
        <f>""</f>
        <v/>
      </c>
      <c r="K7" s="45"/>
      <c r="L7" s="46"/>
      <c r="M7" s="46"/>
      <c r="N7" s="47" t="s">
        <v>177</v>
      </c>
      <c r="O7" s="74">
        <v>1962</v>
      </c>
      <c r="P7" s="48" t="s">
        <v>421</v>
      </c>
      <c r="Q7" s="73">
        <v>5</v>
      </c>
      <c r="R7" s="49" t="s">
        <v>177</v>
      </c>
      <c r="S7" s="50">
        <v>0</v>
      </c>
      <c r="T7" s="51" t="s">
        <v>166</v>
      </c>
      <c r="U7" s="52" t="s">
        <v>166</v>
      </c>
      <c r="V7" s="52" t="s">
        <v>166</v>
      </c>
      <c r="W7" s="52" t="s">
        <v>166</v>
      </c>
      <c r="X7" s="52" t="s">
        <v>167</v>
      </c>
      <c r="Y7" s="52" t="s">
        <v>166</v>
      </c>
      <c r="Z7" s="52" t="s">
        <v>166</v>
      </c>
      <c r="AA7" s="52" t="s">
        <v>166</v>
      </c>
      <c r="AB7" s="52" t="s">
        <v>166</v>
      </c>
      <c r="AC7" s="52" t="s">
        <v>166</v>
      </c>
      <c r="AD7" s="52" t="s">
        <v>166</v>
      </c>
      <c r="AE7" s="52" t="s">
        <v>166</v>
      </c>
      <c r="AF7" s="53" t="s">
        <v>166</v>
      </c>
      <c r="AG7" s="53" t="s">
        <v>166</v>
      </c>
      <c r="AH7" s="53" t="s">
        <v>167</v>
      </c>
      <c r="AI7" s="53" t="s">
        <v>166</v>
      </c>
      <c r="AJ7" s="53" t="s">
        <v>166</v>
      </c>
      <c r="AK7" s="53" t="s">
        <v>166</v>
      </c>
      <c r="AL7" s="53" t="s">
        <v>166</v>
      </c>
      <c r="AM7" s="53" t="s">
        <v>166</v>
      </c>
      <c r="AN7" s="53" t="s">
        <v>166</v>
      </c>
      <c r="AO7" s="53" t="s">
        <v>166</v>
      </c>
      <c r="AP7" s="53" t="s">
        <v>166</v>
      </c>
      <c r="AQ7" s="53" t="s">
        <v>166</v>
      </c>
      <c r="AR7" s="53" t="s">
        <v>167</v>
      </c>
      <c r="AS7" s="53" t="s">
        <v>166</v>
      </c>
      <c r="AT7" s="54">
        <v>6</v>
      </c>
      <c r="AU7" s="53" t="s">
        <v>349</v>
      </c>
      <c r="AV7" s="53" t="str">
        <f t="shared" si="1"/>
        <v>[MIC]Historical[MIC] Trust Territory of the Pacific Islands (1947-1994)</v>
      </c>
      <c r="AW7" s="53" t="str">
        <f t="shared" si="2"/>
        <v>3[MIC] Other[MIC] Trust Territory of the Pacific Islands (1947-1994)</v>
      </c>
      <c r="AX7" s="55"/>
      <c r="AY7" s="55"/>
      <c r="AZ7" s="56" t="s">
        <v>161</v>
      </c>
      <c r="BA7" s="56"/>
      <c r="BB7" s="56"/>
      <c r="BC7" s="57"/>
      <c r="BD7" s="58" t="s">
        <v>154</v>
      </c>
      <c r="BE7" s="59"/>
      <c r="BF7" s="58" t="s">
        <v>231</v>
      </c>
      <c r="BG7" s="58" t="s">
        <v>231</v>
      </c>
      <c r="BH7" s="58" t="s">
        <v>231</v>
      </c>
      <c r="BI7" s="58"/>
      <c r="BJ7" s="58"/>
      <c r="BK7" s="59"/>
      <c r="BL7" s="58" t="s">
        <v>231</v>
      </c>
      <c r="BM7" s="58" t="s">
        <v>154</v>
      </c>
      <c r="BN7" s="58" t="s">
        <v>231</v>
      </c>
      <c r="BO7" s="58" t="s">
        <v>231</v>
      </c>
      <c r="BP7" s="58" t="s">
        <v>231</v>
      </c>
      <c r="BQ7" s="58" t="s">
        <v>231</v>
      </c>
      <c r="BR7" s="58" t="s">
        <v>231</v>
      </c>
      <c r="BS7" s="58" t="s">
        <v>231</v>
      </c>
      <c r="BT7" s="58" t="s">
        <v>161</v>
      </c>
      <c r="BU7" s="60"/>
      <c r="BV7" s="61"/>
      <c r="BW7" s="61">
        <v>0</v>
      </c>
      <c r="BX7" s="59"/>
      <c r="CB7" s="5"/>
      <c r="CC7" s="5"/>
      <c r="CD7" s="62">
        <v>0</v>
      </c>
      <c r="CE7" s="62">
        <v>0</v>
      </c>
      <c r="CF7" s="62" t="e">
        <v>#REF!</v>
      </c>
      <c r="CG7" s="75" cm="1">
        <f t="array" ref="CG7">SUMPRODUCT(--(LEN(TRIM(BL7:BT7))&gt;0))</f>
        <v>2</v>
      </c>
      <c r="CH7" s="53" t="str">
        <f t="shared" si="3"/>
        <v>y</v>
      </c>
      <c r="CI7" s="53" t="str">
        <f t="shared" si="4"/>
        <v>n</v>
      </c>
      <c r="CJ7" s="53" t="str">
        <f t="shared" si="5"/>
        <v>n</v>
      </c>
      <c r="CK7" s="53" t="str">
        <f t="shared" si="6"/>
        <v>n</v>
      </c>
      <c r="CL7" s="53" t="str">
        <f t="shared" si="7"/>
        <v>y</v>
      </c>
      <c r="CM7" s="53" t="str">
        <f t="shared" si="8"/>
        <v>n</v>
      </c>
      <c r="CN7" s="53" t="str">
        <f t="shared" si="9"/>
        <v>n</v>
      </c>
      <c r="CO7" s="53" t="str">
        <f t="shared" si="10"/>
        <v>n</v>
      </c>
      <c r="CP7" s="53" t="str">
        <f t="shared" si="11"/>
        <v>n</v>
      </c>
      <c r="CQ7" s="53" t="str">
        <f t="shared" si="12"/>
        <v>n</v>
      </c>
      <c r="CR7" s="53" t="str">
        <f t="shared" si="13"/>
        <v>n</v>
      </c>
      <c r="CS7" s="53" t="str">
        <f t="shared" si="14"/>
        <v>y</v>
      </c>
      <c r="CT7" s="38" t="str">
        <f t="shared" si="15"/>
        <v>"[MIC] Trust Territory of the Pacific Islands (1947-1994)"</v>
      </c>
      <c r="CU7" s="63" t="str">
        <f t="shared" si="16"/>
        <v>"rgn_Oceania"</v>
      </c>
      <c r="CV7" s="44" t="str">
        <f t="shared" si="17"/>
        <v>"https://upload.wikimedia.org/wikipedia/commons/thumb/4/41/Flag_of_the_Trust_Territory_of_the_Pacific_Islands.svg/640px-Flag_of_the_Trust_Territory_of_the_Pacific_Islands.svg.png"</v>
      </c>
      <c r="CW7" s="44" t="str">
        <f t="shared" si="18"/>
        <v>"2Color",</v>
      </c>
      <c r="CX7" s="44" t="str">
        <f t="shared" si="18"/>
        <v/>
      </c>
      <c r="CY7" s="44" t="str">
        <f t="shared" si="18"/>
        <v/>
      </c>
      <c r="CZ7" s="44" t="str">
        <f t="shared" si="18"/>
        <v/>
      </c>
      <c r="DA7" s="44" t="str">
        <f t="shared" si="19"/>
        <v>"words2",</v>
      </c>
      <c r="DB7" s="44" t="str">
        <f t="shared" si="20"/>
        <v>"words3",</v>
      </c>
      <c r="DC7" s="44" t="str">
        <f t="shared" si="21"/>
        <v/>
      </c>
      <c r="DD7" s="44" t="str">
        <f t="shared" si="22"/>
        <v>"lets33",</v>
      </c>
      <c r="DE7" s="44" t="str">
        <f t="shared" si="23"/>
        <v>"startT",</v>
      </c>
      <c r="DF7" s="44" t="str">
        <f t="shared" si="24"/>
        <v/>
      </c>
      <c r="DG7" s="44" t="str">
        <f t="shared" si="25"/>
        <v/>
      </c>
      <c r="DH7" s="44" t="str">
        <f t="shared" si="26"/>
        <v/>
      </c>
      <c r="DI7" s="44" t="str">
        <f t="shared" si="27"/>
        <v/>
      </c>
      <c r="DJ7" s="44" t="str">
        <f t="shared" si="28"/>
        <v>"with_y",</v>
      </c>
      <c r="DK7" s="44" t="str">
        <f t="shared" si="29"/>
        <v/>
      </c>
      <c r="DL7" s="44" t="str">
        <f t="shared" si="30"/>
        <v>"BLUWHI",</v>
      </c>
      <c r="DM7" s="44" t="str" cm="1">
        <f t="array" ref="DM7">IF(CG7=3,CHAR(34) &amp; _xlfn.TEXTJOIN("", TRUE, RIGHT(HP7:HX7, 2)) &amp; CHAR(34) &amp; ",", "")</f>
        <v/>
      </c>
      <c r="DN7" s="44" t="str">
        <f t="shared" si="31"/>
        <v/>
      </c>
      <c r="DO7" s="44" t="str">
        <f t="shared" si="32"/>
        <v>"year19",</v>
      </c>
      <c r="DP7" s="5" t="str">
        <f t="shared" si="33"/>
        <v/>
      </c>
      <c r="DQ7" s="5" t="str">
        <f t="shared" si="34"/>
        <v/>
      </c>
      <c r="DR7" s="5" t="str">
        <f t="shared" si="35"/>
        <v/>
      </c>
      <c r="DS7" s="5" t="str">
        <f t="shared" si="36"/>
        <v/>
      </c>
      <c r="DT7" s="5" t="str">
        <f t="shared" si="37"/>
        <v/>
      </c>
      <c r="DU7" s="5" t="str">
        <f t="shared" si="38"/>
        <v/>
      </c>
      <c r="DV7" s="44" t="str">
        <f t="shared" si="39"/>
        <v/>
      </c>
      <c r="DW7" s="44" t="str">
        <f t="shared" si="40"/>
        <v>"NoBand",</v>
      </c>
      <c r="DX7" s="44" t="str">
        <f t="shared" si="40"/>
        <v/>
      </c>
      <c r="DY7" s="44" t="str">
        <f t="shared" si="40"/>
        <v/>
      </c>
      <c r="DZ7" s="44" t="str">
        <f t="shared" si="40"/>
        <v/>
      </c>
      <c r="EA7" s="44" t="str">
        <f t="shared" si="41"/>
        <v/>
      </c>
      <c r="EB7" s="44" t="str">
        <f t="shared" si="41"/>
        <v/>
      </c>
      <c r="EC7" s="44" t="str">
        <f t="shared" si="41"/>
        <v/>
      </c>
      <c r="ED7" s="44" t="str">
        <f t="shared" si="41"/>
        <v/>
      </c>
      <c r="EE7" s="44" t="str">
        <f t="shared" si="41"/>
        <v>"Circle",</v>
      </c>
      <c r="EF7" s="44" t="str">
        <f t="shared" si="42"/>
        <v/>
      </c>
      <c r="EG7" s="44" t="str">
        <f t="shared" si="43"/>
        <v/>
      </c>
      <c r="EH7" s="44" t="str">
        <f t="shared" si="43"/>
        <v/>
      </c>
      <c r="EI7" s="44" t="str">
        <f t="shared" si="43"/>
        <v/>
      </c>
      <c r="EJ7" s="44" t="str">
        <f t="shared" si="43"/>
        <v/>
      </c>
      <c r="EK7" s="44" t="str">
        <f t="shared" si="43"/>
        <v/>
      </c>
      <c r="EL7" s="44" t="str">
        <f t="shared" si="43"/>
        <v/>
      </c>
      <c r="EM7" s="44" t="str">
        <f t="shared" si="43"/>
        <v/>
      </c>
      <c r="EN7" s="44" t="str">
        <f t="shared" si="43"/>
        <v/>
      </c>
      <c r="EO7" s="44" t="str">
        <f t="shared" si="43"/>
        <v>"Center",</v>
      </c>
      <c r="EP7" s="44" t="str">
        <f t="shared" si="43"/>
        <v/>
      </c>
      <c r="EQ7" s="44" t="str">
        <f t="shared" si="44"/>
        <v/>
      </c>
      <c r="ER7" s="44" t="str">
        <f t="shared" si="44"/>
        <v/>
      </c>
      <c r="ES7" s="44" t="str">
        <f t="shared" si="44"/>
        <v/>
      </c>
      <c r="ET7" s="44" t="str">
        <f t="shared" si="44"/>
        <v/>
      </c>
      <c r="EU7" s="44" t="str">
        <f t="shared" si="44"/>
        <v/>
      </c>
      <c r="EV7" s="44" t="str">
        <f t="shared" si="44"/>
        <v/>
      </c>
      <c r="EW7" s="44" t="str">
        <f t="shared" si="44"/>
        <v/>
      </c>
      <c r="EX7" s="44" t="str">
        <f t="shared" si="44"/>
        <v/>
      </c>
      <c r="EY7" s="44" t="str">
        <f t="shared" si="44"/>
        <v>"Rotate",</v>
      </c>
      <c r="EZ7" s="44" t="str">
        <f t="shared" si="44"/>
        <v/>
      </c>
      <c r="FA7" s="44" t="str">
        <f t="shared" si="45"/>
        <v>"staWHI",</v>
      </c>
      <c r="FB7" s="44" t="str">
        <f t="shared" si="46"/>
        <v/>
      </c>
      <c r="FC7" s="44" t="str">
        <f t="shared" si="47"/>
        <v/>
      </c>
      <c r="FD7" s="44" t="str">
        <f t="shared" si="48"/>
        <v/>
      </c>
      <c r="FE7" s="44" t="str">
        <f t="shared" si="49"/>
        <v/>
      </c>
      <c r="FF7" s="44" t="str">
        <f t="shared" si="50"/>
        <v/>
      </c>
      <c r="FG7" s="44" t="str">
        <f t="shared" si="51"/>
        <v>"NO_RED",</v>
      </c>
      <c r="FH7" s="44" t="str">
        <f t="shared" si="52"/>
        <v>"NO_GRE",</v>
      </c>
      <c r="FI7" s="44" t="str">
        <f t="shared" si="53"/>
        <v>"NO_YEL",</v>
      </c>
      <c r="FJ7" s="44" t="str">
        <f t="shared" si="54"/>
        <v>"NO_BLA",</v>
      </c>
      <c r="FK7" s="44" t="str">
        <f t="shared" si="55"/>
        <v/>
      </c>
      <c r="FL7" s="44" t="str">
        <f t="shared" si="56"/>
        <v/>
      </c>
      <c r="FM7" s="44" t="str">
        <f t="shared" si="57"/>
        <v/>
      </c>
      <c r="FN7" s="44" t="str">
        <f t="shared" si="58"/>
        <v/>
      </c>
      <c r="FO7" s="44" t="str">
        <f t="shared" si="59"/>
        <v/>
      </c>
      <c r="FP7" s="44" t="str">
        <f t="shared" si="60"/>
        <v/>
      </c>
      <c r="FQ7" s="44" t="str">
        <f t="shared" si="61"/>
        <v/>
      </c>
      <c r="FR7" s="44" t="str">
        <f t="shared" si="62"/>
        <v/>
      </c>
      <c r="FS7" s="44" t="str">
        <f t="shared" si="63"/>
        <v/>
      </c>
      <c r="FT7" s="44" t="str">
        <f t="shared" si="64"/>
        <v>"myrBLU",</v>
      </c>
      <c r="FU7" s="44" t="str">
        <f t="shared" si="65"/>
        <v/>
      </c>
      <c r="FV7" s="44" t="str">
        <f t="shared" si="66"/>
        <v/>
      </c>
      <c r="FW7" s="44" t="str">
        <f t="shared" si="67"/>
        <v/>
      </c>
      <c r="FX7" s="44" t="str">
        <f t="shared" si="68"/>
        <v/>
      </c>
      <c r="FY7" s="44" t="str">
        <f t="shared" si="69"/>
        <v/>
      </c>
      <c r="FZ7" s="44" t="str">
        <f t="shared" si="70"/>
        <v/>
      </c>
      <c r="GA7" s="44" t="str">
        <f t="shared" si="71"/>
        <v/>
      </c>
      <c r="GB7" s="44" t="str">
        <f t="shared" si="72"/>
        <v/>
      </c>
      <c r="GC7" s="44" t="str">
        <f t="shared" si="73"/>
        <v/>
      </c>
      <c r="GD7" s="44" t="str">
        <f t="shared" si="74"/>
        <v/>
      </c>
      <c r="GE7" s="44" t="str">
        <f t="shared" si="75"/>
        <v/>
      </c>
      <c r="GF7" s="44" t="str">
        <f>IFERROR(IF(SEARCH("Historical",AU7)&gt;0,CHAR(34)&amp;"histor"&amp;CHAR(34)&amp;",",""),"")</f>
        <v>"histor",</v>
      </c>
      <c r="GG7" s="44" t="str">
        <f t="shared" si="76"/>
        <v/>
      </c>
      <c r="GH7" s="44" t="str">
        <f t="shared" si="77"/>
        <v/>
      </c>
      <c r="GI7" s="44" t="str">
        <f t="shared" si="78"/>
        <v/>
      </c>
      <c r="GJ7" s="44" t="str">
        <f t="shared" si="79"/>
        <v/>
      </c>
      <c r="GK7" s="44" t="str">
        <f t="shared" si="80"/>
        <v>"HasSta",</v>
      </c>
      <c r="GL7" s="44" t="str">
        <f t="shared" si="81"/>
        <v/>
      </c>
      <c r="GM7" s="44" t="str">
        <f t="shared" si="81"/>
        <v/>
      </c>
      <c r="GN7" s="44" t="str">
        <f t="shared" si="81"/>
        <v>"3+Star",</v>
      </c>
      <c r="GP7" s="44" t="str">
        <f t="shared" si="82"/>
        <v>"Historical"</v>
      </c>
      <c r="GS7" s="44" t="str">
        <f t="shared" si="83"/>
        <v>["2Color","words2","words3","lets33","startT","with_y","BLUWHI","year19","NoBand","Circle","Center","Rotate","staWHI","NO_RED","NO_GRE","NO_YEL","NO_BLA","myrBLU","histor","HasSta","3+Star"]</v>
      </c>
      <c r="GT7" s="44" t="str">
        <f t="shared" si="84"/>
        <v/>
      </c>
      <c r="GU7" s="44" t="str">
        <f t="shared" si="84"/>
        <v>"cl_BLU",</v>
      </c>
      <c r="GV7" s="44" t="str">
        <f t="shared" si="84"/>
        <v/>
      </c>
      <c r="GW7" s="44" t="str">
        <f t="shared" si="84"/>
        <v/>
      </c>
      <c r="GX7" s="44" t="str">
        <f t="shared" si="84"/>
        <v/>
      </c>
      <c r="GY7" s="44" t="str">
        <f t="shared" si="84"/>
        <v/>
      </c>
      <c r="GZ7" s="44" t="str">
        <f t="shared" si="84"/>
        <v/>
      </c>
      <c r="HA7" s="44" t="str">
        <f t="shared" si="84"/>
        <v/>
      </c>
      <c r="HB7" s="44" t="str">
        <f t="shared" si="84"/>
        <v>"cl_WHI",</v>
      </c>
      <c r="HC7" s="44" t="str">
        <f t="shared" si="85"/>
        <v>["cl_BLU","cl_WHI"]</v>
      </c>
      <c r="HE7" s="64"/>
      <c r="HF7" s="65" t="str">
        <f t="shared" si="86"/>
        <v>{couname:"[MIC] Trust Territory of the Pacific Islands (1947-1994)",year:"1962",region:"rgn_Oceania",Colors:["cl_BLU","cl_WHI"],Items:["2Color","words2","words3","lets33","startT","with_y","BLUWHI","year19","NoBand","Circle","Center","Rotate","staWHI","NO_RED","NO_GRE","NO_YEL","NO_BLA","myrBLU","histor","HasSta","3+Star"],Flag:"https://upload.wikimedia.org/wikipedia/commons/thumb/4/41/Flag_of_the_Trust_Territory_of_the_Pacific_Islands.svg/640px-Flag_of_the_Trust_Territory_of_the_Pacific_Islands.svg.png",HDFlag:"https://upload.wikimedia.org/wikipedia/commons/thumb/4/41/Flag_of_the_Trust_Territory_of_the_Pacific_Islands.svg/640px-Flag_of_the_Trust_Territory_of_the_Pacific_Islands.svg.png",type:"Historical", describe: "\nA circle of six white stars on a blue background. The six stars represented the six districts: the Marianas, the Marshall Islands, Yap, Chuuk, Pohnpei, and Palau.", isnew:".", links: "https://en.wikipedia.org/wiki/Flag_of_the_Trust_Territory_of_the_Pacific_Islands"},</v>
      </c>
      <c r="HG7" s="66" t="str">
        <f t="shared" si="87"/>
        <v>{couname:"[MIC] Trust Territory of the Pacific Islands (1947-1994)",year:"1962",region:"rgn_Oceania",Colors:["cl_BLU","cl_WHI"],Items:["2Color","words2","words3","lets33","startT","with_y","BLUWHI","year19","NoBand","Circle","Center","Rotate","staWHI","NO_RED","NO_GRE","NO_YEL","NO_BLA","myrBLU","histor","HasSta","3+Star"],Flag:"https://upload.wikimedia.org/wikipedia/commons/thumb/4/41/Flag_of_the_Trust_Territory_of_the_Pacific_Islands.svg/640px-Flag_of_the_Trust_Territory_of_the_Pacific_Islands.svg.png",HDFlag:"https://upload.wikimedia.org/wikipedia/commons/thumb/4/41/Flag_of_the_Trust_Territory_of_the_Pacific_Islands.svg/640px-Flag_of_the_Trust_Territory_of_the_Pacific_Islands.svg.png",type:"Historical", describe: "\nA circle of six white stars on a blue background. The six stars represented the six districts: the Marianas, the Marshall Islands, Yap, Chuuk, Pohnpei, and Palau.", links: "https://en.wikipedia.org/wiki/Flag_of_the_Trust_Territory_of_the_Pacific_Islands"},</v>
      </c>
      <c r="HH7" s="44" t="str">
        <f t="shared" si="88"/>
        <v>"\nA circle of six white stars on a blue background. The six stars represented the six districts: the Marianas, the Marshall Islands, Yap, Chuuk, Pohnpei, and Palau."</v>
      </c>
      <c r="HI7" s="44" t="str">
        <f t="shared" si="89"/>
        <v>"\nA circle of six white stars on a blue background. The six stars represented the six districts: the Marianas, the Marshall Islands, Yap, Chuuk, Pohnpei, and Palau."</v>
      </c>
      <c r="HJ7" s="44" t="str">
        <f t="shared" si="90"/>
        <v>"1962"</v>
      </c>
      <c r="HL7" s="44" t="str">
        <f t="shared" si="91"/>
        <v>"https://en.wikipedia.org/wiki/Flag_of_the_Trust_Territory_of_the_Pacific_Islands"</v>
      </c>
      <c r="HM7" s="65" t="str">
        <f t="shared" si="92"/>
        <v>{"couname":"[MIC] Trust Territory of the Pacific Islands (1947-1994)","subtype":"[MIC] Other","year":"1962","region":"rgn_Oceania","Colors":["cl_BLU","cl_WHI"],"Items":["2Color","words2","words3","lets33","startT","with_y","BLUWHI","year19","NoBand","Circle","Center","Rotate","staWHI","NO_RED","NO_GRE","NO_YEL","NO_BLA","myrBLU","histor","HasSta","3+Star"],"Flag":"https://upload.wikimedia.org/wikipedia/commons/thumb/4/41/Flag_of_the_Trust_Territory_of_the_Pacific_Islands.svg/640px-Flag_of_the_Trust_Territory_of_the_Pacific_Islands.svg.png","HDFlag":"https://upload.wikimedia.org/wikipedia/commons/thumb/4/41/Flag_of_the_Trust_Territory_of_the_Pacific_Islands.svg/640px-Flag_of_the_Trust_Territory_of_the_Pacific_Islands.svg.png","type":"Historical", "describe": "\nA circle of six white stars on a blue background. The six stars represented the six districts: the Marianas, the Marshall Islands, Yap, Chuuk, Pohnpei, and Palau.", "isnew": ".", "links": "https://en.wikipedia.org/wiki/Flag_of_the_Trust_Territory_of_the_Pacific_Islands"},</v>
      </c>
      <c r="HN7" s="67" t="str">
        <f t="shared" si="93"/>
        <v>{"couname":"[MIC] Trust Territory of the Pacific Islands (1947-1994)","subtype":"[MIC] Other","year":"1962","region":"rgn_Oceania","Colors":["cl_BLU","cl_WHI"],"Items":["2Color","words2","words3","lets33","startT","with_y","BLUWHI","year19","NoBand","Circle","Center","Rotate","staWHI","NO_RED","NO_GRE","NO_YEL","NO_BLA","myrBLU","histor","HasSta","3+Star"],"Flag":"https://upload.wikimedia.org/wikipedia/commons/thumb/4/41/Flag_of_the_Trust_Territory_of_the_Pacific_Islands.svg/640px-Flag_of_the_Trust_Territory_of_the_Pacific_Islands.svg.png","HDFlag":"https://upload.wikimedia.org/wikipedia/commons/thumb/4/41/Flag_of_the_Trust_Territory_of_the_Pacific_Islands.svg/640px-Flag_of_the_Trust_Territory_of_the_Pacific_Islands.svg.png","type":"Historical", "describe": "\nA circle of six white stars on a blue background. The six stars represented the six districts: the Marianas, the Marshall Islands, Yap, Chuuk, Pohnpei, and Palau.", "isnew": ".", "links": "https://en.wikipedia.org/wiki/Flag_of_the_Trust_Territory_of_the_Pacific_Islands"},</v>
      </c>
      <c r="HO7" s="71">
        <v>45576</v>
      </c>
      <c r="HP7" s="44" t="str" cm="1">
        <f t="array" ref="HP7">IF(_xlfn.TEXTJOIN(", ", TRUE, IF(ISNUMBER(SEARCH("BLA", BL7:BT7)), COLUMN(BL7:BT7) - COLUMN(BL7) + 1, ""))&lt;&gt;"","BLA","")</f>
        <v/>
      </c>
      <c r="HQ7" s="44" t="str" cm="1">
        <f t="array" ref="HQ7">IF(_xlfn.TEXTJOIN(", ", TRUE, IF(ISNUMBER(SEARCH("BLU", BL7:BT7)), COLUMN(BL7:BT7) - COLUMN(BL7) + 1, ""))&lt;&gt;"","BLU","")</f>
        <v>BLU</v>
      </c>
      <c r="HR7" s="44" t="str" cm="1">
        <f t="array" ref="HR7">IF(_xlfn.TEXTJOIN(", ", TRUE, IF(ISNUMBER(SEARCH("GRE", BL7:BT7)), COLUMN(BL7:BT7) - COLUMN(BL7) + 1, ""))&lt;&gt;"","GRE","")</f>
        <v/>
      </c>
      <c r="HS7" s="44" t="str" cm="1">
        <f t="array" ref="HS7">IF(_xlfn.TEXTJOIN(", ", TRUE, IF(ISNUMBER(SEARCH("RED", BL7:BT7)), COLUMN(BL7:BT7) - COLUMN(BL7) + 1, ""))&lt;&gt;"","RED","")</f>
        <v/>
      </c>
      <c r="HT7" s="44" t="str" cm="1">
        <f t="array" ref="HT7">IF(_xlfn.TEXTJOIN(", ", TRUE, IF(ISNUMBER(SEARCH("YEL", BL7:BT7)), COLUMN(BL7:BT7) - COLUMN(BL7) + 1, ""))&lt;&gt;"","YEL","")</f>
        <v/>
      </c>
      <c r="HU7" s="44" t="str" cm="1">
        <f t="array" ref="HU7">IF(_xlfn.TEXTJOIN(", ", TRUE, IF(ISNUMBER(SEARCH("ORA", BL7:BT7)), COLUMN(BL7:BT7) - COLUMN(BL7) + 1, ""))&lt;&gt;"","ORA","")</f>
        <v/>
      </c>
      <c r="HV7" s="44" t="str" cm="1">
        <f t="array" ref="HV7">IF(_xlfn.TEXTJOIN(", ", TRUE, IF(ISNUMBER(SEARCH("BRO", BL7:BT7)), COLUMN(BL7:BT7) - COLUMN(BL7) + 1, ""))&lt;&gt;"","BRO","")</f>
        <v/>
      </c>
      <c r="HW7" s="44" t="str" cm="1">
        <f t="array" ref="HW7">IF(_xlfn.TEXTJOIN(", ", TRUE, IF(ISNUMBER(SEARCH("PUR", BL7:BT7)), COLUMN(BL7:BT7) - COLUMN(BL7) + 1, ""))&lt;&gt;"","PUR","")</f>
        <v/>
      </c>
      <c r="HX7" s="44" t="str" cm="1">
        <f t="array" ref="HX7">IF(_xlfn.TEXTJOIN(", ", TRUE, IF(ISNUMBER(SEARCH("WHI", BL7:BT7)), COLUMN(BL7:BT7) - COLUMN(BL7) + 1, ""))&lt;&gt;"","WHI","")</f>
        <v>WHI</v>
      </c>
      <c r="HY7" s="72"/>
      <c r="HZ7" s="72"/>
      <c r="IA7" s="5"/>
      <c r="IB7" s="5"/>
      <c r="IC7" s="68"/>
      <c r="ID7" s="68"/>
      <c r="IE7" s="68"/>
      <c r="IF7" s="68"/>
      <c r="IG7" s="68"/>
      <c r="IH7" s="68"/>
      <c r="II7" s="68"/>
      <c r="IJ7" s="68"/>
      <c r="IK7" s="68"/>
      <c r="IL7" s="44">
        <f t="shared" si="94"/>
        <v>0</v>
      </c>
      <c r="IM7" s="42">
        <f t="shared" si="95"/>
        <v>-2</v>
      </c>
      <c r="IN7" s="69" t="str">
        <f t="shared" si="96"/>
        <v>http://mkweb.bcgsc.ca/color-summarizer/?url=https://upload.wikimedia.org/wikipedia/commons/thumb/4/41/Flag_of_the_Trust_Territory_of_the_Pacific_Islands.svg/640px-Flag_of_the_Trust_Territory_of_the_Pacific_Islands.svg.png&amp;precision=low&amp;num_clusters=2&amp;text=1</v>
      </c>
      <c r="IO7" s="44" t="str">
        <f t="shared" si="97"/>
        <v/>
      </c>
      <c r="IP7" s="44" t="str">
        <f t="shared" si="98"/>
        <v>"blue"</v>
      </c>
      <c r="IQ7" s="44" t="str">
        <f t="shared" si="99"/>
        <v/>
      </c>
      <c r="IR7" s="44" t="str">
        <f t="shared" si="100"/>
        <v/>
      </c>
      <c r="IS7" s="44" t="str">
        <f t="shared" si="101"/>
        <v/>
      </c>
      <c r="IT7" s="44" t="str">
        <f t="shared" si="102"/>
        <v/>
      </c>
      <c r="IU7" s="44" t="str">
        <f t="shared" si="103"/>
        <v/>
      </c>
      <c r="IV7" s="44" t="str">
        <f t="shared" si="104"/>
        <v/>
      </c>
      <c r="IW7" s="44" t="str">
        <f t="shared" si="105"/>
        <v>"white"</v>
      </c>
      <c r="IX7" s="44" t="str">
        <f t="shared" si="106"/>
        <v>{"url":"http://mkweb.bcgsc.ca/color-summarizer/?url=https://upload.wikimedia.org/wikipedia/commons/thumb/4/41/Flag_of_the_Trust_Territory_of_the_Pacific_Islands.svg/640px-Flag_of_the_Trust_Territory_of_the_Pacific_Islands.svg.png&amp;precision=low&amp;num_clusters=2&amp;text=1","name":"[MIC] Trust Territory of the Pacific Islands (1947-1994)"},</v>
      </c>
      <c r="IY7" s="44">
        <v>641</v>
      </c>
    </row>
    <row r="8" spans="1:259" ht="38.4" customHeight="1" x14ac:dyDescent="0.3">
      <c r="D8" s="83"/>
      <c r="E8" s="83"/>
      <c r="F8" s="83"/>
      <c r="BW8" s="82">
        <v>0</v>
      </c>
      <c r="CE8" s="82">
        <v>0</v>
      </c>
      <c r="CF8" s="82" t="e">
        <v>#REF!</v>
      </c>
      <c r="GE8" s="82" t="str">
        <f t="shared" si="75"/>
        <v/>
      </c>
      <c r="GG8" s="82" t="str">
        <f t="shared" si="76"/>
        <v/>
      </c>
      <c r="GH8" s="82" t="str">
        <f t="shared" si="77"/>
        <v/>
      </c>
      <c r="GI8" s="82" t="str">
        <f t="shared" si="78"/>
        <v/>
      </c>
    </row>
    <row r="9" spans="1:259" ht="38.4" customHeight="1" x14ac:dyDescent="0.3">
      <c r="D9" s="83"/>
      <c r="E9" s="83"/>
      <c r="F9" s="83"/>
      <c r="BW9" s="82">
        <v>0</v>
      </c>
      <c r="CE9" s="82">
        <v>0</v>
      </c>
      <c r="CF9" s="82" t="e">
        <v>#REF!</v>
      </c>
      <c r="GE9" s="82" t="str">
        <f t="shared" si="75"/>
        <v/>
      </c>
      <c r="GG9" s="82" t="str">
        <f t="shared" si="76"/>
        <v/>
      </c>
      <c r="GH9" s="82" t="str">
        <f t="shared" si="77"/>
        <v/>
      </c>
      <c r="GI9" s="82" t="str">
        <f t="shared" si="78"/>
        <v/>
      </c>
    </row>
    <row r="10" spans="1:259" ht="38.4" customHeight="1" x14ac:dyDescent="0.3">
      <c r="BW10" s="82">
        <v>0</v>
      </c>
      <c r="CE10" s="82">
        <v>0</v>
      </c>
      <c r="CF10" s="82" t="e">
        <v>#REF!</v>
      </c>
      <c r="GE10" s="82" t="str">
        <f t="shared" si="75"/>
        <v/>
      </c>
      <c r="GG10" s="82" t="str">
        <f t="shared" si="76"/>
        <v/>
      </c>
      <c r="GH10" s="82" t="str">
        <f t="shared" si="77"/>
        <v/>
      </c>
      <c r="GI10" s="82" t="str">
        <f t="shared" si="78"/>
        <v/>
      </c>
    </row>
    <row r="11" spans="1:259" ht="38.4" customHeight="1" x14ac:dyDescent="0.3">
      <c r="BW11" s="82">
        <v>0</v>
      </c>
      <c r="CE11" s="82">
        <v>0</v>
      </c>
      <c r="CF11" s="82" t="e">
        <v>#REF!</v>
      </c>
      <c r="GE11" s="82" t="str">
        <f t="shared" si="75"/>
        <v/>
      </c>
      <c r="GG11" s="82" t="str">
        <f t="shared" si="76"/>
        <v/>
      </c>
      <c r="GH11" s="82" t="str">
        <f t="shared" si="77"/>
        <v/>
      </c>
      <c r="GI11" s="82" t="str">
        <f t="shared" si="78"/>
        <v/>
      </c>
    </row>
    <row r="12" spans="1:259" ht="38.4" customHeight="1" x14ac:dyDescent="0.3">
      <c r="BW12" s="82">
        <v>0</v>
      </c>
      <c r="CE12" s="82">
        <v>0</v>
      </c>
      <c r="CF12" s="82" t="e">
        <v>#REF!</v>
      </c>
      <c r="GE12" s="82" t="str">
        <f t="shared" si="75"/>
        <v/>
      </c>
      <c r="GG12" s="82" t="str">
        <f t="shared" si="76"/>
        <v/>
      </c>
      <c r="GH12" s="82" t="str">
        <f t="shared" si="77"/>
        <v/>
      </c>
      <c r="GI12" s="82" t="str">
        <f t="shared" si="78"/>
        <v/>
      </c>
    </row>
    <row r="13" spans="1:259" ht="38.4" customHeight="1" x14ac:dyDescent="0.3">
      <c r="BW13" s="82">
        <v>0</v>
      </c>
      <c r="CE13" s="82">
        <v>0</v>
      </c>
      <c r="CF13" s="82" t="e">
        <v>#REF!</v>
      </c>
      <c r="GE13" s="82" t="str">
        <f t="shared" si="75"/>
        <v/>
      </c>
      <c r="GG13" s="82" t="str">
        <f t="shared" si="76"/>
        <v/>
      </c>
      <c r="GH13" s="82" t="str">
        <f t="shared" si="77"/>
        <v/>
      </c>
      <c r="GI13" s="82" t="str">
        <f t="shared" si="78"/>
        <v/>
      </c>
    </row>
    <row r="14" spans="1:259" ht="38.4" customHeight="1" x14ac:dyDescent="0.3">
      <c r="BW14" s="82">
        <v>0</v>
      </c>
      <c r="CE14" s="82">
        <v>0</v>
      </c>
      <c r="CF14" s="82" t="e">
        <v>#REF!</v>
      </c>
      <c r="GE14" s="82" t="str">
        <f t="shared" si="75"/>
        <v/>
      </c>
      <c r="GG14" s="82" t="str">
        <f t="shared" si="76"/>
        <v/>
      </c>
      <c r="GH14" s="82" t="str">
        <f t="shared" si="77"/>
        <v/>
      </c>
      <c r="GI14" s="82" t="str">
        <f t="shared" si="78"/>
        <v/>
      </c>
    </row>
    <row r="15" spans="1:259" ht="38.4" customHeight="1" x14ac:dyDescent="0.3">
      <c r="BW15" s="82">
        <v>0</v>
      </c>
      <c r="CE15" s="82">
        <v>0</v>
      </c>
      <c r="CF15" s="82" t="e">
        <v>#REF!</v>
      </c>
      <c r="GE15" s="82" t="str">
        <f t="shared" si="75"/>
        <v/>
      </c>
      <c r="GG15" s="82" t="str">
        <f t="shared" si="76"/>
        <v/>
      </c>
      <c r="GH15" s="82" t="str">
        <f t="shared" si="77"/>
        <v/>
      </c>
      <c r="GI15" s="82" t="str">
        <f t="shared" si="78"/>
        <v/>
      </c>
    </row>
    <row r="16" spans="1:259" ht="38.4" customHeight="1" x14ac:dyDescent="0.3">
      <c r="BW16" s="82">
        <v>0</v>
      </c>
      <c r="CE16" s="82">
        <v>0</v>
      </c>
      <c r="CF16" s="82" t="e">
        <v>#REF!</v>
      </c>
      <c r="GE16" s="82" t="str">
        <f t="shared" si="75"/>
        <v/>
      </c>
      <c r="GG16" s="82" t="str">
        <f t="shared" si="76"/>
        <v/>
      </c>
      <c r="GH16" s="82" t="str">
        <f t="shared" si="77"/>
        <v/>
      </c>
      <c r="GI16" s="82" t="str">
        <f t="shared" si="78"/>
        <v/>
      </c>
    </row>
    <row r="17" spans="75:191" ht="38.4" customHeight="1" x14ac:dyDescent="0.3">
      <c r="BW17" s="82">
        <v>0</v>
      </c>
      <c r="CE17" s="82">
        <v>0</v>
      </c>
      <c r="CF17" s="82" t="e">
        <v>#REF!</v>
      </c>
      <c r="GE17" s="82" t="str">
        <f t="shared" si="75"/>
        <v/>
      </c>
      <c r="GG17" s="82" t="str">
        <f t="shared" si="76"/>
        <v/>
      </c>
      <c r="GH17" s="82" t="str">
        <f t="shared" si="77"/>
        <v/>
      </c>
      <c r="GI17" s="82" t="str">
        <f t="shared" si="78"/>
        <v/>
      </c>
    </row>
    <row r="18" spans="75:191" ht="38.4" customHeight="1" x14ac:dyDescent="0.3">
      <c r="BW18" s="82">
        <v>0</v>
      </c>
      <c r="CE18" s="82">
        <v>0</v>
      </c>
      <c r="CF18" s="82" t="e">
        <v>#REF!</v>
      </c>
      <c r="GE18" s="82" t="str">
        <f t="shared" si="75"/>
        <v/>
      </c>
      <c r="GG18" s="82" t="str">
        <f t="shared" si="76"/>
        <v/>
      </c>
      <c r="GH18" s="82" t="str">
        <f t="shared" si="77"/>
        <v/>
      </c>
      <c r="GI18" s="82" t="str">
        <f t="shared" si="78"/>
        <v/>
      </c>
    </row>
    <row r="19" spans="75:191" ht="38.4" customHeight="1" x14ac:dyDescent="0.3">
      <c r="BW19" s="82">
        <v>0</v>
      </c>
      <c r="CE19" s="82">
        <v>0</v>
      </c>
      <c r="CF19" s="82" t="e">
        <v>#REF!</v>
      </c>
      <c r="GE19" s="82" t="str">
        <f t="shared" si="75"/>
        <v/>
      </c>
      <c r="GG19" s="82" t="str">
        <f t="shared" si="76"/>
        <v/>
      </c>
      <c r="GH19" s="82" t="str">
        <f t="shared" si="77"/>
        <v/>
      </c>
      <c r="GI19" s="82" t="str">
        <f t="shared" si="78"/>
        <v/>
      </c>
    </row>
    <row r="20" spans="75:191" ht="38.4" customHeight="1" x14ac:dyDescent="0.3">
      <c r="BW20" s="82">
        <v>0</v>
      </c>
      <c r="CE20" s="82">
        <v>0</v>
      </c>
      <c r="CF20" s="82" t="e">
        <v>#REF!</v>
      </c>
      <c r="GE20" s="82" t="str">
        <f t="shared" si="75"/>
        <v/>
      </c>
      <c r="GG20" s="82" t="str">
        <f t="shared" si="76"/>
        <v/>
      </c>
      <c r="GH20" s="82" t="str">
        <f t="shared" si="77"/>
        <v/>
      </c>
      <c r="GI20" s="82" t="str">
        <f t="shared" si="78"/>
        <v/>
      </c>
    </row>
    <row r="21" spans="75:191" ht="38.4" customHeight="1" x14ac:dyDescent="0.3">
      <c r="BW21" s="82">
        <v>0</v>
      </c>
      <c r="CE21" s="82">
        <v>0</v>
      </c>
      <c r="CF21" s="82" t="e">
        <v>#REF!</v>
      </c>
      <c r="GE21" s="82" t="str">
        <f t="shared" si="75"/>
        <v/>
      </c>
      <c r="GG21" s="82" t="str">
        <f t="shared" si="76"/>
        <v/>
      </c>
      <c r="GH21" s="82" t="str">
        <f t="shared" si="77"/>
        <v/>
      </c>
      <c r="GI21" s="82" t="str">
        <f t="shared" si="78"/>
        <v/>
      </c>
    </row>
    <row r="22" spans="75:191" ht="38.4" customHeight="1" x14ac:dyDescent="0.3">
      <c r="BW22" s="82">
        <v>0</v>
      </c>
      <c r="CE22" s="82">
        <v>0</v>
      </c>
      <c r="CF22" s="82" t="e">
        <v>#REF!</v>
      </c>
      <c r="GE22" s="82" t="str">
        <f t="shared" si="75"/>
        <v/>
      </c>
      <c r="GG22" s="82" t="str">
        <f t="shared" si="76"/>
        <v/>
      </c>
      <c r="GH22" s="82" t="str">
        <f t="shared" si="77"/>
        <v/>
      </c>
      <c r="GI22" s="82" t="str">
        <f t="shared" si="78"/>
        <v/>
      </c>
    </row>
    <row r="23" spans="75:191" ht="38.4" customHeight="1" x14ac:dyDescent="0.3">
      <c r="BW23" s="82">
        <v>0</v>
      </c>
      <c r="CE23" s="82">
        <v>0</v>
      </c>
      <c r="CF23" s="82" t="e">
        <v>#REF!</v>
      </c>
      <c r="GE23" s="82" t="str">
        <f t="shared" si="75"/>
        <v/>
      </c>
      <c r="GG23" s="82" t="str">
        <f t="shared" si="76"/>
        <v/>
      </c>
      <c r="GH23" s="82" t="str">
        <f t="shared" si="77"/>
        <v/>
      </c>
      <c r="GI23" s="82" t="str">
        <f t="shared" si="78"/>
        <v/>
      </c>
    </row>
    <row r="24" spans="75:191" ht="38.4" customHeight="1" x14ac:dyDescent="0.3">
      <c r="BW24" s="82">
        <v>0</v>
      </c>
      <c r="CE24" s="82">
        <v>0</v>
      </c>
      <c r="CF24" s="82" t="e">
        <v>#REF!</v>
      </c>
      <c r="GE24" s="82" t="str">
        <f t="shared" si="75"/>
        <v/>
      </c>
      <c r="GG24" s="82" t="str">
        <f t="shared" si="76"/>
        <v/>
      </c>
      <c r="GH24" s="82" t="str">
        <f t="shared" si="77"/>
        <v/>
      </c>
      <c r="GI24" s="82" t="str">
        <f t="shared" si="78"/>
        <v/>
      </c>
    </row>
    <row r="25" spans="75:191" ht="38.4" customHeight="1" x14ac:dyDescent="0.3">
      <c r="BW25" s="82">
        <v>0</v>
      </c>
      <c r="CE25" s="82">
        <v>0</v>
      </c>
      <c r="CF25" s="82" t="e">
        <v>#REF!</v>
      </c>
      <c r="GE25" s="82" t="str">
        <f t="shared" si="75"/>
        <v/>
      </c>
      <c r="GG25" s="82" t="str">
        <f t="shared" si="76"/>
        <v/>
      </c>
      <c r="GH25" s="82" t="str">
        <f t="shared" si="77"/>
        <v/>
      </c>
      <c r="GI25" s="82" t="str">
        <f t="shared" si="78"/>
        <v/>
      </c>
    </row>
    <row r="26" spans="75:191" ht="38.4" customHeight="1" x14ac:dyDescent="0.3">
      <c r="BW26" s="82">
        <v>0</v>
      </c>
      <c r="CE26" s="82">
        <v>0</v>
      </c>
      <c r="CF26" s="82" t="e">
        <v>#REF!</v>
      </c>
      <c r="GE26" s="82" t="str">
        <f t="shared" si="75"/>
        <v/>
      </c>
      <c r="GG26" s="82" t="str">
        <f t="shared" si="76"/>
        <v/>
      </c>
      <c r="GH26" s="82" t="str">
        <f t="shared" si="77"/>
        <v/>
      </c>
      <c r="GI26" s="82" t="str">
        <f t="shared" si="78"/>
        <v/>
      </c>
    </row>
    <row r="27" spans="75:191" ht="38.4" customHeight="1" x14ac:dyDescent="0.3">
      <c r="BW27" s="82">
        <v>0</v>
      </c>
      <c r="CE27" s="82">
        <v>0</v>
      </c>
      <c r="CF27" s="82" t="e">
        <v>#REF!</v>
      </c>
      <c r="GE27" s="82" t="str">
        <f t="shared" si="75"/>
        <v/>
      </c>
      <c r="GG27" s="82" t="str">
        <f t="shared" si="76"/>
        <v/>
      </c>
      <c r="GH27" s="82" t="str">
        <f t="shared" si="77"/>
        <v/>
      </c>
      <c r="GI27" s="82" t="str">
        <f t="shared" si="78"/>
        <v/>
      </c>
    </row>
    <row r="28" spans="75:191" ht="38.4" customHeight="1" x14ac:dyDescent="0.3">
      <c r="BW28" s="82">
        <v>0</v>
      </c>
      <c r="CE28" s="82">
        <v>0</v>
      </c>
      <c r="CF28" s="82" t="e">
        <v>#REF!</v>
      </c>
      <c r="GE28" s="82" t="str">
        <f t="shared" si="75"/>
        <v/>
      </c>
      <c r="GG28" s="82" t="str">
        <f t="shared" si="76"/>
        <v/>
      </c>
      <c r="GH28" s="82" t="str">
        <f t="shared" si="77"/>
        <v/>
      </c>
      <c r="GI28" s="82" t="str">
        <f t="shared" si="78"/>
        <v/>
      </c>
    </row>
    <row r="29" spans="75:191" ht="38.4" customHeight="1" x14ac:dyDescent="0.3">
      <c r="BW29" s="82">
        <v>0</v>
      </c>
      <c r="CE29" s="82">
        <v>0</v>
      </c>
      <c r="CF29" s="82" t="e">
        <v>#REF!</v>
      </c>
      <c r="GE29" s="82" t="str">
        <f t="shared" si="75"/>
        <v/>
      </c>
      <c r="GG29" s="82" t="str">
        <f t="shared" si="76"/>
        <v/>
      </c>
      <c r="GH29" s="82" t="str">
        <f t="shared" si="77"/>
        <v/>
      </c>
      <c r="GI29" s="82" t="str">
        <f t="shared" si="78"/>
        <v/>
      </c>
    </row>
    <row r="30" spans="75:191" ht="38.4" customHeight="1" x14ac:dyDescent="0.3">
      <c r="BW30" s="82">
        <v>0</v>
      </c>
      <c r="CE30" s="82">
        <v>0</v>
      </c>
      <c r="CF30" s="82" t="e">
        <v>#REF!</v>
      </c>
      <c r="GE30" s="82" t="str">
        <f t="shared" si="75"/>
        <v/>
      </c>
      <c r="GG30" s="82" t="str">
        <f t="shared" si="76"/>
        <v/>
      </c>
      <c r="GH30" s="82" t="str">
        <f t="shared" si="77"/>
        <v/>
      </c>
      <c r="GI30" s="82" t="str">
        <f t="shared" si="78"/>
        <v/>
      </c>
    </row>
    <row r="31" spans="75:191" ht="38.4" customHeight="1" x14ac:dyDescent="0.3">
      <c r="BW31" s="82">
        <v>0</v>
      </c>
      <c r="CE31" s="82">
        <v>0</v>
      </c>
      <c r="CF31" s="82" t="e">
        <v>#REF!</v>
      </c>
      <c r="GE31" s="82" t="str">
        <f t="shared" si="75"/>
        <v/>
      </c>
      <c r="GG31" s="82" t="str">
        <f t="shared" si="76"/>
        <v/>
      </c>
      <c r="GH31" s="82" t="str">
        <f t="shared" si="77"/>
        <v/>
      </c>
      <c r="GI31" s="82" t="str">
        <f t="shared" si="78"/>
        <v/>
      </c>
    </row>
    <row r="32" spans="75:191" ht="38.4" customHeight="1" x14ac:dyDescent="0.3">
      <c r="BW32" s="82">
        <v>0</v>
      </c>
      <c r="CE32" s="82">
        <v>0</v>
      </c>
      <c r="CF32" s="82" t="e">
        <v>#REF!</v>
      </c>
      <c r="GE32" s="82" t="str">
        <f t="shared" si="75"/>
        <v/>
      </c>
      <c r="GG32" s="82" t="str">
        <f t="shared" si="76"/>
        <v/>
      </c>
      <c r="GH32" s="82" t="str">
        <f t="shared" si="77"/>
        <v/>
      </c>
      <c r="GI32" s="82" t="str">
        <f t="shared" si="78"/>
        <v/>
      </c>
    </row>
    <row r="33" spans="75:191" ht="38.4" customHeight="1" x14ac:dyDescent="0.3">
      <c r="BW33" s="82">
        <v>0</v>
      </c>
      <c r="CE33" s="82">
        <v>0</v>
      </c>
      <c r="CF33" s="82" t="e">
        <v>#REF!</v>
      </c>
      <c r="GE33" s="82" t="str">
        <f t="shared" si="75"/>
        <v/>
      </c>
      <c r="GG33" s="82" t="str">
        <f t="shared" si="76"/>
        <v/>
      </c>
      <c r="GH33" s="82" t="str">
        <f t="shared" si="77"/>
        <v/>
      </c>
      <c r="GI33" s="82" t="str">
        <f t="shared" si="78"/>
        <v/>
      </c>
    </row>
    <row r="34" spans="75:191" ht="38.4" customHeight="1" x14ac:dyDescent="0.3">
      <c r="BW34" s="82">
        <v>0</v>
      </c>
      <c r="CE34" s="82">
        <v>0</v>
      </c>
      <c r="CF34" s="82" t="e">
        <v>#REF!</v>
      </c>
      <c r="GE34" s="82" t="str">
        <f t="shared" si="75"/>
        <v/>
      </c>
      <c r="GG34" s="82" t="str">
        <f t="shared" si="76"/>
        <v/>
      </c>
      <c r="GH34" s="82" t="str">
        <f t="shared" si="77"/>
        <v/>
      </c>
      <c r="GI34" s="82" t="str">
        <f t="shared" si="78"/>
        <v/>
      </c>
    </row>
    <row r="35" spans="75:191" ht="38.4" customHeight="1" x14ac:dyDescent="0.3">
      <c r="BW35" s="82">
        <v>0</v>
      </c>
      <c r="CE35" s="82">
        <v>0</v>
      </c>
      <c r="CF35" s="82" t="e">
        <v>#REF!</v>
      </c>
      <c r="GE35" s="82" t="str">
        <f t="shared" si="75"/>
        <v/>
      </c>
      <c r="GG35" s="82" t="str">
        <f t="shared" si="76"/>
        <v/>
      </c>
      <c r="GH35" s="82" t="str">
        <f t="shared" si="77"/>
        <v/>
      </c>
      <c r="GI35" s="82" t="str">
        <f t="shared" si="78"/>
        <v/>
      </c>
    </row>
    <row r="36" spans="75:191" ht="38.4" customHeight="1" x14ac:dyDescent="0.3">
      <c r="BW36" s="82">
        <v>0</v>
      </c>
      <c r="CE36" s="82">
        <v>0</v>
      </c>
      <c r="CF36" s="82" t="e">
        <v>#REF!</v>
      </c>
      <c r="GE36" s="82" t="str">
        <f t="shared" si="75"/>
        <v/>
      </c>
      <c r="GG36" s="82" t="str">
        <f t="shared" si="76"/>
        <v/>
      </c>
      <c r="GH36" s="82" t="str">
        <f t="shared" si="77"/>
        <v/>
      </c>
      <c r="GI36" s="82" t="str">
        <f t="shared" si="78"/>
        <v/>
      </c>
    </row>
    <row r="37" spans="75:191" ht="38.4" customHeight="1" x14ac:dyDescent="0.3">
      <c r="BW37" s="82">
        <v>0</v>
      </c>
      <c r="CE37" s="82">
        <v>0</v>
      </c>
      <c r="CF37" s="82" t="e">
        <v>#REF!</v>
      </c>
      <c r="GE37" s="82" t="str">
        <f t="shared" si="75"/>
        <v/>
      </c>
      <c r="GG37" s="82" t="str">
        <f t="shared" si="76"/>
        <v/>
      </c>
      <c r="GH37" s="82" t="str">
        <f t="shared" si="77"/>
        <v/>
      </c>
      <c r="GI37" s="82" t="str">
        <f t="shared" si="78"/>
        <v/>
      </c>
    </row>
    <row r="38" spans="75:191" ht="38.4" customHeight="1" x14ac:dyDescent="0.3">
      <c r="BW38" s="82">
        <v>0</v>
      </c>
      <c r="CE38" s="82">
        <v>0</v>
      </c>
      <c r="CF38" s="82" t="e">
        <v>#REF!</v>
      </c>
      <c r="GE38" s="82" t="str">
        <f t="shared" si="75"/>
        <v/>
      </c>
      <c r="GG38" s="82" t="str">
        <f t="shared" si="76"/>
        <v/>
      </c>
      <c r="GH38" s="82" t="str">
        <f t="shared" si="77"/>
        <v/>
      </c>
      <c r="GI38" s="82" t="str">
        <f t="shared" si="78"/>
        <v/>
      </c>
    </row>
    <row r="39" spans="75:191" ht="38.4" customHeight="1" x14ac:dyDescent="0.3">
      <c r="BW39" s="82">
        <v>0</v>
      </c>
      <c r="CE39" s="82">
        <v>0</v>
      </c>
      <c r="CF39" s="82" t="e">
        <v>#REF!</v>
      </c>
      <c r="GE39" s="82" t="str">
        <f t="shared" si="75"/>
        <v/>
      </c>
      <c r="GG39" s="82" t="str">
        <f t="shared" si="76"/>
        <v/>
      </c>
      <c r="GH39" s="82" t="str">
        <f t="shared" si="77"/>
        <v/>
      </c>
      <c r="GI39" s="82" t="str">
        <f t="shared" si="78"/>
        <v/>
      </c>
    </row>
    <row r="40" spans="75:191" ht="38.4" customHeight="1" x14ac:dyDescent="0.3">
      <c r="BW40" s="82">
        <v>0</v>
      </c>
      <c r="CE40" s="82">
        <v>0</v>
      </c>
      <c r="CF40" s="82" t="e">
        <v>#REF!</v>
      </c>
      <c r="GE40" s="82" t="str">
        <f t="shared" si="75"/>
        <v/>
      </c>
      <c r="GG40" s="82" t="str">
        <f t="shared" si="76"/>
        <v/>
      </c>
      <c r="GH40" s="82" t="str">
        <f t="shared" si="77"/>
        <v/>
      </c>
      <c r="GI40" s="82" t="str">
        <f t="shared" si="78"/>
        <v/>
      </c>
    </row>
    <row r="41" spans="75:191" ht="38.4" customHeight="1" x14ac:dyDescent="0.3">
      <c r="BW41" s="82">
        <v>0</v>
      </c>
      <c r="CE41" s="82">
        <v>0</v>
      </c>
      <c r="CF41" s="82" t="e">
        <v>#REF!</v>
      </c>
      <c r="GE41" s="82" t="str">
        <f t="shared" si="75"/>
        <v/>
      </c>
      <c r="GG41" s="82" t="str">
        <f t="shared" si="76"/>
        <v/>
      </c>
      <c r="GH41" s="82" t="str">
        <f t="shared" si="77"/>
        <v/>
      </c>
      <c r="GI41" s="82" t="str">
        <f t="shared" si="78"/>
        <v/>
      </c>
    </row>
    <row r="42" spans="75:191" ht="38.4" customHeight="1" x14ac:dyDescent="0.3">
      <c r="BW42" s="82">
        <v>0</v>
      </c>
      <c r="CE42" s="82">
        <v>0</v>
      </c>
      <c r="CF42" s="82" t="e">
        <v>#REF!</v>
      </c>
      <c r="GE42" s="82" t="str">
        <f t="shared" si="75"/>
        <v/>
      </c>
      <c r="GG42" s="82" t="str">
        <f t="shared" si="76"/>
        <v/>
      </c>
      <c r="GH42" s="82" t="str">
        <f t="shared" si="77"/>
        <v/>
      </c>
      <c r="GI42" s="82" t="str">
        <f t="shared" si="78"/>
        <v/>
      </c>
    </row>
    <row r="43" spans="75:191" ht="38.4" customHeight="1" x14ac:dyDescent="0.3">
      <c r="BW43" s="82">
        <v>0</v>
      </c>
      <c r="CE43" s="82">
        <v>0</v>
      </c>
      <c r="CF43" s="82" t="e">
        <v>#REF!</v>
      </c>
      <c r="GE43" s="82" t="str">
        <f t="shared" si="75"/>
        <v/>
      </c>
      <c r="GG43" s="82" t="str">
        <f t="shared" si="76"/>
        <v/>
      </c>
      <c r="GH43" s="82" t="str">
        <f t="shared" si="77"/>
        <v/>
      </c>
      <c r="GI43" s="82" t="str">
        <f t="shared" si="78"/>
        <v/>
      </c>
    </row>
    <row r="44" spans="75:191" ht="38.4" customHeight="1" x14ac:dyDescent="0.3">
      <c r="BW44" s="82">
        <v>0</v>
      </c>
      <c r="CE44" s="82">
        <v>0</v>
      </c>
      <c r="CF44" s="82" t="e">
        <v>#REF!</v>
      </c>
      <c r="GE44" s="82" t="str">
        <f t="shared" si="75"/>
        <v/>
      </c>
      <c r="GG44" s="82" t="str">
        <f t="shared" si="76"/>
        <v/>
      </c>
      <c r="GH44" s="82" t="str">
        <f t="shared" si="77"/>
        <v/>
      </c>
      <c r="GI44" s="82" t="str">
        <f t="shared" si="78"/>
        <v/>
      </c>
    </row>
    <row r="45" spans="75:191" ht="38.4" customHeight="1" x14ac:dyDescent="0.3">
      <c r="BW45" s="82">
        <v>0</v>
      </c>
      <c r="CE45" s="82">
        <v>0</v>
      </c>
      <c r="CF45" s="82" t="e">
        <v>#REF!</v>
      </c>
      <c r="GE45" s="82" t="str">
        <f t="shared" si="75"/>
        <v/>
      </c>
      <c r="GG45" s="82" t="str">
        <f t="shared" si="76"/>
        <v/>
      </c>
      <c r="GH45" s="82" t="str">
        <f t="shared" si="77"/>
        <v/>
      </c>
      <c r="GI45" s="82" t="str">
        <f t="shared" si="78"/>
        <v/>
      </c>
    </row>
    <row r="46" spans="75:191" ht="38.4" customHeight="1" x14ac:dyDescent="0.3">
      <c r="BW46" s="82">
        <v>0</v>
      </c>
      <c r="CE46" s="82">
        <v>0</v>
      </c>
      <c r="CF46" s="82" t="e">
        <v>#REF!</v>
      </c>
      <c r="GE46" s="82" t="str">
        <f t="shared" si="75"/>
        <v/>
      </c>
      <c r="GG46" s="82" t="str">
        <f t="shared" si="76"/>
        <v/>
      </c>
      <c r="GH46" s="82" t="str">
        <f t="shared" si="77"/>
        <v/>
      </c>
      <c r="GI46" s="82" t="str">
        <f t="shared" si="78"/>
        <v/>
      </c>
    </row>
    <row r="47" spans="75:191" ht="38.4" customHeight="1" x14ac:dyDescent="0.3">
      <c r="BW47" s="82">
        <v>0</v>
      </c>
      <c r="CE47" s="82">
        <v>0</v>
      </c>
      <c r="CF47" s="82" t="e">
        <v>#REF!</v>
      </c>
      <c r="GE47" s="82" t="str">
        <f t="shared" si="75"/>
        <v/>
      </c>
      <c r="GG47" s="82" t="str">
        <f t="shared" si="76"/>
        <v/>
      </c>
      <c r="GH47" s="82" t="str">
        <f t="shared" si="77"/>
        <v/>
      </c>
      <c r="GI47" s="82" t="str">
        <f t="shared" si="78"/>
        <v/>
      </c>
    </row>
  </sheetData>
  <autoFilter ref="A1:IY47" xr:uid="{A1051193-A95B-4CFB-A73C-F0184620C81F}">
    <sortState xmlns:xlrd2="http://schemas.microsoft.com/office/spreadsheetml/2017/richdata2" ref="A2:IY47">
      <sortCondition ref="AW1:AW47"/>
    </sortState>
  </autoFilter>
  <conditionalFormatting sqref="H1 CW1:GS1 IA1:IB1">
    <cfRule type="cellIs" dxfId="1357" priority="66" operator="greaterThan">
      <formula>0</formula>
    </cfRule>
  </conditionalFormatting>
  <conditionalFormatting sqref="H1:H1048576">
    <cfRule type="cellIs" dxfId="1356" priority="6" stopIfTrue="1" operator="notEqual">
      <formula>""</formula>
    </cfRule>
  </conditionalFormatting>
  <conditionalFormatting sqref="R2:R7 CU2:CU7">
    <cfRule type="cellIs" dxfId="1355" priority="8" operator="greaterThan">
      <formula>0</formula>
    </cfRule>
  </conditionalFormatting>
  <conditionalFormatting sqref="T2:AS7 CH2:CS7">
    <cfRule type="cellIs" dxfId="1354" priority="3" stopIfTrue="1" operator="equal">
      <formula>"n"</formula>
    </cfRule>
    <cfRule type="cellIs" dxfId="1353" priority="4" stopIfTrue="1" operator="equal">
      <formula>"y"</formula>
    </cfRule>
    <cfRule type="cellIs" dxfId="1352" priority="5" operator="greaterThan">
      <formula>0</formula>
    </cfRule>
  </conditionalFormatting>
  <conditionalFormatting sqref="T1:BK1">
    <cfRule type="cellIs" dxfId="1351" priority="69" operator="greaterThan">
      <formula>0</formula>
    </cfRule>
  </conditionalFormatting>
  <conditionalFormatting sqref="AZ2:BB7">
    <cfRule type="expression" dxfId="1350" priority="2">
      <formula>$AT2=0</formula>
    </cfRule>
  </conditionalFormatting>
  <conditionalFormatting sqref="AZ2:BU7">
    <cfRule type="cellIs" dxfId="1349" priority="44" operator="equal">
      <formula>"PIN"</formula>
    </cfRule>
    <cfRule type="cellIs" dxfId="1348" priority="45" operator="equal">
      <formula>"ORA"</formula>
    </cfRule>
    <cfRule type="cellIs" dxfId="1347" priority="46" operator="equal">
      <formula>"GRA"</formula>
    </cfRule>
    <cfRule type="cellIs" dxfId="1346" priority="47" operator="equal">
      <formula>"PUR"</formula>
    </cfRule>
    <cfRule type="cellIs" dxfId="1345" priority="48" operator="equal">
      <formula>"BRO"</formula>
    </cfRule>
    <cfRule type="cellIs" dxfId="1344" priority="49" operator="equal">
      <formula>"YEL"</formula>
    </cfRule>
    <cfRule type="cellIs" dxfId="1343" priority="50" operator="equal">
      <formula>"BLU"</formula>
    </cfRule>
    <cfRule type="cellIs" dxfId="1342" priority="51" operator="equal">
      <formula>"WHI"</formula>
    </cfRule>
    <cfRule type="cellIs" dxfId="1341" priority="52" operator="equal">
      <formula>"GRE"</formula>
    </cfRule>
    <cfRule type="cellIs" dxfId="1340" priority="53" operator="equal">
      <formula>"RED"</formula>
    </cfRule>
    <cfRule type="cellIs" dxfId="1339" priority="54" operator="equal">
      <formula>"BLA"</formula>
    </cfRule>
  </conditionalFormatting>
  <conditionalFormatting sqref="BV1:BW1048576">
    <cfRule type="cellIs" dxfId="1338" priority="68" operator="equal">
      <formula>"nc"</formula>
    </cfRule>
  </conditionalFormatting>
  <conditionalFormatting sqref="BX2:CA7 CD2:CF7">
    <cfRule type="cellIs" dxfId="1337" priority="7" operator="equal">
      <formula>"y"</formula>
    </cfRule>
    <cfRule type="cellIs" dxfId="1336" priority="55" operator="equal">
      <formula>"PIN"</formula>
    </cfRule>
    <cfRule type="cellIs" dxfId="1335" priority="56" operator="equal">
      <formula>"ORA"</formula>
    </cfRule>
    <cfRule type="cellIs" dxfId="1334" priority="57" operator="equal">
      <formula>"GRA"</formula>
    </cfRule>
    <cfRule type="cellIs" dxfId="1333" priority="58" operator="equal">
      <formula>"PUR"</formula>
    </cfRule>
    <cfRule type="cellIs" dxfId="1332" priority="59" operator="equal">
      <formula>"BRO"</formula>
    </cfRule>
    <cfRule type="cellIs" dxfId="1331" priority="60" operator="equal">
      <formula>"YEL"</formula>
    </cfRule>
    <cfRule type="cellIs" dxfId="1330" priority="61" operator="equal">
      <formula>"BLU"</formula>
    </cfRule>
    <cfRule type="cellIs" dxfId="1329" priority="62" operator="equal">
      <formula>"WHI"</formula>
    </cfRule>
    <cfRule type="cellIs" dxfId="1328" priority="63" operator="equal">
      <formula>"GRE"</formula>
    </cfRule>
    <cfRule type="cellIs" dxfId="1327" priority="64" operator="equal">
      <formula>"RED"</formula>
    </cfRule>
    <cfRule type="cellIs" dxfId="1326" priority="65" operator="equal">
      <formula>"BLA"</formula>
    </cfRule>
  </conditionalFormatting>
  <conditionalFormatting sqref="BZ2:CA7 CD2:CF7">
    <cfRule type="cellIs" dxfId="1325" priority="9" operator="greaterThan">
      <formula>0</formula>
    </cfRule>
  </conditionalFormatting>
  <conditionalFormatting sqref="HF1:HG1">
    <cfRule type="cellIs" dxfId="1324" priority="70" operator="greaterThan">
      <formula>0</formula>
    </cfRule>
  </conditionalFormatting>
  <conditionalFormatting sqref="HK1">
    <cfRule type="cellIs" dxfId="1323" priority="67" operator="greaterThan">
      <formula>0</formula>
    </cfRule>
  </conditionalFormatting>
  <conditionalFormatting sqref="HP1:HX1">
    <cfRule type="cellIs" dxfId="1322" priority="21" operator="equal">
      <formula>"PIN"</formula>
    </cfRule>
    <cfRule type="cellIs" dxfId="1321" priority="22" operator="equal">
      <formula>"ORA"</formula>
    </cfRule>
    <cfRule type="cellIs" dxfId="1320" priority="23" operator="equal">
      <formula>"GRA"</formula>
    </cfRule>
    <cfRule type="cellIs" dxfId="1319" priority="24" operator="equal">
      <formula>"PUR"</formula>
    </cfRule>
    <cfRule type="cellIs" dxfId="1318" priority="25" operator="equal">
      <formula>"BRO"</formula>
    </cfRule>
    <cfRule type="cellIs" dxfId="1317" priority="26" operator="equal">
      <formula>"YEL"</formula>
    </cfRule>
    <cfRule type="cellIs" dxfId="1316" priority="27" operator="equal">
      <formula>"BLU"</formula>
    </cfRule>
    <cfRule type="cellIs" dxfId="1315" priority="28" operator="equal">
      <formula>"WHI"</formula>
    </cfRule>
    <cfRule type="cellIs" dxfId="1314" priority="29" operator="equal">
      <formula>"GRE"</formula>
    </cfRule>
    <cfRule type="cellIs" dxfId="1313" priority="30" operator="equal">
      <formula>"RED"</formula>
    </cfRule>
    <cfRule type="cellIs" dxfId="1312" priority="31" operator="equal">
      <formula>"BLA"</formula>
    </cfRule>
  </conditionalFormatting>
  <conditionalFormatting sqref="IC1:IK1">
    <cfRule type="cellIs" dxfId="1311" priority="33" operator="equal">
      <formula>"PIN"</formula>
    </cfRule>
    <cfRule type="cellIs" dxfId="1310" priority="34" operator="equal">
      <formula>"ORA"</formula>
    </cfRule>
    <cfRule type="cellIs" dxfId="1309" priority="35" operator="equal">
      <formula>"GRA"</formula>
    </cfRule>
    <cfRule type="cellIs" dxfId="1308" priority="36" operator="equal">
      <formula>"PUR"</formula>
    </cfRule>
    <cfRule type="cellIs" dxfId="1307" priority="37" operator="equal">
      <formula>"BRO"</formula>
    </cfRule>
    <cfRule type="cellIs" dxfId="1306" priority="38" operator="equal">
      <formula>"YEL"</formula>
    </cfRule>
    <cfRule type="cellIs" dxfId="1305" priority="39" operator="equal">
      <formula>"BLU"</formula>
    </cfRule>
    <cfRule type="cellIs" dxfId="1304" priority="40" operator="equal">
      <formula>"WHI"</formula>
    </cfRule>
    <cfRule type="cellIs" dxfId="1303" priority="41" operator="equal">
      <formula>"GRE"</formula>
    </cfRule>
    <cfRule type="cellIs" dxfId="1302" priority="42" operator="equal">
      <formula>"RED"</formula>
    </cfRule>
    <cfRule type="cellIs" dxfId="1301" priority="43" operator="equal">
      <formula>"BLA"</formula>
    </cfRule>
  </conditionalFormatting>
  <conditionalFormatting sqref="IC2:IK7">
    <cfRule type="expression" dxfId="1300" priority="32">
      <formula>$IL2&gt;0</formula>
    </cfRule>
  </conditionalFormatting>
  <conditionalFormatting sqref="IO1:IW1">
    <cfRule type="cellIs" dxfId="1299" priority="10" operator="equal">
      <formula>"PIN"</formula>
    </cfRule>
    <cfRule type="cellIs" dxfId="1298" priority="11" operator="equal">
      <formula>"ORA"</formula>
    </cfRule>
    <cfRule type="cellIs" dxfId="1297" priority="12" operator="equal">
      <formula>"GRA"</formula>
    </cfRule>
    <cfRule type="cellIs" dxfId="1296" priority="13" operator="equal">
      <formula>"PUR"</formula>
    </cfRule>
    <cfRule type="cellIs" dxfId="1295" priority="14" operator="equal">
      <formula>"BRO"</formula>
    </cfRule>
    <cfRule type="cellIs" dxfId="1294" priority="15" operator="equal">
      <formula>"YEL"</formula>
    </cfRule>
    <cfRule type="cellIs" dxfId="1293" priority="16" operator="equal">
      <formula>"BLU"</formula>
    </cfRule>
    <cfRule type="cellIs" dxfId="1292" priority="17" operator="equal">
      <formula>"WHI"</formula>
    </cfRule>
    <cfRule type="cellIs" dxfId="1291" priority="18" operator="equal">
      <formula>"GRE"</formula>
    </cfRule>
    <cfRule type="cellIs" dxfId="1290" priority="19" operator="equal">
      <formula>"RED"</formula>
    </cfRule>
    <cfRule type="cellIs" dxfId="1289" priority="20" operator="equal">
      <formula>"BLA"</formula>
    </cfRule>
  </conditionalFormatting>
  <conditionalFormatting sqref="S2:S7">
    <cfRule type="colorScale" priority="1559">
      <colorScale>
        <cfvo type="min"/>
        <cfvo type="max"/>
        <color rgb="FFFCFCFF"/>
        <color rgb="FF754BFB"/>
      </colorScale>
    </cfRule>
  </conditionalFormatting>
  <conditionalFormatting sqref="AT2:AT7">
    <cfRule type="colorScale" priority="1560">
      <colorScale>
        <cfvo type="min"/>
        <cfvo type="max"/>
        <color rgb="FFFCFCFF"/>
        <color theme="8" tint="0.39997558519241921"/>
      </colorScale>
    </cfRule>
  </conditionalFormatting>
  <conditionalFormatting sqref="CG2:CG7">
    <cfRule type="colorScale" priority="1561">
      <colorScale>
        <cfvo type="min"/>
        <cfvo type="max"/>
        <color rgb="FFFCFCFF"/>
        <color rgb="FF63BE7B"/>
      </colorScale>
    </cfRule>
  </conditionalFormatting>
  <conditionalFormatting sqref="J2:J7">
    <cfRule type="colorScale" priority="1">
      <colorScale>
        <cfvo type="min"/>
        <cfvo type="percentile" val="50"/>
        <cfvo type="max"/>
        <color rgb="FFF8696B"/>
        <color rgb="FFFFEB84"/>
        <color rgb="FF63BE7B"/>
      </colorScale>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InsertImagesFromSelectedRange">
                <anchor moveWithCells="1" sizeWithCells="1">
                  <from>
                    <xdr:col>1</xdr:col>
                    <xdr:colOff>76200</xdr:colOff>
                    <xdr:row>0</xdr:row>
                    <xdr:rowOff>7620</xdr:rowOff>
                  </from>
                  <to>
                    <xdr:col>2</xdr:col>
                    <xdr:colOff>0</xdr:colOff>
                    <xdr:row>0</xdr:row>
                    <xdr:rowOff>487680</xdr:rowOff>
                  </to>
                </anchor>
              </controlPr>
            </control>
          </mc:Choice>
        </mc:AlternateContent>
        <mc:AlternateContent xmlns:mc="http://schemas.openxmlformats.org/markup-compatibility/2006">
          <mc:Choice Requires="x14">
            <control shapeId="12290" r:id="rId5" name="Button 2">
              <controlPr defaultSize="0" print="0" autoFill="0" autoPict="0" macro="[0]!ReplaceLineBreaksWithNewLineManualRange">
                <anchor moveWithCells="1" sizeWithCells="1">
                  <from>
                    <xdr:col>7</xdr:col>
                    <xdr:colOff>15240</xdr:colOff>
                    <xdr:row>0</xdr:row>
                    <xdr:rowOff>45720</xdr:rowOff>
                  </from>
                  <to>
                    <xdr:col>7</xdr:col>
                    <xdr:colOff>685800</xdr:colOff>
                    <xdr:row>0</xdr:row>
                    <xdr:rowOff>403860</xdr:rowOff>
                  </to>
                </anchor>
              </controlPr>
            </control>
          </mc:Choice>
        </mc:AlternateContent>
        <mc:AlternateContent xmlns:mc="http://schemas.openxmlformats.org/markup-compatibility/2006">
          <mc:Choice Requires="x14">
            <control shapeId="12291" r:id="rId6" name="Button 3">
              <controlPr defaultSize="0" print="0" autoFill="0" autoPict="0" macro="[0]!GoToSheet">
                <anchor moveWithCells="1" sizeWithCells="1">
                  <from>
                    <xdr:col>0</xdr:col>
                    <xdr:colOff>137160</xdr:colOff>
                    <xdr:row>0</xdr:row>
                    <xdr:rowOff>114300</xdr:rowOff>
                  </from>
                  <to>
                    <xdr:col>0</xdr:col>
                    <xdr:colOff>762000</xdr:colOff>
                    <xdr:row>0</xdr:row>
                    <xdr:rowOff>419100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A772A-6D35-489A-8C8B-C343096DC8D3}">
  <sheetPr codeName="Sheet6"/>
  <dimension ref="A1:IY49"/>
  <sheetViews>
    <sheetView zoomScale="70" zoomScaleNormal="70" workbookViewId="0">
      <pane xSplit="5" ySplit="1" topLeftCell="F2" activePane="bottomRight" state="frozen"/>
      <selection activeCell="A2" sqref="A2"/>
      <selection pane="topRight" activeCell="A2" sqref="A2"/>
      <selection pane="bottomLeft" activeCell="A2" sqref="A2"/>
      <selection pane="bottomRight" activeCell="H13" sqref="H13"/>
    </sheetView>
  </sheetViews>
  <sheetFormatPr defaultRowHeight="38.4" customHeight="1" x14ac:dyDescent="0.3"/>
  <cols>
    <col min="1" max="1" width="52.44140625" style="82" bestFit="1" customWidth="1"/>
    <col min="2" max="2" width="10.109375" style="82" customWidth="1"/>
    <col min="3" max="3" width="7.44140625" style="83" customWidth="1"/>
    <col min="4" max="4" width="4.77734375" style="84" customWidth="1"/>
    <col min="5" max="5" width="4.5546875" style="84" customWidth="1"/>
    <col min="6" max="6" width="5.77734375" style="84" customWidth="1"/>
    <col min="7" max="7" width="7.44140625" style="82" customWidth="1"/>
    <col min="8" max="8" width="11.44140625" style="82" customWidth="1"/>
    <col min="9" max="9" width="10" style="82" customWidth="1"/>
    <col min="10" max="10" width="4.21875" style="82" customWidth="1"/>
    <col min="11" max="11" width="5.6640625" style="84" customWidth="1"/>
    <col min="12" max="12" width="2.88671875" style="84" customWidth="1"/>
    <col min="13" max="13" width="6.44140625" style="84" customWidth="1"/>
    <col min="14" max="14" width="4.5546875" style="84" customWidth="1"/>
    <col min="15" max="15" width="10.5546875" style="85" customWidth="1"/>
    <col min="16" max="16" width="6.88671875" style="84" customWidth="1"/>
    <col min="17" max="17" width="4.77734375" style="84" customWidth="1"/>
    <col min="18" max="18" width="13.109375" style="83" customWidth="1"/>
    <col min="19" max="19" width="6.77734375" style="83" customWidth="1"/>
    <col min="20" max="46" width="8.44140625" style="82" customWidth="1"/>
    <col min="47" max="47" width="24.5546875" style="82" customWidth="1"/>
    <col min="48" max="51" width="16.6640625" style="82" customWidth="1"/>
    <col min="52" max="52" width="6.5546875" style="82" customWidth="1"/>
    <col min="53" max="54" width="5.88671875" style="82" customWidth="1"/>
    <col min="55" max="55" width="1.33203125" style="82" customWidth="1"/>
    <col min="56" max="56" width="7.44140625" style="82" customWidth="1"/>
    <col min="57" max="57" width="2.33203125" style="82" customWidth="1"/>
    <col min="58" max="62" width="6.109375" style="82" customWidth="1"/>
    <col min="63" max="63" width="2.33203125" style="82" customWidth="1"/>
    <col min="64" max="64" width="7" style="82" bestFit="1" customWidth="1"/>
    <col min="65" max="65" width="6.44140625" style="82" bestFit="1" customWidth="1"/>
    <col min="66" max="66" width="7.109375" style="82" bestFit="1" customWidth="1"/>
    <col min="67" max="71" width="6.44140625" style="82" bestFit="1" customWidth="1"/>
    <col min="72" max="73" width="6.44140625" style="82" customWidth="1"/>
    <col min="74" max="75" width="13.44140625" style="82" customWidth="1"/>
    <col min="76" max="84" width="14.6640625" style="82" customWidth="1"/>
    <col min="85" max="85" width="6.44140625" style="82" customWidth="1"/>
    <col min="86" max="87" width="11.6640625" style="82" bestFit="1" customWidth="1"/>
    <col min="88" max="88" width="11.6640625" style="82" customWidth="1"/>
    <col min="89" max="89" width="12.77734375" style="82" bestFit="1" customWidth="1"/>
    <col min="90" max="90" width="16.44140625" style="83" bestFit="1" customWidth="1"/>
    <col min="91" max="92" width="14.88671875" style="83" bestFit="1" customWidth="1"/>
    <col min="93" max="93" width="16" style="83" bestFit="1" customWidth="1"/>
    <col min="94" max="97" width="7.77734375" style="82" customWidth="1"/>
    <col min="98" max="98" width="33.21875" style="82" customWidth="1"/>
    <col min="99" max="99" width="18" style="82" customWidth="1"/>
    <col min="100" max="100" width="75.6640625" style="82" customWidth="1"/>
    <col min="101" max="125" width="33" style="82" customWidth="1"/>
    <col min="126" max="126" width="8.88671875" style="82"/>
    <col min="127" max="128" width="9.44140625" style="82" bestFit="1" customWidth="1"/>
    <col min="129" max="129" width="10.77734375" style="82" bestFit="1" customWidth="1"/>
    <col min="130" max="134" width="10.77734375" style="82" customWidth="1"/>
    <col min="135" max="135" width="10.109375" style="82" bestFit="1" customWidth="1"/>
    <col min="136" max="136" width="7.77734375" style="82" bestFit="1" customWidth="1"/>
    <col min="137" max="137" width="7.77734375" style="82" customWidth="1"/>
    <col min="138" max="138" width="9" style="82" bestFit="1" customWidth="1"/>
    <col min="139" max="139" width="11.33203125" style="82" bestFit="1" customWidth="1"/>
    <col min="140" max="140" width="9.109375" style="82" bestFit="1" customWidth="1"/>
    <col min="141" max="141" width="9" style="82" bestFit="1" customWidth="1"/>
    <col min="142" max="142" width="12" style="82" bestFit="1" customWidth="1"/>
    <col min="143" max="166" width="12" style="82" customWidth="1"/>
    <col min="167" max="167" width="17.21875" style="82" customWidth="1"/>
    <col min="168" max="191" width="12" style="82" customWidth="1"/>
    <col min="192" max="192" width="8.5546875" style="82" bestFit="1" customWidth="1"/>
    <col min="193" max="193" width="8.5546875" style="82" customWidth="1"/>
    <col min="194" max="194" width="7.109375" style="82" bestFit="1" customWidth="1"/>
    <col min="195" max="195" width="7.5546875" style="82" bestFit="1" customWidth="1"/>
    <col min="196" max="196" width="8.5546875" style="82" bestFit="1" customWidth="1"/>
    <col min="197" max="200" width="8.5546875" style="82" customWidth="1"/>
    <col min="201" max="201" width="188.88671875" style="82" customWidth="1"/>
    <col min="202" max="202" width="9.5546875" style="82" bestFit="1" customWidth="1"/>
    <col min="203" max="203" width="10.44140625" style="82" bestFit="1" customWidth="1"/>
    <col min="204" max="204" width="11.109375" style="82" bestFit="1" customWidth="1"/>
    <col min="205" max="205" width="10.44140625" style="82" bestFit="1" customWidth="1"/>
    <col min="206" max="210" width="10.44140625" style="82" customWidth="1"/>
    <col min="211" max="211" width="45.44140625" style="82" customWidth="1"/>
    <col min="212" max="212" width="47.5546875" style="82" bestFit="1" customWidth="1"/>
    <col min="213" max="213" width="9.33203125" style="86" customWidth="1"/>
    <col min="214" max="214" width="119.5546875" style="82" customWidth="1"/>
    <col min="215" max="215" width="69.6640625" style="82" customWidth="1"/>
    <col min="216" max="218" width="8.88671875" style="82"/>
    <col min="219" max="219" width="37.109375" style="82" customWidth="1"/>
    <col min="220" max="220" width="16.33203125" style="82" customWidth="1"/>
    <col min="221" max="222" width="8.88671875" style="82"/>
    <col min="223" max="223" width="10.109375" style="82" bestFit="1" customWidth="1"/>
    <col min="224" max="232" width="10.88671875" style="82" customWidth="1"/>
    <col min="233" max="234" width="30.77734375" style="82" customWidth="1"/>
    <col min="235" max="235" width="5.109375" style="82" customWidth="1"/>
    <col min="236" max="236" width="3" style="82" customWidth="1"/>
    <col min="237" max="245" width="6.77734375" style="76" customWidth="1"/>
    <col min="246" max="247" width="8.88671875" style="82"/>
    <col min="248" max="248" width="61.5546875" style="82" customWidth="1"/>
    <col min="249" max="253" width="8.88671875" style="82"/>
    <col min="254" max="254" width="9" style="82" customWidth="1"/>
    <col min="255" max="16384" width="8.88671875" style="82"/>
  </cols>
  <sheetData>
    <row r="1" spans="1:259" s="5" customFormat="1" ht="38.4" customHeight="1" thickBot="1" x14ac:dyDescent="0.35">
      <c r="A1" s="1" t="s">
        <v>0</v>
      </c>
      <c r="B1" s="79" t="s">
        <v>1</v>
      </c>
      <c r="C1" s="2" t="s">
        <v>2</v>
      </c>
      <c r="D1" s="3"/>
      <c r="E1" s="3" t="s">
        <v>3</v>
      </c>
      <c r="F1" s="4"/>
      <c r="H1" s="6" t="s">
        <v>4</v>
      </c>
      <c r="J1" s="5" t="s">
        <v>5</v>
      </c>
      <c r="K1" s="7" t="s">
        <v>6</v>
      </c>
      <c r="L1" s="8" t="s">
        <v>7</v>
      </c>
      <c r="M1" s="8" t="s">
        <v>8</v>
      </c>
      <c r="N1" s="9" t="s">
        <v>9</v>
      </c>
      <c r="O1" s="10" t="s">
        <v>10</v>
      </c>
      <c r="P1" s="11" t="s">
        <v>11</v>
      </c>
      <c r="Q1" s="11" t="s">
        <v>12</v>
      </c>
      <c r="R1" s="12" t="s">
        <v>0</v>
      </c>
      <c r="S1" s="13" t="s">
        <v>13</v>
      </c>
      <c r="T1" s="14" t="s">
        <v>14</v>
      </c>
      <c r="U1" s="14" t="s">
        <v>15</v>
      </c>
      <c r="V1" s="15" t="s">
        <v>16</v>
      </c>
      <c r="W1" s="14" t="s">
        <v>17</v>
      </c>
      <c r="X1" s="14" t="s">
        <v>18</v>
      </c>
      <c r="Y1" s="14" t="s">
        <v>19</v>
      </c>
      <c r="Z1" s="14" t="s">
        <v>20</v>
      </c>
      <c r="AA1" s="14" t="s">
        <v>21</v>
      </c>
      <c r="AB1" s="14" t="s">
        <v>22</v>
      </c>
      <c r="AC1" s="14" t="s">
        <v>23</v>
      </c>
      <c r="AD1" s="14" t="s">
        <v>24</v>
      </c>
      <c r="AE1" s="14" t="s">
        <v>25</v>
      </c>
      <c r="AF1" s="16" t="s">
        <v>26</v>
      </c>
      <c r="AG1" s="16" t="s">
        <v>27</v>
      </c>
      <c r="AH1" s="16" t="s">
        <v>28</v>
      </c>
      <c r="AI1" s="16" t="s">
        <v>29</v>
      </c>
      <c r="AJ1" s="16" t="s">
        <v>30</v>
      </c>
      <c r="AK1" s="16" t="s">
        <v>31</v>
      </c>
      <c r="AL1" s="16" t="s">
        <v>32</v>
      </c>
      <c r="AM1" s="16" t="s">
        <v>33</v>
      </c>
      <c r="AN1" s="16" t="s">
        <v>34</v>
      </c>
      <c r="AO1" s="16" t="s">
        <v>35</v>
      </c>
      <c r="AP1" s="16" t="s">
        <v>36</v>
      </c>
      <c r="AQ1" s="16" t="s">
        <v>37</v>
      </c>
      <c r="AR1" s="16" t="s">
        <v>38</v>
      </c>
      <c r="AS1" s="16" t="s">
        <v>39</v>
      </c>
      <c r="AT1" s="17" t="s">
        <v>40</v>
      </c>
      <c r="AU1" s="18" t="s">
        <v>41</v>
      </c>
      <c r="AV1" s="18" t="s">
        <v>42</v>
      </c>
      <c r="AW1" s="18" t="s">
        <v>43</v>
      </c>
      <c r="AX1" s="19"/>
      <c r="AY1" s="20" t="s">
        <v>44</v>
      </c>
      <c r="AZ1" s="19" t="s">
        <v>45</v>
      </c>
      <c r="BA1" s="19"/>
      <c r="BB1" s="19"/>
      <c r="BC1" s="21"/>
      <c r="BD1" s="19" t="s">
        <v>46</v>
      </c>
      <c r="BE1" s="21"/>
      <c r="BF1" s="19" t="s">
        <v>47</v>
      </c>
      <c r="BG1" s="19" t="s">
        <v>48</v>
      </c>
      <c r="BH1" s="19" t="s">
        <v>49</v>
      </c>
      <c r="BI1" s="19" t="s">
        <v>50</v>
      </c>
      <c r="BJ1" s="19" t="s">
        <v>51</v>
      </c>
      <c r="BK1" s="21"/>
      <c r="BL1" s="22" t="s">
        <v>52</v>
      </c>
      <c r="BM1" s="22"/>
      <c r="BN1" s="22"/>
      <c r="BO1" s="22"/>
      <c r="BP1" s="22"/>
      <c r="BQ1" s="22"/>
      <c r="BR1" s="22"/>
      <c r="BS1" s="22"/>
      <c r="BT1" s="23"/>
      <c r="BU1" s="23" t="s">
        <v>53</v>
      </c>
      <c r="BV1" s="23" t="s">
        <v>54</v>
      </c>
      <c r="BW1" s="23" t="s">
        <v>55</v>
      </c>
      <c r="BX1" s="23"/>
      <c r="BY1" s="23" t="s">
        <v>56</v>
      </c>
      <c r="BZ1" s="23" t="s">
        <v>57</v>
      </c>
      <c r="CA1" s="23" t="s">
        <v>58</v>
      </c>
      <c r="CB1" s="23" t="s">
        <v>59</v>
      </c>
      <c r="CC1" s="23" t="s">
        <v>60</v>
      </c>
      <c r="CD1" s="23" t="s">
        <v>61</v>
      </c>
      <c r="CE1" s="23" t="s">
        <v>62</v>
      </c>
      <c r="CF1" s="23" t="s">
        <v>63</v>
      </c>
      <c r="CG1" s="23"/>
      <c r="CH1" s="23" t="s">
        <v>64</v>
      </c>
      <c r="CI1" s="23" t="s">
        <v>65</v>
      </c>
      <c r="CJ1" s="23" t="s">
        <v>66</v>
      </c>
      <c r="CK1" s="23" t="s">
        <v>67</v>
      </c>
      <c r="CL1" s="24" t="s">
        <v>68</v>
      </c>
      <c r="CM1" s="24" t="s">
        <v>69</v>
      </c>
      <c r="CN1" s="24" t="s">
        <v>70</v>
      </c>
      <c r="CO1" s="24" t="s">
        <v>71</v>
      </c>
      <c r="CP1" s="24" t="s">
        <v>72</v>
      </c>
      <c r="CQ1" s="24" t="s">
        <v>73</v>
      </c>
      <c r="CR1" s="24" t="s">
        <v>74</v>
      </c>
      <c r="CS1" s="24" t="s">
        <v>75</v>
      </c>
      <c r="CT1" s="1" t="s">
        <v>76</v>
      </c>
      <c r="CU1" s="25" t="s">
        <v>0</v>
      </c>
      <c r="CV1" s="5" t="s">
        <v>77</v>
      </c>
      <c r="CW1" s="14" t="s">
        <v>78</v>
      </c>
      <c r="CX1" s="14" t="s">
        <v>79</v>
      </c>
      <c r="CY1" s="14" t="s">
        <v>66</v>
      </c>
      <c r="CZ1" s="14" t="s">
        <v>80</v>
      </c>
      <c r="DA1" s="14" t="s">
        <v>81</v>
      </c>
      <c r="DB1" s="14" t="s">
        <v>82</v>
      </c>
      <c r="DC1" s="14" t="s">
        <v>83</v>
      </c>
      <c r="DD1" s="14" t="s">
        <v>84</v>
      </c>
      <c r="DE1" s="14" t="s">
        <v>85</v>
      </c>
      <c r="DF1" s="14" t="s">
        <v>86</v>
      </c>
      <c r="DG1" s="14" t="s">
        <v>87</v>
      </c>
      <c r="DH1" s="14" t="s">
        <v>88</v>
      </c>
      <c r="DI1" s="14" t="s">
        <v>89</v>
      </c>
      <c r="DJ1" s="14" t="s">
        <v>90</v>
      </c>
      <c r="DK1" s="14" t="s">
        <v>91</v>
      </c>
      <c r="DL1" s="14" t="s">
        <v>92</v>
      </c>
      <c r="DM1" s="14" t="s">
        <v>93</v>
      </c>
      <c r="DN1" s="14" t="s">
        <v>94</v>
      </c>
      <c r="DO1" s="14" t="s">
        <v>95</v>
      </c>
      <c r="DP1" s="14" t="s">
        <v>96</v>
      </c>
      <c r="DQ1" s="14" t="s">
        <v>97</v>
      </c>
      <c r="DR1" s="14" t="s">
        <v>56</v>
      </c>
      <c r="DS1" s="14" t="s">
        <v>98</v>
      </c>
      <c r="DT1" s="14" t="s">
        <v>99</v>
      </c>
      <c r="DU1" s="14" t="s">
        <v>100</v>
      </c>
      <c r="DV1" s="14" t="s">
        <v>101</v>
      </c>
      <c r="DW1" s="14" t="s">
        <v>102</v>
      </c>
      <c r="DX1" s="14" t="s">
        <v>103</v>
      </c>
      <c r="DY1" s="14" t="s">
        <v>104</v>
      </c>
      <c r="DZ1" s="14" t="s">
        <v>105</v>
      </c>
      <c r="EA1" s="14" t="s">
        <v>106</v>
      </c>
      <c r="EB1" s="14" t="s">
        <v>107</v>
      </c>
      <c r="EC1" s="14" t="s">
        <v>108</v>
      </c>
      <c r="ED1" s="14" t="s">
        <v>109</v>
      </c>
      <c r="EE1" s="15" t="s">
        <v>18</v>
      </c>
      <c r="EF1" s="14" t="s">
        <v>19</v>
      </c>
      <c r="EG1" s="14" t="s">
        <v>20</v>
      </c>
      <c r="EH1" s="14" t="s">
        <v>21</v>
      </c>
      <c r="EI1" s="14" t="s">
        <v>110</v>
      </c>
      <c r="EJ1" s="14" t="s">
        <v>23</v>
      </c>
      <c r="EK1" s="14" t="s">
        <v>111</v>
      </c>
      <c r="EL1" s="14" t="s">
        <v>112</v>
      </c>
      <c r="EM1" s="14" t="s">
        <v>26</v>
      </c>
      <c r="EN1" s="16" t="s">
        <v>27</v>
      </c>
      <c r="EO1" s="16" t="s">
        <v>28</v>
      </c>
      <c r="EP1" s="16" t="s">
        <v>29</v>
      </c>
      <c r="EQ1" s="16" t="s">
        <v>113</v>
      </c>
      <c r="ER1" s="16" t="s">
        <v>31</v>
      </c>
      <c r="ES1" s="16" t="s">
        <v>32</v>
      </c>
      <c r="ET1" s="16" t="s">
        <v>114</v>
      </c>
      <c r="EU1" s="16" t="s">
        <v>34</v>
      </c>
      <c r="EV1" s="16" t="s">
        <v>35</v>
      </c>
      <c r="EW1" s="16" t="s">
        <v>115</v>
      </c>
      <c r="EX1" s="16" t="s">
        <v>37</v>
      </c>
      <c r="EY1" s="16" t="s">
        <v>38</v>
      </c>
      <c r="EZ1" s="16" t="s">
        <v>39</v>
      </c>
      <c r="FA1" s="16" t="s">
        <v>116</v>
      </c>
      <c r="FB1" s="16" t="s">
        <v>117</v>
      </c>
      <c r="FC1" s="16" t="s">
        <v>118</v>
      </c>
      <c r="FD1" s="16" t="s">
        <v>54</v>
      </c>
      <c r="FE1" s="16" t="s">
        <v>119</v>
      </c>
      <c r="FF1" s="16" t="s">
        <v>120</v>
      </c>
      <c r="FG1" s="16" t="s">
        <v>121</v>
      </c>
      <c r="FH1" s="16" t="s">
        <v>122</v>
      </c>
      <c r="FI1" s="16" t="s">
        <v>123</v>
      </c>
      <c r="FJ1" s="16" t="s">
        <v>124</v>
      </c>
      <c r="FK1" s="16" t="s">
        <v>125</v>
      </c>
      <c r="FL1" s="16" t="s">
        <v>126</v>
      </c>
      <c r="FM1" s="16" t="s">
        <v>127</v>
      </c>
      <c r="FN1" s="16" t="s">
        <v>128</v>
      </c>
      <c r="FO1" s="16" t="s">
        <v>129</v>
      </c>
      <c r="FP1" s="16" t="s">
        <v>130</v>
      </c>
      <c r="FQ1" s="16" t="s">
        <v>131</v>
      </c>
      <c r="FR1" s="16" t="s">
        <v>132</v>
      </c>
      <c r="FS1" s="16" t="s">
        <v>133</v>
      </c>
      <c r="FT1" s="16" t="s">
        <v>134</v>
      </c>
      <c r="FU1" s="16" t="s">
        <v>44</v>
      </c>
      <c r="FV1" s="16" t="s">
        <v>135</v>
      </c>
      <c r="FW1" s="16" t="s">
        <v>58</v>
      </c>
      <c r="FX1" s="16" t="s">
        <v>136</v>
      </c>
      <c r="FY1" s="16" t="s">
        <v>137</v>
      </c>
      <c r="FZ1" s="16" t="s">
        <v>138</v>
      </c>
      <c r="GA1" s="16" t="s">
        <v>139</v>
      </c>
      <c r="GB1" s="16" t="s">
        <v>140</v>
      </c>
      <c r="GC1" s="16" t="s">
        <v>141</v>
      </c>
      <c r="GD1" s="16" t="s">
        <v>142</v>
      </c>
      <c r="GE1" s="16" t="s">
        <v>143</v>
      </c>
      <c r="GF1" s="16" t="s">
        <v>144</v>
      </c>
      <c r="GG1" s="16" t="s">
        <v>145</v>
      </c>
      <c r="GH1" s="16" t="s">
        <v>61</v>
      </c>
      <c r="GI1" s="16" t="s">
        <v>62</v>
      </c>
      <c r="GJ1" s="14" t="s">
        <v>146</v>
      </c>
      <c r="GK1" s="14" t="s">
        <v>147</v>
      </c>
      <c r="GL1" s="14" t="s">
        <v>148</v>
      </c>
      <c r="GM1" s="17" t="s">
        <v>149</v>
      </c>
      <c r="GN1" s="26" t="s">
        <v>150</v>
      </c>
      <c r="GO1" s="26" t="s">
        <v>151</v>
      </c>
      <c r="GP1" s="18" t="s">
        <v>41</v>
      </c>
      <c r="GQ1" s="18" t="s">
        <v>42</v>
      </c>
      <c r="GR1" s="18" t="s">
        <v>43</v>
      </c>
      <c r="GS1" s="21"/>
      <c r="GT1" s="27" t="s">
        <v>52</v>
      </c>
      <c r="GU1" s="27"/>
      <c r="GV1" s="27"/>
      <c r="GW1" s="27"/>
      <c r="GX1" s="28"/>
      <c r="GY1" s="28"/>
      <c r="GZ1" s="28"/>
      <c r="HA1" s="28"/>
      <c r="HB1" s="28"/>
      <c r="HC1" s="28"/>
      <c r="HD1" s="29" t="s">
        <v>13</v>
      </c>
      <c r="HE1" s="30" t="s">
        <v>152</v>
      </c>
      <c r="HF1" s="31"/>
      <c r="HG1" s="32"/>
      <c r="HK1" s="32" t="s">
        <v>4</v>
      </c>
      <c r="HP1" s="33" t="s">
        <v>153</v>
      </c>
      <c r="HQ1" s="33" t="s">
        <v>154</v>
      </c>
      <c r="HR1" s="33" t="s">
        <v>155</v>
      </c>
      <c r="HS1" s="33" t="s">
        <v>156</v>
      </c>
      <c r="HT1" s="33" t="s">
        <v>157</v>
      </c>
      <c r="HU1" s="33" t="s">
        <v>158</v>
      </c>
      <c r="HV1" s="33" t="s">
        <v>159</v>
      </c>
      <c r="HW1" s="33" t="s">
        <v>160</v>
      </c>
      <c r="HX1" s="34" t="s">
        <v>161</v>
      </c>
      <c r="IA1" s="14" t="s">
        <v>162</v>
      </c>
      <c r="IB1" s="35" t="s">
        <v>163</v>
      </c>
      <c r="IC1" s="36" t="s">
        <v>153</v>
      </c>
      <c r="ID1" s="36" t="s">
        <v>154</v>
      </c>
      <c r="IE1" s="36" t="s">
        <v>156</v>
      </c>
      <c r="IF1" s="37" t="s">
        <v>161</v>
      </c>
      <c r="IG1" s="36" t="s">
        <v>157</v>
      </c>
      <c r="IH1" s="36" t="s">
        <v>158</v>
      </c>
      <c r="II1" s="36" t="s">
        <v>155</v>
      </c>
      <c r="IJ1" s="36" t="s">
        <v>159</v>
      </c>
      <c r="IK1" s="36" t="s">
        <v>160</v>
      </c>
      <c r="IO1" s="33" t="s">
        <v>153</v>
      </c>
      <c r="IP1" s="33" t="s">
        <v>154</v>
      </c>
      <c r="IQ1" s="33" t="s">
        <v>155</v>
      </c>
      <c r="IR1" s="33" t="s">
        <v>156</v>
      </c>
      <c r="IS1" s="33" t="s">
        <v>157</v>
      </c>
      <c r="IT1" s="33" t="s">
        <v>158</v>
      </c>
      <c r="IU1" s="33" t="s">
        <v>159</v>
      </c>
      <c r="IV1" s="33" t="s">
        <v>160</v>
      </c>
      <c r="IW1" s="34" t="s">
        <v>161</v>
      </c>
      <c r="IY1" s="5" t="s">
        <v>164</v>
      </c>
    </row>
    <row r="2" spans="1:259" s="44" customFormat="1" ht="38.4" customHeight="1" thickBot="1" x14ac:dyDescent="0.35">
      <c r="A2" s="77" t="s">
        <v>245</v>
      </c>
      <c r="B2" s="78" t="e" vm="47">
        <v>#VALUE!</v>
      </c>
      <c r="C2" s="93">
        <v>1</v>
      </c>
      <c r="D2" s="70" t="s">
        <v>246</v>
      </c>
      <c r="E2" s="40" t="s">
        <v>247</v>
      </c>
      <c r="F2" s="41" t="s">
        <v>165</v>
      </c>
      <c r="G2" s="42">
        <f t="shared" ref="G2:G10" si="0">COUNTIF($A$1:$A$8343,A2)</f>
        <v>1</v>
      </c>
      <c r="H2" s="43"/>
      <c r="I2" s="59" t="s">
        <v>248</v>
      </c>
      <c r="J2" s="44" t="str">
        <f>""</f>
        <v/>
      </c>
      <c r="K2" s="45">
        <v>42000</v>
      </c>
      <c r="L2" s="46">
        <v>6100</v>
      </c>
      <c r="M2" s="46" t="s">
        <v>1152</v>
      </c>
      <c r="N2" s="47" t="s">
        <v>177</v>
      </c>
      <c r="O2" s="74" t="s">
        <v>208</v>
      </c>
      <c r="P2" s="48" t="s">
        <v>249</v>
      </c>
      <c r="Q2" s="73">
        <v>2</v>
      </c>
      <c r="R2" s="49" t="s">
        <v>177</v>
      </c>
      <c r="S2" s="50">
        <v>2</v>
      </c>
      <c r="T2" s="51" t="s">
        <v>167</v>
      </c>
      <c r="U2" s="52" t="s">
        <v>166</v>
      </c>
      <c r="V2" s="52" t="s">
        <v>166</v>
      </c>
      <c r="W2" s="52" t="s">
        <v>166</v>
      </c>
      <c r="X2" s="52" t="s">
        <v>166</v>
      </c>
      <c r="Y2" s="52" t="s">
        <v>166</v>
      </c>
      <c r="Z2" s="52" t="s">
        <v>166</v>
      </c>
      <c r="AA2" s="52" t="s">
        <v>166</v>
      </c>
      <c r="AB2" s="52" t="s">
        <v>166</v>
      </c>
      <c r="AC2" s="52" t="s">
        <v>166</v>
      </c>
      <c r="AD2" s="52" t="s">
        <v>167</v>
      </c>
      <c r="AE2" s="52" t="s">
        <v>166</v>
      </c>
      <c r="AF2" s="53" t="s">
        <v>166</v>
      </c>
      <c r="AG2" s="53" t="s">
        <v>167</v>
      </c>
      <c r="AH2" s="53" t="s">
        <v>166</v>
      </c>
      <c r="AI2" s="53" t="s">
        <v>166</v>
      </c>
      <c r="AJ2" s="53" t="s">
        <v>166</v>
      </c>
      <c r="AK2" s="53" t="s">
        <v>166</v>
      </c>
      <c r="AL2" s="53" t="s">
        <v>166</v>
      </c>
      <c r="AM2" s="53" t="s">
        <v>166</v>
      </c>
      <c r="AN2" s="53" t="s">
        <v>166</v>
      </c>
      <c r="AO2" s="53" t="s">
        <v>166</v>
      </c>
      <c r="AP2" s="53" t="s">
        <v>166</v>
      </c>
      <c r="AQ2" s="53" t="s">
        <v>166</v>
      </c>
      <c r="AR2" s="53" t="s">
        <v>166</v>
      </c>
      <c r="AS2" s="53" t="s">
        <v>166</v>
      </c>
      <c r="AT2" s="54">
        <v>1</v>
      </c>
      <c r="AU2" s="53"/>
      <c r="AV2" s="53" t="str">
        <f t="shared" ref="AV2:AV10" si="1">IF(LEFT(A2,1)="[",LEFT(A2,5)&amp;AU2&amp;A2,"")</f>
        <v/>
      </c>
      <c r="AW2" s="53" t="str">
        <f t="shared" ref="AW2:AW10" si="2">C2&amp;H2&amp;A2</f>
        <v>1Marshall Islands</v>
      </c>
      <c r="AX2" s="55" t="str">
        <f>_xlfn.TEXTJOIN(";",TRUE,AU2:AW2)</f>
        <v>1Marshall Islands</v>
      </c>
      <c r="AY2" s="55" t="s">
        <v>167</v>
      </c>
      <c r="AZ2" s="56" t="s">
        <v>161</v>
      </c>
      <c r="BA2" s="56"/>
      <c r="BB2" s="56"/>
      <c r="BC2" s="57"/>
      <c r="BD2" s="58" t="s">
        <v>154</v>
      </c>
      <c r="BE2" s="59"/>
      <c r="BF2" s="58" t="s">
        <v>154</v>
      </c>
      <c r="BG2" s="58"/>
      <c r="BH2" s="58" t="s">
        <v>154</v>
      </c>
      <c r="BI2" s="58" t="s">
        <v>158</v>
      </c>
      <c r="BJ2" s="58" t="s">
        <v>161</v>
      </c>
      <c r="BK2" s="59"/>
      <c r="BL2" s="58" t="s">
        <v>154</v>
      </c>
      <c r="BM2" s="58" t="s">
        <v>158</v>
      </c>
      <c r="BN2" s="58" t="s">
        <v>161</v>
      </c>
      <c r="BO2" s="58"/>
      <c r="BP2" s="58"/>
      <c r="BQ2" s="58"/>
      <c r="BR2" s="58"/>
      <c r="BS2" s="58"/>
      <c r="BT2" s="58"/>
      <c r="BU2" s="60"/>
      <c r="BV2" s="61" t="s">
        <v>168</v>
      </c>
      <c r="BW2" s="61">
        <v>0</v>
      </c>
      <c r="BX2" s="59"/>
      <c r="BY2" s="44" t="s">
        <v>167</v>
      </c>
      <c r="CB2" s="5" t="s">
        <v>250</v>
      </c>
      <c r="CC2" s="5"/>
      <c r="CD2" s="62">
        <v>0</v>
      </c>
      <c r="CE2" s="62">
        <v>0</v>
      </c>
      <c r="CF2" s="62" t="e">
        <v>#REF!</v>
      </c>
      <c r="CG2" s="75" cm="1">
        <f t="array" ref="CG2">SUMPRODUCT(--(LEN(TRIM(BL2:BT2))&gt;0))</f>
        <v>3</v>
      </c>
      <c r="CH2" s="53" t="str">
        <f t="shared" ref="CH2:CH10" si="3">IF(CG2=2,"y","n")</f>
        <v>n</v>
      </c>
      <c r="CI2" s="53" t="str">
        <f t="shared" ref="CI2:CI10" si="4">IF(CG2=3,"y","n")</f>
        <v>y</v>
      </c>
      <c r="CJ2" s="53" t="str">
        <f t="shared" ref="CJ2:CJ10" si="5">IF(CG2=4,"y","n")</f>
        <v>n</v>
      </c>
      <c r="CK2" s="53" t="str">
        <f t="shared" ref="CK2:CK10" si="6">IF(CG2&gt;4,"y","n")</f>
        <v>n</v>
      </c>
      <c r="CL2" s="53" t="str">
        <f t="shared" ref="CL2:CL10" si="7">IF(S2=0,"y","n")</f>
        <v>n</v>
      </c>
      <c r="CM2" s="53" t="str">
        <f t="shared" ref="CM2:CM10" si="8">IF(S2=2,"y","n")</f>
        <v>y</v>
      </c>
      <c r="CN2" s="53" t="str">
        <f t="shared" ref="CN2:CN10" si="9">IF(S2=3,"y","n")</f>
        <v>n</v>
      </c>
      <c r="CO2" s="53" t="str">
        <f t="shared" ref="CO2:CO10" si="10">IF(S2&gt;=4,"y","n")</f>
        <v>n</v>
      </c>
      <c r="CP2" s="53" t="str">
        <f t="shared" ref="CP2:CP10" si="11">IF(AT2=0,"y","n")</f>
        <v>n</v>
      </c>
      <c r="CQ2" s="53" t="str">
        <f t="shared" ref="CQ2:CQ10" si="12">IF(AT2=1,"y","n")</f>
        <v>y</v>
      </c>
      <c r="CR2" s="53" t="str">
        <f t="shared" ref="CR2:CR10" si="13">IF(AT2=2,"y","n")</f>
        <v>n</v>
      </c>
      <c r="CS2" s="53" t="str">
        <f t="shared" ref="CS2:CS10" si="14">IF(AT2&gt;=3,"y","n")</f>
        <v>n</v>
      </c>
      <c r="CT2" s="38" t="str">
        <f t="shared" ref="CT2:CT10" si="15">CHAR(34)&amp;A2&amp;CHAR(34)</f>
        <v>"Marshall Islands"</v>
      </c>
      <c r="CU2" s="63" t="str">
        <f t="shared" ref="CU2:CU10" si="16">CHAR(34)&amp;"rgn_"&amp;R2&amp;CHAR(34)</f>
        <v>"rgn_Oceania"</v>
      </c>
      <c r="CV2" s="44" t="str">
        <f t="shared" ref="CV2:CV10" si="17">CHAR(34)&amp;D2&amp;CHAR(34)</f>
        <v>"https://i.ibb.co/98FvLgw/Marshall-Islands-Flag.png"</v>
      </c>
      <c r="CW2" s="44" t="str">
        <f t="shared" ref="CW2:CW10" si="18">IF(CH2="y",CHAR(34)&amp;CH$1&amp;CHAR(34)&amp;",","")</f>
        <v/>
      </c>
      <c r="CX2" s="44" t="str">
        <f t="shared" ref="CX2:CX10" si="19">IF(CI2="y",CHAR(34)&amp;CI$1&amp;CHAR(34)&amp;",","")</f>
        <v>"3Color",</v>
      </c>
      <c r="CY2" s="44" t="str">
        <f t="shared" ref="CY2:CY10" si="20">IF(CJ2="y",CHAR(34)&amp;CJ$1&amp;CHAR(34)&amp;",","")</f>
        <v/>
      </c>
      <c r="CZ2" s="44" t="str">
        <f t="shared" ref="CZ2:CZ10" si="21">IF(CK2="y",CHAR(34)&amp;CK$1&amp;CHAR(34)&amp;",","")</f>
        <v/>
      </c>
      <c r="DA2" s="44" t="str">
        <f t="shared" ref="DA2:DA10" si="22">IF(Q2&gt;1,CHAR(34)&amp;"words2"&amp;CHAR(34)&amp;",","")</f>
        <v>"words2",</v>
      </c>
      <c r="DB2" s="44" t="str">
        <f t="shared" ref="DB2:DB10" si="23">IF(Q2&gt;2,CHAR(34)&amp;"words3"&amp;CHAR(34)&amp;",","")</f>
        <v/>
      </c>
      <c r="DC2" s="44" t="str">
        <f>IF(Q2=2,CHAR(34)&amp;"exact2"&amp;CHAR(34)&amp;",","")</f>
        <v>"exact2",</v>
      </c>
      <c r="DD2" s="44"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"lets15",</v>
      </c>
      <c r="DE2" s="44"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"startM",</v>
      </c>
      <c r="DF2" s="44" t="str">
        <f t="shared" ref="DF2:DF10" si="24">IFERROR(IF(SEARCH("tan",A2)&gt;0,CHAR(34)&amp;"withtn"&amp;CHAR(34)&amp;",",""),"")</f>
        <v/>
      </c>
      <c r="DG2" s="44" t="str">
        <f t="shared" ref="DG2:DG10" si="25">IFERROR(IF(SEARCH("q",A2)&gt;0,CHAR(34)&amp;"with_q"&amp;CHAR(34)&amp;",",""),"")</f>
        <v/>
      </c>
      <c r="DH2" s="44" t="str">
        <f t="shared" ref="DH2:DH10" si="26">IFERROR(IF(SEARCH("v",A2)&gt;0,CHAR(34)&amp;"with_v"&amp;CHAR(34)&amp;",",""),"")</f>
        <v/>
      </c>
      <c r="DI2" s="44" t="str">
        <f t="shared" ref="DI2:DI10" si="27">IFERROR(IF(SEARCH("w",A2)&gt;0,CHAR(34)&amp;"with_w"&amp;CHAR(34)&amp;",",""),"")</f>
        <v/>
      </c>
      <c r="DJ2" s="44" t="str">
        <f t="shared" ref="DJ2:DJ10" si="28">IFERROR(IF(SEARCH("y",A2)&gt;0,CHAR(34)&amp;"with_y"&amp;CHAR(34)&amp;",",""),"")</f>
        <v/>
      </c>
      <c r="DK2" s="44" t="str">
        <f t="shared" ref="DK2:DK10" si="29">IFERROR(IF(SEARCH("z",A2)&gt;0,CHAR(34)&amp;"with_z"&amp;CHAR(34)&amp;",",""),"")</f>
        <v/>
      </c>
      <c r="DL2" s="44" t="str">
        <f t="shared" ref="DL2:DL10" si="30">IF(CG2=2, CHAR(34) &amp; _xlfn.TEXTJOIN("", TRUE, _xlfn._xlws.SORT(HP2:HX2)) &amp; CHAR(34) &amp; ",", "")</f>
        <v/>
      </c>
      <c r="DM2" s="44" t="str" cm="1">
        <f t="array" ref="DM2">IF(CG2=3,CHAR(34) &amp; _xlfn.TEXTJOIN("", TRUE, RIGHT(HP2:HX2, 2)) &amp; CHAR(34) &amp; ",", "")</f>
        <v>"LURAHI",</v>
      </c>
      <c r="DN2" s="44" t="str">
        <f t="shared" ref="DN2:DN10" si="31">IF(AND(ISNUMBER(SEARCH("18", O2)), ISERROR(SEARCH("1918", O2)), ISERROR(SEARCH("2018", O2))), CHAR(34) &amp; "year18" &amp; CHAR(34) &amp; ",", "")</f>
        <v/>
      </c>
      <c r="DO2" s="44" t="str">
        <f t="shared" ref="DO2:DO10" si="32">IF(AND(ISNUMBER(SEARCH("19", O2)), ISERROR(SEARCH("1819", O2)),  ISERROR(SEARCH("1219", O2)),ISERROR(SEARCH("1119", O2)),ISERROR(SEARCH("1190", O2)),ISERROR(SEARCH("2019", O2))), CHAR(34) &amp; "year19" &amp; CHAR(34) &amp; ",", "")</f>
        <v>"year19",</v>
      </c>
      <c r="DP2" s="5" t="str">
        <f t="shared" ref="DP2:DP10" si="33">IF(AND(ISNUMBER(SEARCH("20", O2)), ISERROR(SEARCH("1920", O2))), CHAR(34)&amp;"year00"&amp;CHAR(34)&amp;",", "")</f>
        <v/>
      </c>
      <c r="DQ2" s="5" t="str">
        <f t="shared" ref="DQ2:DQ10" si="34">IF(CC2="y",CHAR(34)&amp;"soviet"&amp;CHAR(34)&amp;",","")</f>
        <v/>
      </c>
      <c r="DR2" s="5" t="str">
        <f t="shared" ref="DR2:DR10" si="35">IF(BY2="y",CHAR(34)&amp;"dgband"&amp;CHAR(34)&amp;",","")</f>
        <v>"dgband",</v>
      </c>
      <c r="DS2" s="5" t="str">
        <f t="shared" ref="DS2:DS10" si="36">IF(W2="y",IF(AND(V2="n",BY2&lt;&gt;"y"),CHAR(34)&amp;"allver"&amp;CHAR(34)&amp;",",""),"")</f>
        <v/>
      </c>
      <c r="DT2" s="5" t="str">
        <f t="shared" ref="DT2:DT10" si="37">IF(V2="y",IF(AND(W2="n",BY2&lt;&gt;"y"),CHAR(34)&amp;"allhor"&amp;CHAR(34)&amp;",",""),"")</f>
        <v/>
      </c>
      <c r="DU2" s="5" t="str">
        <f t="shared" ref="DU2:DU10" si="38">IF(BY2="y",IF(AND(W2="n",V2="n"),CHAR(34)&amp;"alldia"&amp;CHAR(34)&amp;",",""),"")</f>
        <v>"alldia",</v>
      </c>
      <c r="DV2" s="44" t="str">
        <f>IF(IA2&lt;&gt;"",(IF(IA2="y",CHAR(34)&amp;"largec"&amp;CHAR(34)&amp;",",CHAR(34)&amp;"smallc"&amp;CHAR(34)&amp;",")),"")</f>
        <v/>
      </c>
      <c r="DW2" s="44" t="str">
        <f t="shared" ref="DW2:DW10" si="39">IF(CL2="y",CHAR(34)&amp;CL$1&amp;CHAR(34)&amp;",","")</f>
        <v/>
      </c>
      <c r="DX2" s="44" t="str">
        <f t="shared" ref="DX2:DX10" si="40">IF(CM2="y",CHAR(34)&amp;CM$1&amp;CHAR(34)&amp;",","")</f>
        <v>"2Bands",</v>
      </c>
      <c r="DY2" s="44" t="str">
        <f t="shared" ref="DY2:DY10" si="41">IF(CN2="y",CHAR(34)&amp;CN$1&amp;CHAR(34)&amp;",","")</f>
        <v/>
      </c>
      <c r="DZ2" s="44" t="str">
        <f t="shared" ref="DZ2:DZ10" si="42">IF(CO2="y",CHAR(34)&amp;CO$1&amp;CHAR(34)&amp;",","")</f>
        <v/>
      </c>
      <c r="EA2" s="44" t="str">
        <f t="shared" ref="EA2:EA10" si="43">IF(T2="y",CHAR(34)&amp;T$1&amp;CHAR(34)&amp;",","")</f>
        <v>"Diagon",</v>
      </c>
      <c r="EB2" s="44" t="str">
        <f t="shared" ref="EB2:EB10" si="44">IF(U2="y",CHAR(34)&amp;U$1&amp;CHAR(34)&amp;",","")</f>
        <v/>
      </c>
      <c r="EC2" s="44" t="str">
        <f t="shared" ref="EC2:EC10" si="45">IF(V2="y",CHAR(34)&amp;V$1&amp;CHAR(34)&amp;",","")</f>
        <v/>
      </c>
      <c r="ED2" s="44" t="str">
        <f t="shared" ref="ED2:ED10" si="46">IF(W2="y",CHAR(34)&amp;W$1&amp;CHAR(34)&amp;",","")</f>
        <v/>
      </c>
      <c r="EE2" s="44" t="str">
        <f t="shared" ref="EE2:EE10" si="47">IF(X2="y",CHAR(34)&amp;X$1&amp;CHAR(34)&amp;",","")</f>
        <v/>
      </c>
      <c r="EF2" s="44" t="str">
        <f t="shared" ref="EF2:EF10" si="48">IF(AND(Y2&lt;&gt;"n",Y2&lt;&gt;""),CHAR(34)&amp;Y$1&amp;CHAR(34)&amp;",","")</f>
        <v/>
      </c>
      <c r="EG2" s="44" t="str">
        <f t="shared" ref="EG2:EG10" si="49">IF(Z2="y",CHAR(34)&amp;Z$1&amp;CHAR(34)&amp;",","")</f>
        <v/>
      </c>
      <c r="EH2" s="44" t="str">
        <f t="shared" ref="EH2:EH10" si="50">IF(AA2="y",CHAR(34)&amp;AA$1&amp;CHAR(34)&amp;",","")</f>
        <v/>
      </c>
      <c r="EI2" s="44" t="str">
        <f t="shared" ref="EI2:EI10" si="51">IF(AB2="y",CHAR(34)&amp;AB$1&amp;CHAR(34)&amp;",","")</f>
        <v/>
      </c>
      <c r="EJ2" s="44" t="str">
        <f t="shared" ref="EJ2:EJ10" si="52">IF(AC2="y",CHAR(34)&amp;AC$1&amp;CHAR(34)&amp;",","")</f>
        <v/>
      </c>
      <c r="EK2" s="44" t="str">
        <f t="shared" ref="EK2:EK10" si="53">IF(AD2="y",CHAR(34)&amp;AD$1&amp;CHAR(34)&amp;",","")</f>
        <v>"HasSun",</v>
      </c>
      <c r="EL2" s="44" t="str">
        <f t="shared" ref="EL2:EL10" si="54">IF(AE2="y",CHAR(34)&amp;AE$1&amp;CHAR(34)&amp;",","")</f>
        <v/>
      </c>
      <c r="EM2" s="44" t="str">
        <f t="shared" ref="EM2:EM10" si="55">IF(AF2="y",CHAR(34)&amp;AF$1&amp;CHAR(34)&amp;",","")</f>
        <v/>
      </c>
      <c r="EN2" s="44" t="str">
        <f t="shared" ref="EN2:EN10" si="56">IF(AG2="y",CHAR(34)&amp;AG$1&amp;CHAR(34)&amp;",","")</f>
        <v>"Unequa",</v>
      </c>
      <c r="EO2" s="44" t="str">
        <f t="shared" ref="EO2:EO10" si="57">IF(AH2="y",CHAR(34)&amp;AH$1&amp;CHAR(34)&amp;",","")</f>
        <v/>
      </c>
      <c r="EP2" s="44" t="str">
        <f t="shared" ref="EP2:EP10" si="58">IF(AI2="y",CHAR(34)&amp;AI$1&amp;CHAR(34)&amp;",","")</f>
        <v/>
      </c>
      <c r="EQ2" s="44" t="str">
        <f t="shared" ref="EQ2:EQ10" si="59">IF(AJ2="y",CHAR(34)&amp;AJ$1&amp;CHAR(34)&amp;",","")</f>
        <v/>
      </c>
      <c r="ER2" s="44" t="str">
        <f t="shared" ref="ER2:ER10" si="60">IF(AK2="y",CHAR(34)&amp;AK$1&amp;CHAR(34)&amp;",","")</f>
        <v/>
      </c>
      <c r="ES2" s="44" t="str">
        <f t="shared" ref="ES2:ES10" si="61">IF(AL2="y",CHAR(34)&amp;AL$1&amp;CHAR(34)&amp;",","")</f>
        <v/>
      </c>
      <c r="ET2" s="44" t="str">
        <f t="shared" ref="ET2:ET10" si="62">IF(AM2="y",CHAR(34)&amp;AM$1&amp;CHAR(34)&amp;",","")</f>
        <v/>
      </c>
      <c r="EU2" s="44" t="str">
        <f t="shared" ref="EU2:EU10" si="63">IF(AN2="y",CHAR(34)&amp;AN$1&amp;CHAR(34)&amp;",","")</f>
        <v/>
      </c>
      <c r="EV2" s="44" t="str">
        <f t="shared" ref="EV2:EV10" si="64">IF(AO2="y",CHAR(34)&amp;AO$1&amp;CHAR(34)&amp;",","")</f>
        <v/>
      </c>
      <c r="EW2" s="44" t="str">
        <f t="shared" ref="EW2:EW10" si="65">IF(AP2="y",CHAR(34)&amp;AP$1&amp;CHAR(34)&amp;",","")</f>
        <v/>
      </c>
      <c r="EX2" s="44" t="str">
        <f t="shared" ref="EX2:EX10" si="66">IF(AQ2="y",CHAR(34)&amp;AQ$1&amp;CHAR(34)&amp;",","")</f>
        <v/>
      </c>
      <c r="EY2" s="44" t="str">
        <f t="shared" ref="EY2:EY10" si="67">IF(AR2="y",CHAR(34)&amp;AR$1&amp;CHAR(34)&amp;",","")</f>
        <v/>
      </c>
      <c r="EZ2" s="44" t="str">
        <f t="shared" ref="EZ2:EZ10" si="68">IF(AS2="y",CHAR(34)&amp;AS$1&amp;CHAR(34)&amp;",","")</f>
        <v/>
      </c>
      <c r="FA2" s="44" t="str">
        <f t="shared" ref="FA2:FA10" si="69">IF(AT2&gt;0,CHAR(34)&amp;"sta"&amp;AZ2&amp;CHAR(34)&amp;",","")</f>
        <v>"staWHI",</v>
      </c>
      <c r="FB2" s="44" t="str">
        <f t="shared" ref="FB2:FB10" si="70">IF(AND(AT2&gt;0,BA2&lt;&gt;""),CHAR(34)&amp;"sta"&amp;BA2&amp;CHAR(34)&amp;",","")</f>
        <v/>
      </c>
      <c r="FC2" s="44" t="str">
        <f>IF(AND(AT2&gt;0,BB2&lt;&gt;""),CHAR(34)&amp;"sta"&amp;BB2&amp;CHAR(34)&amp;",","")</f>
        <v/>
      </c>
      <c r="FD2" s="44" t="str">
        <f t="shared" ref="FD2:FD10" si="71">IF(BV2="n",CHAR(34)&amp;"tcWHYE"&amp;CHAR(34)&amp;",",IF(BV2="y",CHAR(34)&amp;FD$1&amp;CHAR(34)&amp;",",""))</f>
        <v/>
      </c>
      <c r="FE2" s="44" t="str">
        <f t="shared" ref="FE2:FE10" si="72">IF(COUNTIF(BL2:BT2,"BLU")=0,CHAR(34)&amp;"NO_BLU"&amp;CHAR(34)&amp;",", "")</f>
        <v/>
      </c>
      <c r="FF2" s="44" t="str">
        <f t="shared" ref="FF2:FF10" si="73">IF(COUNTIF(BL2:BT2,"WHI")=0,CHAR(34)&amp;"NO_WHI"&amp;CHAR(34)&amp;",", "")</f>
        <v/>
      </c>
      <c r="FG2" s="44" t="str">
        <f t="shared" ref="FG2:FG10" si="74">IF(COUNTIF(BL2:BT2,"RED")=0,CHAR(34)&amp;"NO_RED"&amp;CHAR(34)&amp;",", "")</f>
        <v>"NO_RED",</v>
      </c>
      <c r="FH2" s="44" t="str">
        <f t="shared" ref="FH2:FH10" si="75">IF(COUNTIF(BL2:BS2,"GRE")=0,CHAR(34)&amp;"NO_GRE"&amp;CHAR(34)&amp;",", "")</f>
        <v>"NO_GRE",</v>
      </c>
      <c r="FI2" s="44" t="str">
        <f t="shared" ref="FI2:FI10" si="76">IF(COUNTIF(BL2:BT2,"YEL")=0,CHAR(34)&amp;"NO_YEL"&amp;CHAR(34)&amp;",", "")</f>
        <v>"NO_YEL",</v>
      </c>
      <c r="FJ2" s="44" t="str">
        <f t="shared" ref="FJ2:FJ10" si="77">IF(COUNTIF(BL2:BT2,"BLA")=0,CHAR(34)&amp;"NO_BLA"&amp;CHAR(34)&amp;",", "")</f>
        <v>"NO_BLA",</v>
      </c>
      <c r="FK2" s="44" t="str">
        <f t="shared" ref="FK2:FK10" si="78">IF(AND(FH2&lt;&gt;"",FF2&lt;&gt;""),CHAR(34)&amp;"WHGRNO"&amp;CHAR(34)&amp;",","")</f>
        <v/>
      </c>
      <c r="FL2" s="44" t="str">
        <f t="shared" ref="FL2:FL10" si="79">IF(AND(FI2&lt;&gt;"",FF2&lt;&gt;""),CHAR(34)&amp;"WHYENO"&amp;CHAR(34)&amp;",","")</f>
        <v/>
      </c>
      <c r="FM2" s="44" t="str">
        <f t="shared" ref="FM2:FM10" si="80">IF(AND(FJ2&lt;&gt;"",FF2&lt;&gt;""),CHAR(34)&amp;"BAWHNO"&amp;CHAR(34)&amp;",","")</f>
        <v/>
      </c>
      <c r="FN2" s="44" t="str">
        <f t="shared" ref="FN2:FN10" si="81">IF(AND(FE2&lt;&gt;"",FF2&lt;&gt;""),CHAR(34)&amp;"BLWHNO"&amp;CHAR(34)&amp;",","")</f>
        <v/>
      </c>
      <c r="FO2" s="44" t="str">
        <f t="shared" ref="FO2:FO10" si="82">IF(AND(FE2&lt;&gt;"",FG2&lt;&gt;""),CHAR(34)&amp;"BLRENO"&amp;CHAR(34)&amp;",","")</f>
        <v/>
      </c>
      <c r="FP2" s="44" t="str">
        <f t="shared" ref="FP2:FP10" si="83">IF(AND(FF2&lt;&gt;"",FF2&lt;&gt;""),CHAR(34)&amp;"WHRENO"&amp;CHAR(34)&amp;",","")</f>
        <v/>
      </c>
      <c r="FQ2" s="44" t="str">
        <f t="shared" ref="FQ2:FQ10" si="84">IF(LEN(BF2)=3,CHAR(34)&amp;"001"&amp;BF2&amp;CHAR(34)&amp;",","")</f>
        <v>"001BLU",</v>
      </c>
      <c r="FR2" s="44" t="str">
        <f t="shared" ref="FR2:FR10" si="85">IF(LEN(BG2)=3,CHAR(34)&amp;"002"&amp;BG2&amp;CHAR(34)&amp;",","")</f>
        <v/>
      </c>
      <c r="FS2" s="44" t="str">
        <f t="shared" ref="FS2:FS10" si="86">IF(LEN(BH2)=3,CHAR(34)&amp;"003"&amp;BH2&amp;CHAR(34)&amp;",","")</f>
        <v>"003BLU",</v>
      </c>
      <c r="FT2" s="44" t="str">
        <f t="shared" ref="FT2:FT10" si="87">CHAR(34)&amp;"myr"&amp;BD2&amp;CHAR(34)&amp;","</f>
        <v>"myrBLU",</v>
      </c>
      <c r="FU2" s="44" t="str">
        <f t="shared" ref="FU2:FU10" si="88">IF(AY2="y",CHAR(34)&amp;"island"&amp;CHAR(34)&amp;",","")</f>
        <v>"island",</v>
      </c>
      <c r="FV2" s="44" t="str">
        <f t="shared" ref="FV2:FV10" si="89">IF(BZ2="y",CHAR(34)&amp;"landlo"&amp;CHAR(34)&amp;",","")</f>
        <v/>
      </c>
      <c r="FW2" s="44" t="str">
        <f t="shared" ref="FW2:FW10" si="90">IF(CA2="y",CHAR(34)&amp;"eunion"&amp;CHAR(34)&amp;",","")</f>
        <v/>
      </c>
      <c r="FX2" s="44" t="str">
        <f>SUBSTITUTE(IFERROR(SEARCH("[",A2),IFERROR(IF(AND(CA2&lt;&gt;"y",SEARCH("Europe",R2)&gt;0),CHAR(34)&amp;"noeuni"&amp;CHAR(34)&amp;",",""),"")),"1","")</f>
        <v/>
      </c>
      <c r="FY2" s="44" t="str">
        <f t="shared" ref="FY2:FY10" si="91">IFERROR(IF(SEARCH("Arabic",CB2)&gt;0,CHAR(34)&amp;"arabic"&amp;CHAR(34)&amp;",",""),"")</f>
        <v/>
      </c>
      <c r="FZ2" s="44" t="str">
        <f t="shared" ref="FZ2:FZ10" si="92">IFERROR(IF(SEARCH("English",CB2)&gt;0,CHAR(34)&amp;"englis"&amp;CHAR(34)&amp;",",""),"")</f>
        <v>"englis",</v>
      </c>
      <c r="GA2" s="44" t="str">
        <f t="shared" ref="GA2:GA10" si="93">IFERROR(IF(SEARCH("French",CB2)&gt;0,CHAR(34)&amp;"french"&amp;CHAR(34)&amp;",",""),"")</f>
        <v/>
      </c>
      <c r="GB2" s="44" t="str">
        <f t="shared" ref="GB2:GB10" si="94">IFERROR(IF(SEARCH("Spanish",CB2)&gt;0,CHAR(34)&amp;"spanis"&amp;CHAR(34)&amp;",",""),"")</f>
        <v/>
      </c>
      <c r="GC2" s="44" t="str">
        <f>IFERROR(IF(SEARCH("Portuguese",CB2)&gt;0,CHAR(34)&amp;"portug"&amp;CHAR(34)&amp;",",""),"")</f>
        <v/>
      </c>
      <c r="GD2" s="44" t="str">
        <f>IFERROR(IF(SEARCH("German",CB2)&gt;0,CHAR(34)&amp;"german"&amp;CHAR(34)&amp;",",""),"")</f>
        <v/>
      </c>
      <c r="GE2" s="44" t="str">
        <f t="shared" ref="GE2:GE49" si="95">IFERROR(IF(SEARCH("Dutch",CB2)&gt;0,CHAR(34)&amp;"dutchs"&amp;CHAR(34)&amp;",",""),"")</f>
        <v/>
      </c>
      <c r="GF2" s="44" t="str">
        <f>IFERROR(IF(SEARCH("Histor",AU2)&gt;0,CHAR(34)&amp;"histor"&amp;CHAR(34)&amp;",",""),"")</f>
        <v/>
      </c>
      <c r="GG2" s="44" t="str">
        <f t="shared" ref="GG2:GG49" si="96">IF(BU2="y",CHAR(34)&amp;"unjack"&amp;CHAR(34)&amp;",","")</f>
        <v/>
      </c>
      <c r="GH2" s="44" t="str">
        <f t="shared" ref="GH2:GH49" si="97">IF(CD2=1,CHAR(34)&amp;"southc"&amp;CHAR(34)&amp;",","")</f>
        <v/>
      </c>
      <c r="GI2" s="44" t="str">
        <f t="shared" ref="GI2:GI49" si="98">IF(CE2=1,CHAR(34)&amp;"hasmap"&amp;CHAR(34)&amp;",","")</f>
        <v/>
      </c>
      <c r="GJ2" s="44" t="str">
        <f t="shared" ref="GJ2:GJ10" si="99">IF(CP2="y",CHAR(34)&amp;CP$1&amp;CHAR(34)&amp;",","")</f>
        <v/>
      </c>
      <c r="GK2" s="44" t="str">
        <f t="shared" ref="GK2:GK10" si="100">IF(GJ2="",CHAR(34)&amp;"HasSta"&amp;CHAR(34)&amp;",","")</f>
        <v>"HasSta",</v>
      </c>
      <c r="GL2" s="44" t="str">
        <f t="shared" ref="GL2:GL10" si="101">IF(CQ2="y",CHAR(34)&amp;CQ$1&amp;CHAR(34)&amp;",","")</f>
        <v>"1Stars",</v>
      </c>
      <c r="GM2" s="44" t="str">
        <f t="shared" ref="GM2:GM10" si="102">IF(CR2="y",CHAR(34)&amp;CR$1&amp;CHAR(34)&amp;",","")</f>
        <v/>
      </c>
      <c r="GN2" s="44" t="str">
        <f t="shared" ref="GN2:GN10" si="103">IF(CS2="y",CHAR(34)&amp;CS$1&amp;CHAR(34)&amp;",","")</f>
        <v/>
      </c>
      <c r="GP2" s="44" t="str">
        <f t="shared" ref="GP2:GP10" si="104">CHAR(34)&amp;AU2&amp;CHAR(34)</f>
        <v>""</v>
      </c>
      <c r="GS2" s="44" t="str">
        <f t="shared" ref="GS2:GS10" si="105">SUBSTITUTE("["&amp;_xlfn.CONCAT(CW2:GN2)&amp;"]",",]","]")</f>
        <v>["3Color","words2","exact2","lets15","startM","LURAHI","year19","dgband","alldia","2Bands","Diagon","HasSun","Unequa","staWHI","NO_RED","NO_GRE","NO_YEL","NO_BLA","001BLU","003BLU","myrBLU","island","englis","HasSta","1Stars"]</v>
      </c>
      <c r="GT2" s="44" t="str">
        <f t="shared" ref="GT2:GT10" si="106">IF(BL2&lt;&gt;"",CHAR(34)&amp;"cl_"&amp;BL2&amp;CHAR(34)&amp;",","")</f>
        <v>"cl_BLU",</v>
      </c>
      <c r="GU2" s="44" t="str">
        <f t="shared" ref="GU2:GU10" si="107">IF(BM2&lt;&gt;"",CHAR(34)&amp;"cl_"&amp;BM2&amp;CHAR(34)&amp;",","")</f>
        <v>"cl_ORA",</v>
      </c>
      <c r="GV2" s="44" t="str">
        <f t="shared" ref="GV2:GV10" si="108">IF(BN2&lt;&gt;"",CHAR(34)&amp;"cl_"&amp;BN2&amp;CHAR(34)&amp;",","")</f>
        <v>"cl_WHI",</v>
      </c>
      <c r="GW2" s="44" t="str">
        <f t="shared" ref="GW2:GW10" si="109">IF(BO2&lt;&gt;"",CHAR(34)&amp;"cl_"&amp;BO2&amp;CHAR(34)&amp;",","")</f>
        <v/>
      </c>
      <c r="GX2" s="44" t="str">
        <f t="shared" ref="GX2:GX10" si="110">IF(BP2&lt;&gt;"",CHAR(34)&amp;"cl_"&amp;BP2&amp;CHAR(34)&amp;",","")</f>
        <v/>
      </c>
      <c r="GY2" s="44" t="str">
        <f t="shared" ref="GY2:GY10" si="111">IF(BQ2&lt;&gt;"",CHAR(34)&amp;"cl_"&amp;BQ2&amp;CHAR(34)&amp;",","")</f>
        <v/>
      </c>
      <c r="GZ2" s="44" t="str">
        <f t="shared" ref="GZ2:GZ10" si="112">IF(BR2&lt;&gt;"",CHAR(34)&amp;"cl_"&amp;BR2&amp;CHAR(34)&amp;",","")</f>
        <v/>
      </c>
      <c r="HA2" s="44" t="str">
        <f t="shared" ref="HA2:HA10" si="113">IF(BS2&lt;&gt;"",CHAR(34)&amp;"cl_"&amp;BS2&amp;CHAR(34)&amp;",","")</f>
        <v/>
      </c>
      <c r="HB2" s="44" t="str">
        <f t="shared" ref="HB2:HB10" si="114">IF(BT2&lt;&gt;"",CHAR(34)&amp;"cl_"&amp;BT2&amp;CHAR(34)&amp;",","")</f>
        <v/>
      </c>
      <c r="HC2" s="44" t="str">
        <f t="shared" ref="HC2:HC10" si="115">SUBSTITUTE("["&amp;_xlfn.CONCAT(GT2:HB2)&amp;"]",",]","]")</f>
        <v>["cl_BLU","cl_ORA","cl_WHI"]</v>
      </c>
      <c r="HE2" s="64"/>
      <c r="HF2" s="65" t="str">
        <f t="shared" ref="HF2:HF10" si="116">"{couname:"&amp;CT2&amp;(IF(HK2&lt;&gt;"",",subtype:"&amp;CHAR(34)&amp;HK2&amp;CHAR(34),""))&amp;",year:"&amp;HJ2&amp;",region:"&amp;CU2&amp;",Colors:"&amp;HC2&amp;",Items:"&amp;GS2&amp;",Flag:"&amp;CV2&amp;",HDFlag:"&amp;CHAR(34)&amp;E2&amp;CHAR(34)&amp;",type:"&amp;GP2&amp;", describe: "&amp;HH2&amp;", isnew:"&amp;CHAR(34)&amp;F2&amp;CHAR(34)&amp;", links: "&amp;HL2&amp;"},"</f>
        <v>{couname:"Marshall Islands",year:"1979 ",region:"rgn_Oceania",Colors:["cl_BLU","cl_ORA","cl_WHI"],Items:["3Color","words2","exact2","lets15","startM","LURAHI","year19","dgband","alldia","2Bands","Diagon","HasSun","Unequa","staWHI","NO_RED","NO_GRE","NO_YEL","NO_BLA","001BLU","003BLU","myrBLU","island","englis","HasSta","1Stars"],Flag:"https://i.ibb.co/98FvLgw/Marshall-Islands-Flag.png",HDFlag:"https://upload.wikimedia.org/wikipedia/commons/thumb/2/2e/Flag_of_the_Marshall_Islands.svg/2560px-Flag_of_the_Marshall_Islands.svg.png",type:"", describe: "\nIn common with other island nations in the region, this flag features the symbolic representation of the islands' place within the ocean. The rising diagonal band represents the equator, the star above representing this Northern Hemisphere archipelago. The white and orange portions of the band represent, respectively, the Ratak Chain (sunrise) and the Ralik Chain (sunset), as well as symbolizing peace and courage. The star's 24 points represent the number of electoral districts, while the four elongated points represent the principal cultural centers of Majuro, Jaluit, Wotje and Ebeye. The flag is also the national flag with the most points on a star, at 24.", isnew:".", links: "https://en.wikipedia.org/wiki/Flag_of_the_Marshall_Islands"},</v>
      </c>
      <c r="HG2" s="66" t="str">
        <f t="shared" ref="HG2:HG10" si="117">"{couname:"&amp;CT2&amp;(IF(HK2&lt;&gt;"",",subtype:"&amp;CHAR(34)&amp;HK2&amp;CHAR(34),""))&amp;",year:"&amp;HJ2&amp;",region:"&amp;CU2&amp;",Colors:"&amp;HC2&amp;",Items:"&amp;GS2&amp;",Flag:"&amp;CV2&amp;",HDFlag:"&amp;CHAR(34)&amp;E2&amp;CHAR(34)&amp;",type:"&amp;GP2&amp;", describe: "&amp;HI2&amp;", links: "&amp;HL2&amp;"},"</f>
        <v>{couname:"Marshall Islands",year:"1979 ",region:"rgn_Oceania",Colors:["cl_BLU","cl_ORA","cl_WHI"],Items:["3Color","words2","exact2","lets15","startM","LURAHI","year19","dgband","alldia","2Bands","Diagon","HasSun","Unequa","staWHI","NO_RED","NO_GRE","NO_YEL","NO_BLA","001BLU","003BLU","myrBLU","island","englis","HasSta","1Stars"],Flag:"https://i.ibb.co/98FvLgw/Marshall-Islands-Flag.png",HDFlag:"https://upload.wikimedia.org/wikipedia/commons/thumb/2/2e/Flag_of_the_Marshall_Islands.svg/2560px-Flag_of_the_Marshall_Islands.svg.png",type:"", describe: "\nIn common with other island nations in the region, this flag features the symbolic representation of the islands' place within the ocean. The rising diagonal band represents the equator, the star above representing this Northern Hemisphere archipelago. The white and orange portions of the band represent, respectively, the Ratak Chain (sunrise) and the Ralik Chain (sunset), as well as symbolizing peace and courage. The star's 24 points represent the number of electoral districts, while the four elongated points represent the principal cultural centers of Majuro, Jaluit, Wotje and Ebeye. The flag is also the national flag with the most points on a star, at 24.", links: "https://en.wikipedia.org/wiki/Flag_of_the_Marshall_Islands"},</v>
      </c>
      <c r="HH2" s="44" t="str">
        <f t="shared" ref="HH2:HH10" si="118">IF(P2&lt;&gt;"",CHAR(34)&amp;"\n"&amp;P2&amp;CHAR(34),CHAR(34)&amp;CHAR(34))</f>
        <v>"\nIn common with other island nations in the region, this flag features the symbolic representation of the islands' place within the ocean. The rising diagonal band represents the equator, the star above representing this Northern Hemisphere archipelago. The white and orange portions of the band represent, respectively, the Ratak Chain (sunrise) and the Ralik Chain (sunset), as well as symbolizing peace and courage. The star's 24 points represent the number of electoral districts, while the four elongated points represent the principal cultural centers of Majuro, Jaluit, Wotje and Ebeye. The flag is also the national flag with the most points on a star, at 24."</v>
      </c>
      <c r="HI2" s="44" t="str">
        <f t="shared" ref="HI2:HI10" si="119">IF(J2=0,CHAR(34)&amp;CHAR(34),HH2)</f>
        <v>"\nIn common with other island nations in the region, this flag features the symbolic representation of the islands' place within the ocean. The rising diagonal band represents the equator, the star above representing this Northern Hemisphere archipelago. The white and orange portions of the band represent, respectively, the Ratak Chain (sunrise) and the Ralik Chain (sunset), as well as symbolizing peace and courage. The star's 24 points represent the number of electoral districts, while the four elongated points represent the principal cultural centers of Majuro, Jaluit, Wotje and Ebeye. The flag is also the national flag with the most points on a star, at 24."</v>
      </c>
      <c r="HJ2" s="44" t="str">
        <f t="shared" ref="HJ2:HJ10" si="120">CHAR(34)&amp;O2&amp;CHAR(34)</f>
        <v>"1979 "</v>
      </c>
      <c r="HL2" s="44" t="str">
        <f t="shared" ref="HL2:HL10" si="121">CHAR(34)&amp;I2&amp;CHAR(34)</f>
        <v>"https://en.wikipedia.org/wiki/Flag_of_the_Marshall_Islands"</v>
      </c>
      <c r="HM2" s="65" t="str">
        <f t="shared" ref="HM2:HM10" si="122">"{"&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{"couname":"Marshall Islands","year":"1979 ","region":"rgn_Oceania","Colors":["cl_BLU","cl_ORA","cl_WHI"],"Items":["3Color","words2","exact2","lets15","startM","LURAHI","year19","dgband","alldia","2Bands","Diagon","HasSun","Unequa","staWHI","NO_RED","NO_GRE","NO_YEL","NO_BLA","001BLU","003BLU","myrBLU","island","englis","HasSta","1Stars"],"Flag":"https://i.ibb.co/98FvLgw/Marshall-Islands-Flag.png","HDFlag":"https://upload.wikimedia.org/wikipedia/commons/thumb/2/2e/Flag_of_the_Marshall_Islands.svg/2560px-Flag_of_the_Marshall_Islands.svg.png","type":"", "describe": "\nIn common with other island nations in the region, this flag features the symbolic representation of the islands' place within the ocean. The rising diagonal band represents the equator, the star above representing this Northern Hemisphere archipelago. The white and orange portions of the band represent, respectively, the Ratak Chain (sunrise) and the Ralik Chain (sunset), as well as symbolizing peace and courage. The star's 24 points represent the number of electoral districts, while the four elongated points represent the principal cultural centers of Majuro, Jaluit, Wotje and Ebeye. The flag is also the national flag with the most points on a star, at 24.", "isnew": ".", "links": "https://en.wikipedia.org/wiki/Flag_of_the_Marshall_Islands"},</v>
      </c>
      <c r="HN2" s="67" t="str">
        <f t="shared" ref="HN2:HN10" si="123">"{"&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{"couname":"Marshall Islands","year":"1979 ","region":"rgn_Oceania","Colors":["cl_BLU","cl_ORA","cl_WHI"],"Items":["3Color","words2","exact2","lets15","startM","LURAHI","year19","dgband","alldia","2Bands","Diagon","HasSun","Unequa","staWHI","NO_RED","NO_GRE","NO_YEL","NO_BLA","001BLU","003BLU","myrBLU","island","englis","HasSta","1Stars"],"Flag":"https://i.ibb.co/98FvLgw/Marshall-Islands-Flag.png","HDFlag":"https://upload.wikimedia.org/wikipedia/commons/thumb/2/2e/Flag_of_the_Marshall_Islands.svg/2560px-Flag_of_the_Marshall_Islands.svg.png","type":"", "describe": "\nIn common with other island nations in the region, this flag features the symbolic representation of the islands' place within the ocean. The rising diagonal band represents the equator, the star above representing this Northern Hemisphere archipelago. The white and orange portions of the band represent, respectively, the Ratak Chain (sunrise) and the Ralik Chain (sunset), as well as symbolizing peace and courage. The star's 24 points represent the number of electoral districts, while the four elongated points represent the principal cultural centers of Majuro, Jaluit, Wotje and Ebeye. The flag is also the national flag with the most points on a star, at 24.", "isnew": ".", "links": "https://en.wikipedia.org/wiki/Flag_of_the_Marshall_Islands"},</v>
      </c>
      <c r="HO2" s="71"/>
      <c r="HP2" s="44" t="str" cm="1">
        <f t="array" ref="HP2">IF(_xlfn.TEXTJOIN(", ", TRUE, IF(ISNUMBER(SEARCH("BLA", BL2:BT2)), COLUMN(BL2:BT2) - COLUMN(BL2) + 1, ""))&lt;&gt;"","BLA","")</f>
        <v/>
      </c>
      <c r="HQ2" s="44" t="str" cm="1">
        <f t="array" ref="HQ2">IF(_xlfn.TEXTJOIN(", ", TRUE, IF(ISNUMBER(SEARCH("BLU", BL2:BT2)), COLUMN(BL2:BT2) - COLUMN(BL2) + 1, ""))&lt;&gt;"","BLU","")</f>
        <v>BLU</v>
      </c>
      <c r="HR2" s="44" t="str" cm="1">
        <f t="array" ref="HR2">IF(_xlfn.TEXTJOIN(", ", TRUE, IF(ISNUMBER(SEARCH("GRE", BL2:BT2)), COLUMN(BL2:BT2) - COLUMN(BL2) + 1, ""))&lt;&gt;"","GRE","")</f>
        <v/>
      </c>
      <c r="HS2" s="44" t="str" cm="1">
        <f t="array" ref="HS2">IF(_xlfn.TEXTJOIN(", ", TRUE, IF(ISNUMBER(SEARCH("RED", BL2:BT2)), COLUMN(BL2:BT2) - COLUMN(BL2) + 1, ""))&lt;&gt;"","RED","")</f>
        <v/>
      </c>
      <c r="HT2" s="44" t="str" cm="1">
        <f t="array" ref="HT2">IF(_xlfn.TEXTJOIN(", ", TRUE, IF(ISNUMBER(SEARCH("YEL", BL2:BT2)), COLUMN(BL2:BT2) - COLUMN(BL2) + 1, ""))&lt;&gt;"","YEL","")</f>
        <v/>
      </c>
      <c r="HU2" s="44" t="str" cm="1">
        <f t="array" ref="HU2">IF(_xlfn.TEXTJOIN(", ", TRUE, IF(ISNUMBER(SEARCH("ORA", BL2:BT2)), COLUMN(BL2:BT2) - COLUMN(BL2) + 1, ""))&lt;&gt;"","ORA","")</f>
        <v>ORA</v>
      </c>
      <c r="HV2" s="44" t="str" cm="1">
        <f t="array" ref="HV2">IF(_xlfn.TEXTJOIN(", ", TRUE, IF(ISNUMBER(SEARCH("BRO", BL2:BT2)), COLUMN(BL2:BT2) - COLUMN(BL2) + 1, ""))&lt;&gt;"","BRO","")</f>
        <v/>
      </c>
      <c r="HW2" s="44" t="str" cm="1">
        <f t="array" ref="HW2">IF(_xlfn.TEXTJOIN(", ", TRUE, IF(ISNUMBER(SEARCH("PUR", BL2:BT2)), COLUMN(BL2:BT2) - COLUMN(BL2) + 1, ""))&lt;&gt;"","PUR","")</f>
        <v/>
      </c>
      <c r="HX2" s="44" t="str" cm="1">
        <f t="array" ref="HX2">IF(_xlfn.TEXTJOIN(", ", TRUE, IF(ISNUMBER(SEARCH("WHI", BL2:BT2)), COLUMN(BL2:BT2) - COLUMN(BL2) + 1, ""))&lt;&gt;"","WHI","")</f>
        <v>WHI</v>
      </c>
      <c r="HY2" s="72"/>
      <c r="HZ2" s="72"/>
      <c r="IA2" s="5"/>
      <c r="IB2" s="5"/>
      <c r="IC2" s="68"/>
      <c r="ID2" s="68"/>
      <c r="IE2" s="68"/>
      <c r="IF2" s="68"/>
      <c r="IG2" s="68"/>
      <c r="IH2" s="68"/>
      <c r="II2" s="68"/>
      <c r="IJ2" s="68"/>
      <c r="IK2" s="68"/>
      <c r="IL2" s="44">
        <f>SUM(IC2:IK2)</f>
        <v>0</v>
      </c>
      <c r="IM2" s="42">
        <f t="shared" ref="IM2:IM10" si="124">COUNTIF(IC2:IK2,"&gt;0")-CG2</f>
        <v>-3</v>
      </c>
      <c r="IN2" s="69" t="str">
        <f t="shared" ref="IN2:IN10" si="125">"http://mkweb.bcgsc.ca/color-summarizer/?url="&amp;D2&amp;"&amp;precision=low&amp;num_clusters="&amp;CG2&amp;"&amp;text=1"</f>
        <v>http://mkweb.bcgsc.ca/color-summarizer/?url=https://i.ibb.co/98FvLgw/Marshall-Islands-Flag.png&amp;precision=low&amp;num_clusters=3&amp;text=1</v>
      </c>
      <c r="IO2" s="44" t="str">
        <f t="shared" ref="IO2:IO10" si="126">IF(HP2&lt;&gt;"",CHAR(34)&amp;"black"&amp;CHAR(34),"")</f>
        <v/>
      </c>
      <c r="IP2" s="44" t="str">
        <f t="shared" ref="IP2:IP10" si="127">IF(HQ2&lt;&gt;"",CHAR(34)&amp;"blue"&amp;CHAR(34),"")</f>
        <v>"blue"</v>
      </c>
      <c r="IQ2" s="44" t="str">
        <f t="shared" ref="IQ2:IQ10" si="128">IF(HR2&lt;&gt;"",CHAR(34)&amp;"green"&amp;CHAR(34),"")</f>
        <v/>
      </c>
      <c r="IR2" s="44" t="str">
        <f t="shared" ref="IR2:IR10" si="129">IF(HS2&lt;&gt;"",CHAR(34)&amp;"red"&amp;CHAR(34),"")</f>
        <v/>
      </c>
      <c r="IS2" s="44" t="str">
        <f t="shared" ref="IS2:IS10" si="130">IF(HT2&lt;&gt;"",CHAR(34)&amp;"yellow"&amp;CHAR(34),"")</f>
        <v/>
      </c>
      <c r="IT2" s="44" t="str">
        <f t="shared" ref="IT2:IT10" si="131">IF(HU2&lt;&gt;"",CHAR(34)&amp;"orange"&amp;CHAR(34),"")</f>
        <v>"orange"</v>
      </c>
      <c r="IU2" s="44" t="str">
        <f t="shared" ref="IU2:IU10" si="132">IF(HV2&lt;&gt;"",CHAR(34)&amp;"brown"&amp;CHAR(34),"")</f>
        <v/>
      </c>
      <c r="IV2" s="44" t="str">
        <f t="shared" ref="IV2:IV10" si="133">IF(HW2&lt;&gt;"",CHAR(34)&amp;"purple"&amp;CHAR(34),"")</f>
        <v/>
      </c>
      <c r="IW2" s="44" t="str">
        <f t="shared" ref="IW2:IW10" si="134">IF(HX2&lt;&gt;"",CHAR(34)&amp;"white"&amp;CHAR(34),"")</f>
        <v>"white"</v>
      </c>
      <c r="IX2" s="44" t="str">
        <f t="shared" ref="IX2:IX10" si="135">"{"&amp;CHAR(34)&amp;"url"&amp;CHAR(34)&amp;":"&amp;CHAR(34)&amp;IN2&amp;CHAR(34)&amp;","&amp;CHAR(34)&amp;"name"&amp;CHAR(34)&amp;":"&amp;CHAR(34)&amp;A2&amp;CHAR(34)&amp;"},"</f>
        <v>{"url":"http://mkweb.bcgsc.ca/color-summarizer/?url=https://i.ibb.co/98FvLgw/Marshall-Islands-Flag.png&amp;precision=low&amp;num_clusters=3&amp;text=1","name":"Marshall Islands"},</v>
      </c>
      <c r="IY2" s="44">
        <v>133</v>
      </c>
    </row>
    <row r="3" spans="1:259" s="44" customFormat="1" ht="38.4" customHeight="1" thickBot="1" x14ac:dyDescent="0.35">
      <c r="A3" s="80" t="s">
        <v>598</v>
      </c>
      <c r="B3" s="78" t="e" vm="48">
        <v>#VALUE!</v>
      </c>
      <c r="C3" s="39">
        <v>2</v>
      </c>
      <c r="D3" s="70" t="s">
        <v>599</v>
      </c>
      <c r="E3" s="40" t="s">
        <v>599</v>
      </c>
      <c r="F3" s="41" t="s">
        <v>165</v>
      </c>
      <c r="G3" s="42">
        <f t="shared" si="0"/>
        <v>1</v>
      </c>
      <c r="H3" s="43"/>
      <c r="I3" s="59" t="s">
        <v>600</v>
      </c>
      <c r="J3" s="44" t="str">
        <f>""</f>
        <v/>
      </c>
      <c r="K3" s="45"/>
      <c r="L3" s="46"/>
      <c r="M3" s="46"/>
      <c r="N3" s="47" t="s">
        <v>177</v>
      </c>
      <c r="O3" s="74" t="s">
        <v>230</v>
      </c>
      <c r="P3" s="48" t="s">
        <v>601</v>
      </c>
      <c r="Q3" s="73">
        <v>2</v>
      </c>
      <c r="R3" s="49" t="s">
        <v>177</v>
      </c>
      <c r="S3" s="50">
        <v>4</v>
      </c>
      <c r="T3" s="51" t="s">
        <v>166</v>
      </c>
      <c r="U3" s="52" t="s">
        <v>166</v>
      </c>
      <c r="V3" s="52" t="s">
        <v>167</v>
      </c>
      <c r="W3" s="52" t="s">
        <v>166</v>
      </c>
      <c r="X3" s="52" t="s">
        <v>166</v>
      </c>
      <c r="Y3" s="52" t="s">
        <v>166</v>
      </c>
      <c r="Z3" s="52" t="s">
        <v>166</v>
      </c>
      <c r="AA3" s="52" t="s">
        <v>166</v>
      </c>
      <c r="AB3" s="52" t="s">
        <v>166</v>
      </c>
      <c r="AC3" s="52" t="s">
        <v>166</v>
      </c>
      <c r="AD3" s="52" t="s">
        <v>166</v>
      </c>
      <c r="AE3" s="52" t="s">
        <v>166</v>
      </c>
      <c r="AF3" s="53" t="s">
        <v>167</v>
      </c>
      <c r="AG3" s="53" t="s">
        <v>167</v>
      </c>
      <c r="AH3" s="53" t="s">
        <v>166</v>
      </c>
      <c r="AI3" s="53" t="s">
        <v>166</v>
      </c>
      <c r="AJ3" s="53" t="s">
        <v>166</v>
      </c>
      <c r="AK3" s="53" t="s">
        <v>166</v>
      </c>
      <c r="AL3" s="53" t="s">
        <v>166</v>
      </c>
      <c r="AM3" s="53" t="s">
        <v>166</v>
      </c>
      <c r="AN3" s="53" t="s">
        <v>166</v>
      </c>
      <c r="AO3" s="53" t="s">
        <v>166</v>
      </c>
      <c r="AP3" s="53" t="s">
        <v>166</v>
      </c>
      <c r="AQ3" s="53" t="s">
        <v>166</v>
      </c>
      <c r="AR3" s="53" t="s">
        <v>166</v>
      </c>
      <c r="AS3" s="53" t="s">
        <v>166</v>
      </c>
      <c r="AT3" s="54">
        <v>4</v>
      </c>
      <c r="AU3" s="53" t="s">
        <v>417</v>
      </c>
      <c r="AV3" s="53" t="str">
        <f t="shared" si="1"/>
        <v>[MHL]Atoll[MHL] Ailuk Atoll</v>
      </c>
      <c r="AW3" s="53" t="str">
        <f t="shared" si="2"/>
        <v>2[MHL] Ailuk Atoll</v>
      </c>
      <c r="AX3" s="55"/>
      <c r="AY3" s="55"/>
      <c r="AZ3" s="56" t="s">
        <v>161</v>
      </c>
      <c r="BA3" s="56" t="s">
        <v>231</v>
      </c>
      <c r="BB3" s="56"/>
      <c r="BC3" s="57"/>
      <c r="BD3" s="58" t="s">
        <v>154</v>
      </c>
      <c r="BE3" s="59"/>
      <c r="BF3" s="58" t="s">
        <v>154</v>
      </c>
      <c r="BG3" s="58" t="s">
        <v>231</v>
      </c>
      <c r="BH3" s="58" t="s">
        <v>154</v>
      </c>
      <c r="BI3" s="58"/>
      <c r="BJ3" s="58"/>
      <c r="BK3" s="59"/>
      <c r="BL3" s="58" t="s">
        <v>231</v>
      </c>
      <c r="BM3" s="58" t="s">
        <v>154</v>
      </c>
      <c r="BN3" s="58" t="s">
        <v>155</v>
      </c>
      <c r="BO3" s="58" t="s">
        <v>231</v>
      </c>
      <c r="BP3" s="58" t="s">
        <v>231</v>
      </c>
      <c r="BQ3" s="58" t="s">
        <v>158</v>
      </c>
      <c r="BR3" s="58" t="s">
        <v>231</v>
      </c>
      <c r="BS3" s="58" t="s">
        <v>231</v>
      </c>
      <c r="BT3" s="58" t="s">
        <v>161</v>
      </c>
      <c r="BU3" s="60"/>
      <c r="BV3" s="61"/>
      <c r="BW3" s="61">
        <v>0</v>
      </c>
      <c r="BX3" s="59"/>
      <c r="CB3" s="5"/>
      <c r="CC3" s="5"/>
      <c r="CD3" s="62">
        <v>0</v>
      </c>
      <c r="CE3" s="62">
        <v>0</v>
      </c>
      <c r="CF3" s="62" t="e">
        <v>#REF!</v>
      </c>
      <c r="CG3" s="75" cm="1">
        <f t="array" ref="CG3">SUMPRODUCT(--(LEN(TRIM(BL3:BT3))&gt;0))</f>
        <v>4</v>
      </c>
      <c r="CH3" s="53" t="str">
        <f t="shared" si="3"/>
        <v>n</v>
      </c>
      <c r="CI3" s="53" t="str">
        <f t="shared" si="4"/>
        <v>n</v>
      </c>
      <c r="CJ3" s="53" t="str">
        <f t="shared" si="5"/>
        <v>y</v>
      </c>
      <c r="CK3" s="53" t="str">
        <f t="shared" si="6"/>
        <v>n</v>
      </c>
      <c r="CL3" s="53" t="str">
        <f t="shared" si="7"/>
        <v>n</v>
      </c>
      <c r="CM3" s="53" t="str">
        <f t="shared" si="8"/>
        <v>n</v>
      </c>
      <c r="CN3" s="53" t="str">
        <f t="shared" si="9"/>
        <v>n</v>
      </c>
      <c r="CO3" s="53" t="str">
        <f t="shared" si="10"/>
        <v>y</v>
      </c>
      <c r="CP3" s="53" t="str">
        <f t="shared" si="11"/>
        <v>n</v>
      </c>
      <c r="CQ3" s="53" t="str">
        <f t="shared" si="12"/>
        <v>n</v>
      </c>
      <c r="CR3" s="53" t="str">
        <f t="shared" si="13"/>
        <v>n</v>
      </c>
      <c r="CS3" s="53" t="str">
        <f t="shared" si="14"/>
        <v>y</v>
      </c>
      <c r="CT3" s="38" t="str">
        <f t="shared" si="15"/>
        <v>"[MHL] Ailuk Atoll"</v>
      </c>
      <c r="CU3" s="63" t="str">
        <f t="shared" si="16"/>
        <v>"rgn_Oceania"</v>
      </c>
      <c r="CV3" s="44" t="str">
        <f t="shared" si="17"/>
        <v>"https://upload.wikimedia.org/wikipedia/commons/thumb/b/bc/Flag_of_Ailuk_Atoll%2C_Marshall_Islands.svg/1280px-Flag_of_Ailuk_Atoll%2C_Marshall_Islands.svg.png"</v>
      </c>
      <c r="CW3" s="44" t="str">
        <f t="shared" si="18"/>
        <v/>
      </c>
      <c r="CX3" s="44" t="str">
        <f t="shared" si="19"/>
        <v/>
      </c>
      <c r="CY3" s="44" t="str">
        <f t="shared" si="20"/>
        <v>"4Color",</v>
      </c>
      <c r="CZ3" s="44" t="str">
        <f t="shared" si="21"/>
        <v/>
      </c>
      <c r="DA3" s="44" t="str">
        <f t="shared" si="22"/>
        <v>"words2",</v>
      </c>
      <c r="DB3" s="44" t="str">
        <f t="shared" si="23"/>
        <v/>
      </c>
      <c r="DD3" s="44"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"lets10",</v>
      </c>
      <c r="DE3" s="44" t="str">
        <f>CHAR(34)&amp;"start"&amp;IFERROR(LEFT(SUBSTITUTE(A3,"["&amp;MID(A3,FIND("[",A3)+1,FIND("]",A3)-FIND("[",A3)-1)&amp;"] ",""),1),LEFT(A3,1))&amp;CHAR(34)&amp;","</f>
        <v>"startA",</v>
      </c>
      <c r="DF3" s="44" t="str">
        <f t="shared" si="24"/>
        <v/>
      </c>
      <c r="DG3" s="44" t="str">
        <f t="shared" si="25"/>
        <v/>
      </c>
      <c r="DH3" s="44" t="str">
        <f t="shared" si="26"/>
        <v/>
      </c>
      <c r="DI3" s="44" t="str">
        <f t="shared" si="27"/>
        <v/>
      </c>
      <c r="DJ3" s="44" t="str">
        <f t="shared" si="28"/>
        <v/>
      </c>
      <c r="DK3" s="44" t="str">
        <f t="shared" si="29"/>
        <v/>
      </c>
      <c r="DL3" s="44" t="str">
        <f t="shared" si="30"/>
        <v/>
      </c>
      <c r="DM3" s="44" t="str" cm="1">
        <f t="array" ref="DM3">IF(CG3=3,CHAR(34) &amp; _xlfn.TEXTJOIN("", TRUE, RIGHT(HP3:HX3, 2)) &amp; CHAR(34) &amp; ",", "")</f>
        <v/>
      </c>
      <c r="DN3" s="44" t="str">
        <f t="shared" si="31"/>
        <v/>
      </c>
      <c r="DO3" s="44" t="str">
        <f t="shared" si="32"/>
        <v/>
      </c>
      <c r="DP3" s="5" t="str">
        <f t="shared" si="33"/>
        <v/>
      </c>
      <c r="DQ3" s="5" t="str">
        <f t="shared" si="34"/>
        <v/>
      </c>
      <c r="DR3" s="5" t="str">
        <f t="shared" si="35"/>
        <v/>
      </c>
      <c r="DS3" s="5" t="str">
        <f t="shared" si="36"/>
        <v/>
      </c>
      <c r="DT3" s="5" t="str">
        <f t="shared" si="37"/>
        <v>"allhor",</v>
      </c>
      <c r="DU3" s="5" t="str">
        <f t="shared" si="38"/>
        <v/>
      </c>
      <c r="DW3" s="44" t="str">
        <f t="shared" si="39"/>
        <v/>
      </c>
      <c r="DX3" s="44" t="str">
        <f t="shared" si="40"/>
        <v/>
      </c>
      <c r="DY3" s="44" t="str">
        <f t="shared" si="41"/>
        <v/>
      </c>
      <c r="DZ3" s="44" t="str">
        <f t="shared" si="42"/>
        <v>"4+Band",</v>
      </c>
      <c r="EA3" s="44" t="str">
        <f t="shared" si="43"/>
        <v/>
      </c>
      <c r="EB3" s="44" t="str">
        <f t="shared" si="44"/>
        <v/>
      </c>
      <c r="EC3" s="44" t="str">
        <f t="shared" si="45"/>
        <v>"Horizo",</v>
      </c>
      <c r="ED3" s="44" t="str">
        <f t="shared" si="46"/>
        <v/>
      </c>
      <c r="EE3" s="44" t="str">
        <f t="shared" si="47"/>
        <v/>
      </c>
      <c r="EF3" s="44" t="str">
        <f t="shared" si="48"/>
        <v/>
      </c>
      <c r="EG3" s="44" t="str">
        <f t="shared" si="49"/>
        <v/>
      </c>
      <c r="EH3" s="44" t="str">
        <f t="shared" si="50"/>
        <v/>
      </c>
      <c r="EI3" s="44" t="str">
        <f t="shared" si="51"/>
        <v/>
      </c>
      <c r="EJ3" s="44" t="str">
        <f t="shared" si="52"/>
        <v/>
      </c>
      <c r="EK3" s="44" t="str">
        <f t="shared" si="53"/>
        <v/>
      </c>
      <c r="EL3" s="44" t="str">
        <f t="shared" si="54"/>
        <v/>
      </c>
      <c r="EM3" s="44" t="str">
        <f t="shared" si="55"/>
        <v>"Trside",</v>
      </c>
      <c r="EN3" s="44" t="str">
        <f t="shared" si="56"/>
        <v>"Unequa",</v>
      </c>
      <c r="EO3" s="44" t="str">
        <f t="shared" si="57"/>
        <v/>
      </c>
      <c r="EP3" s="44" t="str">
        <f t="shared" si="58"/>
        <v/>
      </c>
      <c r="EQ3" s="44" t="str">
        <f t="shared" si="59"/>
        <v/>
      </c>
      <c r="ER3" s="44" t="str">
        <f t="shared" si="60"/>
        <v/>
      </c>
      <c r="ES3" s="44" t="str">
        <f t="shared" si="61"/>
        <v/>
      </c>
      <c r="ET3" s="44" t="str">
        <f t="shared" si="62"/>
        <v/>
      </c>
      <c r="EU3" s="44" t="str">
        <f t="shared" si="63"/>
        <v/>
      </c>
      <c r="EV3" s="44" t="str">
        <f t="shared" si="64"/>
        <v/>
      </c>
      <c r="EW3" s="44" t="str">
        <f t="shared" si="65"/>
        <v/>
      </c>
      <c r="EX3" s="44" t="str">
        <f t="shared" si="66"/>
        <v/>
      </c>
      <c r="EY3" s="44" t="str">
        <f t="shared" si="67"/>
        <v/>
      </c>
      <c r="EZ3" s="44" t="str">
        <f t="shared" si="68"/>
        <v/>
      </c>
      <c r="FA3" s="44" t="str">
        <f t="shared" si="69"/>
        <v>"staWHI",</v>
      </c>
      <c r="FB3" s="44" t="str">
        <f t="shared" si="70"/>
        <v/>
      </c>
      <c r="FD3" s="44" t="str">
        <f t="shared" si="71"/>
        <v/>
      </c>
      <c r="FE3" s="44" t="str">
        <f t="shared" si="72"/>
        <v/>
      </c>
      <c r="FF3" s="44" t="str">
        <f t="shared" si="73"/>
        <v/>
      </c>
      <c r="FG3" s="44" t="str">
        <f t="shared" si="74"/>
        <v>"NO_RED",</v>
      </c>
      <c r="FH3" s="44" t="str">
        <f t="shared" si="75"/>
        <v/>
      </c>
      <c r="FI3" s="44" t="str">
        <f t="shared" si="76"/>
        <v>"NO_YEL",</v>
      </c>
      <c r="FJ3" s="44" t="str">
        <f t="shared" si="77"/>
        <v>"NO_BLA",</v>
      </c>
      <c r="FK3" s="44" t="str">
        <f t="shared" si="78"/>
        <v/>
      </c>
      <c r="FL3" s="44" t="str">
        <f t="shared" si="79"/>
        <v/>
      </c>
      <c r="FM3" s="44" t="str">
        <f t="shared" si="80"/>
        <v/>
      </c>
      <c r="FN3" s="44" t="str">
        <f t="shared" si="81"/>
        <v/>
      </c>
      <c r="FO3" s="44" t="str">
        <f t="shared" si="82"/>
        <v/>
      </c>
      <c r="FP3" s="44" t="str">
        <f t="shared" si="83"/>
        <v/>
      </c>
      <c r="FQ3" s="44" t="str">
        <f t="shared" si="84"/>
        <v>"001BLU",</v>
      </c>
      <c r="FR3" s="44" t="str">
        <f t="shared" si="85"/>
        <v/>
      </c>
      <c r="FS3" s="44" t="str">
        <f t="shared" si="86"/>
        <v>"003BLU",</v>
      </c>
      <c r="FT3" s="44" t="str">
        <f t="shared" si="87"/>
        <v>"myrBLU",</v>
      </c>
      <c r="FU3" s="44" t="str">
        <f t="shared" si="88"/>
        <v/>
      </c>
      <c r="FV3" s="44" t="str">
        <f t="shared" si="89"/>
        <v/>
      </c>
      <c r="FW3" s="44" t="str">
        <f t="shared" si="90"/>
        <v/>
      </c>
      <c r="FY3" s="44" t="str">
        <f t="shared" si="91"/>
        <v/>
      </c>
      <c r="FZ3" s="44" t="str">
        <f t="shared" si="92"/>
        <v/>
      </c>
      <c r="GA3" s="44" t="str">
        <f t="shared" si="93"/>
        <v/>
      </c>
      <c r="GB3" s="44" t="str">
        <f t="shared" si="94"/>
        <v/>
      </c>
      <c r="GE3" s="44" t="str">
        <f t="shared" si="95"/>
        <v/>
      </c>
      <c r="GF3" s="44" t="str">
        <f t="shared" ref="GF3:GF10" si="136">IFERROR(IF(SEARCH("Historical",AU3)&gt;0,CHAR(34)&amp;"histor"&amp;CHAR(34)&amp;",",""),"")</f>
        <v/>
      </c>
      <c r="GG3" s="44" t="str">
        <f t="shared" si="96"/>
        <v/>
      </c>
      <c r="GH3" s="44" t="str">
        <f t="shared" si="97"/>
        <v/>
      </c>
      <c r="GI3" s="44" t="str">
        <f t="shared" si="98"/>
        <v/>
      </c>
      <c r="GJ3" s="44" t="str">
        <f t="shared" si="99"/>
        <v/>
      </c>
      <c r="GK3" s="44" t="str">
        <f t="shared" si="100"/>
        <v>"HasSta",</v>
      </c>
      <c r="GL3" s="44" t="str">
        <f t="shared" si="101"/>
        <v/>
      </c>
      <c r="GM3" s="44" t="str">
        <f t="shared" si="102"/>
        <v/>
      </c>
      <c r="GN3" s="44" t="str">
        <f t="shared" si="103"/>
        <v>"3+Star",</v>
      </c>
      <c r="GP3" s="44" t="str">
        <f t="shared" si="104"/>
        <v>"Atoll"</v>
      </c>
      <c r="GS3" s="44" t="str">
        <f t="shared" si="105"/>
        <v>["4Color","words2","lets10","startA","allhor","4+Band","Horizo","Trside","Unequa","staWHI","NO_RED","NO_YEL","NO_BLA","001BLU","003BLU","myrBLU","HasSta","3+Star"]</v>
      </c>
      <c r="GT3" s="44" t="str">
        <f t="shared" si="106"/>
        <v/>
      </c>
      <c r="GU3" s="44" t="str">
        <f t="shared" si="107"/>
        <v>"cl_BLU",</v>
      </c>
      <c r="GV3" s="44" t="str">
        <f t="shared" si="108"/>
        <v>"cl_GRE",</v>
      </c>
      <c r="GW3" s="44" t="str">
        <f t="shared" si="109"/>
        <v/>
      </c>
      <c r="GX3" s="44" t="str">
        <f t="shared" si="110"/>
        <v/>
      </c>
      <c r="GY3" s="44" t="str">
        <f t="shared" si="111"/>
        <v>"cl_ORA",</v>
      </c>
      <c r="GZ3" s="44" t="str">
        <f t="shared" si="112"/>
        <v/>
      </c>
      <c r="HA3" s="44" t="str">
        <f t="shared" si="113"/>
        <v/>
      </c>
      <c r="HB3" s="44" t="str">
        <f t="shared" si="114"/>
        <v>"cl_WHI",</v>
      </c>
      <c r="HC3" s="44" t="str">
        <f t="shared" si="115"/>
        <v>["cl_BLU","cl_GRE","cl_ORA","cl_WHI"]</v>
      </c>
      <c r="HE3" s="64"/>
      <c r="HF3" s="65" t="str">
        <f t="shared" si="116"/>
        <v>{couname:"[MHL] Ailuk Atoll",year:"???",region:"rgn_Oceania",Colors:["cl_BLU","cl_GRE","cl_ORA","cl_WHI"],Items:["4Color","words2","lets10","startA","allhor","4+Band","Horizo","Trside","Unequa","staWHI","NO_RED","NO_YEL","NO_BLA","001BLU","003BLU","myrBLU","HasSta","3+Star"],Flag:"https://upload.wikimedia.org/wikipedia/commons/thumb/b/bc/Flag_of_Ailuk_Atoll%2C_Marshall_Islands.svg/1280px-Flag_of_Ailuk_Atoll%2C_Marshall_Islands.svg.png",HDFlag:"https://upload.wikimedia.org/wikipedia/commons/thumb/b/bc/Flag_of_Ailuk_Atoll%2C_Marshall_Islands.svg/1280px-Flag_of_Ailuk_Atoll%2C_Marshall_Islands.svg.png",type:"Atoll", describe: "\nFour horizontal bands light blue, orange, green, and dark blue each with a white star.", isnew:".", links: "https://en.m.wikipedia.org/wiki/Ailuk_Atoll"},</v>
      </c>
      <c r="HG3" s="66" t="str">
        <f t="shared" si="117"/>
        <v>{couname:"[MHL] Ailuk Atoll",year:"???",region:"rgn_Oceania",Colors:["cl_BLU","cl_GRE","cl_ORA","cl_WHI"],Items:["4Color","words2","lets10","startA","allhor","4+Band","Horizo","Trside","Unequa","staWHI","NO_RED","NO_YEL","NO_BLA","001BLU","003BLU","myrBLU","HasSta","3+Star"],Flag:"https://upload.wikimedia.org/wikipedia/commons/thumb/b/bc/Flag_of_Ailuk_Atoll%2C_Marshall_Islands.svg/1280px-Flag_of_Ailuk_Atoll%2C_Marshall_Islands.svg.png",HDFlag:"https://upload.wikimedia.org/wikipedia/commons/thumb/b/bc/Flag_of_Ailuk_Atoll%2C_Marshall_Islands.svg/1280px-Flag_of_Ailuk_Atoll%2C_Marshall_Islands.svg.png",type:"Atoll", describe: "\nFour horizontal bands light blue, orange, green, and dark blue each with a white star.", links: "https://en.m.wikipedia.org/wiki/Ailuk_Atoll"},</v>
      </c>
      <c r="HH3" s="44" t="str">
        <f t="shared" si="118"/>
        <v>"\nFour horizontal bands light blue, orange, green, and dark blue each with a white star."</v>
      </c>
      <c r="HI3" s="44" t="str">
        <f t="shared" si="119"/>
        <v>"\nFour horizontal bands light blue, orange, green, and dark blue each with a white star."</v>
      </c>
      <c r="HJ3" s="44" t="str">
        <f t="shared" si="120"/>
        <v>"???"</v>
      </c>
      <c r="HL3" s="44" t="str">
        <f t="shared" si="121"/>
        <v>"https://en.m.wikipedia.org/wiki/Ailuk_Atoll"</v>
      </c>
      <c r="HM3" s="65" t="str">
        <f t="shared" si="122"/>
        <v>{"couname":"[MHL] Ailuk Atoll","year":"???","region":"rgn_Oceania","Colors":["cl_BLU","cl_GRE","cl_ORA","cl_WHI"],"Items":["4Color","words2","lets10","startA","allhor","4+Band","Horizo","Trside","Unequa","staWHI","NO_RED","NO_YEL","NO_BLA","001BLU","003BLU","myrBLU","HasSta","3+Star"],"Flag":"https://upload.wikimedia.org/wikipedia/commons/thumb/b/bc/Flag_of_Ailuk_Atoll%2C_Marshall_Islands.svg/1280px-Flag_of_Ailuk_Atoll%2C_Marshall_Islands.svg.png","HDFlag":"https://upload.wikimedia.org/wikipedia/commons/thumb/b/bc/Flag_of_Ailuk_Atoll%2C_Marshall_Islands.svg/1280px-Flag_of_Ailuk_Atoll%2C_Marshall_Islands.svg.png","type":"Atoll", "describe": "\nFour horizontal bands light blue, orange, green, and dark blue each with a white star.", "isnew": ".", "links": "https://en.m.wikipedia.org/wiki/Ailuk_Atoll"},</v>
      </c>
      <c r="HN3" s="67" t="str">
        <f t="shared" si="123"/>
        <v>{"couname":"[MHL] Ailuk Atoll","year":"???","region":"rgn_Oceania","Colors":["cl_BLU","cl_GRE","cl_ORA","cl_WHI"],"Items":["4Color","words2","lets10","startA","allhor","4+Band","Horizo","Trside","Unequa","staWHI","NO_RED","NO_YEL","NO_BLA","001BLU","003BLU","myrBLU","HasSta","3+Star"],"Flag":"https://upload.wikimedia.org/wikipedia/commons/thumb/b/bc/Flag_of_Ailuk_Atoll%2C_Marshall_Islands.svg/1280px-Flag_of_Ailuk_Atoll%2C_Marshall_Islands.svg.png","HDFlag":"https://upload.wikimedia.org/wikipedia/commons/thumb/b/bc/Flag_of_Ailuk_Atoll%2C_Marshall_Islands.svg/1280px-Flag_of_Ailuk_Atoll%2C_Marshall_Islands.svg.png","type":"Atoll", "describe": "\nFour horizontal bands light blue, orange, green, and dark blue each with a white star.", "isnew": ".", "links": "https://en.m.wikipedia.org/wiki/Ailuk_Atoll"},</v>
      </c>
      <c r="HO3" s="71">
        <v>45618</v>
      </c>
      <c r="HP3" s="44" t="str" cm="1">
        <f t="array" ref="HP3">IF(_xlfn.TEXTJOIN(", ", TRUE, IF(ISNUMBER(SEARCH("BLA", BL3:BT3)), COLUMN(BL3:BT3) - COLUMN(BL3) + 1, ""))&lt;&gt;"","BLA","")</f>
        <v/>
      </c>
      <c r="HQ3" s="44" t="str" cm="1">
        <f t="array" ref="HQ3">IF(_xlfn.TEXTJOIN(", ", TRUE, IF(ISNUMBER(SEARCH("BLU", BL3:BT3)), COLUMN(BL3:BT3) - COLUMN(BL3) + 1, ""))&lt;&gt;"","BLU","")</f>
        <v>BLU</v>
      </c>
      <c r="HR3" s="44" t="str" cm="1">
        <f t="array" ref="HR3">IF(_xlfn.TEXTJOIN(", ", TRUE, IF(ISNUMBER(SEARCH("GRE", BL3:BT3)), COLUMN(BL3:BT3) - COLUMN(BL3) + 1, ""))&lt;&gt;"","GRE","")</f>
        <v>GRE</v>
      </c>
      <c r="HS3" s="44" t="str" cm="1">
        <f t="array" ref="HS3">IF(_xlfn.TEXTJOIN(", ", TRUE, IF(ISNUMBER(SEARCH("RED", BL3:BT3)), COLUMN(BL3:BT3) - COLUMN(BL3) + 1, ""))&lt;&gt;"","RED","")</f>
        <v/>
      </c>
      <c r="HT3" s="44" t="str" cm="1">
        <f t="array" ref="HT3">IF(_xlfn.TEXTJOIN(", ", TRUE, IF(ISNUMBER(SEARCH("YEL", BL3:BT3)), COLUMN(BL3:BT3) - COLUMN(BL3) + 1, ""))&lt;&gt;"","YEL","")</f>
        <v/>
      </c>
      <c r="HU3" s="44" t="str" cm="1">
        <f t="array" ref="HU3">IF(_xlfn.TEXTJOIN(", ", TRUE, IF(ISNUMBER(SEARCH("ORA", BL3:BT3)), COLUMN(BL3:BT3) - COLUMN(BL3) + 1, ""))&lt;&gt;"","ORA","")</f>
        <v>ORA</v>
      </c>
      <c r="HV3" s="44" t="str" cm="1">
        <f t="array" ref="HV3">IF(_xlfn.TEXTJOIN(", ", TRUE, IF(ISNUMBER(SEARCH("BRO", BL3:BT3)), COLUMN(BL3:BT3) - COLUMN(BL3) + 1, ""))&lt;&gt;"","BRO","")</f>
        <v/>
      </c>
      <c r="HW3" s="44" t="str" cm="1">
        <f t="array" ref="HW3">IF(_xlfn.TEXTJOIN(", ", TRUE, IF(ISNUMBER(SEARCH("PUR", BL3:BT3)), COLUMN(BL3:BT3) - COLUMN(BL3) + 1, ""))&lt;&gt;"","PUR","")</f>
        <v/>
      </c>
      <c r="HX3" s="44" t="str" cm="1">
        <f t="array" ref="HX3">IF(_xlfn.TEXTJOIN(", ", TRUE, IF(ISNUMBER(SEARCH("WHI", BL3:BT3)), COLUMN(BL3:BT3) - COLUMN(BL3) + 1, ""))&lt;&gt;"","WHI","")</f>
        <v>WHI</v>
      </c>
      <c r="HY3" s="72"/>
      <c r="HZ3" s="72"/>
      <c r="IA3" s="5"/>
      <c r="IB3" s="5"/>
      <c r="IC3" s="68"/>
      <c r="ID3" s="68"/>
      <c r="IE3" s="68"/>
      <c r="IF3" s="68"/>
      <c r="IG3" s="68"/>
      <c r="IH3" s="68"/>
      <c r="II3" s="68"/>
      <c r="IJ3" s="68"/>
      <c r="IK3" s="68"/>
      <c r="IM3" s="42">
        <f t="shared" si="124"/>
        <v>-4</v>
      </c>
      <c r="IN3" s="69" t="str">
        <f t="shared" si="125"/>
        <v>http://mkweb.bcgsc.ca/color-summarizer/?url=https://upload.wikimedia.org/wikipedia/commons/thumb/b/bc/Flag_of_Ailuk_Atoll%2C_Marshall_Islands.svg/1280px-Flag_of_Ailuk_Atoll%2C_Marshall_Islands.svg.png&amp;precision=low&amp;num_clusters=4&amp;text=1</v>
      </c>
      <c r="IO3" s="44" t="str">
        <f t="shared" si="126"/>
        <v/>
      </c>
      <c r="IP3" s="44" t="str">
        <f t="shared" si="127"/>
        <v>"blue"</v>
      </c>
      <c r="IQ3" s="44" t="str">
        <f t="shared" si="128"/>
        <v>"green"</v>
      </c>
      <c r="IR3" s="44" t="str">
        <f t="shared" si="129"/>
        <v/>
      </c>
      <c r="IS3" s="44" t="str">
        <f t="shared" si="130"/>
        <v/>
      </c>
      <c r="IT3" s="44" t="str">
        <f t="shared" si="131"/>
        <v>"orange"</v>
      </c>
      <c r="IU3" s="44" t="str">
        <f t="shared" si="132"/>
        <v/>
      </c>
      <c r="IV3" s="44" t="str">
        <f t="shared" si="133"/>
        <v/>
      </c>
      <c r="IW3" s="44" t="str">
        <f t="shared" si="134"/>
        <v>"white"</v>
      </c>
      <c r="IX3" s="44" t="str">
        <f t="shared" si="135"/>
        <v>{"url":"http://mkweb.bcgsc.ca/color-summarizer/?url=https://upload.wikimedia.org/wikipedia/commons/thumb/b/bc/Flag_of_Ailuk_Atoll%2C_Marshall_Islands.svg/1280px-Flag_of_Ailuk_Atoll%2C_Marshall_Islands.svg.png&amp;precision=low&amp;num_clusters=4&amp;text=1","name":"[MHL] Ailuk Atoll"},</v>
      </c>
      <c r="IY3" s="44">
        <v>1008</v>
      </c>
    </row>
    <row r="4" spans="1:259" s="44" customFormat="1" ht="38.4" customHeight="1" thickBot="1" x14ac:dyDescent="0.35">
      <c r="A4" s="80" t="s">
        <v>412</v>
      </c>
      <c r="B4" s="78" t="e" vm="49">
        <v>#VALUE!</v>
      </c>
      <c r="C4" s="39">
        <v>2</v>
      </c>
      <c r="D4" s="70" t="s">
        <v>413</v>
      </c>
      <c r="E4" s="40" t="s">
        <v>414</v>
      </c>
      <c r="F4" s="41" t="s">
        <v>165</v>
      </c>
      <c r="G4" s="42">
        <f t="shared" si="0"/>
        <v>1</v>
      </c>
      <c r="H4" s="43"/>
      <c r="I4" s="59" t="s">
        <v>415</v>
      </c>
      <c r="J4" s="44" t="str">
        <f>""</f>
        <v/>
      </c>
      <c r="K4" s="45"/>
      <c r="L4" s="46"/>
      <c r="M4" s="46"/>
      <c r="N4" s="47" t="s">
        <v>177</v>
      </c>
      <c r="O4" s="74">
        <v>1987</v>
      </c>
      <c r="P4" s="48" t="s">
        <v>416</v>
      </c>
      <c r="Q4" s="73">
        <v>2</v>
      </c>
      <c r="R4" s="49" t="s">
        <v>177</v>
      </c>
      <c r="S4" s="50">
        <v>13</v>
      </c>
      <c r="T4" s="51" t="s">
        <v>166</v>
      </c>
      <c r="U4" s="52" t="s">
        <v>166</v>
      </c>
      <c r="V4" s="52" t="s">
        <v>167</v>
      </c>
      <c r="W4" s="52" t="s">
        <v>166</v>
      </c>
      <c r="X4" s="52" t="s">
        <v>166</v>
      </c>
      <c r="Y4" s="52" t="s">
        <v>166</v>
      </c>
      <c r="Z4" s="52" t="s">
        <v>166</v>
      </c>
      <c r="AA4" s="52" t="s">
        <v>166</v>
      </c>
      <c r="AB4" s="52" t="s">
        <v>167</v>
      </c>
      <c r="AC4" s="52" t="s">
        <v>166</v>
      </c>
      <c r="AD4" s="52" t="s">
        <v>166</v>
      </c>
      <c r="AE4" s="52" t="s">
        <v>166</v>
      </c>
      <c r="AF4" s="53" t="s">
        <v>166</v>
      </c>
      <c r="AG4" s="53" t="s">
        <v>167</v>
      </c>
      <c r="AH4" s="53" t="s">
        <v>166</v>
      </c>
      <c r="AI4" s="53" t="s">
        <v>167</v>
      </c>
      <c r="AJ4" s="53" t="s">
        <v>166</v>
      </c>
      <c r="AK4" s="53" t="s">
        <v>166</v>
      </c>
      <c r="AL4" s="53" t="s">
        <v>166</v>
      </c>
      <c r="AM4" s="53" t="s">
        <v>166</v>
      </c>
      <c r="AN4" s="53" t="s">
        <v>166</v>
      </c>
      <c r="AO4" s="53" t="s">
        <v>166</v>
      </c>
      <c r="AP4" s="53" t="s">
        <v>166</v>
      </c>
      <c r="AQ4" s="53" t="s">
        <v>166</v>
      </c>
      <c r="AR4" s="53" t="s">
        <v>166</v>
      </c>
      <c r="AS4" s="53" t="s">
        <v>166</v>
      </c>
      <c r="AT4" s="54">
        <v>28</v>
      </c>
      <c r="AU4" s="53" t="s">
        <v>417</v>
      </c>
      <c r="AV4" s="53" t="str">
        <f t="shared" si="1"/>
        <v>[MHL]Atoll[MHL] Bikini Atoll</v>
      </c>
      <c r="AW4" s="53" t="str">
        <f t="shared" si="2"/>
        <v>2[MHL] Bikini Atoll</v>
      </c>
      <c r="AX4" s="55"/>
      <c r="AY4" s="55"/>
      <c r="AZ4" s="56" t="s">
        <v>153</v>
      </c>
      <c r="BA4" s="56" t="s">
        <v>161</v>
      </c>
      <c r="BB4" s="56"/>
      <c r="BC4" s="57"/>
      <c r="BD4" s="58" t="s">
        <v>156</v>
      </c>
      <c r="BE4" s="59"/>
      <c r="BF4" s="58" t="s">
        <v>156</v>
      </c>
      <c r="BG4" s="58" t="s">
        <v>156</v>
      </c>
      <c r="BH4" s="58" t="s">
        <v>156</v>
      </c>
      <c r="BI4" s="58"/>
      <c r="BJ4" s="58"/>
      <c r="BK4" s="59"/>
      <c r="BL4" s="58" t="s">
        <v>153</v>
      </c>
      <c r="BM4" s="58" t="s">
        <v>154</v>
      </c>
      <c r="BN4" s="58" t="s">
        <v>231</v>
      </c>
      <c r="BO4" s="58" t="s">
        <v>156</v>
      </c>
      <c r="BP4" s="58" t="s">
        <v>231</v>
      </c>
      <c r="BQ4" s="58" t="s">
        <v>231</v>
      </c>
      <c r="BR4" s="58" t="s">
        <v>231</v>
      </c>
      <c r="BS4" s="58" t="s">
        <v>231</v>
      </c>
      <c r="BT4" s="58" t="s">
        <v>161</v>
      </c>
      <c r="BU4" s="60" t="s">
        <v>166</v>
      </c>
      <c r="BV4" s="61"/>
      <c r="BW4" s="61">
        <v>0</v>
      </c>
      <c r="BX4" s="59"/>
      <c r="CB4" s="5"/>
      <c r="CC4" s="5"/>
      <c r="CD4" s="62">
        <v>0</v>
      </c>
      <c r="CE4" s="62">
        <v>0</v>
      </c>
      <c r="CF4" s="62" t="e">
        <v>#REF!</v>
      </c>
      <c r="CG4" s="75" cm="1">
        <f t="array" ref="CG4">SUMPRODUCT(--(LEN(TRIM(BL4:BT4))&gt;0))</f>
        <v>4</v>
      </c>
      <c r="CH4" s="53" t="str">
        <f t="shared" si="3"/>
        <v>n</v>
      </c>
      <c r="CI4" s="53" t="str">
        <f t="shared" si="4"/>
        <v>n</v>
      </c>
      <c r="CJ4" s="53" t="str">
        <f t="shared" si="5"/>
        <v>y</v>
      </c>
      <c r="CK4" s="53" t="str">
        <f t="shared" si="6"/>
        <v>n</v>
      </c>
      <c r="CL4" s="53" t="str">
        <f t="shared" si="7"/>
        <v>n</v>
      </c>
      <c r="CM4" s="53" t="str">
        <f t="shared" si="8"/>
        <v>n</v>
      </c>
      <c r="CN4" s="53" t="str">
        <f t="shared" si="9"/>
        <v>n</v>
      </c>
      <c r="CO4" s="53" t="str">
        <f t="shared" si="10"/>
        <v>y</v>
      </c>
      <c r="CP4" s="53" t="str">
        <f t="shared" si="11"/>
        <v>n</v>
      </c>
      <c r="CQ4" s="53" t="str">
        <f t="shared" si="12"/>
        <v>n</v>
      </c>
      <c r="CR4" s="53" t="str">
        <f t="shared" si="13"/>
        <v>n</v>
      </c>
      <c r="CS4" s="53" t="str">
        <f t="shared" si="14"/>
        <v>y</v>
      </c>
      <c r="CT4" s="38" t="str">
        <f t="shared" si="15"/>
        <v>"[MHL] Bikini Atoll"</v>
      </c>
      <c r="CU4" s="63" t="str">
        <f t="shared" si="16"/>
        <v>"rgn_Oceania"</v>
      </c>
      <c r="CV4" s="44" t="str">
        <f t="shared" si="17"/>
        <v>"https://upload.wikimedia.org/wikipedia/commons/thumb/8/89/Flag_of_Bikini_Atoll.svg/640px-Flag_of_Bikini_Atoll.svg.png"</v>
      </c>
      <c r="CW4" s="44" t="str">
        <f t="shared" si="18"/>
        <v/>
      </c>
      <c r="CX4" s="44" t="str">
        <f t="shared" si="19"/>
        <v/>
      </c>
      <c r="CY4" s="44" t="str">
        <f t="shared" si="20"/>
        <v>"4Color",</v>
      </c>
      <c r="CZ4" s="44" t="str">
        <f t="shared" si="21"/>
        <v/>
      </c>
      <c r="DA4" s="44" t="str">
        <f t="shared" si="22"/>
        <v>"words2",</v>
      </c>
      <c r="DB4" s="44" t="str">
        <f t="shared" si="23"/>
        <v/>
      </c>
      <c r="DC4" s="44" t="str">
        <f>IF(Q4=2,CHAR(34)&amp;"exact2"&amp;CHAR(34)&amp;",","")</f>
        <v>"exact2",</v>
      </c>
      <c r="DD4" s="44" t="str">
        <f>IF(LEN(CHAR(34)&amp;"lets"&amp;LEN(SUBSTITUTE(SUBSTITUTE(IFERROR(TRIM(SUBSTITUTE(SUBSTITUTE(SUBSTITUTE(IFERROR(TRIM(SUBSTITUTE(A4,MID(A4,FIND("(",A4),FIND(")",A4)-FIND("(",A4)+1),"")),A4)," ",""),"-",""),MID(SUBSTITUTE(SUBSTITUTE(IFERROR(TRIM(SUBSTITUTE(A4,MID(A4,FIND("(",A4),FIND(")",A4)-FIND("(",A4)+1),"")),A4)," ",""),"-",""),FIND("[",SUBSTITUTE(SUBSTITUTE(IFERROR(TRIM(SUBSTITUTE(A4,MID(A4,FIND("(",A4),FIND(")",A4)-FIND("(",A4)+1),"")),A4)," ",""),"-","")),FIND("]",SUBSTITUTE(SUBSTITUTE(IFERROR(TRIM(SUBSTITUTE(A4,MID(A4,FIND("(",A4),FIND(")",A4)-FIND("(",A4)+1),"")),A4)," ",""),"-",""))-FIND("[",SUBSTITUTE(SUBSTITUTE(IFERROR(TRIM(SUBSTITUTE(A4,MID(A4,FIND("(",A4),FIND(")",A4)-FIND("(",A4)+1),"")),A4)," ",""),"-",""))+1),"")),SUBSTITUTE(SUBSTITUTE(IFERROR(TRIM(SUBSTITUTE(A4,MID(A4,FIND("(",A4),FIND(")",A4)-FIND("(",A4)+1),"")),A4)," ",""),"-",""))," ",""),"-",""))&amp;CHAR(34)&amp;",")=9,CHAR(34)&amp;"lets"&amp;LEN(SUBSTITUTE(SUBSTITUTE(IFERROR(TRIM(SUBSTITUTE(SUBSTITUTE(SUBSTITUTE(IFERROR(TRIM(SUBSTITUTE(A4,MID(A4,FIND("(",A4),FIND(")",A4)-FIND("(",A4)+1),"")),A4)," ",""),"-",""),MID(SUBSTITUTE(SUBSTITUTE(IFERROR(TRIM(SUBSTITUTE(A4,MID(A4,FIND("(",A4),FIND(")",A4)-FIND("(",A4)+1),"")),A4)," ",""),"-",""),FIND("[",SUBSTITUTE(SUBSTITUTE(IFERROR(TRIM(SUBSTITUTE(A4,MID(A4,FIND("(",A4),FIND(")",A4)-FIND("(",A4)+1),"")),A4)," ",""),"-","")),FIND("]",SUBSTITUTE(SUBSTITUTE(IFERROR(TRIM(SUBSTITUTE(A4,MID(A4,FIND("(",A4),FIND(")",A4)-FIND("(",A4)+1),"")),A4)," ",""),"-",""))-FIND("[",SUBSTITUTE(SUBSTITUTE(IFERROR(TRIM(SUBSTITUTE(A4,MID(A4,FIND("(",A4),FIND(")",A4)-FIND("(",A4)+1),"")),A4)," ",""),"-",""))+1),"")),SUBSTITUTE(SUBSTITUTE(IFERROR(TRIM(SUBSTITUTE(A4,MID(A4,FIND("(",A4),FIND(")",A4)-FIND("(",A4)+1),"")),A4)," ",""),"-",""))," ",""),"-",""))&amp;CHAR(34)&amp;",",CHAR(34)&amp;"lets0"&amp;LEN(SUBSTITUTE(SUBSTITUTE(IFERROR(TRIM(SUBSTITUTE(SUBSTITUTE(SUBSTITUTE(IFERROR(TRIM(SUBSTITUTE(A4,MID(A4,FIND("(",A4),FIND(")",A4)-FIND("(",A4)+1),"")),A4)," ",""),"-",""),MID(SUBSTITUTE(SUBSTITUTE(IFERROR(TRIM(SUBSTITUTE(A4,MID(A4,FIND("(",A4),FIND(")",A4)-FIND("(",A4)+1),"")),A4)," ",""),"-",""),FIND("[",SUBSTITUTE(SUBSTITUTE(IFERROR(TRIM(SUBSTITUTE(A4,MID(A4,FIND("(",A4),FIND(")",A4)-FIND("(",A4)+1),"")),A4)," ",""),"-","")),FIND("]",SUBSTITUTE(SUBSTITUTE(IFERROR(TRIM(SUBSTITUTE(A4,MID(A4,FIND("(",A4),FIND(")",A4)-FIND("(",A4)+1),"")),A4)," ",""),"-",""))-FIND("[",SUBSTITUTE(SUBSTITUTE(IFERROR(TRIM(SUBSTITUTE(A4,MID(A4,FIND("(",A4),FIND(")",A4)-FIND("(",A4)+1),"")),A4)," ",""),"-",""))+1),"")),SUBSTITUTE(SUBSTITUTE(IFERROR(TRIM(SUBSTITUTE(A4,MID(A4,FIND("(",A4),FIND(")",A4)-FIND("(",A4)+1),"")),A4)," ",""),"-",""))," ",""),"-",""))&amp;CHAR(34)&amp;",")</f>
        <v>"lets11",</v>
      </c>
      <c r="DE4" s="44" t="str">
        <f>IFERROR(CHAR(34)&amp;"start"&amp;LEFT(TRIM(SUBSTITUTE(SUBSTITUTE(TRIM(SUBSTITUTE(SUBSTITUTE(A4, MID(A4, FIND("[", A4), FIND("]", A4) - FIND("[", A4) + 1), ""), "  ", " ")), MID(TRIM(SUBSTITUTE(SUBSTITUTE(A4, MID(A4, FIND("[", A4), FIND("]", A4) - FIND("[", A4) + 1), ""), "  ", " ")), FIND("[", TRIM(SUBSTITUTE(SUBSTITUTE(A4, MID(A4, FIND("[", A4), FIND("]", A4) - FIND("[", A4) + 1), ""), "  ", " "))), FIND("]", TRIM(SUBSTITUTE(SUBSTITUTE(A4, MID(A4, FIND("[", A4), FIND("]", A4) - FIND("[", A4) + 1), ""), "  ", " "))) - FIND("[", TRIM(SUBSTITUTE(SUBSTITUTE(A4, MID(A4, FIND("[", A4), FIND("]", A4) - FIND("[", A4) + 1), ""), "  ", " "))) + 1), ""), "  ", " ")),1)&amp;CHAR(34)&amp;",",CHAR(34)&amp;"start"&amp;IFERROR(LEFT(SUBSTITUTE(A4,"["&amp;MID(A4,FIND("[",A4)+1,FIND("]",A4)-FIND("[",A4)-1)&amp;"] ",""),1),LEFT(A4,1))&amp;CHAR(34)&amp;",")</f>
        <v>"startB",</v>
      </c>
      <c r="DF4" s="44" t="str">
        <f t="shared" si="24"/>
        <v/>
      </c>
      <c r="DG4" s="44" t="str">
        <f t="shared" si="25"/>
        <v/>
      </c>
      <c r="DH4" s="44" t="str">
        <f t="shared" si="26"/>
        <v/>
      </c>
      <c r="DI4" s="44" t="str">
        <f t="shared" si="27"/>
        <v/>
      </c>
      <c r="DJ4" s="44" t="str">
        <f t="shared" si="28"/>
        <v/>
      </c>
      <c r="DK4" s="44" t="str">
        <f t="shared" si="29"/>
        <v/>
      </c>
      <c r="DL4" s="44" t="str">
        <f t="shared" si="30"/>
        <v/>
      </c>
      <c r="DM4" s="44" t="str" cm="1">
        <f t="array" ref="DM4">IF(CG4=3,CHAR(34) &amp; _xlfn.TEXTJOIN("", TRUE, RIGHT(HP4:HX4, 2)) &amp; CHAR(34) &amp; ",", "")</f>
        <v/>
      </c>
      <c r="DN4" s="44" t="str">
        <f t="shared" si="31"/>
        <v/>
      </c>
      <c r="DO4" s="44" t="str">
        <f t="shared" si="32"/>
        <v>"year19",</v>
      </c>
      <c r="DP4" s="5" t="str">
        <f t="shared" si="33"/>
        <v/>
      </c>
      <c r="DQ4" s="5" t="str">
        <f t="shared" si="34"/>
        <v/>
      </c>
      <c r="DR4" s="5" t="str">
        <f t="shared" si="35"/>
        <v/>
      </c>
      <c r="DS4" s="5" t="str">
        <f t="shared" si="36"/>
        <v/>
      </c>
      <c r="DT4" s="5" t="str">
        <f t="shared" si="37"/>
        <v>"allhor",</v>
      </c>
      <c r="DU4" s="5" t="str">
        <f t="shared" si="38"/>
        <v/>
      </c>
      <c r="DV4" s="44" t="str">
        <f>IF(IA4&lt;&gt;"",(IF(IA4="y",CHAR(34)&amp;"largec"&amp;CHAR(34)&amp;",",CHAR(34)&amp;"smallc"&amp;CHAR(34)&amp;",")),"")</f>
        <v/>
      </c>
      <c r="DW4" s="44" t="str">
        <f t="shared" si="39"/>
        <v/>
      </c>
      <c r="DX4" s="44" t="str">
        <f t="shared" si="40"/>
        <v/>
      </c>
      <c r="DY4" s="44" t="str">
        <f t="shared" si="41"/>
        <v/>
      </c>
      <c r="DZ4" s="44" t="str">
        <f t="shared" si="42"/>
        <v>"4+Band",</v>
      </c>
      <c r="EA4" s="44" t="str">
        <f t="shared" si="43"/>
        <v/>
      </c>
      <c r="EB4" s="44" t="str">
        <f t="shared" si="44"/>
        <v/>
      </c>
      <c r="EC4" s="44" t="str">
        <f t="shared" si="45"/>
        <v>"Horizo",</v>
      </c>
      <c r="ED4" s="44" t="str">
        <f t="shared" si="46"/>
        <v/>
      </c>
      <c r="EE4" s="44" t="str">
        <f t="shared" si="47"/>
        <v/>
      </c>
      <c r="EF4" s="44" t="str">
        <f t="shared" si="48"/>
        <v/>
      </c>
      <c r="EG4" s="44" t="str">
        <f t="shared" si="49"/>
        <v/>
      </c>
      <c r="EH4" s="44" t="str">
        <f t="shared" si="50"/>
        <v/>
      </c>
      <c r="EI4" s="44" t="str">
        <f t="shared" si="51"/>
        <v>"Texted",</v>
      </c>
      <c r="EJ4" s="44" t="str">
        <f t="shared" si="52"/>
        <v/>
      </c>
      <c r="EK4" s="44" t="str">
        <f t="shared" si="53"/>
        <v/>
      </c>
      <c r="EL4" s="44" t="str">
        <f t="shared" si="54"/>
        <v/>
      </c>
      <c r="EM4" s="44" t="str">
        <f t="shared" si="55"/>
        <v/>
      </c>
      <c r="EN4" s="44" t="str">
        <f t="shared" si="56"/>
        <v>"Unequa",</v>
      </c>
      <c r="EO4" s="44" t="str">
        <f t="shared" si="57"/>
        <v/>
      </c>
      <c r="EP4" s="44" t="str">
        <f t="shared" si="58"/>
        <v>"Canton",</v>
      </c>
      <c r="EQ4" s="44" t="str">
        <f t="shared" si="59"/>
        <v/>
      </c>
      <c r="ER4" s="44" t="str">
        <f t="shared" si="60"/>
        <v/>
      </c>
      <c r="ES4" s="44" t="str">
        <f t="shared" si="61"/>
        <v/>
      </c>
      <c r="ET4" s="44" t="str">
        <f t="shared" si="62"/>
        <v/>
      </c>
      <c r="EU4" s="44" t="str">
        <f t="shared" si="63"/>
        <v/>
      </c>
      <c r="EV4" s="44" t="str">
        <f t="shared" si="64"/>
        <v/>
      </c>
      <c r="EW4" s="44" t="str">
        <f t="shared" si="65"/>
        <v/>
      </c>
      <c r="EX4" s="44" t="str">
        <f t="shared" si="66"/>
        <v/>
      </c>
      <c r="EY4" s="44" t="str">
        <f t="shared" si="67"/>
        <v/>
      </c>
      <c r="EZ4" s="44" t="str">
        <f t="shared" si="68"/>
        <v/>
      </c>
      <c r="FA4" s="44" t="str">
        <f t="shared" si="69"/>
        <v>"staBLA",</v>
      </c>
      <c r="FB4" s="44" t="str">
        <f t="shared" si="70"/>
        <v>"staWHI",</v>
      </c>
      <c r="FC4" s="44" t="str">
        <f>IF(AND(AT4&gt;0,BB4&lt;&gt;""),CHAR(34)&amp;"sta"&amp;BB4&amp;CHAR(34)&amp;",","")</f>
        <v/>
      </c>
      <c r="FD4" s="44" t="str">
        <f t="shared" si="71"/>
        <v/>
      </c>
      <c r="FE4" s="44" t="str">
        <f t="shared" si="72"/>
        <v/>
      </c>
      <c r="FF4" s="44" t="str">
        <f t="shared" si="73"/>
        <v/>
      </c>
      <c r="FG4" s="44" t="str">
        <f t="shared" si="74"/>
        <v/>
      </c>
      <c r="FH4" s="44" t="str">
        <f t="shared" si="75"/>
        <v>"NO_GRE",</v>
      </c>
      <c r="FI4" s="44" t="str">
        <f t="shared" si="76"/>
        <v>"NO_YEL",</v>
      </c>
      <c r="FJ4" s="44" t="str">
        <f t="shared" si="77"/>
        <v/>
      </c>
      <c r="FK4" s="44" t="str">
        <f t="shared" si="78"/>
        <v/>
      </c>
      <c r="FL4" s="44" t="str">
        <f t="shared" si="79"/>
        <v/>
      </c>
      <c r="FM4" s="44" t="str">
        <f t="shared" si="80"/>
        <v/>
      </c>
      <c r="FN4" s="44" t="str">
        <f t="shared" si="81"/>
        <v/>
      </c>
      <c r="FO4" s="44" t="str">
        <f t="shared" si="82"/>
        <v/>
      </c>
      <c r="FP4" s="44" t="str">
        <f t="shared" si="83"/>
        <v/>
      </c>
      <c r="FQ4" s="44" t="str">
        <f t="shared" si="84"/>
        <v>"001RED",</v>
      </c>
      <c r="FR4" s="44" t="str">
        <f t="shared" si="85"/>
        <v>"002RED",</v>
      </c>
      <c r="FS4" s="44" t="str">
        <f t="shared" si="86"/>
        <v>"003RED",</v>
      </c>
      <c r="FT4" s="44" t="str">
        <f t="shared" si="87"/>
        <v>"myrRED",</v>
      </c>
      <c r="FU4" s="44" t="str">
        <f t="shared" si="88"/>
        <v/>
      </c>
      <c r="FV4" s="44" t="str">
        <f t="shared" si="89"/>
        <v/>
      </c>
      <c r="FW4" s="44" t="str">
        <f t="shared" si="90"/>
        <v/>
      </c>
      <c r="FX4" s="44" t="str">
        <f>SUBSTITUTE(IFERROR(SEARCH("[",A4),IFERROR(IF(AND(CA4&lt;&gt;"y",SEARCH("Europe",R4)&gt;0),CHAR(34)&amp;"noeuni"&amp;CHAR(34)&amp;",",""),"")),"1","")</f>
        <v/>
      </c>
      <c r="FY4" s="44" t="str">
        <f t="shared" si="91"/>
        <v/>
      </c>
      <c r="FZ4" s="44" t="str">
        <f t="shared" si="92"/>
        <v/>
      </c>
      <c r="GA4" s="44" t="str">
        <f t="shared" si="93"/>
        <v/>
      </c>
      <c r="GB4" s="44" t="str">
        <f t="shared" si="94"/>
        <v/>
      </c>
      <c r="GC4" s="44" t="str">
        <f>IFERROR(IF(SEARCH("Portuguese",CB4)&gt;0,CHAR(34)&amp;"portug"&amp;CHAR(34)&amp;",",""),"")</f>
        <v/>
      </c>
      <c r="GD4" s="44" t="str">
        <f>IFERROR(IF(SEARCH("German",CB4)&gt;0,CHAR(34)&amp;"german"&amp;CHAR(34)&amp;",",""),"")</f>
        <v/>
      </c>
      <c r="GE4" s="44" t="str">
        <f t="shared" si="95"/>
        <v/>
      </c>
      <c r="GF4" s="44" t="str">
        <f t="shared" si="136"/>
        <v/>
      </c>
      <c r="GG4" s="44" t="str">
        <f t="shared" si="96"/>
        <v/>
      </c>
      <c r="GH4" s="44" t="str">
        <f t="shared" si="97"/>
        <v/>
      </c>
      <c r="GI4" s="44" t="str">
        <f t="shared" si="98"/>
        <v/>
      </c>
      <c r="GJ4" s="44" t="str">
        <f t="shared" si="99"/>
        <v/>
      </c>
      <c r="GK4" s="44" t="str">
        <f t="shared" si="100"/>
        <v>"HasSta",</v>
      </c>
      <c r="GL4" s="44" t="str">
        <f t="shared" si="101"/>
        <v/>
      </c>
      <c r="GM4" s="44" t="str">
        <f t="shared" si="102"/>
        <v/>
      </c>
      <c r="GN4" s="44" t="str">
        <f t="shared" si="103"/>
        <v>"3+Star",</v>
      </c>
      <c r="GP4" s="44" t="str">
        <f t="shared" si="104"/>
        <v>"Atoll"</v>
      </c>
      <c r="GS4" s="44" t="str">
        <f t="shared" si="105"/>
        <v>["4Color","words2","exact2","lets11","startB","year19","allhor","4+Band","Horizo","Texted","Unequa","Canton","staBLA","staWHI","NO_GRE","NO_YEL","001RED","002RED","003RED","myrRED","HasSta","3+Star"]</v>
      </c>
      <c r="GT4" s="44" t="str">
        <f t="shared" si="106"/>
        <v>"cl_BLA",</v>
      </c>
      <c r="GU4" s="44" t="str">
        <f t="shared" si="107"/>
        <v>"cl_BLU",</v>
      </c>
      <c r="GV4" s="44" t="str">
        <f t="shared" si="108"/>
        <v/>
      </c>
      <c r="GW4" s="44" t="str">
        <f t="shared" si="109"/>
        <v>"cl_RED",</v>
      </c>
      <c r="GX4" s="44" t="str">
        <f t="shared" si="110"/>
        <v/>
      </c>
      <c r="GY4" s="44" t="str">
        <f t="shared" si="111"/>
        <v/>
      </c>
      <c r="GZ4" s="44" t="str">
        <f t="shared" si="112"/>
        <v/>
      </c>
      <c r="HA4" s="44" t="str">
        <f t="shared" si="113"/>
        <v/>
      </c>
      <c r="HB4" s="44" t="str">
        <f t="shared" si="114"/>
        <v>"cl_WHI",</v>
      </c>
      <c r="HC4" s="44" t="str">
        <f t="shared" si="115"/>
        <v>["cl_BLA","cl_BLU","cl_RED","cl_WHI"]</v>
      </c>
      <c r="HE4" s="64"/>
      <c r="HF4" s="65" t="str">
        <f t="shared" si="116"/>
        <v>{couname:"[MHL] Bikini Atoll",year:"1987",region:"rgn_Oceania",Colors:["cl_BLA","cl_BLU","cl_RED","cl_WHI"],Items:["4Color","words2","exact2","lets11","startB","year19","allhor","4+Band","Horizo","Texted","Unequa","Canton","staBLA","staWHI","NO_GRE","NO_YEL","001RED","002RED","003RED","myrRED","HasSta","3+Star"],Flag:"https://upload.wikimedia.org/wikipedia/commons/thumb/8/89/Flag_of_Bikini_Atoll.svg/640px-Flag_of_Bikini_Atoll.svg.png",HDFlag:"https://upload.wikimedia.org/wikipedia/commons/thumb/8/89/Flag_of_Bikini_Atoll.svg/2560px-Flag_of_Bikini_Atoll.svg.png",type:"Atoll", describe: "\nThe similarity to the American flag design and the striking isolation of the 3-star group and the 2-star group represent the position of the islanders that the Government of the United States still has obligations to their people, including reparations for the nuclear testing and resettlement of the Bikinians who were exiled. The words on the flag say 'Everything is in the hands of God' in English.", isnew:".", links: "https://en.wikipedia.org/wiki/Flag_of_Bikini_Atoll"},</v>
      </c>
      <c r="HG4" s="66" t="str">
        <f t="shared" si="117"/>
        <v>{couname:"[MHL] Bikini Atoll",year:"1987",region:"rgn_Oceania",Colors:["cl_BLA","cl_BLU","cl_RED","cl_WHI"],Items:["4Color","words2","exact2","lets11","startB","year19","allhor","4+Band","Horizo","Texted","Unequa","Canton","staBLA","staWHI","NO_GRE","NO_YEL","001RED","002RED","003RED","myrRED","HasSta","3+Star"],Flag:"https://upload.wikimedia.org/wikipedia/commons/thumb/8/89/Flag_of_Bikini_Atoll.svg/640px-Flag_of_Bikini_Atoll.svg.png",HDFlag:"https://upload.wikimedia.org/wikipedia/commons/thumb/8/89/Flag_of_Bikini_Atoll.svg/2560px-Flag_of_Bikini_Atoll.svg.png",type:"Atoll", describe: "\nThe similarity to the American flag design and the striking isolation of the 3-star group and the 2-star group represent the position of the islanders that the Government of the United States still has obligations to their people, including reparations for the nuclear testing and resettlement of the Bikinians who were exiled. The words on the flag say 'Everything is in the hands of God' in English.", links: "https://en.wikipedia.org/wiki/Flag_of_Bikini_Atoll"},</v>
      </c>
      <c r="HH4" s="44" t="str">
        <f t="shared" si="118"/>
        <v>"\nThe similarity to the American flag design and the striking isolation of the 3-star group and the 2-star group represent the position of the islanders that the Government of the United States still has obligations to their people, including reparations for the nuclear testing and resettlement of the Bikinians who were exiled. The words on the flag say 'Everything is in the hands of God' in English."</v>
      </c>
      <c r="HI4" s="44" t="str">
        <f t="shared" si="119"/>
        <v>"\nThe similarity to the American flag design and the striking isolation of the 3-star group and the 2-star group represent the position of the islanders that the Government of the United States still has obligations to their people, including reparations for the nuclear testing and resettlement of the Bikinians who were exiled. The words on the flag say 'Everything is in the hands of God' in English."</v>
      </c>
      <c r="HJ4" s="44" t="str">
        <f t="shared" si="120"/>
        <v>"1987"</v>
      </c>
      <c r="HL4" s="44" t="str">
        <f t="shared" si="121"/>
        <v>"https://en.wikipedia.org/wiki/Flag_of_Bikini_Atoll"</v>
      </c>
      <c r="HM4" s="65" t="str">
        <f t="shared" si="122"/>
        <v>{"couname":"[MHL] Bikini Atoll","year":"1987","region":"rgn_Oceania","Colors":["cl_BLA","cl_BLU","cl_RED","cl_WHI"],"Items":["4Color","words2","exact2","lets11","startB","year19","allhor","4+Band","Horizo","Texted","Unequa","Canton","staBLA","staWHI","NO_GRE","NO_YEL","001RED","002RED","003RED","myrRED","HasSta","3+Star"],"Flag":"https://upload.wikimedia.org/wikipedia/commons/thumb/8/89/Flag_of_Bikini_Atoll.svg/640px-Flag_of_Bikini_Atoll.svg.png","HDFlag":"https://upload.wikimedia.org/wikipedia/commons/thumb/8/89/Flag_of_Bikini_Atoll.svg/2560px-Flag_of_Bikini_Atoll.svg.png","type":"Atoll", "describe": "\nThe similarity to the American flag design and the striking isolation of the 3-star group and the 2-star group represent the position of the islanders that the Government of the United States still has obligations to their people, including reparations for the nuclear testing and resettlement of the Bikinians who were exiled. The words on the flag say 'Everything is in the hands of God' in English.", "isnew": ".", "links": "https://en.wikipedia.org/wiki/Flag_of_Bikini_Atoll"},</v>
      </c>
      <c r="HN4" s="67" t="str">
        <f t="shared" si="123"/>
        <v>{"couname":"[MHL] Bikini Atoll","year":"1987","region":"rgn_Oceania","Colors":["cl_BLA","cl_BLU","cl_RED","cl_WHI"],"Items":["4Color","words2","exact2","lets11","startB","year19","allhor","4+Band","Horizo","Texted","Unequa","Canton","staBLA","staWHI","NO_GRE","NO_YEL","001RED","002RED","003RED","myrRED","HasSta","3+Star"],"Flag":"https://upload.wikimedia.org/wikipedia/commons/thumb/8/89/Flag_of_Bikini_Atoll.svg/640px-Flag_of_Bikini_Atoll.svg.png","HDFlag":"https://upload.wikimedia.org/wikipedia/commons/thumb/8/89/Flag_of_Bikini_Atoll.svg/2560px-Flag_of_Bikini_Atoll.svg.png","type":"Atoll", "describe": "\nThe similarity to the American flag design and the striking isolation of the 3-star group and the 2-star group represent the position of the islanders that the Government of the United States still has obligations to their people, including reparations for the nuclear testing and resettlement of the Bikinians who were exiled. The words on the flag say 'Everything is in the hands of God' in English.", "isnew": ".", "links": "https://en.wikipedia.org/wiki/Flag_of_Bikini_Atoll"},</v>
      </c>
      <c r="HO4" s="71">
        <v>45583</v>
      </c>
      <c r="HP4" s="44" t="str" cm="1">
        <f t="array" ref="HP4">IF(_xlfn.TEXTJOIN(", ", TRUE, IF(ISNUMBER(SEARCH("BLA", BL4:BT4)), COLUMN(BL4:BT4) - COLUMN(BL4) + 1, ""))&lt;&gt;"","BLA","")</f>
        <v>BLA</v>
      </c>
      <c r="HQ4" s="44" t="str" cm="1">
        <f t="array" ref="HQ4">IF(_xlfn.TEXTJOIN(", ", TRUE, IF(ISNUMBER(SEARCH("BLU", BL4:BT4)), COLUMN(BL4:BT4) - COLUMN(BL4) + 1, ""))&lt;&gt;"","BLU","")</f>
        <v>BLU</v>
      </c>
      <c r="HR4" s="44" t="str" cm="1">
        <f t="array" ref="HR4">IF(_xlfn.TEXTJOIN(", ", TRUE, IF(ISNUMBER(SEARCH("GRE", BL4:BT4)), COLUMN(BL4:BT4) - COLUMN(BL4) + 1, ""))&lt;&gt;"","GRE","")</f>
        <v/>
      </c>
      <c r="HS4" s="44" t="str" cm="1">
        <f t="array" ref="HS4">IF(_xlfn.TEXTJOIN(", ", TRUE, IF(ISNUMBER(SEARCH("RED", BL4:BT4)), COLUMN(BL4:BT4) - COLUMN(BL4) + 1, ""))&lt;&gt;"","RED","")</f>
        <v>RED</v>
      </c>
      <c r="HT4" s="44" t="str" cm="1">
        <f t="array" ref="HT4">IF(_xlfn.TEXTJOIN(", ", TRUE, IF(ISNUMBER(SEARCH("YEL", BL4:BT4)), COLUMN(BL4:BT4) - COLUMN(BL4) + 1, ""))&lt;&gt;"","YEL","")</f>
        <v/>
      </c>
      <c r="HU4" s="44" t="str" cm="1">
        <f t="array" ref="HU4">IF(_xlfn.TEXTJOIN(", ", TRUE, IF(ISNUMBER(SEARCH("ORA", BL4:BT4)), COLUMN(BL4:BT4) - COLUMN(BL4) + 1, ""))&lt;&gt;"","ORA","")</f>
        <v/>
      </c>
      <c r="HV4" s="44" t="str" cm="1">
        <f t="array" ref="HV4">IF(_xlfn.TEXTJOIN(", ", TRUE, IF(ISNUMBER(SEARCH("BRO", BL4:BT4)), COLUMN(BL4:BT4) - COLUMN(BL4) + 1, ""))&lt;&gt;"","BRO","")</f>
        <v/>
      </c>
      <c r="HW4" s="44" t="str" cm="1">
        <f t="array" ref="HW4">IF(_xlfn.TEXTJOIN(", ", TRUE, IF(ISNUMBER(SEARCH("PUR", BL4:BT4)), COLUMN(BL4:BT4) - COLUMN(BL4) + 1, ""))&lt;&gt;"","PUR","")</f>
        <v/>
      </c>
      <c r="HX4" s="44" t="str" cm="1">
        <f t="array" ref="HX4">IF(_xlfn.TEXTJOIN(", ", TRUE, IF(ISNUMBER(SEARCH("WHI", BL4:BT4)), COLUMN(BL4:BT4) - COLUMN(BL4) + 1, ""))&lt;&gt;"","WHI","")</f>
        <v>WHI</v>
      </c>
      <c r="HY4" s="72"/>
      <c r="HZ4" s="72"/>
      <c r="IA4" s="5"/>
      <c r="IB4" s="5"/>
      <c r="IC4" s="68"/>
      <c r="ID4" s="68"/>
      <c r="IE4" s="68"/>
      <c r="IF4" s="68"/>
      <c r="IG4" s="68"/>
      <c r="IH4" s="68"/>
      <c r="II4" s="68"/>
      <c r="IJ4" s="68"/>
      <c r="IK4" s="68"/>
      <c r="IL4" s="44">
        <f>SUM(IC4:IK4)</f>
        <v>0</v>
      </c>
      <c r="IM4" s="42">
        <f t="shared" si="124"/>
        <v>-4</v>
      </c>
      <c r="IN4" s="69" t="str">
        <f t="shared" si="125"/>
        <v>http://mkweb.bcgsc.ca/color-summarizer/?url=https://upload.wikimedia.org/wikipedia/commons/thumb/8/89/Flag_of_Bikini_Atoll.svg/640px-Flag_of_Bikini_Atoll.svg.png&amp;precision=low&amp;num_clusters=4&amp;text=1</v>
      </c>
      <c r="IO4" s="44" t="str">
        <f t="shared" si="126"/>
        <v>"black"</v>
      </c>
      <c r="IP4" s="44" t="str">
        <f t="shared" si="127"/>
        <v>"blue"</v>
      </c>
      <c r="IQ4" s="44" t="str">
        <f t="shared" si="128"/>
        <v/>
      </c>
      <c r="IR4" s="44" t="str">
        <f t="shared" si="129"/>
        <v>"red"</v>
      </c>
      <c r="IS4" s="44" t="str">
        <f t="shared" si="130"/>
        <v/>
      </c>
      <c r="IT4" s="44" t="str">
        <f t="shared" si="131"/>
        <v/>
      </c>
      <c r="IU4" s="44" t="str">
        <f t="shared" si="132"/>
        <v/>
      </c>
      <c r="IV4" s="44" t="str">
        <f t="shared" si="133"/>
        <v/>
      </c>
      <c r="IW4" s="44" t="str">
        <f t="shared" si="134"/>
        <v>"white"</v>
      </c>
      <c r="IX4" s="44" t="str">
        <f t="shared" si="135"/>
        <v>{"url":"http://mkweb.bcgsc.ca/color-summarizer/?url=https://upload.wikimedia.org/wikipedia/commons/thumb/8/89/Flag_of_Bikini_Atoll.svg/640px-Flag_of_Bikini_Atoll.svg.png&amp;precision=low&amp;num_clusters=4&amp;text=1","name":"[MHL] Bikini Atoll"},</v>
      </c>
      <c r="IY4" s="44">
        <v>640</v>
      </c>
    </row>
    <row r="5" spans="1:259" s="44" customFormat="1" ht="38.4" customHeight="1" thickBot="1" x14ac:dyDescent="0.35">
      <c r="A5" s="80" t="s">
        <v>602</v>
      </c>
      <c r="B5" s="78" t="e" vm="50">
        <v>#VALUE!</v>
      </c>
      <c r="C5" s="39">
        <v>2</v>
      </c>
      <c r="D5" s="70" t="s">
        <v>603</v>
      </c>
      <c r="E5" s="40" t="s">
        <v>604</v>
      </c>
      <c r="F5" s="41" t="s">
        <v>165</v>
      </c>
      <c r="G5" s="42">
        <f t="shared" si="0"/>
        <v>1</v>
      </c>
      <c r="H5" s="43"/>
      <c r="I5" s="59" t="s">
        <v>605</v>
      </c>
      <c r="J5" s="44" t="str">
        <f>""</f>
        <v/>
      </c>
      <c r="K5" s="45"/>
      <c r="L5" s="46"/>
      <c r="M5" s="46"/>
      <c r="N5" s="47" t="s">
        <v>177</v>
      </c>
      <c r="O5" s="74" t="s">
        <v>230</v>
      </c>
      <c r="P5" s="48" t="s">
        <v>606</v>
      </c>
      <c r="Q5" s="73">
        <v>2</v>
      </c>
      <c r="R5" s="49" t="s">
        <v>177</v>
      </c>
      <c r="S5" s="50">
        <v>5</v>
      </c>
      <c r="T5" s="51" t="s">
        <v>166</v>
      </c>
      <c r="U5" s="52" t="s">
        <v>166</v>
      </c>
      <c r="V5" s="52" t="s">
        <v>167</v>
      </c>
      <c r="W5" s="52" t="s">
        <v>166</v>
      </c>
      <c r="X5" s="52" t="s">
        <v>166</v>
      </c>
      <c r="Y5" s="52" t="s">
        <v>166</v>
      </c>
      <c r="Z5" s="52" t="s">
        <v>166</v>
      </c>
      <c r="AA5" s="52" t="s">
        <v>166</v>
      </c>
      <c r="AB5" s="52" t="s">
        <v>166</v>
      </c>
      <c r="AC5" s="52" t="s">
        <v>166</v>
      </c>
      <c r="AD5" s="52" t="s">
        <v>166</v>
      </c>
      <c r="AE5" s="52" t="s">
        <v>166</v>
      </c>
      <c r="AF5" s="53" t="s">
        <v>166</v>
      </c>
      <c r="AG5" s="53" t="s">
        <v>166</v>
      </c>
      <c r="AH5" s="53" t="s">
        <v>166</v>
      </c>
      <c r="AI5" s="53" t="s">
        <v>166</v>
      </c>
      <c r="AJ5" s="53" t="s">
        <v>166</v>
      </c>
      <c r="AK5" s="53" t="s">
        <v>166</v>
      </c>
      <c r="AL5" s="53" t="s">
        <v>166</v>
      </c>
      <c r="AM5" s="53" t="s">
        <v>166</v>
      </c>
      <c r="AN5" s="53" t="s">
        <v>166</v>
      </c>
      <c r="AO5" s="53" t="s">
        <v>166</v>
      </c>
      <c r="AP5" s="53" t="s">
        <v>166</v>
      </c>
      <c r="AQ5" s="53" t="s">
        <v>166</v>
      </c>
      <c r="AR5" s="53" t="s">
        <v>166</v>
      </c>
      <c r="AS5" s="53" t="s">
        <v>166</v>
      </c>
      <c r="AT5" s="54">
        <v>7</v>
      </c>
      <c r="AU5" s="53" t="s">
        <v>417</v>
      </c>
      <c r="AV5" s="53" t="str">
        <f t="shared" si="1"/>
        <v>[MHL]Atoll[MHL] Ebon Atoll</v>
      </c>
      <c r="AW5" s="53" t="str">
        <f t="shared" si="2"/>
        <v>2[MHL] Ebon Atoll</v>
      </c>
      <c r="AX5" s="55"/>
      <c r="AY5" s="55"/>
      <c r="AZ5" s="56" t="s">
        <v>161</v>
      </c>
      <c r="BA5" s="56" t="s">
        <v>231</v>
      </c>
      <c r="BB5" s="56"/>
      <c r="BC5" s="57"/>
      <c r="BD5" s="58" t="s">
        <v>156</v>
      </c>
      <c r="BE5" s="59"/>
      <c r="BF5" s="58" t="s">
        <v>156</v>
      </c>
      <c r="BG5" s="58" t="s">
        <v>156</v>
      </c>
      <c r="BH5" s="58" t="s">
        <v>156</v>
      </c>
      <c r="BI5" s="58"/>
      <c r="BJ5" s="58"/>
      <c r="BK5" s="59"/>
      <c r="BL5" s="58" t="s">
        <v>231</v>
      </c>
      <c r="BM5" s="58" t="s">
        <v>231</v>
      </c>
      <c r="BN5" s="58" t="s">
        <v>231</v>
      </c>
      <c r="BO5" s="58" t="s">
        <v>156</v>
      </c>
      <c r="BP5" s="58" t="s">
        <v>231</v>
      </c>
      <c r="BQ5" s="58" t="s">
        <v>231</v>
      </c>
      <c r="BR5" s="58" t="s">
        <v>231</v>
      </c>
      <c r="BS5" s="58" t="s">
        <v>231</v>
      </c>
      <c r="BT5" s="58" t="s">
        <v>161</v>
      </c>
      <c r="BU5" s="60"/>
      <c r="BV5" s="61"/>
      <c r="BW5" s="61">
        <v>0</v>
      </c>
      <c r="BX5" s="59"/>
      <c r="CB5" s="5"/>
      <c r="CC5" s="5"/>
      <c r="CD5" s="62">
        <v>0</v>
      </c>
      <c r="CE5" s="62">
        <v>0</v>
      </c>
      <c r="CF5" s="62" t="e">
        <v>#REF!</v>
      </c>
      <c r="CG5" s="75" cm="1">
        <f t="array" ref="CG5">SUMPRODUCT(--(LEN(TRIM(BL5:BT5))&gt;0))</f>
        <v>2</v>
      </c>
      <c r="CH5" s="53" t="str">
        <f t="shared" si="3"/>
        <v>y</v>
      </c>
      <c r="CI5" s="53" t="str">
        <f t="shared" si="4"/>
        <v>n</v>
      </c>
      <c r="CJ5" s="53" t="str">
        <f t="shared" si="5"/>
        <v>n</v>
      </c>
      <c r="CK5" s="53" t="str">
        <f t="shared" si="6"/>
        <v>n</v>
      </c>
      <c r="CL5" s="53" t="str">
        <f t="shared" si="7"/>
        <v>n</v>
      </c>
      <c r="CM5" s="53" t="str">
        <f t="shared" si="8"/>
        <v>n</v>
      </c>
      <c r="CN5" s="53" t="str">
        <f t="shared" si="9"/>
        <v>n</v>
      </c>
      <c r="CO5" s="53" t="str">
        <f t="shared" si="10"/>
        <v>y</v>
      </c>
      <c r="CP5" s="53" t="str">
        <f t="shared" si="11"/>
        <v>n</v>
      </c>
      <c r="CQ5" s="53" t="str">
        <f t="shared" si="12"/>
        <v>n</v>
      </c>
      <c r="CR5" s="53" t="str">
        <f t="shared" si="13"/>
        <v>n</v>
      </c>
      <c r="CS5" s="53" t="str">
        <f t="shared" si="14"/>
        <v>y</v>
      </c>
      <c r="CT5" s="38" t="str">
        <f t="shared" si="15"/>
        <v>"[MHL] Ebon Atoll"</v>
      </c>
      <c r="CU5" s="63" t="str">
        <f t="shared" si="16"/>
        <v>"rgn_Oceania"</v>
      </c>
      <c r="CV5" s="44" t="str">
        <f t="shared" si="17"/>
        <v>"https://upload.wikimedia.org/wikipedia/commons/thumb/f/f0/Flag_of_the_Ebon_Atoll_%28Unofficial%29.svg/640px-Flag_of_the_Ebon_Atoll_%28Unofficial%29.svg.png"</v>
      </c>
      <c r="CW5" s="44" t="str">
        <f t="shared" si="18"/>
        <v>"2Color",</v>
      </c>
      <c r="CX5" s="44" t="str">
        <f t="shared" si="19"/>
        <v/>
      </c>
      <c r="CY5" s="44" t="str">
        <f t="shared" si="20"/>
        <v/>
      </c>
      <c r="CZ5" s="44" t="str">
        <f t="shared" si="21"/>
        <v/>
      </c>
      <c r="DA5" s="44" t="str">
        <f t="shared" si="22"/>
        <v>"words2",</v>
      </c>
      <c r="DB5" s="44" t="str">
        <f t="shared" si="23"/>
        <v/>
      </c>
      <c r="DD5" s="44" t="str">
        <f t="shared" ref="DD5:DD10" si="137">IF(LEN(CHAR(34)&amp;"lets"&amp;LEN(SUBSTITUTE(SUBSTITUTE(IFERROR(TRIM(SUBSTITUTE(A5,MID(A5,FIND("[",A5),FIND("]",A5)-FIND("[",A5)+1),"")),A5)," ",""),"-",""))&amp;CHAR(34)&amp;",")=9,CHAR(34)&amp;"lets"&amp;LEN(SUBSTITUTE(SUBSTITUTE(IFERROR(TRIM(SUBSTITUTE(A5,MID(A5,FIND("[",A5),FIND("]",A5)-FIND("[",A5)+1),"")),A5)," ",""),"-",""))&amp;CHAR(34)&amp;",",CHAR(34)&amp;"lets0"&amp;LEN(SUBSTITUTE(SUBSTITUTE(IFERROR(TRIM(SUBSTITUTE(A5,MID(A5,FIND("[",A5),FIND("]",A5)-FIND("[",A5)+1),"")),A5)," ",""),"-",""))&amp;CHAR(34)&amp;",")</f>
        <v>"lets09",</v>
      </c>
      <c r="DE5" s="44" t="str">
        <f t="shared" ref="DE5:DE10" si="138">CHAR(34)&amp;"start"&amp;IFERROR(LEFT(SUBSTITUTE(A5,"["&amp;MID(A5,FIND("[",A5)+1,FIND("]",A5)-FIND("[",A5)-1)&amp;"] ",""),1),LEFT(A5,1))&amp;CHAR(34)&amp;","</f>
        <v>"startE",</v>
      </c>
      <c r="DF5" s="44" t="str">
        <f t="shared" si="24"/>
        <v/>
      </c>
      <c r="DG5" s="44" t="str">
        <f t="shared" si="25"/>
        <v/>
      </c>
      <c r="DH5" s="44" t="str">
        <f t="shared" si="26"/>
        <v/>
      </c>
      <c r="DI5" s="44" t="str">
        <f t="shared" si="27"/>
        <v/>
      </c>
      <c r="DJ5" s="44" t="str">
        <f t="shared" si="28"/>
        <v/>
      </c>
      <c r="DK5" s="44" t="str">
        <f t="shared" si="29"/>
        <v/>
      </c>
      <c r="DL5" s="44" t="str">
        <f t="shared" si="30"/>
        <v>"REDWHI",</v>
      </c>
      <c r="DM5" s="44" t="str" cm="1">
        <f t="array" ref="DM5">IF(CG5=3,CHAR(34) &amp; _xlfn.TEXTJOIN("", TRUE, RIGHT(HP5:HX5, 2)) &amp; CHAR(34) &amp; ",", "")</f>
        <v/>
      </c>
      <c r="DN5" s="44" t="str">
        <f t="shared" si="31"/>
        <v/>
      </c>
      <c r="DO5" s="44" t="str">
        <f t="shared" si="32"/>
        <v/>
      </c>
      <c r="DP5" s="5" t="str">
        <f t="shared" si="33"/>
        <v/>
      </c>
      <c r="DQ5" s="5" t="str">
        <f t="shared" si="34"/>
        <v/>
      </c>
      <c r="DR5" s="5" t="str">
        <f t="shared" si="35"/>
        <v/>
      </c>
      <c r="DS5" s="5" t="str">
        <f t="shared" si="36"/>
        <v/>
      </c>
      <c r="DT5" s="5" t="str">
        <f t="shared" si="37"/>
        <v>"allhor",</v>
      </c>
      <c r="DU5" s="5" t="str">
        <f t="shared" si="38"/>
        <v/>
      </c>
      <c r="DW5" s="44" t="str">
        <f t="shared" si="39"/>
        <v/>
      </c>
      <c r="DX5" s="44" t="str">
        <f t="shared" si="40"/>
        <v/>
      </c>
      <c r="DY5" s="44" t="str">
        <f t="shared" si="41"/>
        <v/>
      </c>
      <c r="DZ5" s="44" t="str">
        <f t="shared" si="42"/>
        <v>"4+Band",</v>
      </c>
      <c r="EA5" s="44" t="str">
        <f t="shared" si="43"/>
        <v/>
      </c>
      <c r="EB5" s="44" t="str">
        <f t="shared" si="44"/>
        <v/>
      </c>
      <c r="EC5" s="44" t="str">
        <f t="shared" si="45"/>
        <v>"Horizo",</v>
      </c>
      <c r="ED5" s="44" t="str">
        <f t="shared" si="46"/>
        <v/>
      </c>
      <c r="EE5" s="44" t="str">
        <f t="shared" si="47"/>
        <v/>
      </c>
      <c r="EF5" s="44" t="str">
        <f t="shared" si="48"/>
        <v/>
      </c>
      <c r="EG5" s="44" t="str">
        <f t="shared" si="49"/>
        <v/>
      </c>
      <c r="EH5" s="44" t="str">
        <f t="shared" si="50"/>
        <v/>
      </c>
      <c r="EI5" s="44" t="str">
        <f t="shared" si="51"/>
        <v/>
      </c>
      <c r="EJ5" s="44" t="str">
        <f t="shared" si="52"/>
        <v/>
      </c>
      <c r="EK5" s="44" t="str">
        <f t="shared" si="53"/>
        <v/>
      </c>
      <c r="EL5" s="44" t="str">
        <f t="shared" si="54"/>
        <v/>
      </c>
      <c r="EM5" s="44" t="str">
        <f t="shared" si="55"/>
        <v/>
      </c>
      <c r="EN5" s="44" t="str">
        <f t="shared" si="56"/>
        <v/>
      </c>
      <c r="EO5" s="44" t="str">
        <f t="shared" si="57"/>
        <v/>
      </c>
      <c r="EP5" s="44" t="str">
        <f t="shared" si="58"/>
        <v/>
      </c>
      <c r="EQ5" s="44" t="str">
        <f t="shared" si="59"/>
        <v/>
      </c>
      <c r="ER5" s="44" t="str">
        <f t="shared" si="60"/>
        <v/>
      </c>
      <c r="ES5" s="44" t="str">
        <f t="shared" si="61"/>
        <v/>
      </c>
      <c r="ET5" s="44" t="str">
        <f t="shared" si="62"/>
        <v/>
      </c>
      <c r="EU5" s="44" t="str">
        <f t="shared" si="63"/>
        <v/>
      </c>
      <c r="EV5" s="44" t="str">
        <f t="shared" si="64"/>
        <v/>
      </c>
      <c r="EW5" s="44" t="str">
        <f t="shared" si="65"/>
        <v/>
      </c>
      <c r="EX5" s="44" t="str">
        <f t="shared" si="66"/>
        <v/>
      </c>
      <c r="EY5" s="44" t="str">
        <f t="shared" si="67"/>
        <v/>
      </c>
      <c r="EZ5" s="44" t="str">
        <f t="shared" si="68"/>
        <v/>
      </c>
      <c r="FA5" s="44" t="str">
        <f t="shared" si="69"/>
        <v>"staWHI",</v>
      </c>
      <c r="FB5" s="44" t="str">
        <f t="shared" si="70"/>
        <v/>
      </c>
      <c r="FD5" s="44" t="str">
        <f t="shared" si="71"/>
        <v/>
      </c>
      <c r="FE5" s="44" t="str">
        <f t="shared" si="72"/>
        <v>"NO_BLU",</v>
      </c>
      <c r="FF5" s="44" t="str">
        <f t="shared" si="73"/>
        <v/>
      </c>
      <c r="FG5" s="44" t="str">
        <f t="shared" si="74"/>
        <v/>
      </c>
      <c r="FH5" s="44" t="str">
        <f t="shared" si="75"/>
        <v>"NO_GRE",</v>
      </c>
      <c r="FI5" s="44" t="str">
        <f t="shared" si="76"/>
        <v>"NO_YEL",</v>
      </c>
      <c r="FJ5" s="44" t="str">
        <f t="shared" si="77"/>
        <v>"NO_BLA",</v>
      </c>
      <c r="FK5" s="44" t="str">
        <f t="shared" si="78"/>
        <v/>
      </c>
      <c r="FL5" s="44" t="str">
        <f t="shared" si="79"/>
        <v/>
      </c>
      <c r="FM5" s="44" t="str">
        <f t="shared" si="80"/>
        <v/>
      </c>
      <c r="FN5" s="44" t="str">
        <f t="shared" si="81"/>
        <v/>
      </c>
      <c r="FO5" s="44" t="str">
        <f t="shared" si="82"/>
        <v/>
      </c>
      <c r="FP5" s="44" t="str">
        <f t="shared" si="83"/>
        <v/>
      </c>
      <c r="FQ5" s="44" t="str">
        <f t="shared" si="84"/>
        <v>"001RED",</v>
      </c>
      <c r="FR5" s="44" t="str">
        <f t="shared" si="85"/>
        <v>"002RED",</v>
      </c>
      <c r="FS5" s="44" t="str">
        <f t="shared" si="86"/>
        <v>"003RED",</v>
      </c>
      <c r="FT5" s="44" t="str">
        <f t="shared" si="87"/>
        <v>"myrRED",</v>
      </c>
      <c r="FU5" s="44" t="str">
        <f t="shared" si="88"/>
        <v/>
      </c>
      <c r="FV5" s="44" t="str">
        <f t="shared" si="89"/>
        <v/>
      </c>
      <c r="FW5" s="44" t="str">
        <f t="shared" si="90"/>
        <v/>
      </c>
      <c r="FY5" s="44" t="str">
        <f t="shared" si="91"/>
        <v/>
      </c>
      <c r="FZ5" s="44" t="str">
        <f t="shared" si="92"/>
        <v/>
      </c>
      <c r="GA5" s="44" t="str">
        <f t="shared" si="93"/>
        <v/>
      </c>
      <c r="GB5" s="44" t="str">
        <f t="shared" si="94"/>
        <v/>
      </c>
      <c r="GE5" s="44" t="str">
        <f t="shared" si="95"/>
        <v/>
      </c>
      <c r="GF5" s="44" t="str">
        <f t="shared" si="136"/>
        <v/>
      </c>
      <c r="GG5" s="44" t="str">
        <f t="shared" si="96"/>
        <v/>
      </c>
      <c r="GH5" s="44" t="str">
        <f t="shared" si="97"/>
        <v/>
      </c>
      <c r="GI5" s="44" t="str">
        <f t="shared" si="98"/>
        <v/>
      </c>
      <c r="GJ5" s="44" t="str">
        <f t="shared" si="99"/>
        <v/>
      </c>
      <c r="GK5" s="44" t="str">
        <f t="shared" si="100"/>
        <v>"HasSta",</v>
      </c>
      <c r="GL5" s="44" t="str">
        <f t="shared" si="101"/>
        <v/>
      </c>
      <c r="GM5" s="44" t="str">
        <f t="shared" si="102"/>
        <v/>
      </c>
      <c r="GN5" s="44" t="str">
        <f t="shared" si="103"/>
        <v>"3+Star",</v>
      </c>
      <c r="GP5" s="44" t="str">
        <f t="shared" si="104"/>
        <v>"Atoll"</v>
      </c>
      <c r="GS5" s="44" t="str">
        <f t="shared" si="105"/>
        <v>["2Color","words2","lets09","startE","REDWHI","allhor","4+Band","Horizo","staWHI","NO_BLU","NO_GRE","NO_YEL","NO_BLA","001RED","002RED","003RED","myrRED","HasSta","3+Star"]</v>
      </c>
      <c r="GT5" s="44" t="str">
        <f t="shared" si="106"/>
        <v/>
      </c>
      <c r="GU5" s="44" t="str">
        <f t="shared" si="107"/>
        <v/>
      </c>
      <c r="GV5" s="44" t="str">
        <f t="shared" si="108"/>
        <v/>
      </c>
      <c r="GW5" s="44" t="str">
        <f t="shared" si="109"/>
        <v>"cl_RED",</v>
      </c>
      <c r="GX5" s="44" t="str">
        <f t="shared" si="110"/>
        <v/>
      </c>
      <c r="GY5" s="44" t="str">
        <f t="shared" si="111"/>
        <v/>
      </c>
      <c r="GZ5" s="44" t="str">
        <f t="shared" si="112"/>
        <v/>
      </c>
      <c r="HA5" s="44" t="str">
        <f t="shared" si="113"/>
        <v/>
      </c>
      <c r="HB5" s="44" t="str">
        <f t="shared" si="114"/>
        <v>"cl_WHI",</v>
      </c>
      <c r="HC5" s="44" t="str">
        <f t="shared" si="115"/>
        <v>["cl_RED","cl_WHI"]</v>
      </c>
      <c r="HE5" s="64"/>
      <c r="HF5" s="65" t="str">
        <f t="shared" si="116"/>
        <v>{couname:"[MHL] Ebon Atoll",year:"???",region:"rgn_Oceania",Colors:["cl_RED","cl_WHI"],Items:["2Color","words2","lets09","startE","REDWHI","allhor","4+Band","Horizo","staWHI","NO_BLU","NO_GRE","NO_YEL","NO_BLA","001RED","002RED","003RED","myrRED","HasSta","3+Star"],Flag:"https://upload.wikimedia.org/wikipedia/commons/thumb/f/f0/Flag_of_the_Ebon_Atoll_%28Unofficial%29.svg/640px-Flag_of_the_Ebon_Atoll_%28Unofficial%29.svg.png",HDFlag:"https://upload.wikimedia.org/wikipedia/commons/thumb/f/f0/Flag_of_the_Ebon_Atoll_%28Unofficial%29.svg/1280px-Flag_of_the_Ebon_Atoll_%28Unofficial%29.svg.png",type:"Atoll", describe: "\nA red field with two horizontal white bands under seven white stars.", isnew:".", links: "https://en.m.wikipedia.org/wiki/Flag_of_the_Marshall_Islands"},</v>
      </c>
      <c r="HG5" s="66" t="str">
        <f t="shared" si="117"/>
        <v>{couname:"[MHL] Ebon Atoll",year:"???",region:"rgn_Oceania",Colors:["cl_RED","cl_WHI"],Items:["2Color","words2","lets09","startE","REDWHI","allhor","4+Band","Horizo","staWHI","NO_BLU","NO_GRE","NO_YEL","NO_BLA","001RED","002RED","003RED","myrRED","HasSta","3+Star"],Flag:"https://upload.wikimedia.org/wikipedia/commons/thumb/f/f0/Flag_of_the_Ebon_Atoll_%28Unofficial%29.svg/640px-Flag_of_the_Ebon_Atoll_%28Unofficial%29.svg.png",HDFlag:"https://upload.wikimedia.org/wikipedia/commons/thumb/f/f0/Flag_of_the_Ebon_Atoll_%28Unofficial%29.svg/1280px-Flag_of_the_Ebon_Atoll_%28Unofficial%29.svg.png",type:"Atoll", describe: "\nA red field with two horizontal white bands under seven white stars.", links: "https://en.m.wikipedia.org/wiki/Flag_of_the_Marshall_Islands"},</v>
      </c>
      <c r="HH5" s="44" t="str">
        <f t="shared" si="118"/>
        <v>"\nA red field with two horizontal white bands under seven white stars."</v>
      </c>
      <c r="HI5" s="44" t="str">
        <f t="shared" si="119"/>
        <v>"\nA red field with two horizontal white bands under seven white stars."</v>
      </c>
      <c r="HJ5" s="44" t="str">
        <f t="shared" si="120"/>
        <v>"???"</v>
      </c>
      <c r="HL5" s="44" t="str">
        <f t="shared" si="121"/>
        <v>"https://en.m.wikipedia.org/wiki/Flag_of_the_Marshall_Islands"</v>
      </c>
      <c r="HM5" s="65" t="str">
        <f t="shared" si="122"/>
        <v>{"couname":"[MHL] Ebon Atoll","year":"???","region":"rgn_Oceania","Colors":["cl_RED","cl_WHI"],"Items":["2Color","words2","lets09","startE","REDWHI","allhor","4+Band","Horizo","staWHI","NO_BLU","NO_GRE","NO_YEL","NO_BLA","001RED","002RED","003RED","myrRED","HasSta","3+Star"],"Flag":"https://upload.wikimedia.org/wikipedia/commons/thumb/f/f0/Flag_of_the_Ebon_Atoll_%28Unofficial%29.svg/640px-Flag_of_the_Ebon_Atoll_%28Unofficial%29.svg.png","HDFlag":"https://upload.wikimedia.org/wikipedia/commons/thumb/f/f0/Flag_of_the_Ebon_Atoll_%28Unofficial%29.svg/1280px-Flag_of_the_Ebon_Atoll_%28Unofficial%29.svg.png","type":"Atoll", "describe": "\nA red field with two horizontal white bands under seven white stars.", "isnew": ".", "links": "https://en.m.wikipedia.org/wiki/Flag_of_the_Marshall_Islands"},</v>
      </c>
      <c r="HN5" s="67" t="str">
        <f t="shared" si="123"/>
        <v>{"couname":"[MHL] Ebon Atoll","year":"???","region":"rgn_Oceania","Colors":["cl_RED","cl_WHI"],"Items":["2Color","words2","lets09","startE","REDWHI","allhor","4+Band","Horizo","staWHI","NO_BLU","NO_GRE","NO_YEL","NO_BLA","001RED","002RED","003RED","myrRED","HasSta","3+Star"],"Flag":"https://upload.wikimedia.org/wikipedia/commons/thumb/f/f0/Flag_of_the_Ebon_Atoll_%28Unofficial%29.svg/640px-Flag_of_the_Ebon_Atoll_%28Unofficial%29.svg.png","HDFlag":"https://upload.wikimedia.org/wikipedia/commons/thumb/f/f0/Flag_of_the_Ebon_Atoll_%28Unofficial%29.svg/1280px-Flag_of_the_Ebon_Atoll_%28Unofficial%29.svg.png","type":"Atoll", "describe": "\nA red field with two horizontal white bands under seven white stars.", "isnew": ".", "links": "https://en.m.wikipedia.org/wiki/Flag_of_the_Marshall_Islands"},</v>
      </c>
      <c r="HO5" s="71">
        <v>45618</v>
      </c>
      <c r="HP5" s="44" t="str" cm="1">
        <f t="array" ref="HP5">IF(_xlfn.TEXTJOIN(", ", TRUE, IF(ISNUMBER(SEARCH("BLA", BL5:BT5)), COLUMN(BL5:BT5) - COLUMN(BL5) + 1, ""))&lt;&gt;"","BLA","")</f>
        <v/>
      </c>
      <c r="HQ5" s="44" t="str" cm="1">
        <f t="array" ref="HQ5">IF(_xlfn.TEXTJOIN(", ", TRUE, IF(ISNUMBER(SEARCH("BLU", BL5:BT5)), COLUMN(BL5:BT5) - COLUMN(BL5) + 1, ""))&lt;&gt;"","BLU","")</f>
        <v/>
      </c>
      <c r="HR5" s="44" t="str" cm="1">
        <f t="array" ref="HR5">IF(_xlfn.TEXTJOIN(", ", TRUE, IF(ISNUMBER(SEARCH("GRE", BL5:BT5)), COLUMN(BL5:BT5) - COLUMN(BL5) + 1, ""))&lt;&gt;"","GRE","")</f>
        <v/>
      </c>
      <c r="HS5" s="44" t="str" cm="1">
        <f t="array" ref="HS5">IF(_xlfn.TEXTJOIN(", ", TRUE, IF(ISNUMBER(SEARCH("RED", BL5:BT5)), COLUMN(BL5:BT5) - COLUMN(BL5) + 1, ""))&lt;&gt;"","RED","")</f>
        <v>RED</v>
      </c>
      <c r="HT5" s="44" t="str" cm="1">
        <f t="array" ref="HT5">IF(_xlfn.TEXTJOIN(", ", TRUE, IF(ISNUMBER(SEARCH("YEL", BL5:BT5)), COLUMN(BL5:BT5) - COLUMN(BL5) + 1, ""))&lt;&gt;"","YEL","")</f>
        <v/>
      </c>
      <c r="HU5" s="44" t="str" cm="1">
        <f t="array" ref="HU5">IF(_xlfn.TEXTJOIN(", ", TRUE, IF(ISNUMBER(SEARCH("ORA", BL5:BT5)), COLUMN(BL5:BT5) - COLUMN(BL5) + 1, ""))&lt;&gt;"","ORA","")</f>
        <v/>
      </c>
      <c r="HV5" s="44" t="str" cm="1">
        <f t="array" ref="HV5">IF(_xlfn.TEXTJOIN(", ", TRUE, IF(ISNUMBER(SEARCH("BRO", BL5:BT5)), COLUMN(BL5:BT5) - COLUMN(BL5) + 1, ""))&lt;&gt;"","BRO","")</f>
        <v/>
      </c>
      <c r="HW5" s="44" t="str" cm="1">
        <f t="array" ref="HW5">IF(_xlfn.TEXTJOIN(", ", TRUE, IF(ISNUMBER(SEARCH("PUR", BL5:BT5)), COLUMN(BL5:BT5) - COLUMN(BL5) + 1, ""))&lt;&gt;"","PUR","")</f>
        <v/>
      </c>
      <c r="HX5" s="44" t="str" cm="1">
        <f t="array" ref="HX5">IF(_xlfn.TEXTJOIN(", ", TRUE, IF(ISNUMBER(SEARCH("WHI", BL5:BT5)), COLUMN(BL5:BT5) - COLUMN(BL5) + 1, ""))&lt;&gt;"","WHI","")</f>
        <v>WHI</v>
      </c>
      <c r="HY5" s="72"/>
      <c r="HZ5" s="72"/>
      <c r="IA5" s="5"/>
      <c r="IB5" s="5"/>
      <c r="IC5" s="68"/>
      <c r="ID5" s="68"/>
      <c r="IE5" s="68"/>
      <c r="IF5" s="68"/>
      <c r="IG5" s="68"/>
      <c r="IH5" s="68"/>
      <c r="II5" s="68"/>
      <c r="IJ5" s="68"/>
      <c r="IK5" s="68"/>
      <c r="IM5" s="42">
        <f t="shared" si="124"/>
        <v>-2</v>
      </c>
      <c r="IN5" s="69" t="str">
        <f t="shared" si="125"/>
        <v>http://mkweb.bcgsc.ca/color-summarizer/?url=https://upload.wikimedia.org/wikipedia/commons/thumb/f/f0/Flag_of_the_Ebon_Atoll_%28Unofficial%29.svg/640px-Flag_of_the_Ebon_Atoll_%28Unofficial%29.svg.png&amp;precision=low&amp;num_clusters=2&amp;text=1</v>
      </c>
      <c r="IO5" s="44" t="str">
        <f t="shared" si="126"/>
        <v/>
      </c>
      <c r="IP5" s="44" t="str">
        <f t="shared" si="127"/>
        <v/>
      </c>
      <c r="IQ5" s="44" t="str">
        <f t="shared" si="128"/>
        <v/>
      </c>
      <c r="IR5" s="44" t="str">
        <f t="shared" si="129"/>
        <v>"red"</v>
      </c>
      <c r="IS5" s="44" t="str">
        <f t="shared" si="130"/>
        <v/>
      </c>
      <c r="IT5" s="44" t="str">
        <f t="shared" si="131"/>
        <v/>
      </c>
      <c r="IU5" s="44" t="str">
        <f t="shared" si="132"/>
        <v/>
      </c>
      <c r="IV5" s="44" t="str">
        <f t="shared" si="133"/>
        <v/>
      </c>
      <c r="IW5" s="44" t="str">
        <f t="shared" si="134"/>
        <v>"white"</v>
      </c>
      <c r="IX5" s="44" t="str">
        <f t="shared" si="135"/>
        <v>{"url":"http://mkweb.bcgsc.ca/color-summarizer/?url=https://upload.wikimedia.org/wikipedia/commons/thumb/f/f0/Flag_of_the_Ebon_Atoll_%28Unofficial%29.svg/640px-Flag_of_the_Ebon_Atoll_%28Unofficial%29.svg.png&amp;precision=low&amp;num_clusters=2&amp;text=1","name":"[MHL] Ebon Atoll"},</v>
      </c>
      <c r="IY5" s="44">
        <v>1009</v>
      </c>
    </row>
    <row r="6" spans="1:259" s="44" customFormat="1" ht="38.4" customHeight="1" thickBot="1" x14ac:dyDescent="0.35">
      <c r="A6" s="80" t="s">
        <v>685</v>
      </c>
      <c r="B6" s="78" t="e" vm="51">
        <v>#VALUE!</v>
      </c>
      <c r="C6" s="39">
        <v>2</v>
      </c>
      <c r="D6" s="70" t="s">
        <v>686</v>
      </c>
      <c r="E6" s="40" t="s">
        <v>687</v>
      </c>
      <c r="F6" s="41" t="s">
        <v>165</v>
      </c>
      <c r="G6" s="42">
        <f t="shared" si="0"/>
        <v>1</v>
      </c>
      <c r="H6" s="43"/>
      <c r="I6" s="59" t="s">
        <v>688</v>
      </c>
      <c r="J6" s="44" t="str">
        <f>""</f>
        <v/>
      </c>
      <c r="K6" s="45"/>
      <c r="L6" s="46"/>
      <c r="M6" s="46"/>
      <c r="N6" s="47" t="s">
        <v>177</v>
      </c>
      <c r="O6" s="74" t="s">
        <v>230</v>
      </c>
      <c r="P6" s="48" t="s">
        <v>689</v>
      </c>
      <c r="Q6" s="73">
        <v>1</v>
      </c>
      <c r="R6" s="49" t="s">
        <v>177</v>
      </c>
      <c r="S6" s="50">
        <v>4</v>
      </c>
      <c r="T6" s="51" t="s">
        <v>167</v>
      </c>
      <c r="U6" s="52" t="s">
        <v>166</v>
      </c>
      <c r="V6" s="52" t="s">
        <v>167</v>
      </c>
      <c r="W6" s="52" t="s">
        <v>166</v>
      </c>
      <c r="X6" s="52" t="s">
        <v>167</v>
      </c>
      <c r="Y6" s="52" t="s">
        <v>167</v>
      </c>
      <c r="Z6" s="52" t="s">
        <v>166</v>
      </c>
      <c r="AA6" s="52" t="s">
        <v>166</v>
      </c>
      <c r="AB6" s="52" t="s">
        <v>166</v>
      </c>
      <c r="AC6" s="52" t="s">
        <v>166</v>
      </c>
      <c r="AD6" s="52" t="s">
        <v>166</v>
      </c>
      <c r="AE6" s="52" t="s">
        <v>166</v>
      </c>
      <c r="AF6" s="53" t="s">
        <v>167</v>
      </c>
      <c r="AG6" s="53" t="s">
        <v>166</v>
      </c>
      <c r="AH6" s="53" t="s">
        <v>166</v>
      </c>
      <c r="AI6" s="53" t="s">
        <v>166</v>
      </c>
      <c r="AJ6" s="53" t="s">
        <v>166</v>
      </c>
      <c r="AK6" s="53" t="s">
        <v>166</v>
      </c>
      <c r="AL6" s="53" t="s">
        <v>166</v>
      </c>
      <c r="AM6" s="53" t="s">
        <v>166</v>
      </c>
      <c r="AN6" s="53" t="s">
        <v>166</v>
      </c>
      <c r="AO6" s="53" t="s">
        <v>166</v>
      </c>
      <c r="AP6" s="53" t="s">
        <v>166</v>
      </c>
      <c r="AQ6" s="53" t="s">
        <v>166</v>
      </c>
      <c r="AR6" s="53" t="s">
        <v>166</v>
      </c>
      <c r="AS6" s="53" t="s">
        <v>166</v>
      </c>
      <c r="AT6" s="54">
        <v>11</v>
      </c>
      <c r="AU6" s="53" t="s">
        <v>910</v>
      </c>
      <c r="AV6" s="53" t="str">
        <f t="shared" si="1"/>
        <v>[MHL]Atoll, Capital[MHL] Majuro</v>
      </c>
      <c r="AW6" s="53" t="str">
        <f t="shared" si="2"/>
        <v>2[MHL] Majuro</v>
      </c>
      <c r="AX6" s="55"/>
      <c r="AY6" s="55"/>
      <c r="AZ6" s="56" t="s">
        <v>161</v>
      </c>
      <c r="BA6" s="56" t="s">
        <v>231</v>
      </c>
      <c r="BB6" s="56"/>
      <c r="BC6" s="57"/>
      <c r="BD6" s="58" t="s">
        <v>154</v>
      </c>
      <c r="BE6" s="59"/>
      <c r="BF6" s="58" t="s">
        <v>154</v>
      </c>
      <c r="BG6" s="58" t="s">
        <v>231</v>
      </c>
      <c r="BH6" s="58" t="s">
        <v>154</v>
      </c>
      <c r="BI6" s="58"/>
      <c r="BJ6" s="58"/>
      <c r="BK6" s="59"/>
      <c r="BL6" s="58" t="s">
        <v>231</v>
      </c>
      <c r="BM6" s="58" t="s">
        <v>154</v>
      </c>
      <c r="BN6" s="58" t="s">
        <v>231</v>
      </c>
      <c r="BO6" s="58" t="s">
        <v>231</v>
      </c>
      <c r="BP6" s="58" t="s">
        <v>157</v>
      </c>
      <c r="BQ6" s="58" t="s">
        <v>158</v>
      </c>
      <c r="BR6" s="58" t="s">
        <v>231</v>
      </c>
      <c r="BS6" s="58" t="s">
        <v>231</v>
      </c>
      <c r="BT6" s="58" t="s">
        <v>161</v>
      </c>
      <c r="BU6" s="60"/>
      <c r="BV6" s="61"/>
      <c r="BW6" s="61">
        <v>0</v>
      </c>
      <c r="BX6" s="59"/>
      <c r="BY6" s="44" t="s">
        <v>166</v>
      </c>
      <c r="CB6" s="5"/>
      <c r="CC6" s="5"/>
      <c r="CD6" s="62">
        <v>0</v>
      </c>
      <c r="CE6" s="62">
        <v>0</v>
      </c>
      <c r="CF6" s="62" t="e">
        <v>#REF!</v>
      </c>
      <c r="CG6" s="75" cm="1">
        <f t="array" ref="CG6">SUMPRODUCT(--(LEN(TRIM(BL6:BT6))&gt;0))</f>
        <v>4</v>
      </c>
      <c r="CH6" s="53" t="str">
        <f t="shared" si="3"/>
        <v>n</v>
      </c>
      <c r="CI6" s="53" t="str">
        <f t="shared" si="4"/>
        <v>n</v>
      </c>
      <c r="CJ6" s="53" t="str">
        <f t="shared" si="5"/>
        <v>y</v>
      </c>
      <c r="CK6" s="53" t="str">
        <f t="shared" si="6"/>
        <v>n</v>
      </c>
      <c r="CL6" s="53" t="str">
        <f t="shared" si="7"/>
        <v>n</v>
      </c>
      <c r="CM6" s="53" t="str">
        <f t="shared" si="8"/>
        <v>n</v>
      </c>
      <c r="CN6" s="53" t="str">
        <f t="shared" si="9"/>
        <v>n</v>
      </c>
      <c r="CO6" s="53" t="str">
        <f t="shared" si="10"/>
        <v>y</v>
      </c>
      <c r="CP6" s="53" t="str">
        <f t="shared" si="11"/>
        <v>n</v>
      </c>
      <c r="CQ6" s="53" t="str">
        <f t="shared" si="12"/>
        <v>n</v>
      </c>
      <c r="CR6" s="53" t="str">
        <f t="shared" si="13"/>
        <v>n</v>
      </c>
      <c r="CS6" s="53" t="str">
        <f t="shared" si="14"/>
        <v>y</v>
      </c>
      <c r="CT6" s="38" t="str">
        <f t="shared" si="15"/>
        <v>"[MHL] Majuro"</v>
      </c>
      <c r="CU6" s="63" t="str">
        <f t="shared" si="16"/>
        <v>"rgn_Oceania"</v>
      </c>
      <c r="CV6" s="44" t="str">
        <f t="shared" si="17"/>
        <v>"https://upload.wikimedia.org/wikipedia/commons/thumb/0/07/Majuro_Atoll_Flag.svg/640px-Majuro_Atoll_Flag.svg.png"</v>
      </c>
      <c r="CW6" s="44" t="str">
        <f t="shared" si="18"/>
        <v/>
      </c>
      <c r="CX6" s="44" t="str">
        <f t="shared" si="19"/>
        <v/>
      </c>
      <c r="CY6" s="44" t="str">
        <f t="shared" si="20"/>
        <v>"4Color",</v>
      </c>
      <c r="CZ6" s="44" t="str">
        <f t="shared" si="21"/>
        <v/>
      </c>
      <c r="DA6" s="44" t="str">
        <f t="shared" si="22"/>
        <v/>
      </c>
      <c r="DB6" s="44" t="str">
        <f t="shared" si="23"/>
        <v/>
      </c>
      <c r="DD6" s="44" t="str">
        <f t="shared" si="137"/>
        <v>"lets06",</v>
      </c>
      <c r="DE6" s="44" t="str">
        <f t="shared" si="138"/>
        <v>"startM",</v>
      </c>
      <c r="DF6" s="44" t="str">
        <f t="shared" si="24"/>
        <v/>
      </c>
      <c r="DG6" s="44" t="str">
        <f t="shared" si="25"/>
        <v/>
      </c>
      <c r="DH6" s="44" t="str">
        <f t="shared" si="26"/>
        <v/>
      </c>
      <c r="DI6" s="44" t="str">
        <f t="shared" si="27"/>
        <v/>
      </c>
      <c r="DJ6" s="44" t="str">
        <f t="shared" si="28"/>
        <v/>
      </c>
      <c r="DK6" s="44" t="str">
        <f t="shared" si="29"/>
        <v/>
      </c>
      <c r="DL6" s="44" t="str">
        <f t="shared" si="30"/>
        <v/>
      </c>
      <c r="DM6" s="44" t="str" cm="1">
        <f t="array" ref="DM6">IF(CG6=3,CHAR(34) &amp; _xlfn.TEXTJOIN("", TRUE, RIGHT(HP6:HX6, 2)) &amp; CHAR(34) &amp; ",", "")</f>
        <v/>
      </c>
      <c r="DN6" s="44" t="str">
        <f t="shared" si="31"/>
        <v/>
      </c>
      <c r="DO6" s="44" t="str">
        <f t="shared" si="32"/>
        <v/>
      </c>
      <c r="DP6" s="5" t="str">
        <f t="shared" si="33"/>
        <v/>
      </c>
      <c r="DQ6" s="5" t="str">
        <f t="shared" si="34"/>
        <v/>
      </c>
      <c r="DR6" s="5" t="str">
        <f t="shared" si="35"/>
        <v/>
      </c>
      <c r="DS6" s="5" t="str">
        <f t="shared" si="36"/>
        <v/>
      </c>
      <c r="DT6" s="5" t="str">
        <f t="shared" si="37"/>
        <v>"allhor",</v>
      </c>
      <c r="DU6" s="5" t="str">
        <f t="shared" si="38"/>
        <v/>
      </c>
      <c r="DW6" s="44" t="str">
        <f t="shared" si="39"/>
        <v/>
      </c>
      <c r="DX6" s="44" t="str">
        <f t="shared" si="40"/>
        <v/>
      </c>
      <c r="DY6" s="44" t="str">
        <f t="shared" si="41"/>
        <v/>
      </c>
      <c r="DZ6" s="44" t="str">
        <f t="shared" si="42"/>
        <v>"4+Band",</v>
      </c>
      <c r="EA6" s="44" t="str">
        <f t="shared" si="43"/>
        <v>"Diagon",</v>
      </c>
      <c r="EB6" s="44" t="str">
        <f t="shared" si="44"/>
        <v/>
      </c>
      <c r="EC6" s="44" t="str">
        <f t="shared" si="45"/>
        <v>"Horizo",</v>
      </c>
      <c r="ED6" s="44" t="str">
        <f t="shared" si="46"/>
        <v/>
      </c>
      <c r="EE6" s="44" t="str">
        <f t="shared" si="47"/>
        <v>"Circle",</v>
      </c>
      <c r="EF6" s="44" t="str">
        <f t="shared" si="48"/>
        <v>"Animal",</v>
      </c>
      <c r="EG6" s="44" t="str">
        <f t="shared" si="49"/>
        <v/>
      </c>
      <c r="EH6" s="44" t="str">
        <f t="shared" si="50"/>
        <v/>
      </c>
      <c r="EI6" s="44" t="str">
        <f t="shared" si="51"/>
        <v/>
      </c>
      <c r="EJ6" s="44" t="str">
        <f t="shared" si="52"/>
        <v/>
      </c>
      <c r="EK6" s="44" t="str">
        <f t="shared" si="53"/>
        <v/>
      </c>
      <c r="EL6" s="44" t="str">
        <f t="shared" si="54"/>
        <v/>
      </c>
      <c r="EM6" s="44" t="str">
        <f t="shared" si="55"/>
        <v>"Trside",</v>
      </c>
      <c r="EN6" s="44" t="str">
        <f t="shared" si="56"/>
        <v/>
      </c>
      <c r="EO6" s="44" t="str">
        <f t="shared" si="57"/>
        <v/>
      </c>
      <c r="EP6" s="44" t="str">
        <f t="shared" si="58"/>
        <v/>
      </c>
      <c r="EQ6" s="44" t="str">
        <f t="shared" si="59"/>
        <v/>
      </c>
      <c r="ER6" s="44" t="str">
        <f t="shared" si="60"/>
        <v/>
      </c>
      <c r="ES6" s="44" t="str">
        <f t="shared" si="61"/>
        <v/>
      </c>
      <c r="ET6" s="44" t="str">
        <f t="shared" si="62"/>
        <v/>
      </c>
      <c r="EU6" s="44" t="str">
        <f t="shared" si="63"/>
        <v/>
      </c>
      <c r="EV6" s="44" t="str">
        <f t="shared" si="64"/>
        <v/>
      </c>
      <c r="EW6" s="44" t="str">
        <f t="shared" si="65"/>
        <v/>
      </c>
      <c r="EX6" s="44" t="str">
        <f t="shared" si="66"/>
        <v/>
      </c>
      <c r="EY6" s="44" t="str">
        <f t="shared" si="67"/>
        <v/>
      </c>
      <c r="EZ6" s="44" t="str">
        <f t="shared" si="68"/>
        <v/>
      </c>
      <c r="FA6" s="44" t="str">
        <f t="shared" si="69"/>
        <v>"staWHI",</v>
      </c>
      <c r="FB6" s="44" t="str">
        <f t="shared" si="70"/>
        <v/>
      </c>
      <c r="FD6" s="44" t="str">
        <f t="shared" si="71"/>
        <v/>
      </c>
      <c r="FE6" s="44" t="str">
        <f t="shared" si="72"/>
        <v/>
      </c>
      <c r="FF6" s="44" t="str">
        <f t="shared" si="73"/>
        <v/>
      </c>
      <c r="FG6" s="44" t="str">
        <f t="shared" si="74"/>
        <v>"NO_RED",</v>
      </c>
      <c r="FH6" s="44" t="str">
        <f t="shared" si="75"/>
        <v>"NO_GRE",</v>
      </c>
      <c r="FI6" s="44" t="str">
        <f t="shared" si="76"/>
        <v/>
      </c>
      <c r="FJ6" s="44" t="str">
        <f t="shared" si="77"/>
        <v>"NO_BLA",</v>
      </c>
      <c r="FK6" s="44" t="str">
        <f t="shared" si="78"/>
        <v/>
      </c>
      <c r="FL6" s="44" t="str">
        <f t="shared" si="79"/>
        <v/>
      </c>
      <c r="FM6" s="44" t="str">
        <f t="shared" si="80"/>
        <v/>
      </c>
      <c r="FN6" s="44" t="str">
        <f t="shared" si="81"/>
        <v/>
      </c>
      <c r="FO6" s="44" t="str">
        <f t="shared" si="82"/>
        <v/>
      </c>
      <c r="FP6" s="44" t="str">
        <f t="shared" si="83"/>
        <v/>
      </c>
      <c r="FQ6" s="44" t="str">
        <f t="shared" si="84"/>
        <v>"001BLU",</v>
      </c>
      <c r="FR6" s="44" t="str">
        <f t="shared" si="85"/>
        <v/>
      </c>
      <c r="FS6" s="44" t="str">
        <f t="shared" si="86"/>
        <v>"003BLU",</v>
      </c>
      <c r="FT6" s="44" t="str">
        <f t="shared" si="87"/>
        <v>"myrBLU",</v>
      </c>
      <c r="FU6" s="44" t="str">
        <f t="shared" si="88"/>
        <v/>
      </c>
      <c r="FV6" s="44" t="str">
        <f t="shared" si="89"/>
        <v/>
      </c>
      <c r="FW6" s="44" t="str">
        <f t="shared" si="90"/>
        <v/>
      </c>
      <c r="FY6" s="44" t="str">
        <f t="shared" si="91"/>
        <v/>
      </c>
      <c r="FZ6" s="44" t="str">
        <f t="shared" si="92"/>
        <v/>
      </c>
      <c r="GA6" s="44" t="str">
        <f t="shared" si="93"/>
        <v/>
      </c>
      <c r="GB6" s="44" t="str">
        <f t="shared" si="94"/>
        <v/>
      </c>
      <c r="GE6" s="44" t="str">
        <f t="shared" si="95"/>
        <v/>
      </c>
      <c r="GF6" s="44" t="str">
        <f t="shared" si="136"/>
        <v/>
      </c>
      <c r="GG6" s="44" t="str">
        <f t="shared" si="96"/>
        <v/>
      </c>
      <c r="GH6" s="44" t="str">
        <f t="shared" si="97"/>
        <v/>
      </c>
      <c r="GI6" s="44" t="str">
        <f t="shared" si="98"/>
        <v/>
      </c>
      <c r="GJ6" s="44" t="str">
        <f t="shared" si="99"/>
        <v/>
      </c>
      <c r="GK6" s="44" t="str">
        <f t="shared" si="100"/>
        <v>"HasSta",</v>
      </c>
      <c r="GL6" s="44" t="str">
        <f t="shared" si="101"/>
        <v/>
      </c>
      <c r="GM6" s="44" t="str">
        <f t="shared" si="102"/>
        <v/>
      </c>
      <c r="GN6" s="44" t="str">
        <f t="shared" si="103"/>
        <v>"3+Star",</v>
      </c>
      <c r="GP6" s="44" t="str">
        <f t="shared" si="104"/>
        <v>"Atoll, Capital"</v>
      </c>
      <c r="GS6" s="44" t="str">
        <f t="shared" si="105"/>
        <v>["4Color","lets06","startM","allhor","4+Band","Diagon","Horizo","Circle","Animal","Trside","staWHI","NO_RED","NO_GRE","NO_BLA","001BLU","003BLU","myrBLU","HasSta","3+Star"]</v>
      </c>
      <c r="GT6" s="44" t="str">
        <f t="shared" si="106"/>
        <v/>
      </c>
      <c r="GU6" s="44" t="str">
        <f t="shared" si="107"/>
        <v>"cl_BLU",</v>
      </c>
      <c r="GV6" s="44" t="str">
        <f t="shared" si="108"/>
        <v/>
      </c>
      <c r="GW6" s="44" t="str">
        <f t="shared" si="109"/>
        <v/>
      </c>
      <c r="GX6" s="44" t="str">
        <f t="shared" si="110"/>
        <v>"cl_YEL",</v>
      </c>
      <c r="GY6" s="44" t="str">
        <f t="shared" si="111"/>
        <v>"cl_ORA",</v>
      </c>
      <c r="GZ6" s="44" t="str">
        <f t="shared" si="112"/>
        <v/>
      </c>
      <c r="HA6" s="44" t="str">
        <f t="shared" si="113"/>
        <v/>
      </c>
      <c r="HB6" s="44" t="str">
        <f t="shared" si="114"/>
        <v>"cl_WHI",</v>
      </c>
      <c r="HC6" s="44" t="str">
        <f t="shared" si="115"/>
        <v>["cl_BLU","cl_YEL","cl_ORA","cl_WHI"]</v>
      </c>
      <c r="HE6" s="64"/>
      <c r="HF6" s="65" t="str">
        <f t="shared" si="116"/>
        <v>{couname:"[MHL] Majuro",year:"???",region:"rgn_Oceania",Colors:["cl_BLU","cl_YEL","cl_ORA","cl_WHI"],Items:["4Color","lets06","startM","allhor","4+Band","Diagon","Horizo","Circle","Animal","Trside","staWHI","NO_RED","NO_GRE","NO_BLA","001BLU","003BLU","myrBLU","HasSta","3+Star"],Flag:"https://upload.wikimedia.org/wikipedia/commons/thumb/0/07/Majuro_Atoll_Flag.svg/640px-Majuro_Atoll_Flag.svg.png",HDFlag:"https://upload.wikimedia.org/wikipedia/commons/thumb/0/07/Majuro_Atoll_Flag.svg/1280px-Majuro_Atoll_Flag.svg.png",type:"Atoll, Capital", describe: "\nA yellow triangle on the left side containing a white bird surrounded by eleven white stars. The right side of the flag is made of four horizontal bands of blue, orange, white, and blue.", isnew:".", links: "https://en.m.wikipedia.org/wiki/Majuro"},</v>
      </c>
      <c r="HG6" s="66" t="str">
        <f t="shared" si="117"/>
        <v>{couname:"[MHL] Majuro",year:"???",region:"rgn_Oceania",Colors:["cl_BLU","cl_YEL","cl_ORA","cl_WHI"],Items:["4Color","lets06","startM","allhor","4+Band","Diagon","Horizo","Circle","Animal","Trside","staWHI","NO_RED","NO_GRE","NO_BLA","001BLU","003BLU","myrBLU","HasSta","3+Star"],Flag:"https://upload.wikimedia.org/wikipedia/commons/thumb/0/07/Majuro_Atoll_Flag.svg/640px-Majuro_Atoll_Flag.svg.png",HDFlag:"https://upload.wikimedia.org/wikipedia/commons/thumb/0/07/Majuro_Atoll_Flag.svg/1280px-Majuro_Atoll_Flag.svg.png",type:"Atoll, Capital", describe: "\nA yellow triangle on the left side containing a white bird surrounded by eleven white stars. The right side of the flag is made of four horizontal bands of blue, orange, white, and blue.", links: "https://en.m.wikipedia.org/wiki/Majuro"},</v>
      </c>
      <c r="HH6" s="44" t="str">
        <f t="shared" si="118"/>
        <v>"\nA yellow triangle on the left side containing a white bird surrounded by eleven white stars. The right side of the flag is made of four horizontal bands of blue, orange, white, and blue."</v>
      </c>
      <c r="HI6" s="44" t="str">
        <f t="shared" si="119"/>
        <v>"\nA yellow triangle on the left side containing a white bird surrounded by eleven white stars. The right side of the flag is made of four horizontal bands of blue, orange, white, and blue."</v>
      </c>
      <c r="HJ6" s="44" t="str">
        <f t="shared" si="120"/>
        <v>"???"</v>
      </c>
      <c r="HL6" s="44" t="str">
        <f t="shared" si="121"/>
        <v>"https://en.m.wikipedia.org/wiki/Majuro"</v>
      </c>
      <c r="HM6" s="65" t="str">
        <f t="shared" si="122"/>
        <v>{"couname":"[MHL] Majuro","year":"???","region":"rgn_Oceania","Colors":["cl_BLU","cl_YEL","cl_ORA","cl_WHI"],"Items":["4Color","lets06","startM","allhor","4+Band","Diagon","Horizo","Circle","Animal","Trside","staWHI","NO_RED","NO_GRE","NO_BLA","001BLU","003BLU","myrBLU","HasSta","3+Star"],"Flag":"https://upload.wikimedia.org/wikipedia/commons/thumb/0/07/Majuro_Atoll_Flag.svg/640px-Majuro_Atoll_Flag.svg.png","HDFlag":"https://upload.wikimedia.org/wikipedia/commons/thumb/0/07/Majuro_Atoll_Flag.svg/1280px-Majuro_Atoll_Flag.svg.png","type":"Atoll, Capital", "describe": "\nA yellow triangle on the left side containing a white bird surrounded by eleven white stars. The right side of the flag is made of four horizontal bands of blue, orange, white, and blue.", "isnew": ".", "links": "https://en.m.wikipedia.org/wiki/Majuro"},</v>
      </c>
      <c r="HN6" s="67" t="str">
        <f t="shared" si="123"/>
        <v>{"couname":"[MHL] Majuro","year":"???","region":"rgn_Oceania","Colors":["cl_BLU","cl_YEL","cl_ORA","cl_WHI"],"Items":["4Color","lets06","startM","allhor","4+Band","Diagon","Horizo","Circle","Animal","Trside","staWHI","NO_RED","NO_GRE","NO_BLA","001BLU","003BLU","myrBLU","HasSta","3+Star"],"Flag":"https://upload.wikimedia.org/wikipedia/commons/thumb/0/07/Majuro_Atoll_Flag.svg/640px-Majuro_Atoll_Flag.svg.png","HDFlag":"https://upload.wikimedia.org/wikipedia/commons/thumb/0/07/Majuro_Atoll_Flag.svg/1280px-Majuro_Atoll_Flag.svg.png","type":"Atoll, Capital", "describe": "\nA yellow triangle on the left side containing a white bird surrounded by eleven white stars. The right side of the flag is made of four horizontal bands of blue, orange, white, and blue.", "isnew": ".", "links": "https://en.m.wikipedia.org/wiki/Majuro"},</v>
      </c>
      <c r="HO6" s="71">
        <v>45610</v>
      </c>
      <c r="HP6" s="44" t="str" cm="1">
        <f t="array" ref="HP6">IF(_xlfn.TEXTJOIN(", ", TRUE, IF(ISNUMBER(SEARCH("BLA", BL6:BT6)), COLUMN(BL6:BT6) - COLUMN(BL6) + 1, ""))&lt;&gt;"","BLA","")</f>
        <v/>
      </c>
      <c r="HQ6" s="44" t="str" cm="1">
        <f t="array" ref="HQ6">IF(_xlfn.TEXTJOIN(", ", TRUE, IF(ISNUMBER(SEARCH("BLU", BL6:BT6)), COLUMN(BL6:BT6) - COLUMN(BL6) + 1, ""))&lt;&gt;"","BLU","")</f>
        <v>BLU</v>
      </c>
      <c r="HR6" s="44" t="str" cm="1">
        <f t="array" ref="HR6">IF(_xlfn.TEXTJOIN(", ", TRUE, IF(ISNUMBER(SEARCH("GRE", BL6:BT6)), COLUMN(BL6:BT6) - COLUMN(BL6) + 1, ""))&lt;&gt;"","GRE","")</f>
        <v/>
      </c>
      <c r="HS6" s="44" t="str" cm="1">
        <f t="array" ref="HS6">IF(_xlfn.TEXTJOIN(", ", TRUE, IF(ISNUMBER(SEARCH("RED", BL6:BT6)), COLUMN(BL6:BT6) - COLUMN(BL6) + 1, ""))&lt;&gt;"","RED","")</f>
        <v/>
      </c>
      <c r="HT6" s="44" t="str" cm="1">
        <f t="array" ref="HT6">IF(_xlfn.TEXTJOIN(", ", TRUE, IF(ISNUMBER(SEARCH("YEL", BL6:BT6)), COLUMN(BL6:BT6) - COLUMN(BL6) + 1, ""))&lt;&gt;"","YEL","")</f>
        <v>YEL</v>
      </c>
      <c r="HU6" s="44" t="str" cm="1">
        <f t="array" ref="HU6">IF(_xlfn.TEXTJOIN(", ", TRUE, IF(ISNUMBER(SEARCH("ORA", BL6:BT6)), COLUMN(BL6:BT6) - COLUMN(BL6) + 1, ""))&lt;&gt;"","ORA","")</f>
        <v>ORA</v>
      </c>
      <c r="HV6" s="44" t="str" cm="1">
        <f t="array" ref="HV6">IF(_xlfn.TEXTJOIN(", ", TRUE, IF(ISNUMBER(SEARCH("BRO", BL6:BT6)), COLUMN(BL6:BT6) - COLUMN(BL6) + 1, ""))&lt;&gt;"","BRO","")</f>
        <v/>
      </c>
      <c r="HW6" s="44" t="str" cm="1">
        <f t="array" ref="HW6">IF(_xlfn.TEXTJOIN(", ", TRUE, IF(ISNUMBER(SEARCH("PUR", BL6:BT6)), COLUMN(BL6:BT6) - COLUMN(BL6) + 1, ""))&lt;&gt;"","PUR","")</f>
        <v/>
      </c>
      <c r="HX6" s="44" t="str" cm="1">
        <f t="array" ref="HX6">IF(_xlfn.TEXTJOIN(", ", TRUE, IF(ISNUMBER(SEARCH("WHI", BL6:BT6)), COLUMN(BL6:BT6) - COLUMN(BL6) + 1, ""))&lt;&gt;"","WHI","")</f>
        <v>WHI</v>
      </c>
      <c r="HY6" s="72"/>
      <c r="HZ6" s="72"/>
      <c r="IA6" s="5"/>
      <c r="IB6" s="5"/>
      <c r="IC6" s="68"/>
      <c r="ID6" s="68"/>
      <c r="IE6" s="68"/>
      <c r="IF6" s="68"/>
      <c r="IG6" s="68"/>
      <c r="IH6" s="68"/>
      <c r="II6" s="68"/>
      <c r="IJ6" s="68"/>
      <c r="IK6" s="68"/>
      <c r="IM6" s="42">
        <f t="shared" si="124"/>
        <v>-4</v>
      </c>
      <c r="IN6" s="69" t="str">
        <f t="shared" si="125"/>
        <v>http://mkweb.bcgsc.ca/color-summarizer/?url=https://upload.wikimedia.org/wikipedia/commons/thumb/0/07/Majuro_Atoll_Flag.svg/640px-Majuro_Atoll_Flag.svg.png&amp;precision=low&amp;num_clusters=4&amp;text=1</v>
      </c>
      <c r="IO6" s="44" t="str">
        <f t="shared" si="126"/>
        <v/>
      </c>
      <c r="IP6" s="44" t="str">
        <f t="shared" si="127"/>
        <v>"blue"</v>
      </c>
      <c r="IQ6" s="44" t="str">
        <f t="shared" si="128"/>
        <v/>
      </c>
      <c r="IR6" s="44" t="str">
        <f t="shared" si="129"/>
        <v/>
      </c>
      <c r="IS6" s="44" t="str">
        <f t="shared" si="130"/>
        <v>"yellow"</v>
      </c>
      <c r="IT6" s="44" t="str">
        <f t="shared" si="131"/>
        <v>"orange"</v>
      </c>
      <c r="IU6" s="44" t="str">
        <f t="shared" si="132"/>
        <v/>
      </c>
      <c r="IV6" s="44" t="str">
        <f t="shared" si="133"/>
        <v/>
      </c>
      <c r="IW6" s="44" t="str">
        <f t="shared" si="134"/>
        <v>"white"</v>
      </c>
      <c r="IX6" s="44" t="str">
        <f t="shared" si="135"/>
        <v>{"url":"http://mkweb.bcgsc.ca/color-summarizer/?url=https://upload.wikimedia.org/wikipedia/commons/thumb/0/07/Majuro_Atoll_Flag.svg/640px-Majuro_Atoll_Flag.svg.png&amp;precision=low&amp;num_clusters=4&amp;text=1","name":"[MHL] Majuro"},</v>
      </c>
      <c r="IY6" s="44">
        <v>1344</v>
      </c>
    </row>
    <row r="7" spans="1:259" s="44" customFormat="1" ht="38.4" customHeight="1" thickBot="1" x14ac:dyDescent="0.35">
      <c r="A7" s="80" t="s">
        <v>607</v>
      </c>
      <c r="B7" s="78" t="e" vm="52">
        <v>#VALUE!</v>
      </c>
      <c r="C7" s="39">
        <v>2</v>
      </c>
      <c r="D7" s="70" t="s">
        <v>608</v>
      </c>
      <c r="E7" s="40" t="s">
        <v>609</v>
      </c>
      <c r="F7" s="41" t="s">
        <v>165</v>
      </c>
      <c r="G7" s="42">
        <f t="shared" si="0"/>
        <v>1</v>
      </c>
      <c r="H7" s="43"/>
      <c r="I7" s="59" t="s">
        <v>610</v>
      </c>
      <c r="J7" s="44" t="str">
        <f>""</f>
        <v/>
      </c>
      <c r="K7" s="45"/>
      <c r="L7" s="46"/>
      <c r="M7" s="46"/>
      <c r="N7" s="47" t="s">
        <v>177</v>
      </c>
      <c r="O7" s="74" t="s">
        <v>230</v>
      </c>
      <c r="P7" s="48" t="s">
        <v>611</v>
      </c>
      <c r="Q7" s="73">
        <v>2</v>
      </c>
      <c r="R7" s="49" t="s">
        <v>177</v>
      </c>
      <c r="S7" s="50">
        <v>3</v>
      </c>
      <c r="T7" s="51" t="s">
        <v>166</v>
      </c>
      <c r="U7" s="52" t="s">
        <v>166</v>
      </c>
      <c r="V7" s="52" t="s">
        <v>166</v>
      </c>
      <c r="W7" s="52" t="s">
        <v>167</v>
      </c>
      <c r="X7" s="52" t="s">
        <v>166</v>
      </c>
      <c r="Y7" s="52" t="s">
        <v>166</v>
      </c>
      <c r="Z7" s="52" t="s">
        <v>166</v>
      </c>
      <c r="AA7" s="52" t="s">
        <v>166</v>
      </c>
      <c r="AB7" s="52" t="s">
        <v>166</v>
      </c>
      <c r="AC7" s="52" t="s">
        <v>166</v>
      </c>
      <c r="AD7" s="52" t="s">
        <v>166</v>
      </c>
      <c r="AE7" s="52" t="s">
        <v>166</v>
      </c>
      <c r="AF7" s="53" t="s">
        <v>166</v>
      </c>
      <c r="AG7" s="53" t="s">
        <v>167</v>
      </c>
      <c r="AH7" s="53" t="s">
        <v>167</v>
      </c>
      <c r="AI7" s="53" t="s">
        <v>166</v>
      </c>
      <c r="AJ7" s="53" t="s">
        <v>166</v>
      </c>
      <c r="AK7" s="53" t="s">
        <v>166</v>
      </c>
      <c r="AL7" s="53" t="s">
        <v>166</v>
      </c>
      <c r="AM7" s="53" t="s">
        <v>166</v>
      </c>
      <c r="AN7" s="53" t="s">
        <v>166</v>
      </c>
      <c r="AO7" s="53" t="s">
        <v>166</v>
      </c>
      <c r="AP7" s="53" t="s">
        <v>166</v>
      </c>
      <c r="AQ7" s="53" t="s">
        <v>166</v>
      </c>
      <c r="AR7" s="53" t="s">
        <v>166</v>
      </c>
      <c r="AS7" s="53" t="s">
        <v>166</v>
      </c>
      <c r="AT7" s="54">
        <v>0</v>
      </c>
      <c r="AU7" s="53" t="s">
        <v>417</v>
      </c>
      <c r="AV7" s="53" t="str">
        <f t="shared" si="1"/>
        <v>[MHL]Atoll[MHL] Namdrik Atoll</v>
      </c>
      <c r="AW7" s="53" t="str">
        <f t="shared" si="2"/>
        <v>2[MHL] Namdrik Atoll</v>
      </c>
      <c r="AX7" s="55"/>
      <c r="AY7" s="55"/>
      <c r="AZ7" s="56" t="s">
        <v>231</v>
      </c>
      <c r="BA7" s="56" t="s">
        <v>231</v>
      </c>
      <c r="BB7" s="56"/>
      <c r="BC7" s="57"/>
      <c r="BD7" s="58" t="s">
        <v>158</v>
      </c>
      <c r="BE7" s="59"/>
      <c r="BF7" s="58" t="s">
        <v>158</v>
      </c>
      <c r="BG7" s="58" t="s">
        <v>161</v>
      </c>
      <c r="BH7" s="58" t="s">
        <v>158</v>
      </c>
      <c r="BI7" s="58"/>
      <c r="BJ7" s="58"/>
      <c r="BK7" s="59"/>
      <c r="BL7" s="58" t="s">
        <v>231</v>
      </c>
      <c r="BM7" s="58" t="s">
        <v>231</v>
      </c>
      <c r="BN7" s="58" t="s">
        <v>155</v>
      </c>
      <c r="BO7" s="58" t="s">
        <v>156</v>
      </c>
      <c r="BP7" s="58" t="s">
        <v>231</v>
      </c>
      <c r="BQ7" s="58" t="s">
        <v>158</v>
      </c>
      <c r="BR7" s="58" t="s">
        <v>231</v>
      </c>
      <c r="BS7" s="58" t="s">
        <v>231</v>
      </c>
      <c r="BT7" s="58" t="s">
        <v>161</v>
      </c>
      <c r="BU7" s="60"/>
      <c r="BV7" s="61"/>
      <c r="BW7" s="61">
        <v>0</v>
      </c>
      <c r="BX7" s="59"/>
      <c r="CB7" s="5"/>
      <c r="CC7" s="5"/>
      <c r="CD7" s="62">
        <v>0</v>
      </c>
      <c r="CE7" s="62">
        <v>0</v>
      </c>
      <c r="CF7" s="62" t="e">
        <v>#REF!</v>
      </c>
      <c r="CG7" s="75" cm="1">
        <f t="array" ref="CG7">SUMPRODUCT(--(LEN(TRIM(BL7:BT7))&gt;0))</f>
        <v>4</v>
      </c>
      <c r="CH7" s="53" t="str">
        <f t="shared" si="3"/>
        <v>n</v>
      </c>
      <c r="CI7" s="53" t="str">
        <f t="shared" si="4"/>
        <v>n</v>
      </c>
      <c r="CJ7" s="53" t="str">
        <f t="shared" si="5"/>
        <v>y</v>
      </c>
      <c r="CK7" s="53" t="str">
        <f t="shared" si="6"/>
        <v>n</v>
      </c>
      <c r="CL7" s="53" t="str">
        <f t="shared" si="7"/>
        <v>n</v>
      </c>
      <c r="CM7" s="53" t="str">
        <f t="shared" si="8"/>
        <v>n</v>
      </c>
      <c r="CN7" s="53" t="str">
        <f t="shared" si="9"/>
        <v>y</v>
      </c>
      <c r="CO7" s="53" t="str">
        <f t="shared" si="10"/>
        <v>n</v>
      </c>
      <c r="CP7" s="53" t="str">
        <f t="shared" si="11"/>
        <v>y</v>
      </c>
      <c r="CQ7" s="53" t="str">
        <f t="shared" si="12"/>
        <v>n</v>
      </c>
      <c r="CR7" s="53" t="str">
        <f t="shared" si="13"/>
        <v>n</v>
      </c>
      <c r="CS7" s="53" t="str">
        <f t="shared" si="14"/>
        <v>n</v>
      </c>
      <c r="CT7" s="38" t="str">
        <f t="shared" si="15"/>
        <v>"[MHL] Namdrik Atoll"</v>
      </c>
      <c r="CU7" s="63" t="str">
        <f t="shared" si="16"/>
        <v>"rgn_Oceania"</v>
      </c>
      <c r="CV7" s="44" t="str">
        <f t="shared" si="17"/>
        <v>"https://upload.wikimedia.org/wikipedia/commons/thumb/0/03/Flag_of_Namdrik_Atoll.svg/640px-Flag_of_Namdrik_Atoll.svg.png"</v>
      </c>
      <c r="CW7" s="44" t="str">
        <f t="shared" si="18"/>
        <v/>
      </c>
      <c r="CX7" s="44" t="str">
        <f t="shared" si="19"/>
        <v/>
      </c>
      <c r="CY7" s="44" t="str">
        <f t="shared" si="20"/>
        <v>"4Color",</v>
      </c>
      <c r="CZ7" s="44" t="str">
        <f t="shared" si="21"/>
        <v/>
      </c>
      <c r="DA7" s="44" t="str">
        <f t="shared" si="22"/>
        <v>"words2",</v>
      </c>
      <c r="DB7" s="44" t="str">
        <f t="shared" si="23"/>
        <v/>
      </c>
      <c r="DD7" s="44" t="str">
        <f t="shared" si="137"/>
        <v>"lets12",</v>
      </c>
      <c r="DE7" s="44" t="str">
        <f t="shared" si="138"/>
        <v>"startN",</v>
      </c>
      <c r="DF7" s="44" t="str">
        <f t="shared" si="24"/>
        <v/>
      </c>
      <c r="DG7" s="44" t="str">
        <f t="shared" si="25"/>
        <v/>
      </c>
      <c r="DH7" s="44" t="str">
        <f t="shared" si="26"/>
        <v/>
      </c>
      <c r="DI7" s="44" t="str">
        <f t="shared" si="27"/>
        <v/>
      </c>
      <c r="DJ7" s="44" t="str">
        <f t="shared" si="28"/>
        <v/>
      </c>
      <c r="DK7" s="44" t="str">
        <f t="shared" si="29"/>
        <v/>
      </c>
      <c r="DL7" s="44" t="str">
        <f t="shared" si="30"/>
        <v/>
      </c>
      <c r="DM7" s="44" t="str" cm="1">
        <f t="array" ref="DM7">IF(CG7=3,CHAR(34) &amp; _xlfn.TEXTJOIN("", TRUE, RIGHT(HP7:HX7, 2)) &amp; CHAR(34) &amp; ",", "")</f>
        <v/>
      </c>
      <c r="DN7" s="44" t="str">
        <f t="shared" si="31"/>
        <v/>
      </c>
      <c r="DO7" s="44" t="str">
        <f t="shared" si="32"/>
        <v/>
      </c>
      <c r="DP7" s="5" t="str">
        <f t="shared" si="33"/>
        <v/>
      </c>
      <c r="DQ7" s="5" t="str">
        <f t="shared" si="34"/>
        <v/>
      </c>
      <c r="DR7" s="5" t="str">
        <f t="shared" si="35"/>
        <v/>
      </c>
      <c r="DS7" s="5" t="str">
        <f t="shared" si="36"/>
        <v>"allver",</v>
      </c>
      <c r="DT7" s="5" t="str">
        <f t="shared" si="37"/>
        <v/>
      </c>
      <c r="DU7" s="5" t="str">
        <f t="shared" si="38"/>
        <v/>
      </c>
      <c r="DW7" s="44" t="str">
        <f t="shared" si="39"/>
        <v/>
      </c>
      <c r="DX7" s="44" t="str">
        <f t="shared" si="40"/>
        <v/>
      </c>
      <c r="DY7" s="44" t="str">
        <f t="shared" si="41"/>
        <v>"3Bands",</v>
      </c>
      <c r="DZ7" s="44" t="str">
        <f t="shared" si="42"/>
        <v/>
      </c>
      <c r="EA7" s="44" t="str">
        <f t="shared" si="43"/>
        <v/>
      </c>
      <c r="EB7" s="44" t="str">
        <f t="shared" si="44"/>
        <v/>
      </c>
      <c r="EC7" s="44" t="str">
        <f t="shared" si="45"/>
        <v/>
      </c>
      <c r="ED7" s="44" t="str">
        <f t="shared" si="46"/>
        <v>"Vertic",</v>
      </c>
      <c r="EE7" s="44" t="str">
        <f t="shared" si="47"/>
        <v/>
      </c>
      <c r="EF7" s="44" t="str">
        <f t="shared" si="48"/>
        <v/>
      </c>
      <c r="EG7" s="44" t="str">
        <f t="shared" si="49"/>
        <v/>
      </c>
      <c r="EH7" s="44" t="str">
        <f t="shared" si="50"/>
        <v/>
      </c>
      <c r="EI7" s="44" t="str">
        <f t="shared" si="51"/>
        <v/>
      </c>
      <c r="EJ7" s="44" t="str">
        <f t="shared" si="52"/>
        <v/>
      </c>
      <c r="EK7" s="44" t="str">
        <f t="shared" si="53"/>
        <v/>
      </c>
      <c r="EL7" s="44" t="str">
        <f t="shared" si="54"/>
        <v/>
      </c>
      <c r="EM7" s="44" t="str">
        <f t="shared" si="55"/>
        <v/>
      </c>
      <c r="EN7" s="44" t="str">
        <f t="shared" si="56"/>
        <v>"Unequa",</v>
      </c>
      <c r="EO7" s="44" t="str">
        <f t="shared" si="57"/>
        <v>"Center",</v>
      </c>
      <c r="EP7" s="44" t="str">
        <f t="shared" si="58"/>
        <v/>
      </c>
      <c r="EQ7" s="44" t="str">
        <f t="shared" si="59"/>
        <v/>
      </c>
      <c r="ER7" s="44" t="str">
        <f t="shared" si="60"/>
        <v/>
      </c>
      <c r="ES7" s="44" t="str">
        <f t="shared" si="61"/>
        <v/>
      </c>
      <c r="ET7" s="44" t="str">
        <f t="shared" si="62"/>
        <v/>
      </c>
      <c r="EU7" s="44" t="str">
        <f t="shared" si="63"/>
        <v/>
      </c>
      <c r="EV7" s="44" t="str">
        <f t="shared" si="64"/>
        <v/>
      </c>
      <c r="EW7" s="44" t="str">
        <f t="shared" si="65"/>
        <v/>
      </c>
      <c r="EX7" s="44" t="str">
        <f t="shared" si="66"/>
        <v/>
      </c>
      <c r="EY7" s="44" t="str">
        <f t="shared" si="67"/>
        <v/>
      </c>
      <c r="EZ7" s="44" t="str">
        <f t="shared" si="68"/>
        <v/>
      </c>
      <c r="FA7" s="44" t="str">
        <f t="shared" si="69"/>
        <v/>
      </c>
      <c r="FB7" s="44" t="str">
        <f t="shared" si="70"/>
        <v/>
      </c>
      <c r="FD7" s="44" t="str">
        <f t="shared" si="71"/>
        <v/>
      </c>
      <c r="FE7" s="44" t="str">
        <f t="shared" si="72"/>
        <v>"NO_BLU",</v>
      </c>
      <c r="FF7" s="44" t="str">
        <f t="shared" si="73"/>
        <v/>
      </c>
      <c r="FG7" s="44" t="str">
        <f t="shared" si="74"/>
        <v/>
      </c>
      <c r="FH7" s="44" t="str">
        <f t="shared" si="75"/>
        <v/>
      </c>
      <c r="FI7" s="44" t="str">
        <f t="shared" si="76"/>
        <v>"NO_YEL",</v>
      </c>
      <c r="FJ7" s="44" t="str">
        <f t="shared" si="77"/>
        <v>"NO_BLA",</v>
      </c>
      <c r="FK7" s="44" t="str">
        <f t="shared" si="78"/>
        <v/>
      </c>
      <c r="FL7" s="44" t="str">
        <f t="shared" si="79"/>
        <v/>
      </c>
      <c r="FM7" s="44" t="str">
        <f t="shared" si="80"/>
        <v/>
      </c>
      <c r="FN7" s="44" t="str">
        <f t="shared" si="81"/>
        <v/>
      </c>
      <c r="FO7" s="44" t="str">
        <f t="shared" si="82"/>
        <v/>
      </c>
      <c r="FP7" s="44" t="str">
        <f t="shared" si="83"/>
        <v/>
      </c>
      <c r="FQ7" s="44" t="str">
        <f t="shared" si="84"/>
        <v>"001ORA",</v>
      </c>
      <c r="FR7" s="44" t="str">
        <f t="shared" si="85"/>
        <v>"002WHI",</v>
      </c>
      <c r="FS7" s="44" t="str">
        <f t="shared" si="86"/>
        <v>"003ORA",</v>
      </c>
      <c r="FT7" s="44" t="str">
        <f t="shared" si="87"/>
        <v>"myrORA",</v>
      </c>
      <c r="FU7" s="44" t="str">
        <f t="shared" si="88"/>
        <v/>
      </c>
      <c r="FV7" s="44" t="str">
        <f t="shared" si="89"/>
        <v/>
      </c>
      <c r="FW7" s="44" t="str">
        <f t="shared" si="90"/>
        <v/>
      </c>
      <c r="FY7" s="44" t="str">
        <f t="shared" si="91"/>
        <v/>
      </c>
      <c r="FZ7" s="44" t="str">
        <f t="shared" si="92"/>
        <v/>
      </c>
      <c r="GA7" s="44" t="str">
        <f t="shared" si="93"/>
        <v/>
      </c>
      <c r="GB7" s="44" t="str">
        <f t="shared" si="94"/>
        <v/>
      </c>
      <c r="GE7" s="44" t="str">
        <f t="shared" si="95"/>
        <v/>
      </c>
      <c r="GF7" s="44" t="str">
        <f t="shared" si="136"/>
        <v/>
      </c>
      <c r="GG7" s="44" t="str">
        <f t="shared" si="96"/>
        <v/>
      </c>
      <c r="GH7" s="44" t="str">
        <f t="shared" si="97"/>
        <v/>
      </c>
      <c r="GI7" s="44" t="str">
        <f t="shared" si="98"/>
        <v/>
      </c>
      <c r="GJ7" s="44" t="str">
        <f t="shared" si="99"/>
        <v>"NoStar",</v>
      </c>
      <c r="GK7" s="44" t="str">
        <f t="shared" si="100"/>
        <v/>
      </c>
      <c r="GL7" s="44" t="str">
        <f t="shared" si="101"/>
        <v/>
      </c>
      <c r="GM7" s="44" t="str">
        <f t="shared" si="102"/>
        <v/>
      </c>
      <c r="GN7" s="44" t="str">
        <f t="shared" si="103"/>
        <v/>
      </c>
      <c r="GP7" s="44" t="str">
        <f t="shared" si="104"/>
        <v>"Atoll"</v>
      </c>
      <c r="GS7" s="44" t="str">
        <f t="shared" si="105"/>
        <v>["4Color","words2","lets12","startN","allver","3Bands","Vertic","Unequa","Center","NO_BLU","NO_YEL","NO_BLA","001ORA","002WHI","003ORA","myrORA","NoStar"]</v>
      </c>
      <c r="GT7" s="44" t="str">
        <f t="shared" si="106"/>
        <v/>
      </c>
      <c r="GU7" s="44" t="str">
        <f t="shared" si="107"/>
        <v/>
      </c>
      <c r="GV7" s="44" t="str">
        <f t="shared" si="108"/>
        <v>"cl_GRE",</v>
      </c>
      <c r="GW7" s="44" t="str">
        <f t="shared" si="109"/>
        <v>"cl_RED",</v>
      </c>
      <c r="GX7" s="44" t="str">
        <f t="shared" si="110"/>
        <v/>
      </c>
      <c r="GY7" s="44" t="str">
        <f t="shared" si="111"/>
        <v>"cl_ORA",</v>
      </c>
      <c r="GZ7" s="44" t="str">
        <f t="shared" si="112"/>
        <v/>
      </c>
      <c r="HA7" s="44" t="str">
        <f t="shared" si="113"/>
        <v/>
      </c>
      <c r="HB7" s="44" t="str">
        <f t="shared" si="114"/>
        <v>"cl_WHI",</v>
      </c>
      <c r="HC7" s="44" t="str">
        <f t="shared" si="115"/>
        <v>["cl_GRE","cl_RED","cl_ORA","cl_WHI"]</v>
      </c>
      <c r="HE7" s="64"/>
      <c r="HF7" s="65" t="str">
        <f t="shared" si="116"/>
        <v>{couname:"[MHL] Namdrik Atoll",year:"???",region:"rgn_Oceania",Colors:["cl_GRE","cl_RED","cl_ORA","cl_WHI"],Items:["4Color","words2","lets12","startN","allver","3Bands","Vertic","Unequa","Center","NO_BLU","NO_YEL","NO_BLA","001ORA","002WHI","003ORA","myrORA","NoStar"],Flag:"https://upload.wikimedia.org/wikipedia/commons/thumb/0/03/Flag_of_Namdrik_Atoll.svg/640px-Flag_of_Namdrik_Atoll.svg.png",HDFlag:"https://upload.wikimedia.org/wikipedia/commons/thumb/0/03/Flag_of_Namdrik_Atoll.svg/1280px-Flag_of_Namdrik_Atoll.svg.png",type:"Atoll", describe: "\nThe vertical three stripes of orange , white and orange and charged with green and red emblem in the center.", isnew:".", links: "https://en.m.wikipedia.org/wiki/Namdrik_Atoll"},</v>
      </c>
      <c r="HG7" s="66" t="str">
        <f t="shared" si="117"/>
        <v>{couname:"[MHL] Namdrik Atoll",year:"???",region:"rgn_Oceania",Colors:["cl_GRE","cl_RED","cl_ORA","cl_WHI"],Items:["4Color","words2","lets12","startN","allver","3Bands","Vertic","Unequa","Center","NO_BLU","NO_YEL","NO_BLA","001ORA","002WHI","003ORA","myrORA","NoStar"],Flag:"https://upload.wikimedia.org/wikipedia/commons/thumb/0/03/Flag_of_Namdrik_Atoll.svg/640px-Flag_of_Namdrik_Atoll.svg.png",HDFlag:"https://upload.wikimedia.org/wikipedia/commons/thumb/0/03/Flag_of_Namdrik_Atoll.svg/1280px-Flag_of_Namdrik_Atoll.svg.png",type:"Atoll", describe: "\nThe vertical three stripes of orange , white and orange and charged with green and red emblem in the center.", links: "https://en.m.wikipedia.org/wiki/Namdrik_Atoll"},</v>
      </c>
      <c r="HH7" s="44" t="str">
        <f t="shared" si="118"/>
        <v>"\nThe vertical three stripes of orange , white and orange and charged with green and red emblem in the center."</v>
      </c>
      <c r="HI7" s="44" t="str">
        <f t="shared" si="119"/>
        <v>"\nThe vertical three stripes of orange , white and orange and charged with green and red emblem in the center."</v>
      </c>
      <c r="HJ7" s="44" t="str">
        <f t="shared" si="120"/>
        <v>"???"</v>
      </c>
      <c r="HL7" s="44" t="str">
        <f t="shared" si="121"/>
        <v>"https://en.m.wikipedia.org/wiki/Namdrik_Atoll"</v>
      </c>
      <c r="HM7" s="65" t="str">
        <f t="shared" si="122"/>
        <v>{"couname":"[MHL] Namdrik Atoll","year":"???","region":"rgn_Oceania","Colors":["cl_GRE","cl_RED","cl_ORA","cl_WHI"],"Items":["4Color","words2","lets12","startN","allver","3Bands","Vertic","Unequa","Center","NO_BLU","NO_YEL","NO_BLA","001ORA","002WHI","003ORA","myrORA","NoStar"],"Flag":"https://upload.wikimedia.org/wikipedia/commons/thumb/0/03/Flag_of_Namdrik_Atoll.svg/640px-Flag_of_Namdrik_Atoll.svg.png","HDFlag":"https://upload.wikimedia.org/wikipedia/commons/thumb/0/03/Flag_of_Namdrik_Atoll.svg/1280px-Flag_of_Namdrik_Atoll.svg.png","type":"Atoll", "describe": "\nThe vertical three stripes of orange , white and orange and charged with green and red emblem in the center.", "isnew": ".", "links": "https://en.m.wikipedia.org/wiki/Namdrik_Atoll"},</v>
      </c>
      <c r="HN7" s="67" t="str">
        <f t="shared" si="123"/>
        <v>{"couname":"[MHL] Namdrik Atoll","year":"???","region":"rgn_Oceania","Colors":["cl_GRE","cl_RED","cl_ORA","cl_WHI"],"Items":["4Color","words2","lets12","startN","allver","3Bands","Vertic","Unequa","Center","NO_BLU","NO_YEL","NO_BLA","001ORA","002WHI","003ORA","myrORA","NoStar"],"Flag":"https://upload.wikimedia.org/wikipedia/commons/thumb/0/03/Flag_of_Namdrik_Atoll.svg/640px-Flag_of_Namdrik_Atoll.svg.png","HDFlag":"https://upload.wikimedia.org/wikipedia/commons/thumb/0/03/Flag_of_Namdrik_Atoll.svg/1280px-Flag_of_Namdrik_Atoll.svg.png","type":"Atoll", "describe": "\nThe vertical three stripes of orange , white and orange and charged with green and red emblem in the center.", "isnew": ".", "links": "https://en.m.wikipedia.org/wiki/Namdrik_Atoll"},</v>
      </c>
      <c r="HO7" s="71">
        <v>45618</v>
      </c>
      <c r="HP7" s="44" t="str" cm="1">
        <f t="array" ref="HP7">IF(_xlfn.TEXTJOIN(", ", TRUE, IF(ISNUMBER(SEARCH("BLA", BL7:BT7)), COLUMN(BL7:BT7) - COLUMN(BL7) + 1, ""))&lt;&gt;"","BLA","")</f>
        <v/>
      </c>
      <c r="HQ7" s="44" t="str" cm="1">
        <f t="array" ref="HQ7">IF(_xlfn.TEXTJOIN(", ", TRUE, IF(ISNUMBER(SEARCH("BLU", BL7:BT7)), COLUMN(BL7:BT7) - COLUMN(BL7) + 1, ""))&lt;&gt;"","BLU","")</f>
        <v/>
      </c>
      <c r="HR7" s="44" t="str" cm="1">
        <f t="array" ref="HR7">IF(_xlfn.TEXTJOIN(", ", TRUE, IF(ISNUMBER(SEARCH("GRE", BL7:BT7)), COLUMN(BL7:BT7) - COLUMN(BL7) + 1, ""))&lt;&gt;"","GRE","")</f>
        <v>GRE</v>
      </c>
      <c r="HS7" s="44" t="str" cm="1">
        <f t="array" ref="HS7">IF(_xlfn.TEXTJOIN(", ", TRUE, IF(ISNUMBER(SEARCH("RED", BL7:BT7)), COLUMN(BL7:BT7) - COLUMN(BL7) + 1, ""))&lt;&gt;"","RED","")</f>
        <v>RED</v>
      </c>
      <c r="HT7" s="44" t="str" cm="1">
        <f t="array" ref="HT7">IF(_xlfn.TEXTJOIN(", ", TRUE, IF(ISNUMBER(SEARCH("YEL", BL7:BT7)), COLUMN(BL7:BT7) - COLUMN(BL7) + 1, ""))&lt;&gt;"","YEL","")</f>
        <v/>
      </c>
      <c r="HU7" s="44" t="str" cm="1">
        <f t="array" ref="HU7">IF(_xlfn.TEXTJOIN(", ", TRUE, IF(ISNUMBER(SEARCH("ORA", BL7:BT7)), COLUMN(BL7:BT7) - COLUMN(BL7) + 1, ""))&lt;&gt;"","ORA","")</f>
        <v>ORA</v>
      </c>
      <c r="HV7" s="44" t="str" cm="1">
        <f t="array" ref="HV7">IF(_xlfn.TEXTJOIN(", ", TRUE, IF(ISNUMBER(SEARCH("BRO", BL7:BT7)), COLUMN(BL7:BT7) - COLUMN(BL7) + 1, ""))&lt;&gt;"","BRO","")</f>
        <v/>
      </c>
      <c r="HW7" s="44" t="str" cm="1">
        <f t="array" ref="HW7">IF(_xlfn.TEXTJOIN(", ", TRUE, IF(ISNUMBER(SEARCH("PUR", BL7:BT7)), COLUMN(BL7:BT7) - COLUMN(BL7) + 1, ""))&lt;&gt;"","PUR","")</f>
        <v/>
      </c>
      <c r="HX7" s="44" t="str" cm="1">
        <f t="array" ref="HX7">IF(_xlfn.TEXTJOIN(", ", TRUE, IF(ISNUMBER(SEARCH("WHI", BL7:BT7)), COLUMN(BL7:BT7) - COLUMN(BL7) + 1, ""))&lt;&gt;"","WHI","")</f>
        <v>WHI</v>
      </c>
      <c r="HY7" s="72"/>
      <c r="HZ7" s="72"/>
      <c r="IA7" s="5"/>
      <c r="IB7" s="5"/>
      <c r="IC7" s="68"/>
      <c r="ID7" s="68"/>
      <c r="IE7" s="68"/>
      <c r="IF7" s="68"/>
      <c r="IG7" s="68"/>
      <c r="IH7" s="68"/>
      <c r="II7" s="68"/>
      <c r="IJ7" s="68"/>
      <c r="IK7" s="68"/>
      <c r="IM7" s="42">
        <f t="shared" si="124"/>
        <v>-4</v>
      </c>
      <c r="IN7" s="69" t="str">
        <f t="shared" si="125"/>
        <v>http://mkweb.bcgsc.ca/color-summarizer/?url=https://upload.wikimedia.org/wikipedia/commons/thumb/0/03/Flag_of_Namdrik_Atoll.svg/640px-Flag_of_Namdrik_Atoll.svg.png&amp;precision=low&amp;num_clusters=4&amp;text=1</v>
      </c>
      <c r="IO7" s="44" t="str">
        <f t="shared" si="126"/>
        <v/>
      </c>
      <c r="IP7" s="44" t="str">
        <f t="shared" si="127"/>
        <v/>
      </c>
      <c r="IQ7" s="44" t="str">
        <f t="shared" si="128"/>
        <v>"green"</v>
      </c>
      <c r="IR7" s="44" t="str">
        <f t="shared" si="129"/>
        <v>"red"</v>
      </c>
      <c r="IS7" s="44" t="str">
        <f t="shared" si="130"/>
        <v/>
      </c>
      <c r="IT7" s="44" t="str">
        <f t="shared" si="131"/>
        <v>"orange"</v>
      </c>
      <c r="IU7" s="44" t="str">
        <f t="shared" si="132"/>
        <v/>
      </c>
      <c r="IV7" s="44" t="str">
        <f t="shared" si="133"/>
        <v/>
      </c>
      <c r="IW7" s="44" t="str">
        <f t="shared" si="134"/>
        <v>"white"</v>
      </c>
      <c r="IX7" s="44" t="str">
        <f t="shared" si="135"/>
        <v>{"url":"http://mkweb.bcgsc.ca/color-summarizer/?url=https://upload.wikimedia.org/wikipedia/commons/thumb/0/03/Flag_of_Namdrik_Atoll.svg/640px-Flag_of_Namdrik_Atoll.svg.png&amp;precision=low&amp;num_clusters=4&amp;text=1","name":"[MHL] Namdrik Atoll"},</v>
      </c>
      <c r="IY7" s="44">
        <v>1010</v>
      </c>
    </row>
    <row r="8" spans="1:259" s="44" customFormat="1" ht="38.4" customHeight="1" thickBot="1" x14ac:dyDescent="0.35">
      <c r="A8" s="80" t="s">
        <v>612</v>
      </c>
      <c r="B8" s="78" t="e" vm="53">
        <v>#VALUE!</v>
      </c>
      <c r="C8" s="39">
        <v>2</v>
      </c>
      <c r="D8" s="70" t="s">
        <v>613</v>
      </c>
      <c r="E8" s="40" t="s">
        <v>614</v>
      </c>
      <c r="F8" s="41" t="s">
        <v>165</v>
      </c>
      <c r="G8" s="42">
        <f t="shared" si="0"/>
        <v>1</v>
      </c>
      <c r="H8" s="43"/>
      <c r="I8" s="59" t="s">
        <v>615</v>
      </c>
      <c r="J8" s="44" t="str">
        <f>""</f>
        <v/>
      </c>
      <c r="K8" s="45"/>
      <c r="L8" s="46"/>
      <c r="M8" s="46"/>
      <c r="N8" s="47" t="s">
        <v>177</v>
      </c>
      <c r="O8" s="74" t="s">
        <v>230</v>
      </c>
      <c r="P8" s="48" t="s">
        <v>616</v>
      </c>
      <c r="Q8" s="73">
        <v>2</v>
      </c>
      <c r="R8" s="49" t="s">
        <v>177</v>
      </c>
      <c r="S8" s="50">
        <v>3</v>
      </c>
      <c r="T8" s="51" t="s">
        <v>167</v>
      </c>
      <c r="U8" s="52" t="s">
        <v>166</v>
      </c>
      <c r="V8" s="52" t="s">
        <v>167</v>
      </c>
      <c r="W8" s="52" t="s">
        <v>166</v>
      </c>
      <c r="X8" s="52" t="s">
        <v>166</v>
      </c>
      <c r="Y8" s="52" t="s">
        <v>167</v>
      </c>
      <c r="Z8" s="52" t="s">
        <v>166</v>
      </c>
      <c r="AA8" s="52" t="s">
        <v>166</v>
      </c>
      <c r="AB8" s="52" t="s">
        <v>166</v>
      </c>
      <c r="AC8" s="52" t="s">
        <v>166</v>
      </c>
      <c r="AD8" s="52" t="s">
        <v>166</v>
      </c>
      <c r="AE8" s="52" t="s">
        <v>166</v>
      </c>
      <c r="AF8" s="53" t="s">
        <v>167</v>
      </c>
      <c r="AG8" s="53" t="s">
        <v>166</v>
      </c>
      <c r="AH8" s="53" t="s">
        <v>166</v>
      </c>
      <c r="AI8" s="53" t="s">
        <v>166</v>
      </c>
      <c r="AJ8" s="53" t="s">
        <v>166</v>
      </c>
      <c r="AK8" s="53" t="s">
        <v>166</v>
      </c>
      <c r="AL8" s="53" t="s">
        <v>166</v>
      </c>
      <c r="AM8" s="53" t="s">
        <v>166</v>
      </c>
      <c r="AN8" s="53" t="s">
        <v>166</v>
      </c>
      <c r="AO8" s="53" t="s">
        <v>166</v>
      </c>
      <c r="AP8" s="53" t="s">
        <v>166</v>
      </c>
      <c r="AQ8" s="53" t="s">
        <v>166</v>
      </c>
      <c r="AR8" s="53" t="s">
        <v>166</v>
      </c>
      <c r="AS8" s="53" t="s">
        <v>166</v>
      </c>
      <c r="AT8" s="54">
        <v>0</v>
      </c>
      <c r="AU8" s="53" t="s">
        <v>417</v>
      </c>
      <c r="AV8" s="53" t="str">
        <f t="shared" si="1"/>
        <v>[MHL]Atoll[MHL] Ujae Atoll</v>
      </c>
      <c r="AW8" s="53" t="str">
        <f t="shared" si="2"/>
        <v>2[MHL] Ujae Atoll</v>
      </c>
      <c r="AX8" s="55"/>
      <c r="AY8" s="55"/>
      <c r="AZ8" s="56" t="s">
        <v>231</v>
      </c>
      <c r="BA8" s="56" t="s">
        <v>231</v>
      </c>
      <c r="BB8" s="56"/>
      <c r="BC8" s="57"/>
      <c r="BD8" s="58" t="s">
        <v>156</v>
      </c>
      <c r="BE8" s="59"/>
      <c r="BF8" s="58" t="s">
        <v>156</v>
      </c>
      <c r="BG8" s="58" t="s">
        <v>153</v>
      </c>
      <c r="BH8" s="58" t="s">
        <v>156</v>
      </c>
      <c r="BI8" s="58"/>
      <c r="BJ8" s="58"/>
      <c r="BK8" s="59"/>
      <c r="BL8" s="58" t="s">
        <v>153</v>
      </c>
      <c r="BM8" s="58" t="s">
        <v>231</v>
      </c>
      <c r="BN8" s="58" t="s">
        <v>231</v>
      </c>
      <c r="BO8" s="58" t="s">
        <v>156</v>
      </c>
      <c r="BP8" s="58" t="s">
        <v>231</v>
      </c>
      <c r="BQ8" s="58" t="s">
        <v>231</v>
      </c>
      <c r="BR8" s="58" t="s">
        <v>231</v>
      </c>
      <c r="BS8" s="58" t="s">
        <v>231</v>
      </c>
      <c r="BT8" s="58" t="s">
        <v>161</v>
      </c>
      <c r="BU8" s="60"/>
      <c r="BV8" s="61"/>
      <c r="BW8" s="61">
        <v>0</v>
      </c>
      <c r="BX8" s="59"/>
      <c r="BY8" s="44" t="s">
        <v>166</v>
      </c>
      <c r="CB8" s="5"/>
      <c r="CC8" s="5"/>
      <c r="CD8" s="62">
        <v>0</v>
      </c>
      <c r="CE8" s="62">
        <v>0</v>
      </c>
      <c r="CF8" s="62" t="e">
        <v>#REF!</v>
      </c>
      <c r="CG8" s="75" cm="1">
        <f t="array" ref="CG8">SUMPRODUCT(--(LEN(TRIM(BL8:BT8))&gt;0))</f>
        <v>3</v>
      </c>
      <c r="CH8" s="53" t="str">
        <f t="shared" si="3"/>
        <v>n</v>
      </c>
      <c r="CI8" s="53" t="str">
        <f t="shared" si="4"/>
        <v>y</v>
      </c>
      <c r="CJ8" s="53" t="str">
        <f t="shared" si="5"/>
        <v>n</v>
      </c>
      <c r="CK8" s="53" t="str">
        <f t="shared" si="6"/>
        <v>n</v>
      </c>
      <c r="CL8" s="53" t="str">
        <f t="shared" si="7"/>
        <v>n</v>
      </c>
      <c r="CM8" s="53" t="str">
        <f t="shared" si="8"/>
        <v>n</v>
      </c>
      <c r="CN8" s="53" t="str">
        <f t="shared" si="9"/>
        <v>y</v>
      </c>
      <c r="CO8" s="53" t="str">
        <f t="shared" si="10"/>
        <v>n</v>
      </c>
      <c r="CP8" s="53" t="str">
        <f t="shared" si="11"/>
        <v>y</v>
      </c>
      <c r="CQ8" s="53" t="str">
        <f t="shared" si="12"/>
        <v>n</v>
      </c>
      <c r="CR8" s="53" t="str">
        <f t="shared" si="13"/>
        <v>n</v>
      </c>
      <c r="CS8" s="53" t="str">
        <f t="shared" si="14"/>
        <v>n</v>
      </c>
      <c r="CT8" s="38" t="str">
        <f t="shared" si="15"/>
        <v>"[MHL] Ujae Atoll"</v>
      </c>
      <c r="CU8" s="63" t="str">
        <f t="shared" si="16"/>
        <v>"rgn_Oceania"</v>
      </c>
      <c r="CV8" s="44" t="str">
        <f t="shared" si="17"/>
        <v>"https://upload.wikimedia.org/wikipedia/commons/thumb/8/83/Ujae_Atoll_Flag.svg/640px-Ujae_Atoll_Flag.svg.png"</v>
      </c>
      <c r="CW8" s="44" t="str">
        <f t="shared" si="18"/>
        <v/>
      </c>
      <c r="CX8" s="44" t="str">
        <f t="shared" si="19"/>
        <v>"3Color",</v>
      </c>
      <c r="CY8" s="44" t="str">
        <f t="shared" si="20"/>
        <v/>
      </c>
      <c r="CZ8" s="44" t="str">
        <f t="shared" si="21"/>
        <v/>
      </c>
      <c r="DA8" s="44" t="str">
        <f t="shared" si="22"/>
        <v>"words2",</v>
      </c>
      <c r="DB8" s="44" t="str">
        <f t="shared" si="23"/>
        <v/>
      </c>
      <c r="DD8" s="44" t="str">
        <f t="shared" si="137"/>
        <v>"lets09",</v>
      </c>
      <c r="DE8" s="44" t="str">
        <f t="shared" si="138"/>
        <v>"startU",</v>
      </c>
      <c r="DF8" s="44" t="str">
        <f t="shared" si="24"/>
        <v/>
      </c>
      <c r="DG8" s="44" t="str">
        <f t="shared" si="25"/>
        <v/>
      </c>
      <c r="DH8" s="44" t="str">
        <f t="shared" si="26"/>
        <v/>
      </c>
      <c r="DI8" s="44" t="str">
        <f t="shared" si="27"/>
        <v/>
      </c>
      <c r="DJ8" s="44" t="str">
        <f t="shared" si="28"/>
        <v/>
      </c>
      <c r="DK8" s="44" t="str">
        <f t="shared" si="29"/>
        <v/>
      </c>
      <c r="DL8" s="44" t="str">
        <f t="shared" si="30"/>
        <v/>
      </c>
      <c r="DM8" s="44" t="str" cm="1">
        <f t="array" ref="DM8">IF(CG8=3,CHAR(34) &amp; _xlfn.TEXTJOIN("", TRUE, RIGHT(HP8:HX8, 2)) &amp; CHAR(34) &amp; ",", "")</f>
        <v>"LAEDHI",</v>
      </c>
      <c r="DN8" s="44" t="str">
        <f t="shared" si="31"/>
        <v/>
      </c>
      <c r="DO8" s="44" t="str">
        <f t="shared" si="32"/>
        <v/>
      </c>
      <c r="DP8" s="5" t="str">
        <f t="shared" si="33"/>
        <v/>
      </c>
      <c r="DQ8" s="5" t="str">
        <f t="shared" si="34"/>
        <v/>
      </c>
      <c r="DR8" s="5" t="str">
        <f t="shared" si="35"/>
        <v/>
      </c>
      <c r="DS8" s="5" t="str">
        <f t="shared" si="36"/>
        <v/>
      </c>
      <c r="DT8" s="5" t="str">
        <f t="shared" si="37"/>
        <v>"allhor",</v>
      </c>
      <c r="DU8" s="5" t="str">
        <f t="shared" si="38"/>
        <v/>
      </c>
      <c r="DW8" s="44" t="str">
        <f t="shared" si="39"/>
        <v/>
      </c>
      <c r="DX8" s="44" t="str">
        <f t="shared" si="40"/>
        <v/>
      </c>
      <c r="DY8" s="44" t="str">
        <f t="shared" si="41"/>
        <v>"3Bands",</v>
      </c>
      <c r="DZ8" s="44" t="str">
        <f t="shared" si="42"/>
        <v/>
      </c>
      <c r="EA8" s="44" t="str">
        <f t="shared" si="43"/>
        <v>"Diagon",</v>
      </c>
      <c r="EB8" s="44" t="str">
        <f t="shared" si="44"/>
        <v/>
      </c>
      <c r="EC8" s="44" t="str">
        <f t="shared" si="45"/>
        <v>"Horizo",</v>
      </c>
      <c r="ED8" s="44" t="str">
        <f t="shared" si="46"/>
        <v/>
      </c>
      <c r="EE8" s="44" t="str">
        <f t="shared" si="47"/>
        <v/>
      </c>
      <c r="EF8" s="44" t="str">
        <f t="shared" si="48"/>
        <v>"Animal",</v>
      </c>
      <c r="EG8" s="44" t="str">
        <f t="shared" si="49"/>
        <v/>
      </c>
      <c r="EH8" s="44" t="str">
        <f t="shared" si="50"/>
        <v/>
      </c>
      <c r="EI8" s="44" t="str">
        <f t="shared" si="51"/>
        <v/>
      </c>
      <c r="EJ8" s="44" t="str">
        <f t="shared" si="52"/>
        <v/>
      </c>
      <c r="EK8" s="44" t="str">
        <f t="shared" si="53"/>
        <v/>
      </c>
      <c r="EL8" s="44" t="str">
        <f t="shared" si="54"/>
        <v/>
      </c>
      <c r="EM8" s="44" t="str">
        <f t="shared" si="55"/>
        <v>"Trside",</v>
      </c>
      <c r="EN8" s="44" t="str">
        <f t="shared" si="56"/>
        <v/>
      </c>
      <c r="EO8" s="44" t="str">
        <f t="shared" si="57"/>
        <v/>
      </c>
      <c r="EP8" s="44" t="str">
        <f t="shared" si="58"/>
        <v/>
      </c>
      <c r="EQ8" s="44" t="str">
        <f t="shared" si="59"/>
        <v/>
      </c>
      <c r="ER8" s="44" t="str">
        <f t="shared" si="60"/>
        <v/>
      </c>
      <c r="ES8" s="44" t="str">
        <f t="shared" si="61"/>
        <v/>
      </c>
      <c r="ET8" s="44" t="str">
        <f t="shared" si="62"/>
        <v/>
      </c>
      <c r="EU8" s="44" t="str">
        <f t="shared" si="63"/>
        <v/>
      </c>
      <c r="EV8" s="44" t="str">
        <f t="shared" si="64"/>
        <v/>
      </c>
      <c r="EW8" s="44" t="str">
        <f t="shared" si="65"/>
        <v/>
      </c>
      <c r="EX8" s="44" t="str">
        <f t="shared" si="66"/>
        <v/>
      </c>
      <c r="EY8" s="44" t="str">
        <f t="shared" si="67"/>
        <v/>
      </c>
      <c r="EZ8" s="44" t="str">
        <f t="shared" si="68"/>
        <v/>
      </c>
      <c r="FA8" s="44" t="str">
        <f t="shared" si="69"/>
        <v/>
      </c>
      <c r="FB8" s="44" t="str">
        <f t="shared" si="70"/>
        <v/>
      </c>
      <c r="FD8" s="44" t="str">
        <f t="shared" si="71"/>
        <v/>
      </c>
      <c r="FE8" s="44" t="str">
        <f t="shared" si="72"/>
        <v>"NO_BLU",</v>
      </c>
      <c r="FF8" s="44" t="str">
        <f t="shared" si="73"/>
        <v/>
      </c>
      <c r="FG8" s="44" t="str">
        <f t="shared" si="74"/>
        <v/>
      </c>
      <c r="FH8" s="44" t="str">
        <f t="shared" si="75"/>
        <v>"NO_GRE",</v>
      </c>
      <c r="FI8" s="44" t="str">
        <f t="shared" si="76"/>
        <v>"NO_YEL",</v>
      </c>
      <c r="FJ8" s="44" t="str">
        <f t="shared" si="77"/>
        <v/>
      </c>
      <c r="FK8" s="44" t="str">
        <f t="shared" si="78"/>
        <v/>
      </c>
      <c r="FL8" s="44" t="str">
        <f t="shared" si="79"/>
        <v/>
      </c>
      <c r="FM8" s="44" t="str">
        <f t="shared" si="80"/>
        <v/>
      </c>
      <c r="FN8" s="44" t="str">
        <f t="shared" si="81"/>
        <v/>
      </c>
      <c r="FO8" s="44" t="str">
        <f t="shared" si="82"/>
        <v/>
      </c>
      <c r="FP8" s="44" t="str">
        <f t="shared" si="83"/>
        <v/>
      </c>
      <c r="FQ8" s="44" t="str">
        <f t="shared" si="84"/>
        <v>"001RED",</v>
      </c>
      <c r="FR8" s="44" t="str">
        <f t="shared" si="85"/>
        <v>"002BLA",</v>
      </c>
      <c r="FS8" s="44" t="str">
        <f t="shared" si="86"/>
        <v>"003RED",</v>
      </c>
      <c r="FT8" s="44" t="str">
        <f t="shared" si="87"/>
        <v>"myrRED",</v>
      </c>
      <c r="FU8" s="44" t="str">
        <f t="shared" si="88"/>
        <v/>
      </c>
      <c r="FV8" s="44" t="str">
        <f t="shared" si="89"/>
        <v/>
      </c>
      <c r="FW8" s="44" t="str">
        <f t="shared" si="90"/>
        <v/>
      </c>
      <c r="FY8" s="44" t="str">
        <f t="shared" si="91"/>
        <v/>
      </c>
      <c r="FZ8" s="44" t="str">
        <f t="shared" si="92"/>
        <v/>
      </c>
      <c r="GA8" s="44" t="str">
        <f t="shared" si="93"/>
        <v/>
      </c>
      <c r="GB8" s="44" t="str">
        <f t="shared" si="94"/>
        <v/>
      </c>
      <c r="GE8" s="44" t="str">
        <f t="shared" si="95"/>
        <v/>
      </c>
      <c r="GF8" s="44" t="str">
        <f t="shared" si="136"/>
        <v/>
      </c>
      <c r="GG8" s="44" t="str">
        <f t="shared" si="96"/>
        <v/>
      </c>
      <c r="GH8" s="44" t="str">
        <f t="shared" si="97"/>
        <v/>
      </c>
      <c r="GI8" s="44" t="str">
        <f t="shared" si="98"/>
        <v/>
      </c>
      <c r="GJ8" s="44" t="str">
        <f t="shared" si="99"/>
        <v>"NoStar",</v>
      </c>
      <c r="GK8" s="44" t="str">
        <f t="shared" si="100"/>
        <v/>
      </c>
      <c r="GL8" s="44" t="str">
        <f t="shared" si="101"/>
        <v/>
      </c>
      <c r="GM8" s="44" t="str">
        <f t="shared" si="102"/>
        <v/>
      </c>
      <c r="GN8" s="44" t="str">
        <f t="shared" si="103"/>
        <v/>
      </c>
      <c r="GP8" s="44" t="str">
        <f t="shared" si="104"/>
        <v>"Atoll"</v>
      </c>
      <c r="GS8" s="44" t="str">
        <f t="shared" si="105"/>
        <v>["3Color","words2","lets09","startU","LAEDHI","allhor","3Bands","Diagon","Horizo","Animal","Trside","NO_BLU","NO_GRE","NO_YEL","001RED","002BLA","003RED","myrRED","NoStar"]</v>
      </c>
      <c r="GT8" s="44" t="str">
        <f t="shared" si="106"/>
        <v>"cl_BLA",</v>
      </c>
      <c r="GU8" s="44" t="str">
        <f t="shared" si="107"/>
        <v/>
      </c>
      <c r="GV8" s="44" t="str">
        <f t="shared" si="108"/>
        <v/>
      </c>
      <c r="GW8" s="44" t="str">
        <f t="shared" si="109"/>
        <v>"cl_RED",</v>
      </c>
      <c r="GX8" s="44" t="str">
        <f t="shared" si="110"/>
        <v/>
      </c>
      <c r="GY8" s="44" t="str">
        <f t="shared" si="111"/>
        <v/>
      </c>
      <c r="GZ8" s="44" t="str">
        <f t="shared" si="112"/>
        <v/>
      </c>
      <c r="HA8" s="44" t="str">
        <f t="shared" si="113"/>
        <v/>
      </c>
      <c r="HB8" s="44" t="str">
        <f t="shared" si="114"/>
        <v>"cl_WHI",</v>
      </c>
      <c r="HC8" s="44" t="str">
        <f t="shared" si="115"/>
        <v>["cl_BLA","cl_RED","cl_WHI"]</v>
      </c>
      <c r="HE8" s="64"/>
      <c r="HF8" s="65" t="str">
        <f t="shared" si="116"/>
        <v>{couname:"[MHL] Ujae Atoll",year:"???",region:"rgn_Oceania",Colors:["cl_BLA","cl_RED","cl_WHI"],Items:["3Color","words2","lets09","startU","LAEDHI","allhor","3Bands","Diagon","Horizo","Animal","Trside","NO_BLU","NO_GRE","NO_YEL","001RED","002BLA","003RED","myrRED","NoStar"],Flag:"https://upload.wikimedia.org/wikipedia/commons/thumb/8/83/Ujae_Atoll_Flag.svg/640px-Ujae_Atoll_Flag.svg.png",HDFlag:"https://upload.wikimedia.org/wikipedia/commons/thumb/8/83/Ujae_Atoll_Flag.svg/1280px-Ujae_Atoll_Flag.svg.png",type:"Atoll", describe: "\nThe dark red flag with white two birds hoist and black war dance stick with white feather.\n\nThe red stands for Ujae sunset , white for peace, customs and culture, black for sorry past time, war dance stick for fight for peace and two birds for old states.", isnew:".", links: "https://en.m.wikipedia.org/wiki/Ujae_Atoll"},</v>
      </c>
      <c r="HG8" s="66" t="str">
        <f t="shared" si="117"/>
        <v>{couname:"[MHL] Ujae Atoll",year:"???",region:"rgn_Oceania",Colors:["cl_BLA","cl_RED","cl_WHI"],Items:["3Color","words2","lets09","startU","LAEDHI","allhor","3Bands","Diagon","Horizo","Animal","Trside","NO_BLU","NO_GRE","NO_YEL","001RED","002BLA","003RED","myrRED","NoStar"],Flag:"https://upload.wikimedia.org/wikipedia/commons/thumb/8/83/Ujae_Atoll_Flag.svg/640px-Ujae_Atoll_Flag.svg.png",HDFlag:"https://upload.wikimedia.org/wikipedia/commons/thumb/8/83/Ujae_Atoll_Flag.svg/1280px-Ujae_Atoll_Flag.svg.png",type:"Atoll", describe: "\nThe dark red flag with white two birds hoist and black war dance stick with white feather.\n\nThe red stands for Ujae sunset , white for peace, customs and culture, black for sorry past time, war dance stick for fight for peace and two birds for old states.", links: "https://en.m.wikipedia.org/wiki/Ujae_Atoll"},</v>
      </c>
      <c r="HH8" s="44" t="str">
        <f t="shared" si="118"/>
        <v>"\nThe dark red flag with white two birds hoist and black war dance stick with white feather.\n\nThe red stands for Ujae sunset , white for peace, customs and culture, black for sorry past time, war dance stick for fight for peace and two birds for old states."</v>
      </c>
      <c r="HI8" s="44" t="str">
        <f t="shared" si="119"/>
        <v>"\nThe dark red flag with white two birds hoist and black war dance stick with white feather.\n\nThe red stands for Ujae sunset , white for peace, customs and culture, black for sorry past time, war dance stick for fight for peace and two birds for old states."</v>
      </c>
      <c r="HJ8" s="44" t="str">
        <f t="shared" si="120"/>
        <v>"???"</v>
      </c>
      <c r="HL8" s="44" t="str">
        <f t="shared" si="121"/>
        <v>"https://en.m.wikipedia.org/wiki/Ujae_Atoll"</v>
      </c>
      <c r="HM8" s="65" t="str">
        <f t="shared" si="122"/>
        <v>{"couname":"[MHL] Ujae Atoll","year":"???","region":"rgn_Oceania","Colors":["cl_BLA","cl_RED","cl_WHI"],"Items":["3Color","words2","lets09","startU","LAEDHI","allhor","3Bands","Diagon","Horizo","Animal","Trside","NO_BLU","NO_GRE","NO_YEL","001RED","002BLA","003RED","myrRED","NoStar"],"Flag":"https://upload.wikimedia.org/wikipedia/commons/thumb/8/83/Ujae_Atoll_Flag.svg/640px-Ujae_Atoll_Flag.svg.png","HDFlag":"https://upload.wikimedia.org/wikipedia/commons/thumb/8/83/Ujae_Atoll_Flag.svg/1280px-Ujae_Atoll_Flag.svg.png","type":"Atoll", "describe": "\nThe dark red flag with white two birds hoist and black war dance stick with white feather.\n\nThe red stands for Ujae sunset , white for peace, customs and culture, black for sorry past time, war dance stick for fight for peace and two birds for old states.", "isnew": ".", "links": "https://en.m.wikipedia.org/wiki/Ujae_Atoll"},</v>
      </c>
      <c r="HN8" s="67" t="str">
        <f t="shared" si="123"/>
        <v>{"couname":"[MHL] Ujae Atoll","year":"???","region":"rgn_Oceania","Colors":["cl_BLA","cl_RED","cl_WHI"],"Items":["3Color","words2","lets09","startU","LAEDHI","allhor","3Bands","Diagon","Horizo","Animal","Trside","NO_BLU","NO_GRE","NO_YEL","001RED","002BLA","003RED","myrRED","NoStar"],"Flag":"https://upload.wikimedia.org/wikipedia/commons/thumb/8/83/Ujae_Atoll_Flag.svg/640px-Ujae_Atoll_Flag.svg.png","HDFlag":"https://upload.wikimedia.org/wikipedia/commons/thumb/8/83/Ujae_Atoll_Flag.svg/1280px-Ujae_Atoll_Flag.svg.png","type":"Atoll", "describe": "\nThe dark red flag with white two birds hoist and black war dance stick with white feather.\n\nThe red stands for Ujae sunset , white for peace, customs and culture, black for sorry past time, war dance stick for fight for peace and two birds for old states.", "isnew": ".", "links": "https://en.m.wikipedia.org/wiki/Ujae_Atoll"},</v>
      </c>
      <c r="HO8" s="71">
        <v>45618</v>
      </c>
      <c r="HP8" s="44" t="str" cm="1">
        <f t="array" ref="HP8">IF(_xlfn.TEXTJOIN(", ", TRUE, IF(ISNUMBER(SEARCH("BLA", BL8:BT8)), COLUMN(BL8:BT8) - COLUMN(BL8) + 1, ""))&lt;&gt;"","BLA","")</f>
        <v>BLA</v>
      </c>
      <c r="HQ8" s="44" t="str" cm="1">
        <f t="array" ref="HQ8">IF(_xlfn.TEXTJOIN(", ", TRUE, IF(ISNUMBER(SEARCH("BLU", BL8:BT8)), COLUMN(BL8:BT8) - COLUMN(BL8) + 1, ""))&lt;&gt;"","BLU","")</f>
        <v/>
      </c>
      <c r="HR8" s="44" t="str" cm="1">
        <f t="array" ref="HR8">IF(_xlfn.TEXTJOIN(", ", TRUE, IF(ISNUMBER(SEARCH("GRE", BL8:BT8)), COLUMN(BL8:BT8) - COLUMN(BL8) + 1, ""))&lt;&gt;"","GRE","")</f>
        <v/>
      </c>
      <c r="HS8" s="44" t="str" cm="1">
        <f t="array" ref="HS8">IF(_xlfn.TEXTJOIN(", ", TRUE, IF(ISNUMBER(SEARCH("RED", BL8:BT8)), COLUMN(BL8:BT8) - COLUMN(BL8) + 1, ""))&lt;&gt;"","RED","")</f>
        <v>RED</v>
      </c>
      <c r="HT8" s="44" t="str" cm="1">
        <f t="array" ref="HT8">IF(_xlfn.TEXTJOIN(", ", TRUE, IF(ISNUMBER(SEARCH("YEL", BL8:BT8)), COLUMN(BL8:BT8) - COLUMN(BL8) + 1, ""))&lt;&gt;"","YEL","")</f>
        <v/>
      </c>
      <c r="HU8" s="44" t="str" cm="1">
        <f t="array" ref="HU8">IF(_xlfn.TEXTJOIN(", ", TRUE, IF(ISNUMBER(SEARCH("ORA", BL8:BT8)), COLUMN(BL8:BT8) - COLUMN(BL8) + 1, ""))&lt;&gt;"","ORA","")</f>
        <v/>
      </c>
      <c r="HV8" s="44" t="str" cm="1">
        <f t="array" ref="HV8">IF(_xlfn.TEXTJOIN(", ", TRUE, IF(ISNUMBER(SEARCH("BRO", BL8:BT8)), COLUMN(BL8:BT8) - COLUMN(BL8) + 1, ""))&lt;&gt;"","BRO","")</f>
        <v/>
      </c>
      <c r="HW8" s="44" t="str" cm="1">
        <f t="array" ref="HW8">IF(_xlfn.TEXTJOIN(", ", TRUE, IF(ISNUMBER(SEARCH("PUR", BL8:BT8)), COLUMN(BL8:BT8) - COLUMN(BL8) + 1, ""))&lt;&gt;"","PUR","")</f>
        <v/>
      </c>
      <c r="HX8" s="44" t="str" cm="1">
        <f t="array" ref="HX8">IF(_xlfn.TEXTJOIN(", ", TRUE, IF(ISNUMBER(SEARCH("WHI", BL8:BT8)), COLUMN(BL8:BT8) - COLUMN(BL8) + 1, ""))&lt;&gt;"","WHI","")</f>
        <v>WHI</v>
      </c>
      <c r="HY8" s="72"/>
      <c r="HZ8" s="72"/>
      <c r="IA8" s="5"/>
      <c r="IB8" s="5"/>
      <c r="IC8" s="68"/>
      <c r="ID8" s="68"/>
      <c r="IE8" s="68"/>
      <c r="IF8" s="68"/>
      <c r="IG8" s="68"/>
      <c r="IH8" s="68"/>
      <c r="II8" s="68"/>
      <c r="IJ8" s="68"/>
      <c r="IK8" s="68"/>
      <c r="IM8" s="42">
        <f t="shared" si="124"/>
        <v>-3</v>
      </c>
      <c r="IN8" s="69" t="str">
        <f t="shared" si="125"/>
        <v>http://mkweb.bcgsc.ca/color-summarizer/?url=https://upload.wikimedia.org/wikipedia/commons/thumb/8/83/Ujae_Atoll_Flag.svg/640px-Ujae_Atoll_Flag.svg.png&amp;precision=low&amp;num_clusters=3&amp;text=1</v>
      </c>
      <c r="IO8" s="44" t="str">
        <f t="shared" si="126"/>
        <v>"black"</v>
      </c>
      <c r="IP8" s="44" t="str">
        <f t="shared" si="127"/>
        <v/>
      </c>
      <c r="IQ8" s="44" t="str">
        <f t="shared" si="128"/>
        <v/>
      </c>
      <c r="IR8" s="44" t="str">
        <f t="shared" si="129"/>
        <v>"red"</v>
      </c>
      <c r="IS8" s="44" t="str">
        <f t="shared" si="130"/>
        <v/>
      </c>
      <c r="IT8" s="44" t="str">
        <f t="shared" si="131"/>
        <v/>
      </c>
      <c r="IU8" s="44" t="str">
        <f t="shared" si="132"/>
        <v/>
      </c>
      <c r="IV8" s="44" t="str">
        <f t="shared" si="133"/>
        <v/>
      </c>
      <c r="IW8" s="44" t="str">
        <f t="shared" si="134"/>
        <v>"white"</v>
      </c>
      <c r="IX8" s="44" t="str">
        <f t="shared" si="135"/>
        <v>{"url":"http://mkweb.bcgsc.ca/color-summarizer/?url=https://upload.wikimedia.org/wikipedia/commons/thumb/8/83/Ujae_Atoll_Flag.svg/640px-Ujae_Atoll_Flag.svg.png&amp;precision=low&amp;num_clusters=3&amp;text=1","name":"[MHL] Ujae Atoll"},</v>
      </c>
      <c r="IY8" s="44">
        <v>1011</v>
      </c>
    </row>
    <row r="9" spans="1:259" s="44" customFormat="1" ht="38.4" customHeight="1" thickBot="1" x14ac:dyDescent="0.35">
      <c r="A9" s="80" t="s">
        <v>617</v>
      </c>
      <c r="B9" s="78" t="e" vm="54">
        <v>#VALUE!</v>
      </c>
      <c r="C9" s="39">
        <v>2</v>
      </c>
      <c r="D9" s="70" t="s">
        <v>618</v>
      </c>
      <c r="E9" s="40" t="s">
        <v>619</v>
      </c>
      <c r="F9" s="41" t="s">
        <v>165</v>
      </c>
      <c r="G9" s="42">
        <f t="shared" si="0"/>
        <v>1</v>
      </c>
      <c r="H9" s="43"/>
      <c r="I9" s="59" t="s">
        <v>605</v>
      </c>
      <c r="J9" s="44" t="str">
        <f>""</f>
        <v/>
      </c>
      <c r="K9" s="45"/>
      <c r="L9" s="46"/>
      <c r="M9" s="46"/>
      <c r="N9" s="47" t="s">
        <v>177</v>
      </c>
      <c r="O9" s="74" t="s">
        <v>230</v>
      </c>
      <c r="P9" s="48" t="s">
        <v>620</v>
      </c>
      <c r="Q9" s="73">
        <v>2</v>
      </c>
      <c r="R9" s="49" t="s">
        <v>177</v>
      </c>
      <c r="S9" s="50">
        <v>0</v>
      </c>
      <c r="T9" s="51" t="s">
        <v>166</v>
      </c>
      <c r="U9" s="52" t="s">
        <v>166</v>
      </c>
      <c r="V9" s="52" t="s">
        <v>167</v>
      </c>
      <c r="W9" s="52" t="s">
        <v>167</v>
      </c>
      <c r="X9" s="52" t="s">
        <v>166</v>
      </c>
      <c r="Y9" s="52" t="s">
        <v>166</v>
      </c>
      <c r="Z9" s="52" t="s">
        <v>166</v>
      </c>
      <c r="AA9" s="52" t="s">
        <v>166</v>
      </c>
      <c r="AB9" s="52" t="s">
        <v>166</v>
      </c>
      <c r="AC9" s="52" t="s">
        <v>166</v>
      </c>
      <c r="AD9" s="52" t="s">
        <v>166</v>
      </c>
      <c r="AE9" s="52" t="s">
        <v>167</v>
      </c>
      <c r="AF9" s="53" t="s">
        <v>166</v>
      </c>
      <c r="AG9" s="53" t="s">
        <v>167</v>
      </c>
      <c r="AH9" s="53" t="s">
        <v>166</v>
      </c>
      <c r="AI9" s="53" t="s">
        <v>167</v>
      </c>
      <c r="AJ9" s="53" t="s">
        <v>166</v>
      </c>
      <c r="AK9" s="53" t="s">
        <v>166</v>
      </c>
      <c r="AL9" s="53" t="s">
        <v>166</v>
      </c>
      <c r="AM9" s="53" t="s">
        <v>166</v>
      </c>
      <c r="AN9" s="53" t="s">
        <v>166</v>
      </c>
      <c r="AO9" s="53" t="s">
        <v>166</v>
      </c>
      <c r="AP9" s="53" t="s">
        <v>166</v>
      </c>
      <c r="AQ9" s="53" t="s">
        <v>166</v>
      </c>
      <c r="AR9" s="53" t="s">
        <v>166</v>
      </c>
      <c r="AS9" s="53" t="s">
        <v>166</v>
      </c>
      <c r="AT9" s="54">
        <v>1</v>
      </c>
      <c r="AU9" s="53" t="s">
        <v>417</v>
      </c>
      <c r="AV9" s="53" t="str">
        <f t="shared" si="1"/>
        <v>[MHL]Atoll[MHL] Wotho Atoll</v>
      </c>
      <c r="AW9" s="53" t="str">
        <f t="shared" si="2"/>
        <v>2[MHL] Wotho Atoll</v>
      </c>
      <c r="AX9" s="55"/>
      <c r="AY9" s="55"/>
      <c r="AZ9" s="56" t="s">
        <v>157</v>
      </c>
      <c r="BA9" s="56" t="s">
        <v>231</v>
      </c>
      <c r="BB9" s="56"/>
      <c r="BC9" s="57"/>
      <c r="BD9" s="58" t="s">
        <v>157</v>
      </c>
      <c r="BE9" s="59"/>
      <c r="BF9" s="58" t="s">
        <v>231</v>
      </c>
      <c r="BG9" s="58" t="s">
        <v>231</v>
      </c>
      <c r="BH9" s="58" t="s">
        <v>231</v>
      </c>
      <c r="BI9" s="58"/>
      <c r="BJ9" s="58"/>
      <c r="BK9" s="59"/>
      <c r="BL9" s="58" t="s">
        <v>153</v>
      </c>
      <c r="BM9" s="58" t="s">
        <v>231</v>
      </c>
      <c r="BN9" s="58" t="s">
        <v>231</v>
      </c>
      <c r="BO9" s="58" t="s">
        <v>231</v>
      </c>
      <c r="BP9" s="58" t="s">
        <v>157</v>
      </c>
      <c r="BQ9" s="58" t="s">
        <v>231</v>
      </c>
      <c r="BR9" s="58" t="s">
        <v>231</v>
      </c>
      <c r="BS9" s="58" t="s">
        <v>231</v>
      </c>
      <c r="BT9" s="58" t="s">
        <v>231</v>
      </c>
      <c r="BU9" s="60" t="s">
        <v>166</v>
      </c>
      <c r="BV9" s="61"/>
      <c r="BW9" s="61">
        <v>0</v>
      </c>
      <c r="BX9" s="59"/>
      <c r="CB9" s="5"/>
      <c r="CC9" s="5"/>
      <c r="CD9" s="62">
        <v>0</v>
      </c>
      <c r="CE9" s="62">
        <v>0</v>
      </c>
      <c r="CF9" s="62" t="e">
        <v>#REF!</v>
      </c>
      <c r="CG9" s="75" cm="1">
        <f t="array" ref="CG9">SUMPRODUCT(--(LEN(TRIM(BL9:BT9))&gt;0))</f>
        <v>2</v>
      </c>
      <c r="CH9" s="53" t="str">
        <f t="shared" si="3"/>
        <v>y</v>
      </c>
      <c r="CI9" s="53" t="str">
        <f t="shared" si="4"/>
        <v>n</v>
      </c>
      <c r="CJ9" s="53" t="str">
        <f t="shared" si="5"/>
        <v>n</v>
      </c>
      <c r="CK9" s="53" t="str">
        <f t="shared" si="6"/>
        <v>n</v>
      </c>
      <c r="CL9" s="53" t="str">
        <f t="shared" si="7"/>
        <v>y</v>
      </c>
      <c r="CM9" s="53" t="str">
        <f t="shared" si="8"/>
        <v>n</v>
      </c>
      <c r="CN9" s="53" t="str">
        <f t="shared" si="9"/>
        <v>n</v>
      </c>
      <c r="CO9" s="53" t="str">
        <f t="shared" si="10"/>
        <v>n</v>
      </c>
      <c r="CP9" s="53" t="str">
        <f t="shared" si="11"/>
        <v>n</v>
      </c>
      <c r="CQ9" s="53" t="str">
        <f t="shared" si="12"/>
        <v>y</v>
      </c>
      <c r="CR9" s="53" t="str">
        <f t="shared" si="13"/>
        <v>n</v>
      </c>
      <c r="CS9" s="53" t="str">
        <f t="shared" si="14"/>
        <v>n</v>
      </c>
      <c r="CT9" s="38" t="str">
        <f t="shared" si="15"/>
        <v>"[MHL] Wotho Atoll"</v>
      </c>
      <c r="CU9" s="63" t="str">
        <f t="shared" si="16"/>
        <v>"rgn_Oceania"</v>
      </c>
      <c r="CV9" s="44" t="str">
        <f t="shared" si="17"/>
        <v>"https://upload.wikimedia.org/wikipedia/commons/thumb/9/91/Flag_of_Wotho_Atoll%2C_Marshall_Islands.svg/640px-Flag_of_Wotho_Atoll%2C_Marshall_Islands.svg.png"</v>
      </c>
      <c r="CW9" s="44" t="str">
        <f t="shared" si="18"/>
        <v>"2Color",</v>
      </c>
      <c r="CX9" s="44" t="str">
        <f t="shared" si="19"/>
        <v/>
      </c>
      <c r="CY9" s="44" t="str">
        <f t="shared" si="20"/>
        <v/>
      </c>
      <c r="CZ9" s="44" t="str">
        <f t="shared" si="21"/>
        <v/>
      </c>
      <c r="DA9" s="44" t="str">
        <f t="shared" si="22"/>
        <v>"words2",</v>
      </c>
      <c r="DB9" s="44" t="str">
        <f t="shared" si="23"/>
        <v/>
      </c>
      <c r="DD9" s="44" t="str">
        <f t="shared" si="137"/>
        <v>"lets10",</v>
      </c>
      <c r="DE9" s="44" t="str">
        <f t="shared" si="138"/>
        <v>"startW",</v>
      </c>
      <c r="DF9" s="44" t="str">
        <f t="shared" si="24"/>
        <v/>
      </c>
      <c r="DG9" s="44" t="str">
        <f t="shared" si="25"/>
        <v/>
      </c>
      <c r="DH9" s="44" t="str">
        <f t="shared" si="26"/>
        <v/>
      </c>
      <c r="DI9" s="44" t="str">
        <f t="shared" si="27"/>
        <v>"with_w",</v>
      </c>
      <c r="DJ9" s="44" t="str">
        <f t="shared" si="28"/>
        <v/>
      </c>
      <c r="DK9" s="44" t="str">
        <f t="shared" si="29"/>
        <v/>
      </c>
      <c r="DL9" s="44" t="str">
        <f t="shared" si="30"/>
        <v>"BLAYEL",</v>
      </c>
      <c r="DM9" s="44" t="str" cm="1">
        <f t="array" ref="DM9">IF(CG9=3,CHAR(34) &amp; _xlfn.TEXTJOIN("", TRUE, RIGHT(HP9:HX9, 2)) &amp; CHAR(34) &amp; ",", "")</f>
        <v/>
      </c>
      <c r="DN9" s="44" t="str">
        <f t="shared" si="31"/>
        <v/>
      </c>
      <c r="DO9" s="44" t="str">
        <f t="shared" si="32"/>
        <v/>
      </c>
      <c r="DP9" s="5" t="str">
        <f t="shared" si="33"/>
        <v/>
      </c>
      <c r="DQ9" s="5" t="str">
        <f t="shared" si="34"/>
        <v/>
      </c>
      <c r="DR9" s="5" t="str">
        <f t="shared" si="35"/>
        <v/>
      </c>
      <c r="DS9" s="5" t="str">
        <f t="shared" si="36"/>
        <v/>
      </c>
      <c r="DT9" s="5" t="str">
        <f t="shared" si="37"/>
        <v/>
      </c>
      <c r="DU9" s="5" t="str">
        <f t="shared" si="38"/>
        <v/>
      </c>
      <c r="DW9" s="44" t="str">
        <f t="shared" si="39"/>
        <v>"NoBand",</v>
      </c>
      <c r="DX9" s="44" t="str">
        <f t="shared" si="40"/>
        <v/>
      </c>
      <c r="DY9" s="44" t="str">
        <f t="shared" si="41"/>
        <v/>
      </c>
      <c r="DZ9" s="44" t="str">
        <f t="shared" si="42"/>
        <v/>
      </c>
      <c r="EA9" s="44" t="str">
        <f t="shared" si="43"/>
        <v/>
      </c>
      <c r="EB9" s="44" t="str">
        <f t="shared" si="44"/>
        <v/>
      </c>
      <c r="EC9" s="44" t="str">
        <f t="shared" si="45"/>
        <v>"Horizo",</v>
      </c>
      <c r="ED9" s="44" t="str">
        <f t="shared" si="46"/>
        <v>"Vertic",</v>
      </c>
      <c r="EE9" s="44" t="str">
        <f t="shared" si="47"/>
        <v/>
      </c>
      <c r="EF9" s="44" t="str">
        <f t="shared" si="48"/>
        <v/>
      </c>
      <c r="EG9" s="44" t="str">
        <f t="shared" si="49"/>
        <v/>
      </c>
      <c r="EH9" s="44" t="str">
        <f t="shared" si="50"/>
        <v/>
      </c>
      <c r="EI9" s="44" t="str">
        <f t="shared" si="51"/>
        <v/>
      </c>
      <c r="EJ9" s="44" t="str">
        <f t="shared" si="52"/>
        <v/>
      </c>
      <c r="EK9" s="44" t="str">
        <f t="shared" si="53"/>
        <v/>
      </c>
      <c r="EL9" s="44" t="str">
        <f t="shared" si="54"/>
        <v>"IsMoon",</v>
      </c>
      <c r="EM9" s="44" t="str">
        <f t="shared" si="55"/>
        <v/>
      </c>
      <c r="EN9" s="44" t="str">
        <f t="shared" si="56"/>
        <v>"Unequa",</v>
      </c>
      <c r="EO9" s="44" t="str">
        <f t="shared" si="57"/>
        <v/>
      </c>
      <c r="EP9" s="44" t="str">
        <f t="shared" si="58"/>
        <v>"Canton",</v>
      </c>
      <c r="EQ9" s="44" t="str">
        <f t="shared" si="59"/>
        <v/>
      </c>
      <c r="ER9" s="44" t="str">
        <f t="shared" si="60"/>
        <v/>
      </c>
      <c r="ES9" s="44" t="str">
        <f t="shared" si="61"/>
        <v/>
      </c>
      <c r="ET9" s="44" t="str">
        <f t="shared" si="62"/>
        <v/>
      </c>
      <c r="EU9" s="44" t="str">
        <f t="shared" si="63"/>
        <v/>
      </c>
      <c r="EV9" s="44" t="str">
        <f t="shared" si="64"/>
        <v/>
      </c>
      <c r="EW9" s="44" t="str">
        <f t="shared" si="65"/>
        <v/>
      </c>
      <c r="EX9" s="44" t="str">
        <f t="shared" si="66"/>
        <v/>
      </c>
      <c r="EY9" s="44" t="str">
        <f t="shared" si="67"/>
        <v/>
      </c>
      <c r="EZ9" s="44" t="str">
        <f t="shared" si="68"/>
        <v/>
      </c>
      <c r="FA9" s="44" t="str">
        <f t="shared" si="69"/>
        <v>"staYEL",</v>
      </c>
      <c r="FB9" s="44" t="str">
        <f t="shared" si="70"/>
        <v/>
      </c>
      <c r="FD9" s="44" t="str">
        <f t="shared" si="71"/>
        <v/>
      </c>
      <c r="FE9" s="44" t="str">
        <f t="shared" si="72"/>
        <v>"NO_BLU",</v>
      </c>
      <c r="FF9" s="44" t="str">
        <f t="shared" si="73"/>
        <v>"NO_WHI",</v>
      </c>
      <c r="FG9" s="44" t="str">
        <f t="shared" si="74"/>
        <v>"NO_RED",</v>
      </c>
      <c r="FH9" s="44" t="str">
        <f t="shared" si="75"/>
        <v>"NO_GRE",</v>
      </c>
      <c r="FI9" s="44" t="str">
        <f t="shared" si="76"/>
        <v/>
      </c>
      <c r="FJ9" s="44" t="str">
        <f t="shared" si="77"/>
        <v/>
      </c>
      <c r="FK9" s="44" t="str">
        <f t="shared" si="78"/>
        <v>"WHGRNO",</v>
      </c>
      <c r="FL9" s="44" t="str">
        <f t="shared" si="79"/>
        <v/>
      </c>
      <c r="FM9" s="44" t="str">
        <f t="shared" si="80"/>
        <v/>
      </c>
      <c r="FN9" s="44" t="str">
        <f t="shared" si="81"/>
        <v>"BLWHNO",</v>
      </c>
      <c r="FO9" s="44" t="str">
        <f t="shared" si="82"/>
        <v>"BLRENO",</v>
      </c>
      <c r="FP9" s="44" t="str">
        <f t="shared" si="83"/>
        <v>"WHRENO",</v>
      </c>
      <c r="FQ9" s="44" t="str">
        <f t="shared" si="84"/>
        <v/>
      </c>
      <c r="FR9" s="44" t="str">
        <f t="shared" si="85"/>
        <v/>
      </c>
      <c r="FS9" s="44" t="str">
        <f t="shared" si="86"/>
        <v/>
      </c>
      <c r="FT9" s="44" t="str">
        <f t="shared" si="87"/>
        <v>"myrYEL",</v>
      </c>
      <c r="FU9" s="44" t="str">
        <f t="shared" si="88"/>
        <v/>
      </c>
      <c r="FV9" s="44" t="str">
        <f t="shared" si="89"/>
        <v/>
      </c>
      <c r="FW9" s="44" t="str">
        <f t="shared" si="90"/>
        <v/>
      </c>
      <c r="FY9" s="44" t="str">
        <f t="shared" si="91"/>
        <v/>
      </c>
      <c r="FZ9" s="44" t="str">
        <f t="shared" si="92"/>
        <v/>
      </c>
      <c r="GA9" s="44" t="str">
        <f t="shared" si="93"/>
        <v/>
      </c>
      <c r="GB9" s="44" t="str">
        <f t="shared" si="94"/>
        <v/>
      </c>
      <c r="GE9" s="44" t="str">
        <f t="shared" si="95"/>
        <v/>
      </c>
      <c r="GF9" s="44" t="str">
        <f t="shared" si="136"/>
        <v/>
      </c>
      <c r="GG9" s="44" t="str">
        <f t="shared" si="96"/>
        <v/>
      </c>
      <c r="GH9" s="44" t="str">
        <f t="shared" si="97"/>
        <v/>
      </c>
      <c r="GI9" s="44" t="str">
        <f t="shared" si="98"/>
        <v/>
      </c>
      <c r="GJ9" s="44" t="str">
        <f t="shared" si="99"/>
        <v/>
      </c>
      <c r="GK9" s="44" t="str">
        <f t="shared" si="100"/>
        <v>"HasSta",</v>
      </c>
      <c r="GL9" s="44" t="str">
        <f t="shared" si="101"/>
        <v>"1Stars",</v>
      </c>
      <c r="GM9" s="44" t="str">
        <f t="shared" si="102"/>
        <v/>
      </c>
      <c r="GN9" s="44" t="str">
        <f t="shared" si="103"/>
        <v/>
      </c>
      <c r="GP9" s="44" t="str">
        <f t="shared" si="104"/>
        <v>"Atoll"</v>
      </c>
      <c r="GS9" s="44" t="str">
        <f t="shared" si="105"/>
        <v>["2Color","words2","lets10","startW","with_w","BLAYEL","NoBand","Horizo","Vertic","IsMoon","Unequa","Canton","staYEL","NO_BLU","NO_WHI","NO_RED","NO_GRE","WHGRNO","BLWHNO","BLRENO","WHRENO","myrYEL","HasSta","1Stars"]</v>
      </c>
      <c r="GT9" s="44" t="str">
        <f t="shared" si="106"/>
        <v>"cl_BLA",</v>
      </c>
      <c r="GU9" s="44" t="str">
        <f t="shared" si="107"/>
        <v/>
      </c>
      <c r="GV9" s="44" t="str">
        <f t="shared" si="108"/>
        <v/>
      </c>
      <c r="GW9" s="44" t="str">
        <f t="shared" si="109"/>
        <v/>
      </c>
      <c r="GX9" s="44" t="str">
        <f t="shared" si="110"/>
        <v>"cl_YEL",</v>
      </c>
      <c r="GY9" s="44" t="str">
        <f t="shared" si="111"/>
        <v/>
      </c>
      <c r="GZ9" s="44" t="str">
        <f t="shared" si="112"/>
        <v/>
      </c>
      <c r="HA9" s="44" t="str">
        <f t="shared" si="113"/>
        <v/>
      </c>
      <c r="HB9" s="44" t="str">
        <f t="shared" si="114"/>
        <v/>
      </c>
      <c r="HC9" s="44" t="str">
        <f t="shared" si="115"/>
        <v>["cl_BLA","cl_YEL"]</v>
      </c>
      <c r="HE9" s="64"/>
      <c r="HF9" s="65" t="str">
        <f t="shared" si="116"/>
        <v>{couname:"[MHL] Wotho Atoll",year:"???",region:"rgn_Oceania",Colors:["cl_BLA","cl_YEL"],Items:["2Color","words2","lets10","startW","with_w","BLAYEL","NoBand","Horizo","Vertic","IsMoon","Unequa","Canton","staYEL","NO_BLU","NO_WHI","NO_RED","NO_GRE","WHGRNO","BLWHNO","BLRENO","WHRENO","myrYEL","HasSta","1Stars"],Flag:"https://upload.wikimedia.org/wikipedia/commons/thumb/9/91/Flag_of_Wotho_Atoll%2C_Marshall_Islands.svg/640px-Flag_of_Wotho_Atoll%2C_Marshall_Islands.svg.png",HDFlag:"https://upload.wikimedia.org/wikipedia/commons/thumb/9/91/Flag_of_Wotho_Atoll%2C_Marshall_Islands.svg/1280px-Flag_of_Wotho_Atoll%2C_Marshall_Islands.svg.png",type:"Atoll", describe: "\nA yellow field with a black canton containing a yellow crescent moon and a yellow star.", isnew:".", links: "https://en.m.wikipedia.org/wiki/Flag_of_the_Marshall_Islands"},</v>
      </c>
      <c r="HG9" s="66" t="str">
        <f t="shared" si="117"/>
        <v>{couname:"[MHL] Wotho Atoll",year:"???",region:"rgn_Oceania",Colors:["cl_BLA","cl_YEL"],Items:["2Color","words2","lets10","startW","with_w","BLAYEL","NoBand","Horizo","Vertic","IsMoon","Unequa","Canton","staYEL","NO_BLU","NO_WHI","NO_RED","NO_GRE","WHGRNO","BLWHNO","BLRENO","WHRENO","myrYEL","HasSta","1Stars"],Flag:"https://upload.wikimedia.org/wikipedia/commons/thumb/9/91/Flag_of_Wotho_Atoll%2C_Marshall_Islands.svg/640px-Flag_of_Wotho_Atoll%2C_Marshall_Islands.svg.png",HDFlag:"https://upload.wikimedia.org/wikipedia/commons/thumb/9/91/Flag_of_Wotho_Atoll%2C_Marshall_Islands.svg/1280px-Flag_of_Wotho_Atoll%2C_Marshall_Islands.svg.png",type:"Atoll", describe: "\nA yellow field with a black canton containing a yellow crescent moon and a yellow star.", links: "https://en.m.wikipedia.org/wiki/Flag_of_the_Marshall_Islands"},</v>
      </c>
      <c r="HH9" s="44" t="str">
        <f t="shared" si="118"/>
        <v>"\nA yellow field with a black canton containing a yellow crescent moon and a yellow star."</v>
      </c>
      <c r="HI9" s="44" t="str">
        <f t="shared" si="119"/>
        <v>"\nA yellow field with a black canton containing a yellow crescent moon and a yellow star."</v>
      </c>
      <c r="HJ9" s="44" t="str">
        <f t="shared" si="120"/>
        <v>"???"</v>
      </c>
      <c r="HL9" s="44" t="str">
        <f t="shared" si="121"/>
        <v>"https://en.m.wikipedia.org/wiki/Flag_of_the_Marshall_Islands"</v>
      </c>
      <c r="HM9" s="65" t="str">
        <f t="shared" si="122"/>
        <v>{"couname":"[MHL] Wotho Atoll","year":"???","region":"rgn_Oceania","Colors":["cl_BLA","cl_YEL"],"Items":["2Color","words2","lets10","startW","with_w","BLAYEL","NoBand","Horizo","Vertic","IsMoon","Unequa","Canton","staYEL","NO_BLU","NO_WHI","NO_RED","NO_GRE","WHGRNO","BLWHNO","BLRENO","WHRENO","myrYEL","HasSta","1Stars"],"Flag":"https://upload.wikimedia.org/wikipedia/commons/thumb/9/91/Flag_of_Wotho_Atoll%2C_Marshall_Islands.svg/640px-Flag_of_Wotho_Atoll%2C_Marshall_Islands.svg.png","HDFlag":"https://upload.wikimedia.org/wikipedia/commons/thumb/9/91/Flag_of_Wotho_Atoll%2C_Marshall_Islands.svg/1280px-Flag_of_Wotho_Atoll%2C_Marshall_Islands.svg.png","type":"Atoll", "describe": "\nA yellow field with a black canton containing a yellow crescent moon and a yellow star.", "isnew": ".", "links": "https://en.m.wikipedia.org/wiki/Flag_of_the_Marshall_Islands"},</v>
      </c>
      <c r="HN9" s="67" t="str">
        <f t="shared" si="123"/>
        <v>{"couname":"[MHL] Wotho Atoll","year":"???","region":"rgn_Oceania","Colors":["cl_BLA","cl_YEL"],"Items":["2Color","words2","lets10","startW","with_w","BLAYEL","NoBand","Horizo","Vertic","IsMoon","Unequa","Canton","staYEL","NO_BLU","NO_WHI","NO_RED","NO_GRE","WHGRNO","BLWHNO","BLRENO","WHRENO","myrYEL","HasSta","1Stars"],"Flag":"https://upload.wikimedia.org/wikipedia/commons/thumb/9/91/Flag_of_Wotho_Atoll%2C_Marshall_Islands.svg/640px-Flag_of_Wotho_Atoll%2C_Marshall_Islands.svg.png","HDFlag":"https://upload.wikimedia.org/wikipedia/commons/thumb/9/91/Flag_of_Wotho_Atoll%2C_Marshall_Islands.svg/1280px-Flag_of_Wotho_Atoll%2C_Marshall_Islands.svg.png","type":"Atoll", "describe": "\nA yellow field with a black canton containing a yellow crescent moon and a yellow star.", "isnew": ".", "links": "https://en.m.wikipedia.org/wiki/Flag_of_the_Marshall_Islands"},</v>
      </c>
      <c r="HO9" s="71">
        <v>45618</v>
      </c>
      <c r="HP9" s="44" t="str" cm="1">
        <f t="array" ref="HP9">IF(_xlfn.TEXTJOIN(", ", TRUE, IF(ISNUMBER(SEARCH("BLA", BL9:BT9)), COLUMN(BL9:BT9) - COLUMN(BL9) + 1, ""))&lt;&gt;"","BLA","")</f>
        <v>BLA</v>
      </c>
      <c r="HQ9" s="44" t="str" cm="1">
        <f t="array" ref="HQ9">IF(_xlfn.TEXTJOIN(", ", TRUE, IF(ISNUMBER(SEARCH("BLU", BL9:BT9)), COLUMN(BL9:BT9) - COLUMN(BL9) + 1, ""))&lt;&gt;"","BLU","")</f>
        <v/>
      </c>
      <c r="HR9" s="44" t="str" cm="1">
        <f t="array" ref="HR9">IF(_xlfn.TEXTJOIN(", ", TRUE, IF(ISNUMBER(SEARCH("GRE", BL9:BT9)), COLUMN(BL9:BT9) - COLUMN(BL9) + 1, ""))&lt;&gt;"","GRE","")</f>
        <v/>
      </c>
      <c r="HS9" s="44" t="str" cm="1">
        <f t="array" ref="HS9">IF(_xlfn.TEXTJOIN(", ", TRUE, IF(ISNUMBER(SEARCH("RED", BL9:BT9)), COLUMN(BL9:BT9) - COLUMN(BL9) + 1, ""))&lt;&gt;"","RED","")</f>
        <v/>
      </c>
      <c r="HT9" s="44" t="str" cm="1">
        <f t="array" ref="HT9">IF(_xlfn.TEXTJOIN(", ", TRUE, IF(ISNUMBER(SEARCH("YEL", BL9:BT9)), COLUMN(BL9:BT9) - COLUMN(BL9) + 1, ""))&lt;&gt;"","YEL","")</f>
        <v>YEL</v>
      </c>
      <c r="HU9" s="44" t="str" cm="1">
        <f t="array" ref="HU9">IF(_xlfn.TEXTJOIN(", ", TRUE, IF(ISNUMBER(SEARCH("ORA", BL9:BT9)), COLUMN(BL9:BT9) - COLUMN(BL9) + 1, ""))&lt;&gt;"","ORA","")</f>
        <v/>
      </c>
      <c r="HV9" s="44" t="str" cm="1">
        <f t="array" ref="HV9">IF(_xlfn.TEXTJOIN(", ", TRUE, IF(ISNUMBER(SEARCH("BRO", BL9:BT9)), COLUMN(BL9:BT9) - COLUMN(BL9) + 1, ""))&lt;&gt;"","BRO","")</f>
        <v/>
      </c>
      <c r="HW9" s="44" t="str" cm="1">
        <f t="array" ref="HW9">IF(_xlfn.TEXTJOIN(", ", TRUE, IF(ISNUMBER(SEARCH("PUR", BL9:BT9)), COLUMN(BL9:BT9) - COLUMN(BL9) + 1, ""))&lt;&gt;"","PUR","")</f>
        <v/>
      </c>
      <c r="HX9" s="44" t="str" cm="1">
        <f t="array" ref="HX9">IF(_xlfn.TEXTJOIN(", ", TRUE, IF(ISNUMBER(SEARCH("WHI", BL9:BT9)), COLUMN(BL9:BT9) - COLUMN(BL9) + 1, ""))&lt;&gt;"","WHI","")</f>
        <v/>
      </c>
      <c r="HY9" s="72"/>
      <c r="HZ9" s="72"/>
      <c r="IA9" s="5"/>
      <c r="IB9" s="5"/>
      <c r="IC9" s="68"/>
      <c r="ID9" s="68"/>
      <c r="IE9" s="68"/>
      <c r="IF9" s="68"/>
      <c r="IG9" s="68"/>
      <c r="IH9" s="68"/>
      <c r="II9" s="68"/>
      <c r="IJ9" s="68"/>
      <c r="IK9" s="68"/>
      <c r="IM9" s="42">
        <f t="shared" si="124"/>
        <v>-2</v>
      </c>
      <c r="IN9" s="69" t="str">
        <f t="shared" si="125"/>
        <v>http://mkweb.bcgsc.ca/color-summarizer/?url=https://upload.wikimedia.org/wikipedia/commons/thumb/9/91/Flag_of_Wotho_Atoll%2C_Marshall_Islands.svg/640px-Flag_of_Wotho_Atoll%2C_Marshall_Islands.svg.png&amp;precision=low&amp;num_clusters=2&amp;text=1</v>
      </c>
      <c r="IO9" s="44" t="str">
        <f t="shared" si="126"/>
        <v>"black"</v>
      </c>
      <c r="IP9" s="44" t="str">
        <f t="shared" si="127"/>
        <v/>
      </c>
      <c r="IQ9" s="44" t="str">
        <f t="shared" si="128"/>
        <v/>
      </c>
      <c r="IR9" s="44" t="str">
        <f t="shared" si="129"/>
        <v/>
      </c>
      <c r="IS9" s="44" t="str">
        <f t="shared" si="130"/>
        <v>"yellow"</v>
      </c>
      <c r="IT9" s="44" t="str">
        <f t="shared" si="131"/>
        <v/>
      </c>
      <c r="IU9" s="44" t="str">
        <f t="shared" si="132"/>
        <v/>
      </c>
      <c r="IV9" s="44" t="str">
        <f t="shared" si="133"/>
        <v/>
      </c>
      <c r="IW9" s="44" t="str">
        <f t="shared" si="134"/>
        <v/>
      </c>
      <c r="IX9" s="44" t="str">
        <f t="shared" si="135"/>
        <v>{"url":"http://mkweb.bcgsc.ca/color-summarizer/?url=https://upload.wikimedia.org/wikipedia/commons/thumb/9/91/Flag_of_Wotho_Atoll%2C_Marshall_Islands.svg/640px-Flag_of_Wotho_Atoll%2C_Marshall_Islands.svg.png&amp;precision=low&amp;num_clusters=2&amp;text=1","name":"[MHL] Wotho Atoll"},</v>
      </c>
      <c r="IY9" s="44">
        <v>1012</v>
      </c>
    </row>
    <row r="10" spans="1:259" s="44" customFormat="1" ht="38.4" customHeight="1" thickBot="1" x14ac:dyDescent="0.35">
      <c r="A10" s="81" t="s">
        <v>690</v>
      </c>
      <c r="B10" s="78" t="e" vm="55">
        <v>#VALUE!</v>
      </c>
      <c r="C10" s="39">
        <v>3</v>
      </c>
      <c r="D10" s="70" t="s">
        <v>691</v>
      </c>
      <c r="E10" s="40" t="s">
        <v>692</v>
      </c>
      <c r="F10" s="41" t="s">
        <v>165</v>
      </c>
      <c r="G10" s="42">
        <f t="shared" si="0"/>
        <v>1</v>
      </c>
      <c r="H10" s="43" t="s">
        <v>912</v>
      </c>
      <c r="I10" s="59" t="s">
        <v>693</v>
      </c>
      <c r="J10" s="44" t="str">
        <f>""</f>
        <v/>
      </c>
      <c r="K10" s="45"/>
      <c r="L10" s="46"/>
      <c r="M10" s="46"/>
      <c r="N10" s="47" t="s">
        <v>177</v>
      </c>
      <c r="O10" s="74" t="s">
        <v>230</v>
      </c>
      <c r="P10" s="48" t="s">
        <v>694</v>
      </c>
      <c r="Q10" s="73">
        <v>4</v>
      </c>
      <c r="R10" s="49" t="s">
        <v>177</v>
      </c>
      <c r="S10" s="50">
        <v>3</v>
      </c>
      <c r="T10" s="51" t="s">
        <v>167</v>
      </c>
      <c r="U10" s="52" t="s">
        <v>166</v>
      </c>
      <c r="V10" s="52" t="s">
        <v>166</v>
      </c>
      <c r="W10" s="52" t="s">
        <v>166</v>
      </c>
      <c r="X10" s="52" t="s">
        <v>166</v>
      </c>
      <c r="Y10" s="52" t="s">
        <v>166</v>
      </c>
      <c r="Z10" s="52" t="s">
        <v>166</v>
      </c>
      <c r="AA10" s="52" t="s">
        <v>167</v>
      </c>
      <c r="AB10" s="52" t="s">
        <v>166</v>
      </c>
      <c r="AC10" s="52" t="s">
        <v>166</v>
      </c>
      <c r="AD10" s="52" t="s">
        <v>166</v>
      </c>
      <c r="AE10" s="52" t="s">
        <v>166</v>
      </c>
      <c r="AF10" s="53" t="s">
        <v>166</v>
      </c>
      <c r="AG10" s="53" t="s">
        <v>166</v>
      </c>
      <c r="AH10" s="53" t="s">
        <v>166</v>
      </c>
      <c r="AI10" s="53" t="s">
        <v>166</v>
      </c>
      <c r="AJ10" s="53" t="s">
        <v>166</v>
      </c>
      <c r="AK10" s="53" t="s">
        <v>166</v>
      </c>
      <c r="AL10" s="53" t="s">
        <v>166</v>
      </c>
      <c r="AM10" s="53" t="s">
        <v>166</v>
      </c>
      <c r="AN10" s="53" t="s">
        <v>166</v>
      </c>
      <c r="AO10" s="53" t="s">
        <v>166</v>
      </c>
      <c r="AP10" s="53" t="s">
        <v>166</v>
      </c>
      <c r="AQ10" s="53" t="s">
        <v>166</v>
      </c>
      <c r="AR10" s="53" t="s">
        <v>166</v>
      </c>
      <c r="AS10" s="53" t="s">
        <v>166</v>
      </c>
      <c r="AT10" s="54">
        <v>0</v>
      </c>
      <c r="AU10" s="53" t="s">
        <v>911</v>
      </c>
      <c r="AV10" s="53" t="str">
        <f t="shared" si="1"/>
        <v>[MHL]Atoll, Historical[MHL] Kwajalein Atoll (Pre 2022)</v>
      </c>
      <c r="AW10" s="53" t="str">
        <f t="shared" si="2"/>
        <v>3[MHL] Kwajalein Atoll[MHL] Kwajalein Atoll (Pre 2022)</v>
      </c>
      <c r="AX10" s="55"/>
      <c r="AY10" s="55"/>
      <c r="AZ10" s="56" t="s">
        <v>231</v>
      </c>
      <c r="BA10" s="56" t="s">
        <v>231</v>
      </c>
      <c r="BB10" s="56"/>
      <c r="BC10" s="57"/>
      <c r="BD10" s="58" t="s">
        <v>155</v>
      </c>
      <c r="BE10" s="59"/>
      <c r="BF10" s="58" t="s">
        <v>155</v>
      </c>
      <c r="BG10" s="58" t="s">
        <v>161</v>
      </c>
      <c r="BH10" s="58" t="s">
        <v>155</v>
      </c>
      <c r="BI10" s="58" t="s">
        <v>154</v>
      </c>
      <c r="BJ10" s="58" t="s">
        <v>158</v>
      </c>
      <c r="BK10" s="59"/>
      <c r="BL10" s="58" t="s">
        <v>231</v>
      </c>
      <c r="BM10" s="58" t="s">
        <v>154</v>
      </c>
      <c r="BN10" s="58" t="s">
        <v>155</v>
      </c>
      <c r="BO10" s="58" t="s">
        <v>231</v>
      </c>
      <c r="BP10" s="58" t="s">
        <v>231</v>
      </c>
      <c r="BQ10" s="58" t="s">
        <v>158</v>
      </c>
      <c r="BR10" s="58" t="s">
        <v>231</v>
      </c>
      <c r="BS10" s="58" t="s">
        <v>231</v>
      </c>
      <c r="BT10" s="58" t="s">
        <v>161</v>
      </c>
      <c r="BU10" s="60"/>
      <c r="BV10" s="61"/>
      <c r="BW10" s="61">
        <v>0</v>
      </c>
      <c r="BX10" s="59"/>
      <c r="BY10" s="44" t="s">
        <v>167</v>
      </c>
      <c r="CB10" s="5"/>
      <c r="CC10" s="5"/>
      <c r="CD10" s="62">
        <v>0</v>
      </c>
      <c r="CE10" s="62">
        <v>0</v>
      </c>
      <c r="CF10" s="62" t="e">
        <v>#REF!</v>
      </c>
      <c r="CG10" s="75" cm="1">
        <f t="array" ref="CG10">SUMPRODUCT(--(LEN(TRIM(BL10:BT10))&gt;0))</f>
        <v>4</v>
      </c>
      <c r="CH10" s="53" t="str">
        <f t="shared" si="3"/>
        <v>n</v>
      </c>
      <c r="CI10" s="53" t="str">
        <f t="shared" si="4"/>
        <v>n</v>
      </c>
      <c r="CJ10" s="53" t="str">
        <f t="shared" si="5"/>
        <v>y</v>
      </c>
      <c r="CK10" s="53" t="str">
        <f t="shared" si="6"/>
        <v>n</v>
      </c>
      <c r="CL10" s="53" t="str">
        <f t="shared" si="7"/>
        <v>n</v>
      </c>
      <c r="CM10" s="53" t="str">
        <f t="shared" si="8"/>
        <v>n</v>
      </c>
      <c r="CN10" s="53" t="str">
        <f t="shared" si="9"/>
        <v>y</v>
      </c>
      <c r="CO10" s="53" t="str">
        <f t="shared" si="10"/>
        <v>n</v>
      </c>
      <c r="CP10" s="53" t="str">
        <f t="shared" si="11"/>
        <v>y</v>
      </c>
      <c r="CQ10" s="53" t="str">
        <f t="shared" si="12"/>
        <v>n</v>
      </c>
      <c r="CR10" s="53" t="str">
        <f t="shared" si="13"/>
        <v>n</v>
      </c>
      <c r="CS10" s="53" t="str">
        <f t="shared" si="14"/>
        <v>n</v>
      </c>
      <c r="CT10" s="38" t="str">
        <f t="shared" si="15"/>
        <v>"[MHL] Kwajalein Atoll (Pre 2022)"</v>
      </c>
      <c r="CU10" s="63" t="str">
        <f t="shared" si="16"/>
        <v>"rgn_Oceania"</v>
      </c>
      <c r="CV10" s="44" t="str">
        <f t="shared" si="17"/>
        <v>"https://upload.wikimedia.org/wikipedia/commons/thumb/a/a4/Kwajalein_Atoll_Flag.svg/640px-Kwajalein_Atoll_Flag.svg.png"</v>
      </c>
      <c r="CW10" s="44" t="str">
        <f t="shared" si="18"/>
        <v/>
      </c>
      <c r="CX10" s="44" t="str">
        <f t="shared" si="19"/>
        <v/>
      </c>
      <c r="CY10" s="44" t="str">
        <f t="shared" si="20"/>
        <v>"4Color",</v>
      </c>
      <c r="CZ10" s="44" t="str">
        <f t="shared" si="21"/>
        <v/>
      </c>
      <c r="DA10" s="44" t="str">
        <f t="shared" si="22"/>
        <v>"words2",</v>
      </c>
      <c r="DB10" s="44" t="str">
        <f t="shared" si="23"/>
        <v>"words3",</v>
      </c>
      <c r="DD10" s="44" t="str">
        <f t="shared" si="137"/>
        <v>"lets23",</v>
      </c>
      <c r="DE10" s="44" t="str">
        <f t="shared" si="138"/>
        <v>"startK",</v>
      </c>
      <c r="DF10" s="44" t="str">
        <f t="shared" si="24"/>
        <v/>
      </c>
      <c r="DG10" s="44" t="str">
        <f t="shared" si="25"/>
        <v/>
      </c>
      <c r="DH10" s="44" t="str">
        <f t="shared" si="26"/>
        <v/>
      </c>
      <c r="DI10" s="44" t="str">
        <f t="shared" si="27"/>
        <v>"with_w",</v>
      </c>
      <c r="DJ10" s="44" t="str">
        <f t="shared" si="28"/>
        <v/>
      </c>
      <c r="DK10" s="44" t="str">
        <f t="shared" si="29"/>
        <v/>
      </c>
      <c r="DL10" s="44" t="str">
        <f t="shared" si="30"/>
        <v/>
      </c>
      <c r="DM10" s="44" t="str" cm="1">
        <f t="array" ref="DM10">IF(CG10=3,CHAR(34) &amp; _xlfn.TEXTJOIN("", TRUE, RIGHT(HP10:HX10, 2)) &amp; CHAR(34) &amp; ",", "")</f>
        <v/>
      </c>
      <c r="DN10" s="44" t="str">
        <f t="shared" si="31"/>
        <v/>
      </c>
      <c r="DO10" s="44" t="str">
        <f t="shared" si="32"/>
        <v/>
      </c>
      <c r="DP10" s="5" t="str">
        <f t="shared" si="33"/>
        <v/>
      </c>
      <c r="DQ10" s="5" t="str">
        <f t="shared" si="34"/>
        <v/>
      </c>
      <c r="DR10" s="5" t="str">
        <f t="shared" si="35"/>
        <v>"dgband",</v>
      </c>
      <c r="DS10" s="5" t="str">
        <f t="shared" si="36"/>
        <v/>
      </c>
      <c r="DT10" s="5" t="str">
        <f t="shared" si="37"/>
        <v/>
      </c>
      <c r="DU10" s="5" t="str">
        <f t="shared" si="38"/>
        <v>"alldia",</v>
      </c>
      <c r="DW10" s="44" t="str">
        <f t="shared" si="39"/>
        <v/>
      </c>
      <c r="DX10" s="44" t="str">
        <f t="shared" si="40"/>
        <v/>
      </c>
      <c r="DY10" s="44" t="str">
        <f t="shared" si="41"/>
        <v>"3Bands",</v>
      </c>
      <c r="DZ10" s="44" t="str">
        <f t="shared" si="42"/>
        <v/>
      </c>
      <c r="EA10" s="44" t="str">
        <f t="shared" si="43"/>
        <v>"Diagon",</v>
      </c>
      <c r="EB10" s="44" t="str">
        <f t="shared" si="44"/>
        <v/>
      </c>
      <c r="EC10" s="44" t="str">
        <f t="shared" si="45"/>
        <v/>
      </c>
      <c r="ED10" s="44" t="str">
        <f t="shared" si="46"/>
        <v/>
      </c>
      <c r="EE10" s="44" t="str">
        <f t="shared" si="47"/>
        <v/>
      </c>
      <c r="EF10" s="44" t="str">
        <f t="shared" si="48"/>
        <v/>
      </c>
      <c r="EG10" s="44" t="str">
        <f t="shared" si="49"/>
        <v/>
      </c>
      <c r="EH10" s="44" t="str">
        <f t="shared" si="50"/>
        <v>"Plants",</v>
      </c>
      <c r="EI10" s="44" t="str">
        <f t="shared" si="51"/>
        <v/>
      </c>
      <c r="EJ10" s="44" t="str">
        <f t="shared" si="52"/>
        <v/>
      </c>
      <c r="EK10" s="44" t="str">
        <f t="shared" si="53"/>
        <v/>
      </c>
      <c r="EL10" s="44" t="str">
        <f t="shared" si="54"/>
        <v/>
      </c>
      <c r="EM10" s="44" t="str">
        <f t="shared" si="55"/>
        <v/>
      </c>
      <c r="EN10" s="44" t="str">
        <f t="shared" si="56"/>
        <v/>
      </c>
      <c r="EO10" s="44" t="str">
        <f t="shared" si="57"/>
        <v/>
      </c>
      <c r="EP10" s="44" t="str">
        <f t="shared" si="58"/>
        <v/>
      </c>
      <c r="EQ10" s="44" t="str">
        <f t="shared" si="59"/>
        <v/>
      </c>
      <c r="ER10" s="44" t="str">
        <f t="shared" si="60"/>
        <v/>
      </c>
      <c r="ES10" s="44" t="str">
        <f t="shared" si="61"/>
        <v/>
      </c>
      <c r="ET10" s="44" t="str">
        <f t="shared" si="62"/>
        <v/>
      </c>
      <c r="EU10" s="44" t="str">
        <f t="shared" si="63"/>
        <v/>
      </c>
      <c r="EV10" s="44" t="str">
        <f t="shared" si="64"/>
        <v/>
      </c>
      <c r="EW10" s="44" t="str">
        <f t="shared" si="65"/>
        <v/>
      </c>
      <c r="EX10" s="44" t="str">
        <f t="shared" si="66"/>
        <v/>
      </c>
      <c r="EY10" s="44" t="str">
        <f t="shared" si="67"/>
        <v/>
      </c>
      <c r="EZ10" s="44" t="str">
        <f t="shared" si="68"/>
        <v/>
      </c>
      <c r="FA10" s="44" t="str">
        <f t="shared" si="69"/>
        <v/>
      </c>
      <c r="FB10" s="44" t="str">
        <f t="shared" si="70"/>
        <v/>
      </c>
      <c r="FD10" s="44" t="str">
        <f t="shared" si="71"/>
        <v/>
      </c>
      <c r="FE10" s="44" t="str">
        <f t="shared" si="72"/>
        <v/>
      </c>
      <c r="FF10" s="44" t="str">
        <f t="shared" si="73"/>
        <v/>
      </c>
      <c r="FG10" s="44" t="str">
        <f t="shared" si="74"/>
        <v>"NO_RED",</v>
      </c>
      <c r="FH10" s="44" t="str">
        <f t="shared" si="75"/>
        <v/>
      </c>
      <c r="FI10" s="44" t="str">
        <f t="shared" si="76"/>
        <v>"NO_YEL",</v>
      </c>
      <c r="FJ10" s="44" t="str">
        <f t="shared" si="77"/>
        <v>"NO_BLA",</v>
      </c>
      <c r="FK10" s="44" t="str">
        <f t="shared" si="78"/>
        <v/>
      </c>
      <c r="FL10" s="44" t="str">
        <f t="shared" si="79"/>
        <v/>
      </c>
      <c r="FM10" s="44" t="str">
        <f t="shared" si="80"/>
        <v/>
      </c>
      <c r="FN10" s="44" t="str">
        <f t="shared" si="81"/>
        <v/>
      </c>
      <c r="FO10" s="44" t="str">
        <f t="shared" si="82"/>
        <v/>
      </c>
      <c r="FP10" s="44" t="str">
        <f t="shared" si="83"/>
        <v/>
      </c>
      <c r="FQ10" s="44" t="str">
        <f t="shared" si="84"/>
        <v>"001GRE",</v>
      </c>
      <c r="FR10" s="44" t="str">
        <f t="shared" si="85"/>
        <v>"002WHI",</v>
      </c>
      <c r="FS10" s="44" t="str">
        <f t="shared" si="86"/>
        <v>"003GRE",</v>
      </c>
      <c r="FT10" s="44" t="str">
        <f t="shared" si="87"/>
        <v>"myrGRE",</v>
      </c>
      <c r="FU10" s="44" t="str">
        <f t="shared" si="88"/>
        <v/>
      </c>
      <c r="FV10" s="44" t="str">
        <f t="shared" si="89"/>
        <v/>
      </c>
      <c r="FW10" s="44" t="str">
        <f t="shared" si="90"/>
        <v/>
      </c>
      <c r="FY10" s="44" t="str">
        <f t="shared" si="91"/>
        <v/>
      </c>
      <c r="FZ10" s="44" t="str">
        <f t="shared" si="92"/>
        <v/>
      </c>
      <c r="GA10" s="44" t="str">
        <f t="shared" si="93"/>
        <v/>
      </c>
      <c r="GB10" s="44" t="str">
        <f t="shared" si="94"/>
        <v/>
      </c>
      <c r="GE10" s="44" t="str">
        <f t="shared" si="95"/>
        <v/>
      </c>
      <c r="GF10" s="44" t="str">
        <f t="shared" si="136"/>
        <v>"histor",</v>
      </c>
      <c r="GG10" s="44" t="str">
        <f t="shared" si="96"/>
        <v/>
      </c>
      <c r="GH10" s="44" t="str">
        <f t="shared" si="97"/>
        <v/>
      </c>
      <c r="GI10" s="44" t="str">
        <f t="shared" si="98"/>
        <v/>
      </c>
      <c r="GJ10" s="44" t="str">
        <f t="shared" si="99"/>
        <v>"NoStar",</v>
      </c>
      <c r="GK10" s="44" t="str">
        <f t="shared" si="100"/>
        <v/>
      </c>
      <c r="GL10" s="44" t="str">
        <f t="shared" si="101"/>
        <v/>
      </c>
      <c r="GM10" s="44" t="str">
        <f t="shared" si="102"/>
        <v/>
      </c>
      <c r="GN10" s="44" t="str">
        <f t="shared" si="103"/>
        <v/>
      </c>
      <c r="GP10" s="44" t="str">
        <f t="shared" si="104"/>
        <v>"Atoll, Historical"</v>
      </c>
      <c r="GS10" s="44" t="str">
        <f t="shared" si="105"/>
        <v>["4Color","words2","words3","lets23","startK","with_w","dgband","alldia","3Bands","Diagon","Plants","NO_RED","NO_YEL","NO_BLA","001GRE","002WHI","003GRE","myrGRE","histor","NoStar"]</v>
      </c>
      <c r="GT10" s="44" t="str">
        <f t="shared" si="106"/>
        <v/>
      </c>
      <c r="GU10" s="44" t="str">
        <f t="shared" si="107"/>
        <v>"cl_BLU",</v>
      </c>
      <c r="GV10" s="44" t="str">
        <f t="shared" si="108"/>
        <v>"cl_GRE",</v>
      </c>
      <c r="GW10" s="44" t="str">
        <f t="shared" si="109"/>
        <v/>
      </c>
      <c r="GX10" s="44" t="str">
        <f t="shared" si="110"/>
        <v/>
      </c>
      <c r="GY10" s="44" t="str">
        <f t="shared" si="111"/>
        <v>"cl_ORA",</v>
      </c>
      <c r="GZ10" s="44" t="str">
        <f t="shared" si="112"/>
        <v/>
      </c>
      <c r="HA10" s="44" t="str">
        <f t="shared" si="113"/>
        <v/>
      </c>
      <c r="HB10" s="44" t="str">
        <f t="shared" si="114"/>
        <v>"cl_WHI",</v>
      </c>
      <c r="HC10" s="44" t="str">
        <f t="shared" si="115"/>
        <v>["cl_BLU","cl_GRE","cl_ORA","cl_WHI"]</v>
      </c>
      <c r="HE10" s="64"/>
      <c r="HF10" s="65" t="str">
        <f t="shared" si="116"/>
        <v>{couname:"[MHL] Kwajalein Atoll (Pre 2022)",year:"???",region:"rgn_Oceania",Colors:["cl_BLU","cl_GRE","cl_ORA","cl_WHI"],Items:["4Color","words2","words3","lets23","startK","with_w","dgband","alldia","3Bands","Diagon","Plants","NO_RED","NO_YEL","NO_BLA","001GRE","002WHI","003GRE","myrGRE","histor","NoStar"],Flag:"https://upload.wikimedia.org/wikipedia/commons/thumb/a/a4/Kwajalein_Atoll_Flag.svg/640px-Kwajalein_Atoll_Flag.svg.png",HDFlag:"https://upload.wikimedia.org/wikipedia/commons/thumb/a/a4/Kwajalein_Atoll_Flag.svg/1280px-Kwajalein_Atoll_Flag.svg.png",type:"Atoll, Historical", describe: "\nA green field with a white flower in the top left corner. Three diagonal bands of blue, white, and orange cross the flag.", isnew:".", links: "https://en.m.wikipedia.org/wiki/Kwajalein_Atoll"},</v>
      </c>
      <c r="HG10" s="66" t="str">
        <f t="shared" si="117"/>
        <v>{couname:"[MHL] Kwajalein Atoll (Pre 2022)",year:"???",region:"rgn_Oceania",Colors:["cl_BLU","cl_GRE","cl_ORA","cl_WHI"],Items:["4Color","words2","words3","lets23","startK","with_w","dgband","alldia","3Bands","Diagon","Plants","NO_RED","NO_YEL","NO_BLA","001GRE","002WHI","003GRE","myrGRE","histor","NoStar"],Flag:"https://upload.wikimedia.org/wikipedia/commons/thumb/a/a4/Kwajalein_Atoll_Flag.svg/640px-Kwajalein_Atoll_Flag.svg.png",HDFlag:"https://upload.wikimedia.org/wikipedia/commons/thumb/a/a4/Kwajalein_Atoll_Flag.svg/1280px-Kwajalein_Atoll_Flag.svg.png",type:"Atoll, Historical", describe: "\nA green field with a white flower in the top left corner. Three diagonal bands of blue, white, and orange cross the flag.", links: "https://en.m.wikipedia.org/wiki/Kwajalein_Atoll"},</v>
      </c>
      <c r="HH10" s="44" t="str">
        <f t="shared" si="118"/>
        <v>"\nA green field with a white flower in the top left corner. Three diagonal bands of blue, white, and orange cross the flag."</v>
      </c>
      <c r="HI10" s="44" t="str">
        <f t="shared" si="119"/>
        <v>"\nA green field with a white flower in the top left corner. Three diagonal bands of blue, white, and orange cross the flag."</v>
      </c>
      <c r="HJ10" s="44" t="str">
        <f t="shared" si="120"/>
        <v>"???"</v>
      </c>
      <c r="HL10" s="44" t="str">
        <f t="shared" si="121"/>
        <v>"https://en.m.wikipedia.org/wiki/Kwajalein_Atoll"</v>
      </c>
      <c r="HM10" s="65" t="str">
        <f t="shared" si="122"/>
        <v>{"couname":"[MHL] Kwajalein Atoll (Pre 2022)","subtype":"[MHL] Kwajalein Atoll","year":"???","region":"rgn_Oceania","Colors":["cl_BLU","cl_GRE","cl_ORA","cl_WHI"],"Items":["4Color","words2","words3","lets23","startK","with_w","dgband","alldia","3Bands","Diagon","Plants","NO_RED","NO_YEL","NO_BLA","001GRE","002WHI","003GRE","myrGRE","histor","NoStar"],"Flag":"https://upload.wikimedia.org/wikipedia/commons/thumb/a/a4/Kwajalein_Atoll_Flag.svg/640px-Kwajalein_Atoll_Flag.svg.png","HDFlag":"https://upload.wikimedia.org/wikipedia/commons/thumb/a/a4/Kwajalein_Atoll_Flag.svg/1280px-Kwajalein_Atoll_Flag.svg.png","type":"Atoll, Historical", "describe": "\nA green field with a white flower in the top left corner. Three diagonal bands of blue, white, and orange cross the flag.", "isnew": ".", "links": "https://en.m.wikipedia.org/wiki/Kwajalein_Atoll"},</v>
      </c>
      <c r="HN10" s="67" t="str">
        <f t="shared" si="123"/>
        <v>{"couname":"[MHL] Kwajalein Atoll (Pre 2022)","subtype":"[MHL] Kwajalein Atoll","year":"???","region":"rgn_Oceania","Colors":["cl_BLU","cl_GRE","cl_ORA","cl_WHI"],"Items":["4Color","words2","words3","lets23","startK","with_w","dgband","alldia","3Bands","Diagon","Plants","NO_RED","NO_YEL","NO_BLA","001GRE","002WHI","003GRE","myrGRE","histor","NoStar"],"Flag":"https://upload.wikimedia.org/wikipedia/commons/thumb/a/a4/Kwajalein_Atoll_Flag.svg/640px-Kwajalein_Atoll_Flag.svg.png","HDFlag":"https://upload.wikimedia.org/wikipedia/commons/thumb/a/a4/Kwajalein_Atoll_Flag.svg/1280px-Kwajalein_Atoll_Flag.svg.png","type":"Atoll, Historical", "describe": "\nA green field with a white flower in the top left corner. Three diagonal bands of blue, white, and orange cross the flag.", "isnew": ".", "links": "https://en.m.wikipedia.org/wiki/Kwajalein_Atoll"},</v>
      </c>
      <c r="HO10" s="71">
        <v>45610</v>
      </c>
      <c r="HP10" s="44" t="str" cm="1">
        <f t="array" ref="HP10">IF(_xlfn.TEXTJOIN(", ", TRUE, IF(ISNUMBER(SEARCH("BLA", BL10:BT10)), COLUMN(BL10:BT10) - COLUMN(BL10) + 1, ""))&lt;&gt;"","BLA","")</f>
        <v/>
      </c>
      <c r="HQ10" s="44" t="str" cm="1">
        <f t="array" ref="HQ10">IF(_xlfn.TEXTJOIN(", ", TRUE, IF(ISNUMBER(SEARCH("BLU", BL10:BT10)), COLUMN(BL10:BT10) - COLUMN(BL10) + 1, ""))&lt;&gt;"","BLU","")</f>
        <v>BLU</v>
      </c>
      <c r="HR10" s="44" t="str" cm="1">
        <f t="array" ref="HR10">IF(_xlfn.TEXTJOIN(", ", TRUE, IF(ISNUMBER(SEARCH("GRE", BL10:BT10)), COLUMN(BL10:BT10) - COLUMN(BL10) + 1, ""))&lt;&gt;"","GRE","")</f>
        <v>GRE</v>
      </c>
      <c r="HS10" s="44" t="str" cm="1">
        <f t="array" ref="HS10">IF(_xlfn.TEXTJOIN(", ", TRUE, IF(ISNUMBER(SEARCH("RED", BL10:BT10)), COLUMN(BL10:BT10) - COLUMN(BL10) + 1, ""))&lt;&gt;"","RED","")</f>
        <v/>
      </c>
      <c r="HT10" s="44" t="str" cm="1">
        <f t="array" ref="HT10">IF(_xlfn.TEXTJOIN(", ", TRUE, IF(ISNUMBER(SEARCH("YEL", BL10:BT10)), COLUMN(BL10:BT10) - COLUMN(BL10) + 1, ""))&lt;&gt;"","YEL","")</f>
        <v/>
      </c>
      <c r="HU10" s="44" t="str" cm="1">
        <f t="array" ref="HU10">IF(_xlfn.TEXTJOIN(", ", TRUE, IF(ISNUMBER(SEARCH("ORA", BL10:BT10)), COLUMN(BL10:BT10) - COLUMN(BL10) + 1, ""))&lt;&gt;"","ORA","")</f>
        <v>ORA</v>
      </c>
      <c r="HV10" s="44" t="str" cm="1">
        <f t="array" ref="HV10">IF(_xlfn.TEXTJOIN(", ", TRUE, IF(ISNUMBER(SEARCH("BRO", BL10:BT10)), COLUMN(BL10:BT10) - COLUMN(BL10) + 1, ""))&lt;&gt;"","BRO","")</f>
        <v/>
      </c>
      <c r="HW10" s="44" t="str" cm="1">
        <f t="array" ref="HW10">IF(_xlfn.TEXTJOIN(", ", TRUE, IF(ISNUMBER(SEARCH("PUR", BL10:BT10)), COLUMN(BL10:BT10) - COLUMN(BL10) + 1, ""))&lt;&gt;"","PUR","")</f>
        <v/>
      </c>
      <c r="HX10" s="44" t="str" cm="1">
        <f t="array" ref="HX10">IF(_xlfn.TEXTJOIN(", ", TRUE, IF(ISNUMBER(SEARCH("WHI", BL10:BT10)), COLUMN(BL10:BT10) - COLUMN(BL10) + 1, ""))&lt;&gt;"","WHI","")</f>
        <v>WHI</v>
      </c>
      <c r="HY10" s="72"/>
      <c r="HZ10" s="72"/>
      <c r="IA10" s="5"/>
      <c r="IB10" s="5"/>
      <c r="IC10" s="68"/>
      <c r="ID10" s="68"/>
      <c r="IE10" s="68"/>
      <c r="IF10" s="68"/>
      <c r="IG10" s="68"/>
      <c r="IH10" s="68"/>
      <c r="II10" s="68"/>
      <c r="IJ10" s="68"/>
      <c r="IK10" s="68"/>
      <c r="IM10" s="42">
        <f t="shared" si="124"/>
        <v>-4</v>
      </c>
      <c r="IN10" s="69" t="str">
        <f t="shared" si="125"/>
        <v>http://mkweb.bcgsc.ca/color-summarizer/?url=https://upload.wikimedia.org/wikipedia/commons/thumb/a/a4/Kwajalein_Atoll_Flag.svg/640px-Kwajalein_Atoll_Flag.svg.png&amp;precision=low&amp;num_clusters=4&amp;text=1</v>
      </c>
      <c r="IO10" s="44" t="str">
        <f t="shared" si="126"/>
        <v/>
      </c>
      <c r="IP10" s="44" t="str">
        <f t="shared" si="127"/>
        <v>"blue"</v>
      </c>
      <c r="IQ10" s="44" t="str">
        <f t="shared" si="128"/>
        <v>"green"</v>
      </c>
      <c r="IR10" s="44" t="str">
        <f t="shared" si="129"/>
        <v/>
      </c>
      <c r="IS10" s="44" t="str">
        <f t="shared" si="130"/>
        <v/>
      </c>
      <c r="IT10" s="44" t="str">
        <f t="shared" si="131"/>
        <v>"orange"</v>
      </c>
      <c r="IU10" s="44" t="str">
        <f t="shared" si="132"/>
        <v/>
      </c>
      <c r="IV10" s="44" t="str">
        <f t="shared" si="133"/>
        <v/>
      </c>
      <c r="IW10" s="44" t="str">
        <f t="shared" si="134"/>
        <v>"white"</v>
      </c>
      <c r="IX10" s="44" t="str">
        <f t="shared" si="135"/>
        <v>{"url":"http://mkweb.bcgsc.ca/color-summarizer/?url=https://upload.wikimedia.org/wikipedia/commons/thumb/a/a4/Kwajalein_Atoll_Flag.svg/640px-Kwajalein_Atoll_Flag.svg.png&amp;precision=low&amp;num_clusters=4&amp;text=1","name":"[MHL] Kwajalein Atoll (Pre 2022)"},</v>
      </c>
      <c r="IY10" s="44">
        <v>1345</v>
      </c>
    </row>
    <row r="11" spans="1:259" ht="38.4" customHeight="1" x14ac:dyDescent="0.3">
      <c r="BW11" s="82">
        <v>0</v>
      </c>
      <c r="CE11" s="82">
        <v>0</v>
      </c>
      <c r="CF11" s="82" t="e">
        <v>#REF!</v>
      </c>
      <c r="GE11" s="82" t="str">
        <f t="shared" si="95"/>
        <v/>
      </c>
      <c r="GG11" s="82" t="str">
        <f t="shared" si="96"/>
        <v/>
      </c>
      <c r="GH11" s="82" t="str">
        <f t="shared" si="97"/>
        <v/>
      </c>
      <c r="GI11" s="82" t="str">
        <f t="shared" si="98"/>
        <v/>
      </c>
    </row>
    <row r="12" spans="1:259" ht="38.4" customHeight="1" x14ac:dyDescent="0.3">
      <c r="BW12" s="82">
        <v>0</v>
      </c>
      <c r="CE12" s="82">
        <v>0</v>
      </c>
      <c r="CF12" s="82" t="e">
        <v>#REF!</v>
      </c>
      <c r="GE12" s="82" t="str">
        <f t="shared" si="95"/>
        <v/>
      </c>
      <c r="GG12" s="82" t="str">
        <f t="shared" si="96"/>
        <v/>
      </c>
      <c r="GH12" s="82" t="str">
        <f t="shared" si="97"/>
        <v/>
      </c>
      <c r="GI12" s="82" t="str">
        <f t="shared" si="98"/>
        <v/>
      </c>
    </row>
    <row r="13" spans="1:259" ht="38.4" customHeight="1" x14ac:dyDescent="0.3">
      <c r="BW13" s="82">
        <v>0</v>
      </c>
      <c r="CE13" s="82">
        <v>0</v>
      </c>
      <c r="CF13" s="82" t="e">
        <v>#REF!</v>
      </c>
      <c r="GE13" s="82" t="str">
        <f t="shared" si="95"/>
        <v/>
      </c>
      <c r="GG13" s="82" t="str">
        <f t="shared" si="96"/>
        <v/>
      </c>
      <c r="GH13" s="82" t="str">
        <f t="shared" si="97"/>
        <v/>
      </c>
      <c r="GI13" s="82" t="str">
        <f t="shared" si="98"/>
        <v/>
      </c>
    </row>
    <row r="14" spans="1:259" ht="38.4" customHeight="1" x14ac:dyDescent="0.3">
      <c r="BW14" s="82">
        <v>0</v>
      </c>
      <c r="CE14" s="82">
        <v>0</v>
      </c>
      <c r="CF14" s="82" t="e">
        <v>#REF!</v>
      </c>
      <c r="GE14" s="82" t="str">
        <f t="shared" si="95"/>
        <v/>
      </c>
      <c r="GG14" s="82" t="str">
        <f t="shared" si="96"/>
        <v/>
      </c>
      <c r="GH14" s="82" t="str">
        <f t="shared" si="97"/>
        <v/>
      </c>
      <c r="GI14" s="82" t="str">
        <f t="shared" si="98"/>
        <v/>
      </c>
    </row>
    <row r="15" spans="1:259" ht="38.4" customHeight="1" x14ac:dyDescent="0.3">
      <c r="BW15" s="82">
        <v>0</v>
      </c>
      <c r="CE15" s="82">
        <v>0</v>
      </c>
      <c r="CF15" s="82" t="e">
        <v>#REF!</v>
      </c>
      <c r="GE15" s="82" t="str">
        <f t="shared" si="95"/>
        <v/>
      </c>
      <c r="GG15" s="82" t="str">
        <f t="shared" si="96"/>
        <v/>
      </c>
      <c r="GH15" s="82" t="str">
        <f t="shared" si="97"/>
        <v/>
      </c>
      <c r="GI15" s="82" t="str">
        <f t="shared" si="98"/>
        <v/>
      </c>
    </row>
    <row r="16" spans="1:259" ht="38.4" customHeight="1" x14ac:dyDescent="0.3">
      <c r="BW16" s="82">
        <v>0</v>
      </c>
      <c r="CE16" s="82">
        <v>0</v>
      </c>
      <c r="CF16" s="82" t="e">
        <v>#REF!</v>
      </c>
      <c r="GE16" s="82" t="str">
        <f t="shared" si="95"/>
        <v/>
      </c>
      <c r="GG16" s="82" t="str">
        <f t="shared" si="96"/>
        <v/>
      </c>
      <c r="GH16" s="82" t="str">
        <f t="shared" si="97"/>
        <v/>
      </c>
      <c r="GI16" s="82" t="str">
        <f t="shared" si="98"/>
        <v/>
      </c>
    </row>
    <row r="17" spans="75:191" ht="38.4" customHeight="1" x14ac:dyDescent="0.3">
      <c r="BW17" s="82">
        <v>0</v>
      </c>
      <c r="CE17" s="82">
        <v>0</v>
      </c>
      <c r="CF17" s="82" t="e">
        <v>#REF!</v>
      </c>
      <c r="GE17" s="82" t="str">
        <f t="shared" si="95"/>
        <v/>
      </c>
      <c r="GG17" s="82" t="str">
        <f t="shared" si="96"/>
        <v/>
      </c>
      <c r="GH17" s="82" t="str">
        <f t="shared" si="97"/>
        <v/>
      </c>
      <c r="GI17" s="82" t="str">
        <f t="shared" si="98"/>
        <v/>
      </c>
    </row>
    <row r="18" spans="75:191" ht="38.4" customHeight="1" x14ac:dyDescent="0.3">
      <c r="BW18" s="82">
        <v>0</v>
      </c>
      <c r="CE18" s="82">
        <v>0</v>
      </c>
      <c r="CF18" s="82" t="e">
        <v>#REF!</v>
      </c>
      <c r="GE18" s="82" t="str">
        <f t="shared" si="95"/>
        <v/>
      </c>
      <c r="GG18" s="82" t="str">
        <f t="shared" si="96"/>
        <v/>
      </c>
      <c r="GH18" s="82" t="str">
        <f t="shared" si="97"/>
        <v/>
      </c>
      <c r="GI18" s="82" t="str">
        <f t="shared" si="98"/>
        <v/>
      </c>
    </row>
    <row r="19" spans="75:191" ht="38.4" customHeight="1" x14ac:dyDescent="0.3">
      <c r="BW19" s="82">
        <v>0</v>
      </c>
      <c r="CE19" s="82">
        <v>0</v>
      </c>
      <c r="CF19" s="82" t="e">
        <v>#REF!</v>
      </c>
      <c r="GE19" s="82" t="str">
        <f t="shared" si="95"/>
        <v/>
      </c>
      <c r="GG19" s="82" t="str">
        <f t="shared" si="96"/>
        <v/>
      </c>
      <c r="GH19" s="82" t="str">
        <f t="shared" si="97"/>
        <v/>
      </c>
      <c r="GI19" s="82" t="str">
        <f t="shared" si="98"/>
        <v/>
      </c>
    </row>
    <row r="20" spans="75:191" ht="38.4" customHeight="1" x14ac:dyDescent="0.3">
      <c r="BW20" s="82">
        <v>0</v>
      </c>
      <c r="CE20" s="82">
        <v>0</v>
      </c>
      <c r="CF20" s="82" t="e">
        <v>#REF!</v>
      </c>
      <c r="GE20" s="82" t="str">
        <f t="shared" si="95"/>
        <v/>
      </c>
      <c r="GG20" s="82" t="str">
        <f t="shared" si="96"/>
        <v/>
      </c>
      <c r="GH20" s="82" t="str">
        <f t="shared" si="97"/>
        <v/>
      </c>
      <c r="GI20" s="82" t="str">
        <f t="shared" si="98"/>
        <v/>
      </c>
    </row>
    <row r="21" spans="75:191" ht="38.4" customHeight="1" x14ac:dyDescent="0.3">
      <c r="BW21" s="82">
        <v>0</v>
      </c>
      <c r="CE21" s="82">
        <v>0</v>
      </c>
      <c r="CF21" s="82" t="e">
        <v>#REF!</v>
      </c>
      <c r="GE21" s="82" t="str">
        <f t="shared" si="95"/>
        <v/>
      </c>
      <c r="GG21" s="82" t="str">
        <f t="shared" si="96"/>
        <v/>
      </c>
      <c r="GH21" s="82" t="str">
        <f t="shared" si="97"/>
        <v/>
      </c>
      <c r="GI21" s="82" t="str">
        <f t="shared" si="98"/>
        <v/>
      </c>
    </row>
    <row r="22" spans="75:191" ht="38.4" customHeight="1" x14ac:dyDescent="0.3">
      <c r="BW22" s="82">
        <v>0</v>
      </c>
      <c r="CE22" s="82">
        <v>0</v>
      </c>
      <c r="CF22" s="82" t="e">
        <v>#REF!</v>
      </c>
      <c r="GE22" s="82" t="str">
        <f t="shared" si="95"/>
        <v/>
      </c>
      <c r="GG22" s="82" t="str">
        <f t="shared" si="96"/>
        <v/>
      </c>
      <c r="GH22" s="82" t="str">
        <f t="shared" si="97"/>
        <v/>
      </c>
      <c r="GI22" s="82" t="str">
        <f t="shared" si="98"/>
        <v/>
      </c>
    </row>
    <row r="23" spans="75:191" ht="38.4" customHeight="1" x14ac:dyDescent="0.3">
      <c r="BW23" s="82">
        <v>0</v>
      </c>
      <c r="CE23" s="82">
        <v>0</v>
      </c>
      <c r="CF23" s="82" t="e">
        <v>#REF!</v>
      </c>
      <c r="GE23" s="82" t="str">
        <f t="shared" si="95"/>
        <v/>
      </c>
      <c r="GG23" s="82" t="str">
        <f t="shared" si="96"/>
        <v/>
      </c>
      <c r="GH23" s="82" t="str">
        <f t="shared" si="97"/>
        <v/>
      </c>
      <c r="GI23" s="82" t="str">
        <f t="shared" si="98"/>
        <v/>
      </c>
    </row>
    <row r="24" spans="75:191" ht="38.4" customHeight="1" x14ac:dyDescent="0.3">
      <c r="BW24" s="82">
        <v>0</v>
      </c>
      <c r="CE24" s="82">
        <v>0</v>
      </c>
      <c r="CF24" s="82" t="e">
        <v>#REF!</v>
      </c>
      <c r="GE24" s="82" t="str">
        <f t="shared" si="95"/>
        <v/>
      </c>
      <c r="GG24" s="82" t="str">
        <f t="shared" si="96"/>
        <v/>
      </c>
      <c r="GH24" s="82" t="str">
        <f t="shared" si="97"/>
        <v/>
      </c>
      <c r="GI24" s="82" t="str">
        <f t="shared" si="98"/>
        <v/>
      </c>
    </row>
    <row r="25" spans="75:191" ht="38.4" customHeight="1" x14ac:dyDescent="0.3">
      <c r="BW25" s="82">
        <v>0</v>
      </c>
      <c r="CE25" s="82">
        <v>0</v>
      </c>
      <c r="CF25" s="82" t="e">
        <v>#REF!</v>
      </c>
      <c r="GE25" s="82" t="str">
        <f t="shared" si="95"/>
        <v/>
      </c>
      <c r="GG25" s="82" t="str">
        <f t="shared" si="96"/>
        <v/>
      </c>
      <c r="GH25" s="82" t="str">
        <f t="shared" si="97"/>
        <v/>
      </c>
      <c r="GI25" s="82" t="str">
        <f t="shared" si="98"/>
        <v/>
      </c>
    </row>
    <row r="26" spans="75:191" ht="38.4" customHeight="1" x14ac:dyDescent="0.3">
      <c r="BW26" s="82">
        <v>0</v>
      </c>
      <c r="CE26" s="82">
        <v>0</v>
      </c>
      <c r="CF26" s="82" t="e">
        <v>#REF!</v>
      </c>
      <c r="GE26" s="82" t="str">
        <f t="shared" si="95"/>
        <v/>
      </c>
      <c r="GG26" s="82" t="str">
        <f t="shared" si="96"/>
        <v/>
      </c>
      <c r="GH26" s="82" t="str">
        <f t="shared" si="97"/>
        <v/>
      </c>
      <c r="GI26" s="82" t="str">
        <f t="shared" si="98"/>
        <v/>
      </c>
    </row>
    <row r="27" spans="75:191" ht="38.4" customHeight="1" x14ac:dyDescent="0.3">
      <c r="BW27" s="82">
        <v>0</v>
      </c>
      <c r="CE27" s="82">
        <v>0</v>
      </c>
      <c r="CF27" s="82" t="e">
        <v>#REF!</v>
      </c>
      <c r="GE27" s="82" t="str">
        <f t="shared" si="95"/>
        <v/>
      </c>
      <c r="GG27" s="82" t="str">
        <f t="shared" si="96"/>
        <v/>
      </c>
      <c r="GH27" s="82" t="str">
        <f t="shared" si="97"/>
        <v/>
      </c>
      <c r="GI27" s="82" t="str">
        <f t="shared" si="98"/>
        <v/>
      </c>
    </row>
    <row r="28" spans="75:191" ht="38.4" customHeight="1" x14ac:dyDescent="0.3">
      <c r="BW28" s="82">
        <v>0</v>
      </c>
      <c r="CE28" s="82">
        <v>0</v>
      </c>
      <c r="CF28" s="82" t="e">
        <v>#REF!</v>
      </c>
      <c r="GE28" s="82" t="str">
        <f t="shared" si="95"/>
        <v/>
      </c>
      <c r="GG28" s="82" t="str">
        <f t="shared" si="96"/>
        <v/>
      </c>
      <c r="GH28" s="82" t="str">
        <f t="shared" si="97"/>
        <v/>
      </c>
      <c r="GI28" s="82" t="str">
        <f t="shared" si="98"/>
        <v/>
      </c>
    </row>
    <row r="29" spans="75:191" ht="38.4" customHeight="1" x14ac:dyDescent="0.3">
      <c r="BW29" s="82">
        <v>0</v>
      </c>
      <c r="CE29" s="82">
        <v>0</v>
      </c>
      <c r="CF29" s="82" t="e">
        <v>#REF!</v>
      </c>
      <c r="GE29" s="82" t="str">
        <f t="shared" si="95"/>
        <v/>
      </c>
      <c r="GG29" s="82" t="str">
        <f t="shared" si="96"/>
        <v/>
      </c>
      <c r="GH29" s="82" t="str">
        <f t="shared" si="97"/>
        <v/>
      </c>
      <c r="GI29" s="82" t="str">
        <f t="shared" si="98"/>
        <v/>
      </c>
    </row>
    <row r="30" spans="75:191" ht="38.4" customHeight="1" x14ac:dyDescent="0.3">
      <c r="BW30" s="82">
        <v>0</v>
      </c>
      <c r="CE30" s="82">
        <v>0</v>
      </c>
      <c r="CF30" s="82" t="e">
        <v>#REF!</v>
      </c>
      <c r="GE30" s="82" t="str">
        <f t="shared" si="95"/>
        <v/>
      </c>
      <c r="GG30" s="82" t="str">
        <f t="shared" si="96"/>
        <v/>
      </c>
      <c r="GH30" s="82" t="str">
        <f t="shared" si="97"/>
        <v/>
      </c>
      <c r="GI30" s="82" t="str">
        <f t="shared" si="98"/>
        <v/>
      </c>
    </row>
    <row r="31" spans="75:191" ht="38.4" customHeight="1" x14ac:dyDescent="0.3">
      <c r="BW31" s="82">
        <v>0</v>
      </c>
      <c r="CE31" s="82">
        <v>0</v>
      </c>
      <c r="CF31" s="82" t="e">
        <v>#REF!</v>
      </c>
      <c r="GE31" s="82" t="str">
        <f t="shared" si="95"/>
        <v/>
      </c>
      <c r="GG31" s="82" t="str">
        <f t="shared" si="96"/>
        <v/>
      </c>
      <c r="GH31" s="82" t="str">
        <f t="shared" si="97"/>
        <v/>
      </c>
      <c r="GI31" s="82" t="str">
        <f t="shared" si="98"/>
        <v/>
      </c>
    </row>
    <row r="32" spans="75:191" ht="38.4" customHeight="1" x14ac:dyDescent="0.3">
      <c r="BW32" s="82">
        <v>0</v>
      </c>
      <c r="CE32" s="82">
        <v>0</v>
      </c>
      <c r="CF32" s="82" t="e">
        <v>#REF!</v>
      </c>
      <c r="GE32" s="82" t="str">
        <f t="shared" si="95"/>
        <v/>
      </c>
      <c r="GG32" s="82" t="str">
        <f t="shared" si="96"/>
        <v/>
      </c>
      <c r="GH32" s="82" t="str">
        <f t="shared" si="97"/>
        <v/>
      </c>
      <c r="GI32" s="82" t="str">
        <f t="shared" si="98"/>
        <v/>
      </c>
    </row>
    <row r="33" spans="75:191" ht="38.4" customHeight="1" x14ac:dyDescent="0.3">
      <c r="BW33" s="82">
        <v>0</v>
      </c>
      <c r="CE33" s="82">
        <v>0</v>
      </c>
      <c r="CF33" s="82" t="e">
        <v>#REF!</v>
      </c>
      <c r="GE33" s="82" t="str">
        <f t="shared" si="95"/>
        <v/>
      </c>
      <c r="GG33" s="82" t="str">
        <f t="shared" si="96"/>
        <v/>
      </c>
      <c r="GH33" s="82" t="str">
        <f t="shared" si="97"/>
        <v/>
      </c>
      <c r="GI33" s="82" t="str">
        <f t="shared" si="98"/>
        <v/>
      </c>
    </row>
    <row r="34" spans="75:191" ht="38.4" customHeight="1" x14ac:dyDescent="0.3">
      <c r="BW34" s="82">
        <v>0</v>
      </c>
      <c r="CE34" s="82">
        <v>0</v>
      </c>
      <c r="CF34" s="82" t="e">
        <v>#REF!</v>
      </c>
      <c r="GE34" s="82" t="str">
        <f t="shared" si="95"/>
        <v/>
      </c>
      <c r="GG34" s="82" t="str">
        <f t="shared" si="96"/>
        <v/>
      </c>
      <c r="GH34" s="82" t="str">
        <f t="shared" si="97"/>
        <v/>
      </c>
      <c r="GI34" s="82" t="str">
        <f t="shared" si="98"/>
        <v/>
      </c>
    </row>
    <row r="35" spans="75:191" ht="38.4" customHeight="1" x14ac:dyDescent="0.3">
      <c r="BW35" s="82">
        <v>0</v>
      </c>
      <c r="CE35" s="82">
        <v>0</v>
      </c>
      <c r="CF35" s="82" t="e">
        <v>#REF!</v>
      </c>
      <c r="GE35" s="82" t="str">
        <f t="shared" si="95"/>
        <v/>
      </c>
      <c r="GG35" s="82" t="str">
        <f t="shared" si="96"/>
        <v/>
      </c>
      <c r="GH35" s="82" t="str">
        <f t="shared" si="97"/>
        <v/>
      </c>
      <c r="GI35" s="82" t="str">
        <f t="shared" si="98"/>
        <v/>
      </c>
    </row>
    <row r="36" spans="75:191" ht="38.4" customHeight="1" x14ac:dyDescent="0.3">
      <c r="BW36" s="82">
        <v>0</v>
      </c>
      <c r="CE36" s="82">
        <v>0</v>
      </c>
      <c r="CF36" s="82" t="e">
        <v>#REF!</v>
      </c>
      <c r="GE36" s="82" t="str">
        <f t="shared" si="95"/>
        <v/>
      </c>
      <c r="GG36" s="82" t="str">
        <f t="shared" si="96"/>
        <v/>
      </c>
      <c r="GH36" s="82" t="str">
        <f t="shared" si="97"/>
        <v/>
      </c>
      <c r="GI36" s="82" t="str">
        <f t="shared" si="98"/>
        <v/>
      </c>
    </row>
    <row r="37" spans="75:191" ht="38.4" customHeight="1" x14ac:dyDescent="0.3">
      <c r="BW37" s="82">
        <v>0</v>
      </c>
      <c r="CE37" s="82">
        <v>0</v>
      </c>
      <c r="CF37" s="82" t="e">
        <v>#REF!</v>
      </c>
      <c r="GE37" s="82" t="str">
        <f t="shared" si="95"/>
        <v/>
      </c>
      <c r="GG37" s="82" t="str">
        <f t="shared" si="96"/>
        <v/>
      </c>
      <c r="GH37" s="82" t="str">
        <f t="shared" si="97"/>
        <v/>
      </c>
      <c r="GI37" s="82" t="str">
        <f t="shared" si="98"/>
        <v/>
      </c>
    </row>
    <row r="38" spans="75:191" ht="38.4" customHeight="1" x14ac:dyDescent="0.3">
      <c r="BW38" s="82">
        <v>0</v>
      </c>
      <c r="CE38" s="82">
        <v>0</v>
      </c>
      <c r="CF38" s="82" t="e">
        <v>#REF!</v>
      </c>
      <c r="GE38" s="82" t="str">
        <f t="shared" si="95"/>
        <v/>
      </c>
      <c r="GG38" s="82" t="str">
        <f t="shared" si="96"/>
        <v/>
      </c>
      <c r="GH38" s="82" t="str">
        <f t="shared" si="97"/>
        <v/>
      </c>
      <c r="GI38" s="82" t="str">
        <f t="shared" si="98"/>
        <v/>
      </c>
    </row>
    <row r="39" spans="75:191" ht="38.4" customHeight="1" x14ac:dyDescent="0.3">
      <c r="BW39" s="82">
        <v>0</v>
      </c>
      <c r="CE39" s="82">
        <v>0</v>
      </c>
      <c r="CF39" s="82" t="e">
        <v>#REF!</v>
      </c>
      <c r="GE39" s="82" t="str">
        <f t="shared" si="95"/>
        <v/>
      </c>
      <c r="GG39" s="82" t="str">
        <f t="shared" si="96"/>
        <v/>
      </c>
      <c r="GH39" s="82" t="str">
        <f t="shared" si="97"/>
        <v/>
      </c>
      <c r="GI39" s="82" t="str">
        <f t="shared" si="98"/>
        <v/>
      </c>
    </row>
    <row r="40" spans="75:191" ht="38.4" customHeight="1" x14ac:dyDescent="0.3">
      <c r="BW40" s="82">
        <v>0</v>
      </c>
      <c r="CE40" s="82">
        <v>0</v>
      </c>
      <c r="CF40" s="82" t="e">
        <v>#REF!</v>
      </c>
      <c r="GE40" s="82" t="str">
        <f t="shared" si="95"/>
        <v/>
      </c>
      <c r="GG40" s="82" t="str">
        <f t="shared" si="96"/>
        <v/>
      </c>
      <c r="GH40" s="82" t="str">
        <f t="shared" si="97"/>
        <v/>
      </c>
      <c r="GI40" s="82" t="str">
        <f t="shared" si="98"/>
        <v/>
      </c>
    </row>
    <row r="41" spans="75:191" ht="38.4" customHeight="1" x14ac:dyDescent="0.3">
      <c r="BW41" s="82">
        <v>0</v>
      </c>
      <c r="CE41" s="82">
        <v>0</v>
      </c>
      <c r="CF41" s="82" t="e">
        <v>#REF!</v>
      </c>
      <c r="GE41" s="82" t="str">
        <f t="shared" si="95"/>
        <v/>
      </c>
      <c r="GG41" s="82" t="str">
        <f t="shared" si="96"/>
        <v/>
      </c>
      <c r="GH41" s="82" t="str">
        <f t="shared" si="97"/>
        <v/>
      </c>
      <c r="GI41" s="82" t="str">
        <f t="shared" si="98"/>
        <v/>
      </c>
    </row>
    <row r="42" spans="75:191" ht="38.4" customHeight="1" x14ac:dyDescent="0.3">
      <c r="BW42" s="82">
        <v>0</v>
      </c>
      <c r="CE42" s="82">
        <v>0</v>
      </c>
      <c r="CF42" s="82" t="e">
        <v>#REF!</v>
      </c>
      <c r="GE42" s="82" t="str">
        <f t="shared" si="95"/>
        <v/>
      </c>
      <c r="GG42" s="82" t="str">
        <f t="shared" si="96"/>
        <v/>
      </c>
      <c r="GH42" s="82" t="str">
        <f t="shared" si="97"/>
        <v/>
      </c>
      <c r="GI42" s="82" t="str">
        <f t="shared" si="98"/>
        <v/>
      </c>
    </row>
    <row r="43" spans="75:191" ht="38.4" customHeight="1" x14ac:dyDescent="0.3">
      <c r="BW43" s="82">
        <v>0</v>
      </c>
      <c r="CE43" s="82">
        <v>0</v>
      </c>
      <c r="CF43" s="82" t="e">
        <v>#REF!</v>
      </c>
      <c r="GE43" s="82" t="str">
        <f t="shared" si="95"/>
        <v/>
      </c>
      <c r="GG43" s="82" t="str">
        <f t="shared" si="96"/>
        <v/>
      </c>
      <c r="GH43" s="82" t="str">
        <f t="shared" si="97"/>
        <v/>
      </c>
      <c r="GI43" s="82" t="str">
        <f t="shared" si="98"/>
        <v/>
      </c>
    </row>
    <row r="44" spans="75:191" ht="38.4" customHeight="1" x14ac:dyDescent="0.3">
      <c r="BW44" s="82">
        <v>0</v>
      </c>
      <c r="CE44" s="82">
        <v>0</v>
      </c>
      <c r="CF44" s="82" t="e">
        <v>#REF!</v>
      </c>
      <c r="GE44" s="82" t="str">
        <f t="shared" si="95"/>
        <v/>
      </c>
      <c r="GG44" s="82" t="str">
        <f t="shared" si="96"/>
        <v/>
      </c>
      <c r="GH44" s="82" t="str">
        <f t="shared" si="97"/>
        <v/>
      </c>
      <c r="GI44" s="82" t="str">
        <f t="shared" si="98"/>
        <v/>
      </c>
    </row>
    <row r="45" spans="75:191" ht="38.4" customHeight="1" x14ac:dyDescent="0.3">
      <c r="BW45" s="82">
        <v>0</v>
      </c>
      <c r="CE45" s="82">
        <v>0</v>
      </c>
      <c r="CF45" s="82" t="e">
        <v>#REF!</v>
      </c>
      <c r="GE45" s="82" t="str">
        <f t="shared" si="95"/>
        <v/>
      </c>
      <c r="GG45" s="82" t="str">
        <f t="shared" si="96"/>
        <v/>
      </c>
      <c r="GH45" s="82" t="str">
        <f t="shared" si="97"/>
        <v/>
      </c>
      <c r="GI45" s="82" t="str">
        <f t="shared" si="98"/>
        <v/>
      </c>
    </row>
    <row r="46" spans="75:191" ht="38.4" customHeight="1" x14ac:dyDescent="0.3">
      <c r="BW46" s="82">
        <v>0</v>
      </c>
      <c r="CE46" s="82">
        <v>0</v>
      </c>
      <c r="CF46" s="82" t="e">
        <v>#REF!</v>
      </c>
      <c r="GE46" s="82" t="str">
        <f t="shared" si="95"/>
        <v/>
      </c>
      <c r="GG46" s="82" t="str">
        <f t="shared" si="96"/>
        <v/>
      </c>
      <c r="GH46" s="82" t="str">
        <f t="shared" si="97"/>
        <v/>
      </c>
      <c r="GI46" s="82" t="str">
        <f t="shared" si="98"/>
        <v/>
      </c>
    </row>
    <row r="47" spans="75:191" ht="38.4" customHeight="1" x14ac:dyDescent="0.3">
      <c r="BW47" s="82">
        <v>0</v>
      </c>
      <c r="CE47" s="82">
        <v>0</v>
      </c>
      <c r="CF47" s="82" t="e">
        <v>#REF!</v>
      </c>
      <c r="GE47" s="82" t="str">
        <f t="shared" si="95"/>
        <v/>
      </c>
      <c r="GG47" s="82" t="str">
        <f t="shared" si="96"/>
        <v/>
      </c>
      <c r="GH47" s="82" t="str">
        <f t="shared" si="97"/>
        <v/>
      </c>
      <c r="GI47" s="82" t="str">
        <f t="shared" si="98"/>
        <v/>
      </c>
    </row>
    <row r="48" spans="75:191" ht="38.4" customHeight="1" x14ac:dyDescent="0.3">
      <c r="BW48" s="82">
        <v>0</v>
      </c>
      <c r="CE48" s="82">
        <v>0</v>
      </c>
      <c r="CF48" s="82" t="e">
        <v>#REF!</v>
      </c>
      <c r="GE48" s="82" t="str">
        <f t="shared" si="95"/>
        <v/>
      </c>
      <c r="GG48" s="82" t="str">
        <f t="shared" si="96"/>
        <v/>
      </c>
      <c r="GH48" s="82" t="str">
        <f t="shared" si="97"/>
        <v/>
      </c>
      <c r="GI48" s="82" t="str">
        <f t="shared" si="98"/>
        <v/>
      </c>
    </row>
    <row r="49" spans="75:191" ht="38.4" customHeight="1" x14ac:dyDescent="0.3">
      <c r="BW49" s="82">
        <v>0</v>
      </c>
      <c r="CE49" s="82">
        <v>0</v>
      </c>
      <c r="CF49" s="82" t="e">
        <v>#REF!</v>
      </c>
      <c r="GE49" s="82" t="str">
        <f t="shared" si="95"/>
        <v/>
      </c>
      <c r="GG49" s="82" t="str">
        <f t="shared" si="96"/>
        <v/>
      </c>
      <c r="GH49" s="82" t="str">
        <f t="shared" si="97"/>
        <v/>
      </c>
      <c r="GI49" s="82" t="str">
        <f t="shared" si="98"/>
        <v/>
      </c>
    </row>
  </sheetData>
  <autoFilter ref="A1:IY49" xr:uid="{A1051193-A95B-4CFB-A73C-F0184620C81F}">
    <sortState xmlns:xlrd2="http://schemas.microsoft.com/office/spreadsheetml/2017/richdata2" ref="A2:IY49">
      <sortCondition ref="AW1:AW49"/>
    </sortState>
  </autoFilter>
  <conditionalFormatting sqref="H1 CW1:GS1 IA1:IB1">
    <cfRule type="cellIs" dxfId="1288" priority="123" operator="greaterThan">
      <formula>0</formula>
    </cfRule>
  </conditionalFormatting>
  <conditionalFormatting sqref="H1:H1048576">
    <cfRule type="cellIs" dxfId="1287" priority="63" stopIfTrue="1" operator="notEqual">
      <formula>""</formula>
    </cfRule>
  </conditionalFormatting>
  <conditionalFormatting sqref="R2:R10 CU2:CU10">
    <cfRule type="cellIs" dxfId="1286" priority="65" operator="greaterThan">
      <formula>0</formula>
    </cfRule>
  </conditionalFormatting>
  <conditionalFormatting sqref="T3:AS9 CH3:CS9">
    <cfRule type="cellIs" dxfId="1285" priority="60" stopIfTrue="1" operator="equal">
      <formula>"n"</formula>
    </cfRule>
    <cfRule type="cellIs" dxfId="1284" priority="61" stopIfTrue="1" operator="equal">
      <formula>"y"</formula>
    </cfRule>
    <cfRule type="cellIs" dxfId="1283" priority="62" operator="greaterThan">
      <formula>0</formula>
    </cfRule>
  </conditionalFormatting>
  <conditionalFormatting sqref="T1:BK1">
    <cfRule type="cellIs" dxfId="1282" priority="126" operator="greaterThan">
      <formula>0</formula>
    </cfRule>
  </conditionalFormatting>
  <conditionalFormatting sqref="AZ3:BB9">
    <cfRule type="expression" dxfId="1281" priority="59">
      <formula>$AT3=0</formula>
    </cfRule>
  </conditionalFormatting>
  <conditionalFormatting sqref="AZ3:BU9">
    <cfRule type="cellIs" dxfId="1280" priority="101" operator="equal">
      <formula>"PIN"</formula>
    </cfRule>
    <cfRule type="cellIs" dxfId="1279" priority="102" operator="equal">
      <formula>"ORA"</formula>
    </cfRule>
    <cfRule type="cellIs" dxfId="1278" priority="103" operator="equal">
      <formula>"GRA"</formula>
    </cfRule>
    <cfRule type="cellIs" dxfId="1277" priority="104" operator="equal">
      <formula>"PUR"</formula>
    </cfRule>
    <cfRule type="cellIs" dxfId="1276" priority="105" operator="equal">
      <formula>"BRO"</formula>
    </cfRule>
    <cfRule type="cellIs" dxfId="1275" priority="106" operator="equal">
      <formula>"YEL"</formula>
    </cfRule>
    <cfRule type="cellIs" dxfId="1274" priority="107" operator="equal">
      <formula>"BLU"</formula>
    </cfRule>
    <cfRule type="cellIs" dxfId="1273" priority="108" operator="equal">
      <formula>"WHI"</formula>
    </cfRule>
    <cfRule type="cellIs" dxfId="1272" priority="109" operator="equal">
      <formula>"GRE"</formula>
    </cfRule>
    <cfRule type="cellIs" dxfId="1271" priority="110" operator="equal">
      <formula>"RED"</formula>
    </cfRule>
    <cfRule type="cellIs" dxfId="1270" priority="111" operator="equal">
      <formula>"BLA"</formula>
    </cfRule>
  </conditionalFormatting>
  <conditionalFormatting sqref="BV1:BW1048576">
    <cfRule type="cellIs" dxfId="1269" priority="125" operator="equal">
      <formula>"nc"</formula>
    </cfRule>
  </conditionalFormatting>
  <conditionalFormatting sqref="BX3:CA9 CD3:CF9">
    <cfRule type="cellIs" dxfId="1268" priority="64" operator="equal">
      <formula>"y"</formula>
    </cfRule>
    <cfRule type="cellIs" dxfId="1267" priority="112" operator="equal">
      <formula>"PIN"</formula>
    </cfRule>
    <cfRule type="cellIs" dxfId="1266" priority="113" operator="equal">
      <formula>"ORA"</formula>
    </cfRule>
    <cfRule type="cellIs" dxfId="1265" priority="114" operator="equal">
      <formula>"GRA"</formula>
    </cfRule>
    <cfRule type="cellIs" dxfId="1264" priority="115" operator="equal">
      <formula>"PUR"</formula>
    </cfRule>
    <cfRule type="cellIs" dxfId="1263" priority="116" operator="equal">
      <formula>"BRO"</formula>
    </cfRule>
    <cfRule type="cellIs" dxfId="1262" priority="117" operator="equal">
      <formula>"YEL"</formula>
    </cfRule>
    <cfRule type="cellIs" dxfId="1261" priority="118" operator="equal">
      <formula>"BLU"</formula>
    </cfRule>
    <cfRule type="cellIs" dxfId="1260" priority="119" operator="equal">
      <formula>"WHI"</formula>
    </cfRule>
    <cfRule type="cellIs" dxfId="1259" priority="120" operator="equal">
      <formula>"GRE"</formula>
    </cfRule>
    <cfRule type="cellIs" dxfId="1258" priority="121" operator="equal">
      <formula>"RED"</formula>
    </cfRule>
    <cfRule type="cellIs" dxfId="1257" priority="122" operator="equal">
      <formula>"BLA"</formula>
    </cfRule>
  </conditionalFormatting>
  <conditionalFormatting sqref="BZ3:CA9 CD3:CF9">
    <cfRule type="cellIs" dxfId="1256" priority="66" operator="greaterThan">
      <formula>0</formula>
    </cfRule>
  </conditionalFormatting>
  <conditionalFormatting sqref="HF1:HG1">
    <cfRule type="cellIs" dxfId="1255" priority="127" operator="greaterThan">
      <formula>0</formula>
    </cfRule>
  </conditionalFormatting>
  <conditionalFormatting sqref="HK1">
    <cfRule type="cellIs" dxfId="1254" priority="124" operator="greaterThan">
      <formula>0</formula>
    </cfRule>
  </conditionalFormatting>
  <conditionalFormatting sqref="HP1:HX1">
    <cfRule type="cellIs" dxfId="1253" priority="78" operator="equal">
      <formula>"PIN"</formula>
    </cfRule>
    <cfRule type="cellIs" dxfId="1252" priority="79" operator="equal">
      <formula>"ORA"</formula>
    </cfRule>
    <cfRule type="cellIs" dxfId="1251" priority="80" operator="equal">
      <formula>"GRA"</formula>
    </cfRule>
    <cfRule type="cellIs" dxfId="1250" priority="81" operator="equal">
      <formula>"PUR"</formula>
    </cfRule>
    <cfRule type="cellIs" dxfId="1249" priority="82" operator="equal">
      <formula>"BRO"</formula>
    </cfRule>
    <cfRule type="cellIs" dxfId="1248" priority="83" operator="equal">
      <formula>"YEL"</formula>
    </cfRule>
    <cfRule type="cellIs" dxfId="1247" priority="84" operator="equal">
      <formula>"BLU"</formula>
    </cfRule>
    <cfRule type="cellIs" dxfId="1246" priority="85" operator="equal">
      <formula>"WHI"</formula>
    </cfRule>
    <cfRule type="cellIs" dxfId="1245" priority="86" operator="equal">
      <formula>"GRE"</formula>
    </cfRule>
    <cfRule type="cellIs" dxfId="1244" priority="87" operator="equal">
      <formula>"RED"</formula>
    </cfRule>
    <cfRule type="cellIs" dxfId="1243" priority="88" operator="equal">
      <formula>"BLA"</formula>
    </cfRule>
  </conditionalFormatting>
  <conditionalFormatting sqref="IC1:IK1">
    <cfRule type="cellIs" dxfId="1242" priority="90" operator="equal">
      <formula>"PIN"</formula>
    </cfRule>
    <cfRule type="cellIs" dxfId="1241" priority="91" operator="equal">
      <formula>"ORA"</formula>
    </cfRule>
    <cfRule type="cellIs" dxfId="1240" priority="92" operator="equal">
      <formula>"GRA"</formula>
    </cfRule>
    <cfRule type="cellIs" dxfId="1239" priority="93" operator="equal">
      <formula>"PUR"</formula>
    </cfRule>
    <cfRule type="cellIs" dxfId="1238" priority="94" operator="equal">
      <formula>"BRO"</formula>
    </cfRule>
    <cfRule type="cellIs" dxfId="1237" priority="95" operator="equal">
      <formula>"YEL"</formula>
    </cfRule>
    <cfRule type="cellIs" dxfId="1236" priority="96" operator="equal">
      <formula>"BLU"</formula>
    </cfRule>
    <cfRule type="cellIs" dxfId="1235" priority="97" operator="equal">
      <formula>"WHI"</formula>
    </cfRule>
    <cfRule type="cellIs" dxfId="1234" priority="98" operator="equal">
      <formula>"GRE"</formula>
    </cfRule>
    <cfRule type="cellIs" dxfId="1233" priority="99" operator="equal">
      <formula>"RED"</formula>
    </cfRule>
    <cfRule type="cellIs" dxfId="1232" priority="100" operator="equal">
      <formula>"BLA"</formula>
    </cfRule>
  </conditionalFormatting>
  <conditionalFormatting sqref="IC3:IK9">
    <cfRule type="expression" dxfId="1231" priority="89">
      <formula>$IL3&gt;0</formula>
    </cfRule>
  </conditionalFormatting>
  <conditionalFormatting sqref="IO1:IW1">
    <cfRule type="cellIs" dxfId="1230" priority="67" operator="equal">
      <formula>"PIN"</formula>
    </cfRule>
    <cfRule type="cellIs" dxfId="1229" priority="68" operator="equal">
      <formula>"ORA"</formula>
    </cfRule>
    <cfRule type="cellIs" dxfId="1228" priority="69" operator="equal">
      <formula>"GRA"</formula>
    </cfRule>
    <cfRule type="cellIs" dxfId="1227" priority="70" operator="equal">
      <formula>"PUR"</formula>
    </cfRule>
    <cfRule type="cellIs" dxfId="1226" priority="71" operator="equal">
      <formula>"BRO"</formula>
    </cfRule>
    <cfRule type="cellIs" dxfId="1225" priority="72" operator="equal">
      <formula>"YEL"</formula>
    </cfRule>
    <cfRule type="cellIs" dxfId="1224" priority="73" operator="equal">
      <formula>"BLU"</formula>
    </cfRule>
    <cfRule type="cellIs" dxfId="1223" priority="74" operator="equal">
      <formula>"WHI"</formula>
    </cfRule>
    <cfRule type="cellIs" dxfId="1222" priority="75" operator="equal">
      <formula>"GRE"</formula>
    </cfRule>
    <cfRule type="cellIs" dxfId="1221" priority="76" operator="equal">
      <formula>"RED"</formula>
    </cfRule>
    <cfRule type="cellIs" dxfId="1220" priority="77" operator="equal">
      <formula>"BLA"</formula>
    </cfRule>
  </conditionalFormatting>
  <conditionalFormatting sqref="T10:AS10 CH10:CS10">
    <cfRule type="cellIs" dxfId="1219" priority="31" stopIfTrue="1" operator="equal">
      <formula>"n"</formula>
    </cfRule>
    <cfRule type="cellIs" dxfId="1218" priority="32" stopIfTrue="1" operator="equal">
      <formula>"y"</formula>
    </cfRule>
    <cfRule type="cellIs" dxfId="1217" priority="33" operator="greaterThan">
      <formula>0</formula>
    </cfRule>
  </conditionalFormatting>
  <conditionalFormatting sqref="AZ10:BB10">
    <cfRule type="expression" dxfId="1216" priority="30">
      <formula>$AT10=0</formula>
    </cfRule>
  </conditionalFormatting>
  <conditionalFormatting sqref="AZ10:BU10">
    <cfRule type="cellIs" dxfId="1215" priority="37" operator="equal">
      <formula>"PIN"</formula>
    </cfRule>
    <cfRule type="cellIs" dxfId="1214" priority="38" operator="equal">
      <formula>"ORA"</formula>
    </cfRule>
    <cfRule type="cellIs" dxfId="1213" priority="39" operator="equal">
      <formula>"GRA"</formula>
    </cfRule>
    <cfRule type="cellIs" dxfId="1212" priority="40" operator="equal">
      <formula>"PUR"</formula>
    </cfRule>
    <cfRule type="cellIs" dxfId="1211" priority="41" operator="equal">
      <formula>"BRO"</formula>
    </cfRule>
    <cfRule type="cellIs" dxfId="1210" priority="42" operator="equal">
      <formula>"YEL"</formula>
    </cfRule>
    <cfRule type="cellIs" dxfId="1209" priority="43" operator="equal">
      <formula>"BLU"</formula>
    </cfRule>
    <cfRule type="cellIs" dxfId="1208" priority="44" operator="equal">
      <formula>"WHI"</formula>
    </cfRule>
    <cfRule type="cellIs" dxfId="1207" priority="45" operator="equal">
      <formula>"GRE"</formula>
    </cfRule>
    <cfRule type="cellIs" dxfId="1206" priority="46" operator="equal">
      <formula>"RED"</formula>
    </cfRule>
    <cfRule type="cellIs" dxfId="1205" priority="47" operator="equal">
      <formula>"BLA"</formula>
    </cfRule>
  </conditionalFormatting>
  <conditionalFormatting sqref="BX10:CA10 CD10:CF10">
    <cfRule type="cellIs" dxfId="1204" priority="34" operator="equal">
      <formula>"y"</formula>
    </cfRule>
    <cfRule type="cellIs" dxfId="1203" priority="48" operator="equal">
      <formula>"PIN"</formula>
    </cfRule>
    <cfRule type="cellIs" dxfId="1202" priority="49" operator="equal">
      <formula>"ORA"</formula>
    </cfRule>
    <cfRule type="cellIs" dxfId="1201" priority="50" operator="equal">
      <formula>"GRA"</formula>
    </cfRule>
    <cfRule type="cellIs" dxfId="1200" priority="51" operator="equal">
      <formula>"PUR"</formula>
    </cfRule>
    <cfRule type="cellIs" dxfId="1199" priority="52" operator="equal">
      <formula>"BRO"</formula>
    </cfRule>
    <cfRule type="cellIs" dxfId="1198" priority="53" operator="equal">
      <formula>"YEL"</formula>
    </cfRule>
    <cfRule type="cellIs" dxfId="1197" priority="54" operator="equal">
      <formula>"BLU"</formula>
    </cfRule>
    <cfRule type="cellIs" dxfId="1196" priority="55" operator="equal">
      <formula>"WHI"</formula>
    </cfRule>
    <cfRule type="cellIs" dxfId="1195" priority="56" operator="equal">
      <formula>"GRE"</formula>
    </cfRule>
    <cfRule type="cellIs" dxfId="1194" priority="57" operator="equal">
      <formula>"RED"</formula>
    </cfRule>
    <cfRule type="cellIs" dxfId="1193" priority="58" operator="equal">
      <formula>"BLA"</formula>
    </cfRule>
  </conditionalFormatting>
  <conditionalFormatting sqref="BZ10:CA10 CD10:CF10">
    <cfRule type="cellIs" dxfId="1192" priority="35" operator="greaterThan">
      <formula>0</formula>
    </cfRule>
  </conditionalFormatting>
  <conditionalFormatting sqref="IC10:IK10">
    <cfRule type="expression" dxfId="1191" priority="36">
      <formula>$IL10&gt;0</formula>
    </cfRule>
  </conditionalFormatting>
  <conditionalFormatting sqref="T2:AS2 CH2:CS2">
    <cfRule type="cellIs" dxfId="1190" priority="2" stopIfTrue="1" operator="equal">
      <formula>"n"</formula>
    </cfRule>
    <cfRule type="cellIs" dxfId="1189" priority="3" stopIfTrue="1" operator="equal">
      <formula>"y"</formula>
    </cfRule>
    <cfRule type="cellIs" dxfId="1188" priority="4" operator="greaterThan">
      <formula>0</formula>
    </cfRule>
  </conditionalFormatting>
  <conditionalFormatting sqref="AZ2:BB2">
    <cfRule type="expression" dxfId="1187" priority="1">
      <formula>$AT2=0</formula>
    </cfRule>
  </conditionalFormatting>
  <conditionalFormatting sqref="AZ2:BU2">
    <cfRule type="cellIs" dxfId="1186" priority="8" operator="equal">
      <formula>"PIN"</formula>
    </cfRule>
    <cfRule type="cellIs" dxfId="1185" priority="9" operator="equal">
      <formula>"ORA"</formula>
    </cfRule>
    <cfRule type="cellIs" dxfId="1184" priority="10" operator="equal">
      <formula>"GRA"</formula>
    </cfRule>
    <cfRule type="cellIs" dxfId="1183" priority="11" operator="equal">
      <formula>"PUR"</formula>
    </cfRule>
    <cfRule type="cellIs" dxfId="1182" priority="12" operator="equal">
      <formula>"BRO"</formula>
    </cfRule>
    <cfRule type="cellIs" dxfId="1181" priority="13" operator="equal">
      <formula>"YEL"</formula>
    </cfRule>
    <cfRule type="cellIs" dxfId="1180" priority="14" operator="equal">
      <formula>"BLU"</formula>
    </cfRule>
    <cfRule type="cellIs" dxfId="1179" priority="15" operator="equal">
      <formula>"WHI"</formula>
    </cfRule>
    <cfRule type="cellIs" dxfId="1178" priority="16" operator="equal">
      <formula>"GRE"</formula>
    </cfRule>
    <cfRule type="cellIs" dxfId="1177" priority="17" operator="equal">
      <formula>"RED"</formula>
    </cfRule>
    <cfRule type="cellIs" dxfId="1176" priority="18" operator="equal">
      <formula>"BLA"</formula>
    </cfRule>
  </conditionalFormatting>
  <conditionalFormatting sqref="BX2:CA2 CD2:CF2">
    <cfRule type="cellIs" dxfId="1175" priority="5" operator="equal">
      <formula>"y"</formula>
    </cfRule>
    <cfRule type="cellIs" dxfId="1174" priority="19" operator="equal">
      <formula>"PIN"</formula>
    </cfRule>
    <cfRule type="cellIs" dxfId="1173" priority="20" operator="equal">
      <formula>"ORA"</formula>
    </cfRule>
    <cfRule type="cellIs" dxfId="1172" priority="21" operator="equal">
      <formula>"GRA"</formula>
    </cfRule>
    <cfRule type="cellIs" dxfId="1171" priority="22" operator="equal">
      <formula>"PUR"</formula>
    </cfRule>
    <cfRule type="cellIs" dxfId="1170" priority="23" operator="equal">
      <formula>"BRO"</formula>
    </cfRule>
    <cfRule type="cellIs" dxfId="1169" priority="24" operator="equal">
      <formula>"YEL"</formula>
    </cfRule>
    <cfRule type="cellIs" dxfId="1168" priority="25" operator="equal">
      <formula>"BLU"</formula>
    </cfRule>
    <cfRule type="cellIs" dxfId="1167" priority="26" operator="equal">
      <formula>"WHI"</formula>
    </cfRule>
    <cfRule type="cellIs" dxfId="1166" priority="27" operator="equal">
      <formula>"GRE"</formula>
    </cfRule>
    <cfRule type="cellIs" dxfId="1165" priority="28" operator="equal">
      <formula>"RED"</formula>
    </cfRule>
    <cfRule type="cellIs" dxfId="1164" priority="29" operator="equal">
      <formula>"BLA"</formula>
    </cfRule>
  </conditionalFormatting>
  <conditionalFormatting sqref="BZ2:CA2 CD2:CF2">
    <cfRule type="cellIs" dxfId="1163" priority="6" operator="greaterThan">
      <formula>0</formula>
    </cfRule>
  </conditionalFormatting>
  <conditionalFormatting sqref="IC2:IK2">
    <cfRule type="expression" dxfId="1162" priority="7">
      <formula>$IL2&gt;0</formula>
    </cfRule>
  </conditionalFormatting>
  <conditionalFormatting sqref="J2:J10">
    <cfRule type="colorScale" priority="1029">
      <colorScale>
        <cfvo type="min"/>
        <cfvo type="percentile" val="50"/>
        <cfvo type="max"/>
        <color rgb="FFF8696B"/>
        <color rgb="FFFFEB84"/>
        <color rgb="FF63BE7B"/>
      </colorScale>
    </cfRule>
  </conditionalFormatting>
  <conditionalFormatting sqref="S2:S10">
    <cfRule type="colorScale" priority="1031">
      <colorScale>
        <cfvo type="min"/>
        <cfvo type="max"/>
        <color rgb="FFFCFCFF"/>
        <color rgb="FF754BFB"/>
      </colorScale>
    </cfRule>
  </conditionalFormatting>
  <conditionalFormatting sqref="AT2:AT10">
    <cfRule type="colorScale" priority="1033">
      <colorScale>
        <cfvo type="min"/>
        <cfvo type="max"/>
        <color rgb="FFFCFCFF"/>
        <color theme="8" tint="0.39997558519241921"/>
      </colorScale>
    </cfRule>
  </conditionalFormatting>
  <conditionalFormatting sqref="CG2:CG10">
    <cfRule type="colorScale" priority="1035">
      <colorScale>
        <cfvo type="min"/>
        <cfvo type="max"/>
        <color rgb="FFFCFCFF"/>
        <color rgb="FF63BE7B"/>
      </colorScale>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InsertImagesFromSelectedRange">
                <anchor moveWithCells="1" sizeWithCells="1">
                  <from>
                    <xdr:col>1</xdr:col>
                    <xdr:colOff>76200</xdr:colOff>
                    <xdr:row>0</xdr:row>
                    <xdr:rowOff>7620</xdr:rowOff>
                  </from>
                  <to>
                    <xdr:col>2</xdr:col>
                    <xdr:colOff>0</xdr:colOff>
                    <xdr:row>0</xdr:row>
                    <xdr:rowOff>487680</xdr:rowOff>
                  </to>
                </anchor>
              </controlPr>
            </control>
          </mc:Choice>
        </mc:AlternateContent>
        <mc:AlternateContent xmlns:mc="http://schemas.openxmlformats.org/markup-compatibility/2006">
          <mc:Choice Requires="x14">
            <control shapeId="9218" r:id="rId5" name="Button 2">
              <controlPr defaultSize="0" print="0" autoFill="0" autoPict="0" macro="[0]!ReplaceLineBreaksWithNewLineManualRange">
                <anchor moveWithCells="1" sizeWithCells="1">
                  <from>
                    <xdr:col>7</xdr:col>
                    <xdr:colOff>15240</xdr:colOff>
                    <xdr:row>0</xdr:row>
                    <xdr:rowOff>45720</xdr:rowOff>
                  </from>
                  <to>
                    <xdr:col>7</xdr:col>
                    <xdr:colOff>685800</xdr:colOff>
                    <xdr:row>0</xdr:row>
                    <xdr:rowOff>403860</xdr:rowOff>
                  </to>
                </anchor>
              </controlPr>
            </control>
          </mc:Choice>
        </mc:AlternateContent>
        <mc:AlternateContent xmlns:mc="http://schemas.openxmlformats.org/markup-compatibility/2006">
          <mc:Choice Requires="x14">
            <control shapeId="9219" r:id="rId6" name="Button 3">
              <controlPr defaultSize="0" print="0" autoFill="0" autoPict="0" macro="[0]!GoToSheet">
                <anchor moveWithCells="1" sizeWithCells="1">
                  <from>
                    <xdr:col>0</xdr:col>
                    <xdr:colOff>137160</xdr:colOff>
                    <xdr:row>0</xdr:row>
                    <xdr:rowOff>114300</xdr:rowOff>
                  </from>
                  <to>
                    <xdr:col>0</xdr:col>
                    <xdr:colOff>762000</xdr:colOff>
                    <xdr:row>0</xdr:row>
                    <xdr:rowOff>419100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19EC9-A107-4469-8FF3-2D7318DFE4B3}">
  <sheetPr codeName="Sheet14"/>
  <dimension ref="A1:IY4"/>
  <sheetViews>
    <sheetView zoomScale="70" zoomScaleNormal="70" workbookViewId="0">
      <pane xSplit="5" ySplit="1" topLeftCell="F2" activePane="bottomRight" state="frozen"/>
      <selection activeCell="A2" sqref="A2"/>
      <selection pane="topRight" activeCell="A2" sqref="A2"/>
      <selection pane="bottomLeft" activeCell="A2" sqref="A2"/>
      <selection pane="bottomRight" activeCell="B2" sqref="B2"/>
    </sheetView>
  </sheetViews>
  <sheetFormatPr defaultRowHeight="38.4" customHeight="1" x14ac:dyDescent="0.3"/>
  <cols>
    <col min="1" max="1" width="52.44140625" style="82" bestFit="1" customWidth="1"/>
    <col min="2" max="2" width="10.109375" style="82" customWidth="1"/>
    <col min="3" max="3" width="7.44140625" style="83" customWidth="1"/>
    <col min="4" max="4" width="4.77734375" style="84" customWidth="1"/>
    <col min="5" max="5" width="4.5546875" style="84" customWidth="1"/>
    <col min="6" max="6" width="5.77734375" style="84" customWidth="1"/>
    <col min="7" max="7" width="7.44140625" style="82" customWidth="1"/>
    <col min="8" max="8" width="11.44140625" style="82" customWidth="1"/>
    <col min="9" max="9" width="10" style="82" customWidth="1"/>
    <col min="10" max="10" width="4.21875" style="82" customWidth="1"/>
    <col min="11" max="11" width="5.6640625" style="84" customWidth="1"/>
    <col min="12" max="12" width="2.88671875" style="84" customWidth="1"/>
    <col min="13" max="13" width="6.44140625" style="84" customWidth="1"/>
    <col min="14" max="14" width="4.5546875" style="84" customWidth="1"/>
    <col min="15" max="15" width="10.5546875" style="85" customWidth="1"/>
    <col min="16" max="16" width="6.88671875" style="84" customWidth="1"/>
    <col min="17" max="17" width="4.77734375" style="84" customWidth="1"/>
    <col min="18" max="18" width="13.109375" style="83" customWidth="1"/>
    <col min="19" max="19" width="6.77734375" style="83" customWidth="1"/>
    <col min="20" max="46" width="8.44140625" style="82" customWidth="1"/>
    <col min="47" max="47" width="24.5546875" style="82" customWidth="1"/>
    <col min="48" max="51" width="16.6640625" style="82" customWidth="1"/>
    <col min="52" max="52" width="6.5546875" style="82" customWidth="1"/>
    <col min="53" max="54" width="5.88671875" style="82" customWidth="1"/>
    <col min="55" max="55" width="1.33203125" style="82" customWidth="1"/>
    <col min="56" max="56" width="7.44140625" style="82" customWidth="1"/>
    <col min="57" max="57" width="2.33203125" style="82" customWidth="1"/>
    <col min="58" max="62" width="6.109375" style="82" customWidth="1"/>
    <col min="63" max="63" width="2.33203125" style="82" customWidth="1"/>
    <col min="64" max="64" width="7" style="82" bestFit="1" customWidth="1"/>
    <col min="65" max="65" width="6.44140625" style="82" bestFit="1" customWidth="1"/>
    <col min="66" max="66" width="7.109375" style="82" bestFit="1" customWidth="1"/>
    <col min="67" max="71" width="6.44140625" style="82" bestFit="1" customWidth="1"/>
    <col min="72" max="73" width="6.44140625" style="82" customWidth="1"/>
    <col min="74" max="75" width="13.44140625" style="82" customWidth="1"/>
    <col min="76" max="84" width="14.6640625" style="82" customWidth="1"/>
    <col min="85" max="85" width="6.44140625" style="82" customWidth="1"/>
    <col min="86" max="87" width="11.6640625" style="82" bestFit="1" customWidth="1"/>
    <col min="88" max="88" width="11.6640625" style="82" customWidth="1"/>
    <col min="89" max="89" width="12.77734375" style="82" bestFit="1" customWidth="1"/>
    <col min="90" max="90" width="16.44140625" style="83" bestFit="1" customWidth="1"/>
    <col min="91" max="92" width="14.88671875" style="83" bestFit="1" customWidth="1"/>
    <col min="93" max="93" width="16" style="83" bestFit="1" customWidth="1"/>
    <col min="94" max="97" width="7.77734375" style="82" customWidth="1"/>
    <col min="98" max="98" width="33.21875" style="82" customWidth="1"/>
    <col min="99" max="99" width="18" style="82" customWidth="1"/>
    <col min="100" max="100" width="75.6640625" style="82" customWidth="1"/>
    <col min="101" max="125" width="33" style="82" customWidth="1"/>
    <col min="126" max="126" width="8.88671875" style="82"/>
    <col min="127" max="128" width="9.44140625" style="82" bestFit="1" customWidth="1"/>
    <col min="129" max="129" width="10.77734375" style="82" bestFit="1" customWidth="1"/>
    <col min="130" max="134" width="10.77734375" style="82" customWidth="1"/>
    <col min="135" max="135" width="10.109375" style="82" bestFit="1" customWidth="1"/>
    <col min="136" max="136" width="7.77734375" style="82" bestFit="1" customWidth="1"/>
    <col min="137" max="137" width="7.77734375" style="82" customWidth="1"/>
    <col min="138" max="138" width="9" style="82" bestFit="1" customWidth="1"/>
    <col min="139" max="139" width="11.33203125" style="82" bestFit="1" customWidth="1"/>
    <col min="140" max="140" width="9.109375" style="82" bestFit="1" customWidth="1"/>
    <col min="141" max="141" width="9" style="82" bestFit="1" customWidth="1"/>
    <col min="142" max="142" width="12" style="82" bestFit="1" customWidth="1"/>
    <col min="143" max="166" width="12" style="82" customWidth="1"/>
    <col min="167" max="167" width="17.21875" style="82" customWidth="1"/>
    <col min="168" max="191" width="12" style="82" customWidth="1"/>
    <col min="192" max="192" width="8.5546875" style="82" bestFit="1" customWidth="1"/>
    <col min="193" max="193" width="8.5546875" style="82" customWidth="1"/>
    <col min="194" max="194" width="7.109375" style="82" bestFit="1" customWidth="1"/>
    <col min="195" max="195" width="7.5546875" style="82" bestFit="1" customWidth="1"/>
    <col min="196" max="196" width="8.5546875" style="82" bestFit="1" customWidth="1"/>
    <col min="197" max="200" width="8.5546875" style="82" customWidth="1"/>
    <col min="201" max="201" width="188.88671875" style="82" customWidth="1"/>
    <col min="202" max="202" width="9.5546875" style="82" bestFit="1" customWidth="1"/>
    <col min="203" max="203" width="10.44140625" style="82" bestFit="1" customWidth="1"/>
    <col min="204" max="204" width="11.109375" style="82" bestFit="1" customWidth="1"/>
    <col min="205" max="205" width="10.44140625" style="82" bestFit="1" customWidth="1"/>
    <col min="206" max="210" width="10.44140625" style="82" customWidth="1"/>
    <col min="211" max="211" width="45.44140625" style="82" customWidth="1"/>
    <col min="212" max="212" width="47.5546875" style="82" bestFit="1" customWidth="1"/>
    <col min="213" max="213" width="9.33203125" style="86" customWidth="1"/>
    <col min="214" max="214" width="119.5546875" style="82" customWidth="1"/>
    <col min="215" max="215" width="69.6640625" style="82" customWidth="1"/>
    <col min="216" max="218" width="8.88671875" style="82"/>
    <col min="219" max="219" width="37.109375" style="82" customWidth="1"/>
    <col min="220" max="220" width="16.33203125" style="82" customWidth="1"/>
    <col min="221" max="222" width="8.88671875" style="82"/>
    <col min="223" max="223" width="10.109375" style="82" bestFit="1" customWidth="1"/>
    <col min="224" max="232" width="10.88671875" style="82" customWidth="1"/>
    <col min="233" max="234" width="30.77734375" style="82" customWidth="1"/>
    <col min="235" max="235" width="5.109375" style="82" customWidth="1"/>
    <col min="236" max="236" width="3" style="82" customWidth="1"/>
    <col min="237" max="245" width="6.77734375" style="76" customWidth="1"/>
    <col min="246" max="247" width="8.88671875" style="82"/>
    <col min="248" max="248" width="61.5546875" style="82" customWidth="1"/>
    <col min="249" max="253" width="8.88671875" style="82"/>
    <col min="254" max="254" width="9" style="82" customWidth="1"/>
    <col min="255" max="16384" width="8.88671875" style="82"/>
  </cols>
  <sheetData>
    <row r="1" spans="1:259" s="5" customFormat="1" ht="38.4" customHeight="1" thickBot="1" x14ac:dyDescent="0.35">
      <c r="A1" s="1" t="s">
        <v>0</v>
      </c>
      <c r="B1" s="79" t="s">
        <v>1</v>
      </c>
      <c r="C1" s="2" t="s">
        <v>2</v>
      </c>
      <c r="D1" s="3"/>
      <c r="E1" s="3" t="s">
        <v>3</v>
      </c>
      <c r="F1" s="4"/>
      <c r="H1" s="6" t="s">
        <v>4</v>
      </c>
      <c r="J1" s="5" t="s">
        <v>5</v>
      </c>
      <c r="K1" s="7" t="s">
        <v>6</v>
      </c>
      <c r="L1" s="8" t="s">
        <v>7</v>
      </c>
      <c r="M1" s="8" t="s">
        <v>8</v>
      </c>
      <c r="N1" s="9" t="s">
        <v>9</v>
      </c>
      <c r="O1" s="10" t="s">
        <v>10</v>
      </c>
      <c r="P1" s="11" t="s">
        <v>11</v>
      </c>
      <c r="Q1" s="11" t="s">
        <v>12</v>
      </c>
      <c r="R1" s="12" t="s">
        <v>0</v>
      </c>
      <c r="S1" s="13" t="s">
        <v>13</v>
      </c>
      <c r="T1" s="14" t="s">
        <v>14</v>
      </c>
      <c r="U1" s="14" t="s">
        <v>15</v>
      </c>
      <c r="V1" s="15" t="s">
        <v>16</v>
      </c>
      <c r="W1" s="14" t="s">
        <v>17</v>
      </c>
      <c r="X1" s="14" t="s">
        <v>18</v>
      </c>
      <c r="Y1" s="14" t="s">
        <v>19</v>
      </c>
      <c r="Z1" s="14" t="s">
        <v>20</v>
      </c>
      <c r="AA1" s="14" t="s">
        <v>21</v>
      </c>
      <c r="AB1" s="14" t="s">
        <v>22</v>
      </c>
      <c r="AC1" s="14" t="s">
        <v>23</v>
      </c>
      <c r="AD1" s="14" t="s">
        <v>24</v>
      </c>
      <c r="AE1" s="14" t="s">
        <v>25</v>
      </c>
      <c r="AF1" s="16" t="s">
        <v>26</v>
      </c>
      <c r="AG1" s="16" t="s">
        <v>27</v>
      </c>
      <c r="AH1" s="16" t="s">
        <v>28</v>
      </c>
      <c r="AI1" s="16" t="s">
        <v>29</v>
      </c>
      <c r="AJ1" s="16" t="s">
        <v>30</v>
      </c>
      <c r="AK1" s="16" t="s">
        <v>31</v>
      </c>
      <c r="AL1" s="16" t="s">
        <v>32</v>
      </c>
      <c r="AM1" s="16" t="s">
        <v>33</v>
      </c>
      <c r="AN1" s="16" t="s">
        <v>34</v>
      </c>
      <c r="AO1" s="16" t="s">
        <v>35</v>
      </c>
      <c r="AP1" s="16" t="s">
        <v>36</v>
      </c>
      <c r="AQ1" s="16" t="s">
        <v>37</v>
      </c>
      <c r="AR1" s="16" t="s">
        <v>38</v>
      </c>
      <c r="AS1" s="16" t="s">
        <v>39</v>
      </c>
      <c r="AT1" s="17" t="s">
        <v>40</v>
      </c>
      <c r="AU1" s="18" t="s">
        <v>41</v>
      </c>
      <c r="AV1" s="18" t="s">
        <v>42</v>
      </c>
      <c r="AW1" s="18" t="s">
        <v>43</v>
      </c>
      <c r="AX1" s="19"/>
      <c r="AY1" s="20" t="s">
        <v>44</v>
      </c>
      <c r="AZ1" s="19" t="s">
        <v>45</v>
      </c>
      <c r="BA1" s="19"/>
      <c r="BB1" s="19"/>
      <c r="BC1" s="21"/>
      <c r="BD1" s="19" t="s">
        <v>46</v>
      </c>
      <c r="BE1" s="21"/>
      <c r="BF1" s="19" t="s">
        <v>47</v>
      </c>
      <c r="BG1" s="19" t="s">
        <v>48</v>
      </c>
      <c r="BH1" s="19" t="s">
        <v>49</v>
      </c>
      <c r="BI1" s="19" t="s">
        <v>50</v>
      </c>
      <c r="BJ1" s="19" t="s">
        <v>51</v>
      </c>
      <c r="BK1" s="21"/>
      <c r="BL1" s="22" t="s">
        <v>52</v>
      </c>
      <c r="BM1" s="22"/>
      <c r="BN1" s="22"/>
      <c r="BO1" s="22"/>
      <c r="BP1" s="22"/>
      <c r="BQ1" s="22"/>
      <c r="BR1" s="22"/>
      <c r="BS1" s="22"/>
      <c r="BT1" s="23"/>
      <c r="BU1" s="23" t="s">
        <v>53</v>
      </c>
      <c r="BV1" s="23" t="s">
        <v>54</v>
      </c>
      <c r="BW1" s="23" t="s">
        <v>55</v>
      </c>
      <c r="BX1" s="23"/>
      <c r="BY1" s="23" t="s">
        <v>56</v>
      </c>
      <c r="BZ1" s="23" t="s">
        <v>57</v>
      </c>
      <c r="CA1" s="23" t="s">
        <v>58</v>
      </c>
      <c r="CB1" s="23" t="s">
        <v>59</v>
      </c>
      <c r="CC1" s="23" t="s">
        <v>60</v>
      </c>
      <c r="CD1" s="23" t="s">
        <v>61</v>
      </c>
      <c r="CE1" s="23" t="s">
        <v>62</v>
      </c>
      <c r="CF1" s="23" t="s">
        <v>63</v>
      </c>
      <c r="CG1" s="23"/>
      <c r="CH1" s="23" t="s">
        <v>64</v>
      </c>
      <c r="CI1" s="23" t="s">
        <v>65</v>
      </c>
      <c r="CJ1" s="23" t="s">
        <v>66</v>
      </c>
      <c r="CK1" s="23" t="s">
        <v>67</v>
      </c>
      <c r="CL1" s="24" t="s">
        <v>68</v>
      </c>
      <c r="CM1" s="24" t="s">
        <v>69</v>
      </c>
      <c r="CN1" s="24" t="s">
        <v>70</v>
      </c>
      <c r="CO1" s="24" t="s">
        <v>71</v>
      </c>
      <c r="CP1" s="24" t="s">
        <v>72</v>
      </c>
      <c r="CQ1" s="24" t="s">
        <v>73</v>
      </c>
      <c r="CR1" s="24" t="s">
        <v>74</v>
      </c>
      <c r="CS1" s="24" t="s">
        <v>75</v>
      </c>
      <c r="CT1" s="1" t="s">
        <v>76</v>
      </c>
      <c r="CU1" s="25" t="s">
        <v>0</v>
      </c>
      <c r="CV1" s="5" t="s">
        <v>77</v>
      </c>
      <c r="CW1" s="14" t="s">
        <v>78</v>
      </c>
      <c r="CX1" s="14" t="s">
        <v>79</v>
      </c>
      <c r="CY1" s="14" t="s">
        <v>66</v>
      </c>
      <c r="CZ1" s="14" t="s">
        <v>80</v>
      </c>
      <c r="DA1" s="14" t="s">
        <v>81</v>
      </c>
      <c r="DB1" s="14" t="s">
        <v>82</v>
      </c>
      <c r="DC1" s="14" t="s">
        <v>83</v>
      </c>
      <c r="DD1" s="14" t="s">
        <v>84</v>
      </c>
      <c r="DE1" s="14" t="s">
        <v>85</v>
      </c>
      <c r="DF1" s="14" t="s">
        <v>86</v>
      </c>
      <c r="DG1" s="14" t="s">
        <v>87</v>
      </c>
      <c r="DH1" s="14" t="s">
        <v>88</v>
      </c>
      <c r="DI1" s="14" t="s">
        <v>89</v>
      </c>
      <c r="DJ1" s="14" t="s">
        <v>90</v>
      </c>
      <c r="DK1" s="14" t="s">
        <v>91</v>
      </c>
      <c r="DL1" s="14" t="s">
        <v>92</v>
      </c>
      <c r="DM1" s="14" t="s">
        <v>93</v>
      </c>
      <c r="DN1" s="14" t="s">
        <v>94</v>
      </c>
      <c r="DO1" s="14" t="s">
        <v>95</v>
      </c>
      <c r="DP1" s="14" t="s">
        <v>96</v>
      </c>
      <c r="DQ1" s="14" t="s">
        <v>97</v>
      </c>
      <c r="DR1" s="14" t="s">
        <v>56</v>
      </c>
      <c r="DS1" s="14" t="s">
        <v>98</v>
      </c>
      <c r="DT1" s="14" t="s">
        <v>99</v>
      </c>
      <c r="DU1" s="14" t="s">
        <v>100</v>
      </c>
      <c r="DV1" s="14" t="s">
        <v>101</v>
      </c>
      <c r="DW1" s="14" t="s">
        <v>102</v>
      </c>
      <c r="DX1" s="14" t="s">
        <v>103</v>
      </c>
      <c r="DY1" s="14" t="s">
        <v>104</v>
      </c>
      <c r="DZ1" s="14" t="s">
        <v>105</v>
      </c>
      <c r="EA1" s="14" t="s">
        <v>106</v>
      </c>
      <c r="EB1" s="14" t="s">
        <v>107</v>
      </c>
      <c r="EC1" s="14" t="s">
        <v>108</v>
      </c>
      <c r="ED1" s="14" t="s">
        <v>109</v>
      </c>
      <c r="EE1" s="15" t="s">
        <v>18</v>
      </c>
      <c r="EF1" s="14" t="s">
        <v>19</v>
      </c>
      <c r="EG1" s="14" t="s">
        <v>20</v>
      </c>
      <c r="EH1" s="14" t="s">
        <v>21</v>
      </c>
      <c r="EI1" s="14" t="s">
        <v>110</v>
      </c>
      <c r="EJ1" s="14" t="s">
        <v>23</v>
      </c>
      <c r="EK1" s="14" t="s">
        <v>111</v>
      </c>
      <c r="EL1" s="14" t="s">
        <v>112</v>
      </c>
      <c r="EM1" s="14" t="s">
        <v>26</v>
      </c>
      <c r="EN1" s="16" t="s">
        <v>27</v>
      </c>
      <c r="EO1" s="16" t="s">
        <v>28</v>
      </c>
      <c r="EP1" s="16" t="s">
        <v>29</v>
      </c>
      <c r="EQ1" s="16" t="s">
        <v>113</v>
      </c>
      <c r="ER1" s="16" t="s">
        <v>31</v>
      </c>
      <c r="ES1" s="16" t="s">
        <v>32</v>
      </c>
      <c r="ET1" s="16" t="s">
        <v>114</v>
      </c>
      <c r="EU1" s="16" t="s">
        <v>34</v>
      </c>
      <c r="EV1" s="16" t="s">
        <v>35</v>
      </c>
      <c r="EW1" s="16" t="s">
        <v>115</v>
      </c>
      <c r="EX1" s="16" t="s">
        <v>37</v>
      </c>
      <c r="EY1" s="16" t="s">
        <v>38</v>
      </c>
      <c r="EZ1" s="16" t="s">
        <v>39</v>
      </c>
      <c r="FA1" s="16" t="s">
        <v>116</v>
      </c>
      <c r="FB1" s="16" t="s">
        <v>117</v>
      </c>
      <c r="FC1" s="16" t="s">
        <v>118</v>
      </c>
      <c r="FD1" s="16" t="s">
        <v>54</v>
      </c>
      <c r="FE1" s="16" t="s">
        <v>119</v>
      </c>
      <c r="FF1" s="16" t="s">
        <v>120</v>
      </c>
      <c r="FG1" s="16" t="s">
        <v>121</v>
      </c>
      <c r="FH1" s="16" t="s">
        <v>122</v>
      </c>
      <c r="FI1" s="16" t="s">
        <v>123</v>
      </c>
      <c r="FJ1" s="16" t="s">
        <v>124</v>
      </c>
      <c r="FK1" s="16" t="s">
        <v>125</v>
      </c>
      <c r="FL1" s="16" t="s">
        <v>126</v>
      </c>
      <c r="FM1" s="16" t="s">
        <v>127</v>
      </c>
      <c r="FN1" s="16" t="s">
        <v>128</v>
      </c>
      <c r="FO1" s="16" t="s">
        <v>129</v>
      </c>
      <c r="FP1" s="16" t="s">
        <v>130</v>
      </c>
      <c r="FQ1" s="16" t="s">
        <v>131</v>
      </c>
      <c r="FR1" s="16" t="s">
        <v>132</v>
      </c>
      <c r="FS1" s="16" t="s">
        <v>133</v>
      </c>
      <c r="FT1" s="16" t="s">
        <v>134</v>
      </c>
      <c r="FU1" s="16" t="s">
        <v>44</v>
      </c>
      <c r="FV1" s="16" t="s">
        <v>135</v>
      </c>
      <c r="FW1" s="16" t="s">
        <v>58</v>
      </c>
      <c r="FX1" s="16" t="s">
        <v>136</v>
      </c>
      <c r="FY1" s="16" t="s">
        <v>137</v>
      </c>
      <c r="FZ1" s="16" t="s">
        <v>138</v>
      </c>
      <c r="GA1" s="16" t="s">
        <v>139</v>
      </c>
      <c r="GB1" s="16" t="s">
        <v>140</v>
      </c>
      <c r="GC1" s="16" t="s">
        <v>141</v>
      </c>
      <c r="GD1" s="16" t="s">
        <v>142</v>
      </c>
      <c r="GE1" s="16" t="s">
        <v>143</v>
      </c>
      <c r="GF1" s="16" t="s">
        <v>144</v>
      </c>
      <c r="GG1" s="16" t="s">
        <v>145</v>
      </c>
      <c r="GH1" s="16" t="s">
        <v>61</v>
      </c>
      <c r="GI1" s="16" t="s">
        <v>62</v>
      </c>
      <c r="GJ1" s="14" t="s">
        <v>146</v>
      </c>
      <c r="GK1" s="14" t="s">
        <v>147</v>
      </c>
      <c r="GL1" s="14" t="s">
        <v>148</v>
      </c>
      <c r="GM1" s="17" t="s">
        <v>149</v>
      </c>
      <c r="GN1" s="26" t="s">
        <v>150</v>
      </c>
      <c r="GO1" s="26" t="s">
        <v>151</v>
      </c>
      <c r="GP1" s="18" t="s">
        <v>41</v>
      </c>
      <c r="GQ1" s="18" t="s">
        <v>42</v>
      </c>
      <c r="GR1" s="18" t="s">
        <v>43</v>
      </c>
      <c r="GS1" s="21"/>
      <c r="GT1" s="27" t="s">
        <v>52</v>
      </c>
      <c r="GU1" s="27"/>
      <c r="GV1" s="27"/>
      <c r="GW1" s="27"/>
      <c r="GX1" s="28"/>
      <c r="GY1" s="28"/>
      <c r="GZ1" s="28"/>
      <c r="HA1" s="28"/>
      <c r="HB1" s="28"/>
      <c r="HC1" s="28"/>
      <c r="HD1" s="29" t="s">
        <v>13</v>
      </c>
      <c r="HE1" s="30" t="s">
        <v>152</v>
      </c>
      <c r="HF1" s="31"/>
      <c r="HG1" s="32"/>
      <c r="HK1" s="32" t="s">
        <v>4</v>
      </c>
      <c r="HP1" s="33" t="s">
        <v>153</v>
      </c>
      <c r="HQ1" s="33" t="s">
        <v>154</v>
      </c>
      <c r="HR1" s="33" t="s">
        <v>155</v>
      </c>
      <c r="HS1" s="33" t="s">
        <v>156</v>
      </c>
      <c r="HT1" s="33" t="s">
        <v>157</v>
      </c>
      <c r="HU1" s="33" t="s">
        <v>158</v>
      </c>
      <c r="HV1" s="33" t="s">
        <v>159</v>
      </c>
      <c r="HW1" s="33" t="s">
        <v>160</v>
      </c>
      <c r="HX1" s="34" t="s">
        <v>161</v>
      </c>
      <c r="IA1" s="14" t="s">
        <v>162</v>
      </c>
      <c r="IB1" s="35" t="s">
        <v>163</v>
      </c>
      <c r="IC1" s="36" t="s">
        <v>153</v>
      </c>
      <c r="ID1" s="36" t="s">
        <v>154</v>
      </c>
      <c r="IE1" s="36" t="s">
        <v>156</v>
      </c>
      <c r="IF1" s="37" t="s">
        <v>161</v>
      </c>
      <c r="IG1" s="36" t="s">
        <v>157</v>
      </c>
      <c r="IH1" s="36" t="s">
        <v>158</v>
      </c>
      <c r="II1" s="36" t="s">
        <v>155</v>
      </c>
      <c r="IJ1" s="36" t="s">
        <v>159</v>
      </c>
      <c r="IK1" s="36" t="s">
        <v>160</v>
      </c>
      <c r="IO1" s="33" t="s">
        <v>153</v>
      </c>
      <c r="IP1" s="33" t="s">
        <v>154</v>
      </c>
      <c r="IQ1" s="33" t="s">
        <v>155</v>
      </c>
      <c r="IR1" s="33" t="s">
        <v>156</v>
      </c>
      <c r="IS1" s="33" t="s">
        <v>157</v>
      </c>
      <c r="IT1" s="33" t="s">
        <v>158</v>
      </c>
      <c r="IU1" s="33" t="s">
        <v>159</v>
      </c>
      <c r="IV1" s="33" t="s">
        <v>160</v>
      </c>
      <c r="IW1" s="34" t="s">
        <v>161</v>
      </c>
      <c r="IY1" s="5" t="s">
        <v>164</v>
      </c>
    </row>
    <row r="2" spans="1:259" s="44" customFormat="1" ht="38.4" customHeight="1" thickBot="1" x14ac:dyDescent="0.35">
      <c r="A2" s="77" t="s">
        <v>285</v>
      </c>
      <c r="B2" s="78" t="e" vm="56">
        <v>#VALUE!</v>
      </c>
      <c r="C2" s="39">
        <v>1</v>
      </c>
      <c r="D2" s="70" t="s">
        <v>286</v>
      </c>
      <c r="E2" s="40" t="s">
        <v>287</v>
      </c>
      <c r="F2" s="41" t="s">
        <v>165</v>
      </c>
      <c r="G2" s="42">
        <f>COUNTIF($A$1:$A$8229,A2)</f>
        <v>1</v>
      </c>
      <c r="H2" s="43"/>
      <c r="I2" s="59" t="s">
        <v>288</v>
      </c>
      <c r="J2" s="44" t="str">
        <f>""</f>
        <v/>
      </c>
      <c r="K2" s="45">
        <v>49551</v>
      </c>
      <c r="L2" s="46">
        <v>12686</v>
      </c>
      <c r="M2" s="46" t="s">
        <v>1168</v>
      </c>
      <c r="N2" s="47" t="s">
        <v>177</v>
      </c>
      <c r="O2" s="74" t="s">
        <v>229</v>
      </c>
      <c r="P2" s="48" t="s">
        <v>289</v>
      </c>
      <c r="Q2" s="73">
        <v>3</v>
      </c>
      <c r="R2" s="49" t="s">
        <v>177</v>
      </c>
      <c r="S2" s="50">
        <v>0</v>
      </c>
      <c r="T2" s="51" t="s">
        <v>166</v>
      </c>
      <c r="U2" s="52" t="s">
        <v>166</v>
      </c>
      <c r="V2" s="52" t="s">
        <v>166</v>
      </c>
      <c r="W2" s="52" t="s">
        <v>166</v>
      </c>
      <c r="X2" s="52" t="s">
        <v>167</v>
      </c>
      <c r="Y2" s="52" t="s">
        <v>166</v>
      </c>
      <c r="Z2" s="52" t="s">
        <v>166</v>
      </c>
      <c r="AA2" s="52" t="s">
        <v>167</v>
      </c>
      <c r="AB2" s="52" t="s">
        <v>166</v>
      </c>
      <c r="AC2" s="52" t="s">
        <v>166</v>
      </c>
      <c r="AD2" s="52" t="s">
        <v>166</v>
      </c>
      <c r="AE2" s="52" t="s">
        <v>166</v>
      </c>
      <c r="AF2" s="53" t="s">
        <v>166</v>
      </c>
      <c r="AG2" s="53" t="s">
        <v>166</v>
      </c>
      <c r="AH2" s="53" t="s">
        <v>167</v>
      </c>
      <c r="AI2" s="53" t="s">
        <v>166</v>
      </c>
      <c r="AJ2" s="53" t="s">
        <v>166</v>
      </c>
      <c r="AK2" s="53" t="s">
        <v>166</v>
      </c>
      <c r="AL2" s="53" t="s">
        <v>167</v>
      </c>
      <c r="AM2" s="53" t="s">
        <v>166</v>
      </c>
      <c r="AN2" s="53" t="s">
        <v>166</v>
      </c>
      <c r="AO2" s="53" t="s">
        <v>166</v>
      </c>
      <c r="AP2" s="53" t="s">
        <v>166</v>
      </c>
      <c r="AQ2" s="53" t="s">
        <v>166</v>
      </c>
      <c r="AR2" s="53" t="s">
        <v>166</v>
      </c>
      <c r="AS2" s="53" t="s">
        <v>166</v>
      </c>
      <c r="AT2" s="54">
        <v>1</v>
      </c>
      <c r="AU2" s="53"/>
      <c r="AV2" s="53" t="str">
        <f>IF(LEFT(A2,1)="[",LEFT(A2,5)&amp;AU2&amp;A2,"")</f>
        <v/>
      </c>
      <c r="AW2" s="53" t="str">
        <f>C2&amp;H2&amp;A2</f>
        <v>1Northern Mariana Islands</v>
      </c>
      <c r="AX2" s="55"/>
      <c r="AY2" s="55" t="s">
        <v>167</v>
      </c>
      <c r="AZ2" s="56" t="s">
        <v>161</v>
      </c>
      <c r="BA2" s="56" t="s">
        <v>153</v>
      </c>
      <c r="BB2" s="56"/>
      <c r="BC2" s="57"/>
      <c r="BD2" s="58" t="s">
        <v>154</v>
      </c>
      <c r="BE2" s="59"/>
      <c r="BF2" s="58"/>
      <c r="BG2" s="58"/>
      <c r="BH2" s="58"/>
      <c r="BI2" s="58"/>
      <c r="BJ2" s="58"/>
      <c r="BK2" s="59"/>
      <c r="BL2" s="58" t="s">
        <v>156</v>
      </c>
      <c r="BM2" s="58" t="s">
        <v>161</v>
      </c>
      <c r="BN2" s="58" t="s">
        <v>154</v>
      </c>
      <c r="BO2" s="58" t="s">
        <v>155</v>
      </c>
      <c r="BP2" s="58" t="s">
        <v>159</v>
      </c>
      <c r="BQ2" s="58" t="s">
        <v>160</v>
      </c>
      <c r="BR2" s="58" t="s">
        <v>157</v>
      </c>
      <c r="BS2" s="58" t="s">
        <v>153</v>
      </c>
      <c r="BT2" s="58" t="s">
        <v>213</v>
      </c>
      <c r="BU2" s="60"/>
      <c r="BV2" s="61" t="s">
        <v>168</v>
      </c>
      <c r="BW2" s="61" t="s">
        <v>170</v>
      </c>
      <c r="BX2" s="59"/>
      <c r="CB2" s="5" t="s">
        <v>290</v>
      </c>
      <c r="CC2" s="5"/>
      <c r="CD2" s="62">
        <v>0</v>
      </c>
      <c r="CE2" s="62">
        <v>0</v>
      </c>
      <c r="CF2" s="62" t="e">
        <v>#REF!</v>
      </c>
      <c r="CG2" s="75" cm="1">
        <f t="array" ref="CG2">SUMPRODUCT(--(LEN(TRIM(BL2:BT2))&gt;0))</f>
        <v>9</v>
      </c>
      <c r="CH2" s="53" t="str">
        <f>IF(CG2=2,"y","n")</f>
        <v>n</v>
      </c>
      <c r="CI2" s="53" t="str">
        <f>IF(CG2=3,"y","n")</f>
        <v>n</v>
      </c>
      <c r="CJ2" s="53" t="str">
        <f>IF(CG2=4,"y","n")</f>
        <v>n</v>
      </c>
      <c r="CK2" s="53" t="str">
        <f>IF(CG2&gt;4,"y","n")</f>
        <v>y</v>
      </c>
      <c r="CL2" s="53" t="str">
        <f>IF(S2=0,"y","n")</f>
        <v>y</v>
      </c>
      <c r="CM2" s="53" t="str">
        <f>IF(S2=2,"y","n")</f>
        <v>n</v>
      </c>
      <c r="CN2" s="53" t="str">
        <f>IF(S2=3,"y","n")</f>
        <v>n</v>
      </c>
      <c r="CO2" s="53" t="str">
        <f>IF(S2&gt;=4,"y","n")</f>
        <v>n</v>
      </c>
      <c r="CP2" s="53" t="str">
        <f>IF(AT2=0,"y","n")</f>
        <v>n</v>
      </c>
      <c r="CQ2" s="53" t="str">
        <f>IF(AT2=1,"y","n")</f>
        <v>y</v>
      </c>
      <c r="CR2" s="53" t="str">
        <f>IF(AT2=2,"y","n")</f>
        <v>n</v>
      </c>
      <c r="CS2" s="53" t="str">
        <f>IF(AT2&gt;=3,"y","n")</f>
        <v>n</v>
      </c>
      <c r="CT2" s="38" t="str">
        <f>CHAR(34)&amp;A2&amp;CHAR(34)</f>
        <v>"Northern Mariana Islands"</v>
      </c>
      <c r="CU2" s="63" t="str">
        <f>CHAR(34)&amp;"rgn_"&amp;R2&amp;CHAR(34)</f>
        <v>"rgn_Oceania"</v>
      </c>
      <c r="CV2" s="44" t="str">
        <f>CHAR(34)&amp;D2&amp;CHAR(34)</f>
        <v>"https://upload.wikimedia.org/wikipedia/commons/thumb/e/e0/Flag_of_the_Northern_Mariana_Islands.svg/1200px-Flag_of_the_Northern_Mariana_Islands.svg.png"</v>
      </c>
      <c r="CW2" s="44" t="str">
        <f t="shared" ref="CW2:CZ4" si="0">IF(CH2="y",CHAR(34)&amp;CH$1&amp;CHAR(34)&amp;",","")</f>
        <v/>
      </c>
      <c r="CX2" s="44" t="str">
        <f t="shared" si="0"/>
        <v/>
      </c>
      <c r="CY2" s="44" t="str">
        <f t="shared" si="0"/>
        <v/>
      </c>
      <c r="CZ2" s="44" t="str">
        <f t="shared" si="0"/>
        <v>"5+Colo",</v>
      </c>
      <c r="DA2" s="44" t="str">
        <f>IF(Q2&gt;1,CHAR(34)&amp;"words2"&amp;CHAR(34)&amp;",","")</f>
        <v>"words2",</v>
      </c>
      <c r="DB2" s="44" t="str">
        <f>IF(Q2&gt;2,CHAR(34)&amp;"words3"&amp;CHAR(34)&amp;",","")</f>
        <v>"words3",</v>
      </c>
      <c r="DC2" s="44" t="str">
        <f>IF(Q2=2,CHAR(34)&amp;"exact2"&amp;CHAR(34)&amp;",","")</f>
        <v/>
      </c>
      <c r="DD2" s="44"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"lets22",</v>
      </c>
      <c r="DE2" s="44"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"startN",</v>
      </c>
      <c r="DF2" s="44" t="str">
        <f>IFERROR(IF(SEARCH("tan",A2)&gt;0,CHAR(34)&amp;"withtn"&amp;CHAR(34)&amp;",",""),"")</f>
        <v/>
      </c>
      <c r="DG2" s="44" t="str">
        <f>IFERROR(IF(SEARCH("q",A2)&gt;0,CHAR(34)&amp;"with_q"&amp;CHAR(34)&amp;",",""),"")</f>
        <v/>
      </c>
      <c r="DH2" s="44" t="str">
        <f>IFERROR(IF(SEARCH("v",A2)&gt;0,CHAR(34)&amp;"with_v"&amp;CHAR(34)&amp;",",""),"")</f>
        <v/>
      </c>
      <c r="DI2" s="44" t="str">
        <f>IFERROR(IF(SEARCH("w",A2)&gt;0,CHAR(34)&amp;"with_w"&amp;CHAR(34)&amp;",",""),"")</f>
        <v/>
      </c>
      <c r="DJ2" s="44" t="str">
        <f>IFERROR(IF(SEARCH("y",A2)&gt;0,CHAR(34)&amp;"with_y"&amp;CHAR(34)&amp;",",""),"")</f>
        <v/>
      </c>
      <c r="DK2" s="44" t="str">
        <f>IFERROR(IF(SEARCH("z",A2)&gt;0,CHAR(34)&amp;"with_z"&amp;CHAR(34)&amp;",",""),"")</f>
        <v/>
      </c>
      <c r="DL2" s="44" t="str">
        <f>IF(CG2=2, CHAR(34) &amp; _xlfn.TEXTJOIN("", TRUE, _xlfn._xlws.SORT(HP2:HX2)) &amp; CHAR(34) &amp; ",", "")</f>
        <v/>
      </c>
      <c r="DM2" s="44" t="str" cm="1">
        <f t="array" ref="DM2">IF(CG2=3,CHAR(34) &amp; _xlfn.TEXTJOIN("", TRUE, RIGHT(HP2:HX2, 2)) &amp; CHAR(34) &amp; ",", "")</f>
        <v/>
      </c>
      <c r="DN2" s="44" t="str">
        <f>IF(AND(ISNUMBER(SEARCH("18", O2)), ISERROR(SEARCH("1918", O2)), ISERROR(SEARCH("2018", O2))), CHAR(34) &amp; "year18" &amp; CHAR(34) &amp; ",", "")</f>
        <v/>
      </c>
      <c r="DO2" s="44" t="str">
        <f>IF(AND(ISNUMBER(SEARCH("19", O2)), ISERROR(SEARCH("1819", O2)),  ISERROR(SEARCH("1219", O2)),ISERROR(SEARCH("1119", O2)),ISERROR(SEARCH("1190", O2)),ISERROR(SEARCH("2019", O2))), CHAR(34) &amp; "year19" &amp; CHAR(34) &amp; ",", "")</f>
        <v>"year19",</v>
      </c>
      <c r="DP2" s="5" t="str">
        <f>IF(AND(ISNUMBER(SEARCH("20", O2)), ISERROR(SEARCH("1920", O2))), CHAR(34)&amp;"year00"&amp;CHAR(34)&amp;",", "")</f>
        <v/>
      </c>
      <c r="DQ2" s="5" t="str">
        <f>IF(CC2="y",CHAR(34)&amp;"soviet"&amp;CHAR(34)&amp;",","")</f>
        <v/>
      </c>
      <c r="DR2" s="5" t="str">
        <f>IF(BY2="y",CHAR(34)&amp;"dgband"&amp;CHAR(34)&amp;",","")</f>
        <v/>
      </c>
      <c r="DS2" s="5" t="str">
        <f>IF(W2="y",IF(AND(V2="n",BY2&lt;&gt;"y"),CHAR(34)&amp;"allver"&amp;CHAR(34)&amp;",",""),"")</f>
        <v/>
      </c>
      <c r="DT2" s="5" t="str">
        <f>IF(V2="y",IF(AND(W2="n",BY2&lt;&gt;"y"),CHAR(34)&amp;"allhor"&amp;CHAR(34)&amp;",",""),"")</f>
        <v/>
      </c>
      <c r="DU2" s="5" t="str">
        <f>IF(BY2="y",IF(AND(W2="n",V2="n"),CHAR(34)&amp;"alldia"&amp;CHAR(34)&amp;",",""),"")</f>
        <v/>
      </c>
      <c r="DV2" s="44" t="str">
        <f>IF(IA2&lt;&gt;"",(IF(IA2="y",CHAR(34)&amp;"largec"&amp;CHAR(34)&amp;",",CHAR(34)&amp;"smallc"&amp;CHAR(34)&amp;",")),"")</f>
        <v/>
      </c>
      <c r="DW2" s="44" t="str">
        <f t="shared" ref="DW2:DZ4" si="1">IF(CL2="y",CHAR(34)&amp;CL$1&amp;CHAR(34)&amp;",","")</f>
        <v>"NoBand",</v>
      </c>
      <c r="DX2" s="44" t="str">
        <f t="shared" si="1"/>
        <v/>
      </c>
      <c r="DY2" s="44" t="str">
        <f t="shared" si="1"/>
        <v/>
      </c>
      <c r="DZ2" s="44" t="str">
        <f t="shared" si="1"/>
        <v/>
      </c>
      <c r="EA2" s="44" t="str">
        <f t="shared" ref="EA2:EE4" si="2">IF(T2="y",CHAR(34)&amp;T$1&amp;CHAR(34)&amp;",","")</f>
        <v/>
      </c>
      <c r="EB2" s="44" t="str">
        <f t="shared" si="2"/>
        <v/>
      </c>
      <c r="EC2" s="44" t="str">
        <f t="shared" si="2"/>
        <v/>
      </c>
      <c r="ED2" s="44" t="str">
        <f t="shared" si="2"/>
        <v/>
      </c>
      <c r="EE2" s="44" t="str">
        <f t="shared" si="2"/>
        <v>"Circle",</v>
      </c>
      <c r="EF2" s="44" t="str">
        <f>IF(AND(Y2&lt;&gt;"n",Y2&lt;&gt;""),CHAR(34)&amp;Y$1&amp;CHAR(34)&amp;",","")</f>
        <v/>
      </c>
      <c r="EG2" s="44" t="str">
        <f t="shared" ref="EG2:EP4" si="3">IF(Z2="y",CHAR(34)&amp;Z$1&amp;CHAR(34)&amp;",","")</f>
        <v/>
      </c>
      <c r="EH2" s="44" t="str">
        <f t="shared" si="3"/>
        <v>"Plants",</v>
      </c>
      <c r="EI2" s="44" t="str">
        <f t="shared" si="3"/>
        <v/>
      </c>
      <c r="EJ2" s="44" t="str">
        <f t="shared" si="3"/>
        <v/>
      </c>
      <c r="EK2" s="44" t="str">
        <f t="shared" si="3"/>
        <v/>
      </c>
      <c r="EL2" s="44" t="str">
        <f t="shared" si="3"/>
        <v/>
      </c>
      <c r="EM2" s="44" t="str">
        <f t="shared" si="3"/>
        <v/>
      </c>
      <c r="EN2" s="44" t="str">
        <f t="shared" si="3"/>
        <v/>
      </c>
      <c r="EO2" s="44" t="str">
        <f t="shared" si="3"/>
        <v>"Center",</v>
      </c>
      <c r="EP2" s="44" t="str">
        <f t="shared" si="3"/>
        <v/>
      </c>
      <c r="EQ2" s="44" t="str">
        <f t="shared" ref="EQ2:EZ4" si="4">IF(AJ2="y",CHAR(34)&amp;AJ$1&amp;CHAR(34)&amp;",","")</f>
        <v/>
      </c>
      <c r="ER2" s="44" t="str">
        <f t="shared" si="4"/>
        <v/>
      </c>
      <c r="ES2" s="44" t="str">
        <f t="shared" si="4"/>
        <v>"Wavess",</v>
      </c>
      <c r="ET2" s="44" t="str">
        <f t="shared" si="4"/>
        <v/>
      </c>
      <c r="EU2" s="44" t="str">
        <f t="shared" si="4"/>
        <v/>
      </c>
      <c r="EV2" s="44" t="str">
        <f t="shared" si="4"/>
        <v/>
      </c>
      <c r="EW2" s="44" t="str">
        <f t="shared" si="4"/>
        <v/>
      </c>
      <c r="EX2" s="44" t="str">
        <f t="shared" si="4"/>
        <v/>
      </c>
      <c r="EY2" s="44" t="str">
        <f t="shared" si="4"/>
        <v/>
      </c>
      <c r="EZ2" s="44" t="str">
        <f t="shared" si="4"/>
        <v/>
      </c>
      <c r="FA2" s="44" t="str">
        <f>IF(AT2&gt;0,CHAR(34)&amp;"sta"&amp;AZ2&amp;CHAR(34)&amp;",","")</f>
        <v>"staWHI",</v>
      </c>
      <c r="FB2" s="44" t="str">
        <f>IF(AND(AT2&gt;0,BA2&lt;&gt;""),CHAR(34)&amp;"sta"&amp;BA2&amp;CHAR(34)&amp;",","")</f>
        <v>"staBLA",</v>
      </c>
      <c r="FC2" s="44" t="str">
        <f>IF(AND(AT2&gt;0,BB2&lt;&gt;""),CHAR(34)&amp;"sta"&amp;BB2&amp;CHAR(34)&amp;",","")</f>
        <v/>
      </c>
      <c r="FD2" s="44" t="str">
        <f>IF(BV2="n",CHAR(34)&amp;"tcWHYE"&amp;CHAR(34)&amp;",",IF(BV2="y",CHAR(34)&amp;FD$1&amp;CHAR(34)&amp;",",""))</f>
        <v/>
      </c>
      <c r="FE2" s="44" t="str">
        <f>IF(COUNTIF(BL2:BT2,"BLU")=0,CHAR(34)&amp;"NO_BLU"&amp;CHAR(34)&amp;",", "")</f>
        <v/>
      </c>
      <c r="FF2" s="44" t="str">
        <f>IF(COUNTIF(BL2:BT2,"WHI")=0,CHAR(34)&amp;"NO_WHI"&amp;CHAR(34)&amp;",", "")</f>
        <v/>
      </c>
      <c r="FG2" s="44" t="str">
        <f>IF(COUNTIF(BL2:BT2,"RED")=0,CHAR(34)&amp;"NO_RED"&amp;CHAR(34)&amp;",", "")</f>
        <v/>
      </c>
      <c r="FH2" s="44" t="str">
        <f>IF(COUNTIF(BL2:BS2,"GRE")=0,CHAR(34)&amp;"NO_GRE"&amp;CHAR(34)&amp;",", "")</f>
        <v/>
      </c>
      <c r="FI2" s="44" t="str">
        <f>IF(COUNTIF(BL2:BT2,"YEL")=0,CHAR(34)&amp;"NO_YEL"&amp;CHAR(34)&amp;",", "")</f>
        <v/>
      </c>
      <c r="FJ2" s="44" t="str">
        <f>IF(COUNTIF(BL2:BT2,"BLA")=0,CHAR(34)&amp;"NO_BLA"&amp;CHAR(34)&amp;",", "")</f>
        <v/>
      </c>
      <c r="FK2" s="44" t="str">
        <f>IF(AND(FH2&lt;&gt;"",FF2&lt;&gt;""),CHAR(34)&amp;"WHGRNO"&amp;CHAR(34)&amp;",","")</f>
        <v/>
      </c>
      <c r="FL2" s="44" t="str">
        <f>IF(AND(FI2&lt;&gt;"",FF2&lt;&gt;""),CHAR(34)&amp;"WHYENO"&amp;CHAR(34)&amp;",","")</f>
        <v/>
      </c>
      <c r="FM2" s="44" t="str">
        <f>IF(AND(FJ2&lt;&gt;"",FF2&lt;&gt;""),CHAR(34)&amp;"BAWHNO"&amp;CHAR(34)&amp;",","")</f>
        <v/>
      </c>
      <c r="FN2" s="44" t="str">
        <f>IF(AND(FE2&lt;&gt;"",FF2&lt;&gt;""),CHAR(34)&amp;"BLWHNO"&amp;CHAR(34)&amp;",","")</f>
        <v/>
      </c>
      <c r="FO2" s="44" t="str">
        <f>IF(AND(FE2&lt;&gt;"",FG2&lt;&gt;""),CHAR(34)&amp;"BLRENO"&amp;CHAR(34)&amp;",","")</f>
        <v/>
      </c>
      <c r="FP2" s="44" t="str">
        <f>IF(AND(FF2&lt;&gt;"",FF2&lt;&gt;""),CHAR(34)&amp;"WHRENO"&amp;CHAR(34)&amp;",","")</f>
        <v/>
      </c>
      <c r="FQ2" s="44" t="str">
        <f>IF(LEN(BF2)=3,CHAR(34)&amp;"001"&amp;BF2&amp;CHAR(34)&amp;",","")</f>
        <v/>
      </c>
      <c r="FR2" s="44" t="str">
        <f>IF(LEN(BG2)=3,CHAR(34)&amp;"002"&amp;BG2&amp;CHAR(34)&amp;",","")</f>
        <v/>
      </c>
      <c r="FS2" s="44" t="str">
        <f>IF(LEN(BH2)=3,CHAR(34)&amp;"003"&amp;BH2&amp;CHAR(34)&amp;",","")</f>
        <v/>
      </c>
      <c r="FT2" s="44" t="str">
        <f>CHAR(34)&amp;"myr"&amp;BD2&amp;CHAR(34)&amp;","</f>
        <v>"myrBLU",</v>
      </c>
      <c r="FU2" s="44" t="str">
        <f>IF(AY2="y",CHAR(34)&amp;"island"&amp;CHAR(34)&amp;",","")</f>
        <v>"island",</v>
      </c>
      <c r="FV2" s="44" t="str">
        <f>IF(BZ2="y",CHAR(34)&amp;"landlo"&amp;CHAR(34)&amp;",","")</f>
        <v/>
      </c>
      <c r="FW2" s="44" t="str">
        <f>IF(CA2="y",CHAR(34)&amp;"eunion"&amp;CHAR(34)&amp;",","")</f>
        <v/>
      </c>
      <c r="FX2" s="44" t="str">
        <f>SUBSTITUTE(IFERROR(SEARCH("[",A2),IFERROR(IF(AND(CA2&lt;&gt;"y",SEARCH("Europe",R2)&gt;0),CHAR(34)&amp;"noeuni"&amp;CHAR(34)&amp;",",""),"")),"1","")</f>
        <v/>
      </c>
      <c r="FY2" s="44" t="str">
        <f>IFERROR(IF(SEARCH("Arabic",CB2)&gt;0,CHAR(34)&amp;"arabic"&amp;CHAR(34)&amp;",",""),"")</f>
        <v/>
      </c>
      <c r="FZ2" s="44" t="str">
        <f>IFERROR(IF(SEARCH("English",CB2)&gt;0,CHAR(34)&amp;"englis"&amp;CHAR(34)&amp;",",""),"")</f>
        <v>"englis",</v>
      </c>
      <c r="GA2" s="44" t="str">
        <f>IFERROR(IF(SEARCH("French",CB2)&gt;0,CHAR(34)&amp;"french"&amp;CHAR(34)&amp;",",""),"")</f>
        <v/>
      </c>
      <c r="GB2" s="44" t="str">
        <f>IFERROR(IF(SEARCH("Spanish",CB2)&gt;0,CHAR(34)&amp;"spanis"&amp;CHAR(34)&amp;",",""),"")</f>
        <v/>
      </c>
      <c r="GC2" s="44" t="str">
        <f>IFERROR(IF(SEARCH("Portuguese",CB2)&gt;0,CHAR(34)&amp;"portug"&amp;CHAR(34)&amp;",",""),"")</f>
        <v/>
      </c>
      <c r="GD2" s="44" t="str">
        <f>IFERROR(IF(SEARCH("German",CB2)&gt;0,CHAR(34)&amp;"german"&amp;CHAR(34)&amp;",",""),"")</f>
        <v/>
      </c>
      <c r="GE2" s="44" t="str">
        <f>IFERROR(IF(SEARCH("Dutch",CB2)&gt;0,CHAR(34)&amp;"dutchs"&amp;CHAR(34)&amp;",",""),"")</f>
        <v/>
      </c>
      <c r="GF2" s="44" t="str">
        <f>IFERROR(IF(SEARCH("Histor",AU2)&gt;0,CHAR(34)&amp;"histor"&amp;CHAR(34)&amp;",",""),"")</f>
        <v/>
      </c>
      <c r="GG2" s="44" t="str">
        <f>IF(BU2="y",CHAR(34)&amp;"unjack"&amp;CHAR(34)&amp;",","")</f>
        <v/>
      </c>
      <c r="GH2" s="44" t="str">
        <f>IF(CD2=1,CHAR(34)&amp;"southc"&amp;CHAR(34)&amp;",","")</f>
        <v/>
      </c>
      <c r="GI2" s="44" t="str">
        <f>IF(CE2=1,CHAR(34)&amp;"hasmap"&amp;CHAR(34)&amp;",","")</f>
        <v/>
      </c>
      <c r="GJ2" s="44" t="str">
        <f>IF(CP2="y",CHAR(34)&amp;CP$1&amp;CHAR(34)&amp;",","")</f>
        <v/>
      </c>
      <c r="GK2" s="44" t="str">
        <f>IF(GJ2="",CHAR(34)&amp;"HasSta"&amp;CHAR(34)&amp;",","")</f>
        <v>"HasSta",</v>
      </c>
      <c r="GL2" s="44" t="str">
        <f t="shared" ref="GL2:GN4" si="5">IF(CQ2="y",CHAR(34)&amp;CQ$1&amp;CHAR(34)&amp;",","")</f>
        <v>"1Stars",</v>
      </c>
      <c r="GM2" s="44" t="str">
        <f t="shared" si="5"/>
        <v/>
      </c>
      <c r="GN2" s="44" t="str">
        <f t="shared" si="5"/>
        <v/>
      </c>
      <c r="GP2" s="44" t="str">
        <f>CHAR(34)&amp;AU2&amp;CHAR(34)</f>
        <v>""</v>
      </c>
      <c r="GS2" s="44" t="str">
        <f>SUBSTITUTE("["&amp;_xlfn.CONCAT(CW2:GN2)&amp;"]",",]","]")</f>
        <v>["5+Colo","words2","words3","lets22","startN","year19","NoBand","Circle","Plants","Center","Wavess","staWHI","staBLA","myrBLU","island","englis","HasSta","1Stars"]</v>
      </c>
      <c r="GT2" s="44" t="str">
        <f t="shared" ref="GT2:HB4" si="6">IF(BL2&lt;&gt;"",CHAR(34)&amp;"cl_"&amp;BL2&amp;CHAR(34)&amp;",","")</f>
        <v>"cl_RED",</v>
      </c>
      <c r="GU2" s="44" t="str">
        <f t="shared" si="6"/>
        <v>"cl_WHI",</v>
      </c>
      <c r="GV2" s="44" t="str">
        <f t="shared" si="6"/>
        <v>"cl_BLU",</v>
      </c>
      <c r="GW2" s="44" t="str">
        <f t="shared" si="6"/>
        <v>"cl_GRE",</v>
      </c>
      <c r="GX2" s="44" t="str">
        <f t="shared" si="6"/>
        <v>"cl_BRO",</v>
      </c>
      <c r="GY2" s="44" t="str">
        <f t="shared" si="6"/>
        <v>"cl_PUR",</v>
      </c>
      <c r="GZ2" s="44" t="str">
        <f t="shared" si="6"/>
        <v>"cl_YEL",</v>
      </c>
      <c r="HA2" s="44" t="str">
        <f t="shared" si="6"/>
        <v>"cl_BLA",</v>
      </c>
      <c r="HB2" s="44" t="str">
        <f t="shared" si="6"/>
        <v>"cl_GRA",</v>
      </c>
      <c r="HC2" s="44" t="str">
        <f>SUBSTITUTE("["&amp;_xlfn.CONCAT(GT2:HB2)&amp;"]",",]","]")</f>
        <v>["cl_RED","cl_WHI","cl_BLU","cl_GRE","cl_BRO","cl_PUR","cl_YEL","cl_BLA","cl_GRA"]</v>
      </c>
      <c r="HE2" s="64"/>
      <c r="HF2" s="65" t="str">
        <f>"{couname:"&amp;CT2&amp;(IF(HK2&lt;&gt;"",",subtype:"&amp;CHAR(34)&amp;HK2&amp;CHAR(34),""))&amp;",year:"&amp;HJ2&amp;",region:"&amp;CU2&amp;",Colors:"&amp;HC2&amp;",Items:"&amp;GS2&amp;",Flag:"&amp;CV2&amp;",HDFlag:"&amp;CHAR(34)&amp;E2&amp;CHAR(34)&amp;",type:"&amp;GP2&amp;", describe: "&amp;HH2&amp;", isnew:"&amp;CHAR(34)&amp;F2&amp;CHAR(34)&amp;", links: "&amp;HL2&amp;"},"</f>
        <v>{couname:"Northern Mariana Islands",year:"1985 ",region:"rgn_Oceania",Colors:["cl_RED","cl_WHI","cl_BLU","cl_GRE","cl_BRO","cl_PUR","cl_YEL","cl_BLA","cl_GRA"],Items:["5+Colo","words2","words3","lets22","startN","year19","NoBand","Circle","Plants","Center","Wavess","staWHI","staBLA","myrBLU","island","englis","HasSta","1Stars"],Flag:"https://upload.wikimedia.org/wikipedia/commons/thumb/e/e0/Flag_of_the_Northern_Mariana_Islands.svg/1200px-Flag_of_the_Northern_Mariana_Islands.svg.png",HDFlag:"https://upload.wikimedia.org/wikipedia/commons/thumb/e/e0/Flag_of_the_Northern_Mariana_Islands.svg/2560px-Flag_of_the_Northern_Mariana_Islands.svg.png",type:"", describe: "\nThe flag consists of three symbols: a white star representing the United States, a gray latte stone representing the Chamorro people, and a multi-colored mwarmwar (floral wreath) representing the Carolinians. The mwarmwar is made from the green ylang-ylang (langilang; Cananga odorata), the white plumeria (flores mayo or seyúr; Plumeria alba), the red peacock flower (angagha; Caesalpinia pulcherrima), and the pink Pacific basil (teibwo; Ocimum tenuiflorum). Its dark blue background represents the Pacific Ocean and the Mariana Trench.", isnew:".", links: "https://en.wikipedia.org/wiki/Flag_of_the_Northern_Mariana_Islands"},</v>
      </c>
      <c r="HG2" s="66" t="str">
        <f>"{couname:"&amp;CT2&amp;(IF(HK2&lt;&gt;"",",subtype:"&amp;CHAR(34)&amp;HK2&amp;CHAR(34),""))&amp;",year:"&amp;HJ2&amp;",region:"&amp;CU2&amp;",Colors:"&amp;HC2&amp;",Items:"&amp;GS2&amp;",Flag:"&amp;CV2&amp;",HDFlag:"&amp;CHAR(34)&amp;E2&amp;CHAR(34)&amp;",type:"&amp;GP2&amp;", describe: "&amp;HI2&amp;", links: "&amp;HL2&amp;"},"</f>
        <v>{couname:"Northern Mariana Islands",year:"1985 ",region:"rgn_Oceania",Colors:["cl_RED","cl_WHI","cl_BLU","cl_GRE","cl_BRO","cl_PUR","cl_YEL","cl_BLA","cl_GRA"],Items:["5+Colo","words2","words3","lets22","startN","year19","NoBand","Circle","Plants","Center","Wavess","staWHI","staBLA","myrBLU","island","englis","HasSta","1Stars"],Flag:"https://upload.wikimedia.org/wikipedia/commons/thumb/e/e0/Flag_of_the_Northern_Mariana_Islands.svg/1200px-Flag_of_the_Northern_Mariana_Islands.svg.png",HDFlag:"https://upload.wikimedia.org/wikipedia/commons/thumb/e/e0/Flag_of_the_Northern_Mariana_Islands.svg/2560px-Flag_of_the_Northern_Mariana_Islands.svg.png",type:"", describe: "\nThe flag consists of three symbols: a white star representing the United States, a gray latte stone representing the Chamorro people, and a multi-colored mwarmwar (floral wreath) representing the Carolinians. The mwarmwar is made from the green ylang-ylang (langilang; Cananga odorata), the white plumeria (flores mayo or seyúr; Plumeria alba), the red peacock flower (angagha; Caesalpinia pulcherrima), and the pink Pacific basil (teibwo; Ocimum tenuiflorum). Its dark blue background represents the Pacific Ocean and the Mariana Trench.", links: "https://en.wikipedia.org/wiki/Flag_of_the_Northern_Mariana_Islands"},</v>
      </c>
      <c r="HH2" s="44" t="str">
        <f>IF(P2&lt;&gt;"",CHAR(34)&amp;"\n"&amp;P2&amp;CHAR(34),CHAR(34)&amp;CHAR(34))</f>
        <v>"\nThe flag consists of three symbols: a white star representing the United States, a gray latte stone representing the Chamorro people, and a multi-colored mwarmwar (floral wreath) representing the Carolinians. The mwarmwar is made from the green ylang-ylang (langilang; Cananga odorata), the white plumeria (flores mayo or seyúr; Plumeria alba), the red peacock flower (angagha; Caesalpinia pulcherrima), and the pink Pacific basil (teibwo; Ocimum tenuiflorum). Its dark blue background represents the Pacific Ocean and the Mariana Trench."</v>
      </c>
      <c r="HI2" s="44" t="str">
        <f>IF(J2=0,CHAR(34)&amp;CHAR(34),HH2)</f>
        <v>"\nThe flag consists of three symbols: a white star representing the United States, a gray latte stone representing the Chamorro people, and a multi-colored mwarmwar (floral wreath) representing the Carolinians. The mwarmwar is made from the green ylang-ylang (langilang; Cananga odorata), the white plumeria (flores mayo or seyúr; Plumeria alba), the red peacock flower (angagha; Caesalpinia pulcherrima), and the pink Pacific basil (teibwo; Ocimum tenuiflorum). Its dark blue background represents the Pacific Ocean and the Mariana Trench."</v>
      </c>
      <c r="HJ2" s="44" t="str">
        <f>CHAR(34)&amp;O2&amp;CHAR(34)</f>
        <v>"1985 "</v>
      </c>
      <c r="HL2" s="44" t="str">
        <f>CHAR(34)&amp;I2&amp;CHAR(34)</f>
        <v>"https://en.wikipedia.org/wiki/Flag_of_the_Northern_Mariana_Islands"</v>
      </c>
      <c r="HM2" s="65"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{"couname":"Northern Mariana Islands","year":"1985 ","region":"rgn_Oceania","Colors":["cl_RED","cl_WHI","cl_BLU","cl_GRE","cl_BRO","cl_PUR","cl_YEL","cl_BLA","cl_GRA"],"Items":["5+Colo","words2","words3","lets22","startN","year19","NoBand","Circle","Plants","Center","Wavess","staWHI","staBLA","myrBLU","island","englis","HasSta","1Stars"],"Flag":"https://upload.wikimedia.org/wikipedia/commons/thumb/e/e0/Flag_of_the_Northern_Mariana_Islands.svg/1200px-Flag_of_the_Northern_Mariana_Islands.svg.png","HDFlag":"https://upload.wikimedia.org/wikipedia/commons/thumb/e/e0/Flag_of_the_Northern_Mariana_Islands.svg/2560px-Flag_of_the_Northern_Mariana_Islands.svg.png","type":"", "describe": "\nThe flag consists of three symbols: a white star representing the United States, a gray latte stone representing the Chamorro people, and a multi-colored mwarmwar (floral wreath) representing the Carolinians. The mwarmwar is made from the green ylang-ylang (langilang; Cananga odorata), the white plumeria (flores mayo or seyúr; Plumeria alba), the red peacock flower (angagha; Caesalpinia pulcherrima), and the pink Pacific basil (teibwo; Ocimum tenuiflorum). Its dark blue background represents the Pacific Ocean and the Mariana Trench.", "isnew": ".", "links": "https://en.wikipedia.org/wiki/Flag_of_the_Northern_Mariana_Islands"},</v>
      </c>
      <c r="HN2" s="67"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{"couname":"Northern Mariana Islands","year":"1985 ","region":"rgn_Oceania","Colors":["cl_RED","cl_WHI","cl_BLU","cl_GRE","cl_BRO","cl_PUR","cl_YEL","cl_BLA","cl_GRA"],"Items":["5+Colo","words2","words3","lets22","startN","year19","NoBand","Circle","Plants","Center","Wavess","staWHI","staBLA","myrBLU","island","englis","HasSta","1Stars"],"Flag":"https://upload.wikimedia.org/wikipedia/commons/thumb/e/e0/Flag_of_the_Northern_Mariana_Islands.svg/1200px-Flag_of_the_Northern_Mariana_Islands.svg.png","HDFlag":"https://upload.wikimedia.org/wikipedia/commons/thumb/e/e0/Flag_of_the_Northern_Mariana_Islands.svg/2560px-Flag_of_the_Northern_Mariana_Islands.svg.png","type":"", "describe": "\nThe flag consists of three symbols: a white star representing the United States, a gray latte stone representing the Chamorro people, and a multi-colored mwarmwar (floral wreath) representing the Carolinians. The mwarmwar is made from the green ylang-ylang (langilang; Cananga odorata), the white plumeria (flores mayo or seyúr; Plumeria alba), the red peacock flower (angagha; Caesalpinia pulcherrima), and the pink Pacific basil (teibwo; Ocimum tenuiflorum). Its dark blue background represents the Pacific Ocean and the Mariana Trench.", "isnew": ".", "links": "https://en.wikipedia.org/wiki/Flag_of_the_Northern_Mariana_Islands"},</v>
      </c>
      <c r="HO2" s="71"/>
      <c r="HP2" s="44" t="str" cm="1">
        <f t="array" ref="HP2">IF(_xlfn.TEXTJOIN(", ", TRUE, IF(ISNUMBER(SEARCH("BLA", BL2:BT2)), COLUMN(BL2:BT2) - COLUMN(BL2) + 1, ""))&lt;&gt;"","BLA","")</f>
        <v>BLA</v>
      </c>
      <c r="HQ2" s="44" t="str" cm="1">
        <f t="array" ref="HQ2">IF(_xlfn.TEXTJOIN(", ", TRUE, IF(ISNUMBER(SEARCH("BLU", BL2:BT2)), COLUMN(BL2:BT2) - COLUMN(BL2) + 1, ""))&lt;&gt;"","BLU","")</f>
        <v>BLU</v>
      </c>
      <c r="HR2" s="44" t="str" cm="1">
        <f t="array" ref="HR2">IF(_xlfn.TEXTJOIN(", ", TRUE, IF(ISNUMBER(SEARCH("GRE", BL2:BT2)), COLUMN(BL2:BT2) - COLUMN(BL2) + 1, ""))&lt;&gt;"","GRE","")</f>
        <v>GRE</v>
      </c>
      <c r="HS2" s="44" t="str" cm="1">
        <f t="array" ref="HS2">IF(_xlfn.TEXTJOIN(", ", TRUE, IF(ISNUMBER(SEARCH("RED", BL2:BT2)), COLUMN(BL2:BT2) - COLUMN(BL2) + 1, ""))&lt;&gt;"","RED","")</f>
        <v>RED</v>
      </c>
      <c r="HT2" s="44" t="str" cm="1">
        <f t="array" ref="HT2">IF(_xlfn.TEXTJOIN(", ", TRUE, IF(ISNUMBER(SEARCH("YEL", BL2:BT2)), COLUMN(BL2:BT2) - COLUMN(BL2) + 1, ""))&lt;&gt;"","YEL","")</f>
        <v>YEL</v>
      </c>
      <c r="HU2" s="44" t="str" cm="1">
        <f t="array" ref="HU2">IF(_xlfn.TEXTJOIN(", ", TRUE, IF(ISNUMBER(SEARCH("ORA", BL2:BT2)), COLUMN(BL2:BT2) - COLUMN(BL2) + 1, ""))&lt;&gt;"","ORA","")</f>
        <v/>
      </c>
      <c r="HV2" s="44" t="str" cm="1">
        <f t="array" ref="HV2">IF(_xlfn.TEXTJOIN(", ", TRUE, IF(ISNUMBER(SEARCH("BRO", BL2:BT2)), COLUMN(BL2:BT2) - COLUMN(BL2) + 1, ""))&lt;&gt;"","BRO","")</f>
        <v>BRO</v>
      </c>
      <c r="HW2" s="44" t="str" cm="1">
        <f t="array" ref="HW2">IF(_xlfn.TEXTJOIN(", ", TRUE, IF(ISNUMBER(SEARCH("PUR", BL2:BT2)), COLUMN(BL2:BT2) - COLUMN(BL2) + 1, ""))&lt;&gt;"","PUR","")</f>
        <v>PUR</v>
      </c>
      <c r="HX2" s="44" t="str" cm="1">
        <f t="array" ref="HX2">IF(_xlfn.TEXTJOIN(", ", TRUE, IF(ISNUMBER(SEARCH("WHI", BL2:BT2)), COLUMN(BL2:BT2) - COLUMN(BL2) + 1, ""))&lt;&gt;"","WHI","")</f>
        <v>WHI</v>
      </c>
      <c r="HY2" s="72"/>
      <c r="HZ2" s="72"/>
      <c r="IA2" s="5"/>
      <c r="IB2" s="5"/>
      <c r="IC2" s="68"/>
      <c r="ID2" s="68"/>
      <c r="IE2" s="68"/>
      <c r="IF2" s="68"/>
      <c r="IG2" s="68"/>
      <c r="IH2" s="68"/>
      <c r="II2" s="68"/>
      <c r="IJ2" s="68"/>
      <c r="IK2" s="68"/>
      <c r="IL2" s="44">
        <f>SUM(IC2:IK2)</f>
        <v>0</v>
      </c>
      <c r="IM2" s="42">
        <f>COUNTIF(IC2:IK2,"&gt;0")-CG2</f>
        <v>-9</v>
      </c>
      <c r="IN2" s="69" t="str">
        <f>"http://mkweb.bcgsc.ca/color-summarizer/?url="&amp;D2&amp;"&amp;precision=low&amp;num_clusters="&amp;CG2&amp;"&amp;text=1"</f>
        <v>http://mkweb.bcgsc.ca/color-summarizer/?url=https://upload.wikimedia.org/wikipedia/commons/thumb/e/e0/Flag_of_the_Northern_Mariana_Islands.svg/1200px-Flag_of_the_Northern_Mariana_Islands.svg.png&amp;precision=low&amp;num_clusters=9&amp;text=1</v>
      </c>
      <c r="IO2" s="44" t="str">
        <f>IF(HP2&lt;&gt;"",CHAR(34)&amp;"black"&amp;CHAR(34),"")</f>
        <v>"black"</v>
      </c>
      <c r="IP2" s="44" t="str">
        <f>IF(HQ2&lt;&gt;"",CHAR(34)&amp;"blue"&amp;CHAR(34),"")</f>
        <v>"blue"</v>
      </c>
      <c r="IQ2" s="44" t="str">
        <f>IF(HR2&lt;&gt;"",CHAR(34)&amp;"green"&amp;CHAR(34),"")</f>
        <v>"green"</v>
      </c>
      <c r="IR2" s="44" t="str">
        <f>IF(HS2&lt;&gt;"",CHAR(34)&amp;"red"&amp;CHAR(34),"")</f>
        <v>"red"</v>
      </c>
      <c r="IS2" s="44" t="str">
        <f>IF(HT2&lt;&gt;"",CHAR(34)&amp;"yellow"&amp;CHAR(34),"")</f>
        <v>"yellow"</v>
      </c>
      <c r="IT2" s="44" t="str">
        <f>IF(HU2&lt;&gt;"",CHAR(34)&amp;"orange"&amp;CHAR(34),"")</f>
        <v/>
      </c>
      <c r="IU2" s="44" t="str">
        <f>IF(HV2&lt;&gt;"",CHAR(34)&amp;"brown"&amp;CHAR(34),"")</f>
        <v>"brown"</v>
      </c>
      <c r="IV2" s="44" t="str">
        <f>IF(HW2&lt;&gt;"",CHAR(34)&amp;"purple"&amp;CHAR(34),"")</f>
        <v>"purple"</v>
      </c>
      <c r="IW2" s="44" t="str">
        <f>IF(HX2&lt;&gt;"",CHAR(34)&amp;"white"&amp;CHAR(34),"")</f>
        <v>"white"</v>
      </c>
      <c r="IX2" s="44" t="str">
        <f>"{"&amp;CHAR(34)&amp;"url"&amp;CHAR(34)&amp;":"&amp;CHAR(34)&amp;IN2&amp;CHAR(34)&amp;","&amp;CHAR(34)&amp;"name"&amp;CHAR(34)&amp;":"&amp;CHAR(34)&amp;A2&amp;CHAR(34)&amp;"},"</f>
        <v>{"url":"http://mkweb.bcgsc.ca/color-summarizer/?url=https://upload.wikimedia.org/wikipedia/commons/thumb/e/e0/Flag_of_the_Northern_Mariana_Islands.svg/1200px-Flag_of_the_Northern_Mariana_Islands.svg.png&amp;precision=low&amp;num_clusters=9&amp;text=1","name":"Northern Mariana Islands"},</v>
      </c>
      <c r="IY2" s="44">
        <v>162</v>
      </c>
    </row>
    <row r="3" spans="1:259" s="44" customFormat="1" ht="38.4" customHeight="1" thickBot="1" x14ac:dyDescent="0.35">
      <c r="A3" s="81" t="s">
        <v>695</v>
      </c>
      <c r="B3" s="78" t="e" vm="57">
        <v>#VALUE!</v>
      </c>
      <c r="C3" s="39">
        <v>3</v>
      </c>
      <c r="D3" s="70" t="s">
        <v>696</v>
      </c>
      <c r="E3" s="40" t="s">
        <v>697</v>
      </c>
      <c r="F3" s="41" t="s">
        <v>165</v>
      </c>
      <c r="G3" s="42">
        <f>COUNTIF($A$1:$A$8229,A3)</f>
        <v>1</v>
      </c>
      <c r="H3" s="43" t="s">
        <v>1035</v>
      </c>
      <c r="I3" s="59" t="s">
        <v>698</v>
      </c>
      <c r="J3" s="44" t="str">
        <f>""</f>
        <v/>
      </c>
      <c r="K3" s="45"/>
      <c r="L3" s="46"/>
      <c r="M3" s="46"/>
      <c r="N3" s="47" t="s">
        <v>177</v>
      </c>
      <c r="O3" s="74">
        <v>1976</v>
      </c>
      <c r="P3" s="48" t="s">
        <v>699</v>
      </c>
      <c r="Q3" s="73">
        <v>4</v>
      </c>
      <c r="R3" s="49" t="s">
        <v>177</v>
      </c>
      <c r="S3" s="50">
        <v>0</v>
      </c>
      <c r="T3" s="51" t="s">
        <v>166</v>
      </c>
      <c r="U3" s="52" t="s">
        <v>166</v>
      </c>
      <c r="V3" s="52" t="s">
        <v>166</v>
      </c>
      <c r="W3" s="52" t="s">
        <v>166</v>
      </c>
      <c r="X3" s="52" t="s">
        <v>166</v>
      </c>
      <c r="Y3" s="52" t="s">
        <v>166</v>
      </c>
      <c r="Z3" s="52" t="s">
        <v>166</v>
      </c>
      <c r="AA3" s="52" t="s">
        <v>166</v>
      </c>
      <c r="AB3" s="52" t="s">
        <v>166</v>
      </c>
      <c r="AC3" s="52" t="s">
        <v>166</v>
      </c>
      <c r="AD3" s="52" t="s">
        <v>166</v>
      </c>
      <c r="AE3" s="52" t="s">
        <v>166</v>
      </c>
      <c r="AF3" s="53" t="s">
        <v>166</v>
      </c>
      <c r="AG3" s="53" t="s">
        <v>167</v>
      </c>
      <c r="AH3" s="53" t="s">
        <v>167</v>
      </c>
      <c r="AI3" s="53" t="s">
        <v>166</v>
      </c>
      <c r="AJ3" s="53" t="s">
        <v>166</v>
      </c>
      <c r="AK3" s="53" t="s">
        <v>166</v>
      </c>
      <c r="AL3" s="53" t="s">
        <v>166</v>
      </c>
      <c r="AM3" s="53" t="s">
        <v>166</v>
      </c>
      <c r="AN3" s="53" t="s">
        <v>166</v>
      </c>
      <c r="AO3" s="53" t="s">
        <v>166</v>
      </c>
      <c r="AP3" s="53" t="s">
        <v>166</v>
      </c>
      <c r="AQ3" s="53" t="s">
        <v>166</v>
      </c>
      <c r="AR3" s="53" t="s">
        <v>166</v>
      </c>
      <c r="AS3" s="53" t="s">
        <v>166</v>
      </c>
      <c r="AT3" s="54">
        <v>1</v>
      </c>
      <c r="AU3" s="53" t="s">
        <v>349</v>
      </c>
      <c r="AV3" s="53" t="str">
        <f>IF(LEFT(A3,1)="[",LEFT(A3,5)&amp;AU3&amp;A3,"")</f>
        <v>[MNP]Historical[MNP] Northern Mariana Islands (1976-1981)</v>
      </c>
      <c r="AW3" s="53" t="str">
        <f>C3&amp;H3&amp;A3</f>
        <v>3[MNP] Other[MNP] Northern Mariana Islands (1976-1981)</v>
      </c>
      <c r="AX3" s="55"/>
      <c r="AY3" s="55"/>
      <c r="AZ3" s="56" t="s">
        <v>161</v>
      </c>
      <c r="BA3" s="56" t="s">
        <v>231</v>
      </c>
      <c r="BB3" s="56"/>
      <c r="BC3" s="57"/>
      <c r="BD3" s="58" t="s">
        <v>154</v>
      </c>
      <c r="BE3" s="59"/>
      <c r="BF3" s="58" t="s">
        <v>231</v>
      </c>
      <c r="BG3" s="58" t="s">
        <v>231</v>
      </c>
      <c r="BH3" s="58" t="s">
        <v>231</v>
      </c>
      <c r="BI3" s="58"/>
      <c r="BJ3" s="58"/>
      <c r="BK3" s="59"/>
      <c r="BL3" s="58" t="s">
        <v>231</v>
      </c>
      <c r="BM3" s="58" t="s">
        <v>154</v>
      </c>
      <c r="BN3" s="58" t="s">
        <v>231</v>
      </c>
      <c r="BO3" s="58" t="s">
        <v>231</v>
      </c>
      <c r="BP3" s="58" t="s">
        <v>231</v>
      </c>
      <c r="BQ3" s="58" t="s">
        <v>231</v>
      </c>
      <c r="BR3" s="58" t="s">
        <v>231</v>
      </c>
      <c r="BS3" s="58" t="s">
        <v>231</v>
      </c>
      <c r="BT3" s="58" t="s">
        <v>161</v>
      </c>
      <c r="BU3" s="60"/>
      <c r="BV3" s="61"/>
      <c r="BW3" s="61">
        <v>0</v>
      </c>
      <c r="BX3" s="59"/>
      <c r="CB3" s="5"/>
      <c r="CC3" s="5"/>
      <c r="CD3" s="62">
        <v>0</v>
      </c>
      <c r="CE3" s="62">
        <v>0</v>
      </c>
      <c r="CF3" s="62" t="e">
        <v>#REF!</v>
      </c>
      <c r="CG3" s="75" cm="1">
        <f t="array" ref="CG3">SUMPRODUCT(--(LEN(TRIM(BL3:BT3))&gt;0))</f>
        <v>2</v>
      </c>
      <c r="CH3" s="53" t="str">
        <f>IF(CG3=2,"y","n")</f>
        <v>y</v>
      </c>
      <c r="CI3" s="53" t="str">
        <f>IF(CG3=3,"y","n")</f>
        <v>n</v>
      </c>
      <c r="CJ3" s="53" t="str">
        <f>IF(CG3=4,"y","n")</f>
        <v>n</v>
      </c>
      <c r="CK3" s="53" t="str">
        <f>IF(CG3&gt;4,"y","n")</f>
        <v>n</v>
      </c>
      <c r="CL3" s="53" t="str">
        <f>IF(S3=0,"y","n")</f>
        <v>y</v>
      </c>
      <c r="CM3" s="53" t="str">
        <f>IF(S3=2,"y","n")</f>
        <v>n</v>
      </c>
      <c r="CN3" s="53" t="str">
        <f>IF(S3=3,"y","n")</f>
        <v>n</v>
      </c>
      <c r="CO3" s="53" t="str">
        <f>IF(S3&gt;=4,"y","n")</f>
        <v>n</v>
      </c>
      <c r="CP3" s="53" t="str">
        <f>IF(AT3=0,"y","n")</f>
        <v>n</v>
      </c>
      <c r="CQ3" s="53" t="str">
        <f>IF(AT3=1,"y","n")</f>
        <v>y</v>
      </c>
      <c r="CR3" s="53" t="str">
        <f>IF(AT3=2,"y","n")</f>
        <v>n</v>
      </c>
      <c r="CS3" s="53" t="str">
        <f>IF(AT3&gt;=3,"y","n")</f>
        <v>n</v>
      </c>
      <c r="CT3" s="38" t="str">
        <f>CHAR(34)&amp;A3&amp;CHAR(34)</f>
        <v>"[MNP] Northern Mariana Islands (1976-1981)"</v>
      </c>
      <c r="CU3" s="63" t="str">
        <f>CHAR(34)&amp;"rgn_"&amp;R3&amp;CHAR(34)</f>
        <v>"rgn_Oceania"</v>
      </c>
      <c r="CV3" s="44" t="str">
        <f>CHAR(34)&amp;D3&amp;CHAR(34)</f>
        <v>"https://upload.wikimedia.org/wikipedia/commons/thumb/5/55/Flag_of_the_Northern_Mariana_Islands_%281972%29.svg/640px-Flag_of_the_Northern_Mariana_Islands_%281972%29.svg.png"</v>
      </c>
      <c r="CW3" s="44" t="str">
        <f t="shared" si="0"/>
        <v>"2Color",</v>
      </c>
      <c r="CX3" s="44" t="str">
        <f t="shared" si="0"/>
        <v/>
      </c>
      <c r="CY3" s="44" t="str">
        <f t="shared" si="0"/>
        <v/>
      </c>
      <c r="CZ3" s="44" t="str">
        <f t="shared" si="0"/>
        <v/>
      </c>
      <c r="DA3" s="44" t="str">
        <f>IF(Q3&gt;1,CHAR(34)&amp;"words2"&amp;CHAR(34)&amp;",","")</f>
        <v>"words2",</v>
      </c>
      <c r="DB3" s="44" t="str">
        <f>IF(Q3&gt;2,CHAR(34)&amp;"words3"&amp;CHAR(34)&amp;",","")</f>
        <v>"words3",</v>
      </c>
      <c r="DD3" s="44"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"lets32",</v>
      </c>
      <c r="DE3" s="44" t="str">
        <f>CHAR(34)&amp;"start"&amp;IFERROR(LEFT(SUBSTITUTE(A3,"["&amp;MID(A3,FIND("[",A3)+1,FIND("]",A3)-FIND("[",A3)-1)&amp;"] ",""),1),LEFT(A3,1))&amp;CHAR(34)&amp;","</f>
        <v>"startN",</v>
      </c>
      <c r="DF3" s="44" t="str">
        <f>IFERROR(IF(SEARCH("tan",A3)&gt;0,CHAR(34)&amp;"withtn"&amp;CHAR(34)&amp;",",""),"")</f>
        <v/>
      </c>
      <c r="DG3" s="44" t="str">
        <f>IFERROR(IF(SEARCH("q",A3)&gt;0,CHAR(34)&amp;"with_q"&amp;CHAR(34)&amp;",",""),"")</f>
        <v/>
      </c>
      <c r="DH3" s="44" t="str">
        <f>IFERROR(IF(SEARCH("v",A3)&gt;0,CHAR(34)&amp;"with_v"&amp;CHAR(34)&amp;",",""),"")</f>
        <v/>
      </c>
      <c r="DI3" s="44" t="str">
        <f>IFERROR(IF(SEARCH("w",A3)&gt;0,CHAR(34)&amp;"with_w"&amp;CHAR(34)&amp;",",""),"")</f>
        <v/>
      </c>
      <c r="DJ3" s="44" t="str">
        <f>IFERROR(IF(SEARCH("y",A3)&gt;0,CHAR(34)&amp;"with_y"&amp;CHAR(34)&amp;",",""),"")</f>
        <v/>
      </c>
      <c r="DK3" s="44" t="str">
        <f>IFERROR(IF(SEARCH("z",A3)&gt;0,CHAR(34)&amp;"with_z"&amp;CHAR(34)&amp;",",""),"")</f>
        <v/>
      </c>
      <c r="DL3" s="44" t="str">
        <f>IF(CG3=2, CHAR(34) &amp; _xlfn.TEXTJOIN("", TRUE, _xlfn._xlws.SORT(HP3:HX3)) &amp; CHAR(34) &amp; ",", "")</f>
        <v>"BLUWHI",</v>
      </c>
      <c r="DM3" s="44" t="str" cm="1">
        <f t="array" ref="DM3">IF(CG3=3,CHAR(34) &amp; _xlfn.TEXTJOIN("", TRUE, RIGHT(HP3:HX3, 2)) &amp; CHAR(34) &amp; ",", "")</f>
        <v/>
      </c>
      <c r="DN3" s="44" t="str">
        <f>IF(AND(ISNUMBER(SEARCH("18", O3)), ISERROR(SEARCH("1918", O3)), ISERROR(SEARCH("2018", O3))), CHAR(34) &amp; "year18" &amp; CHAR(34) &amp; ",", "")</f>
        <v/>
      </c>
      <c r="DO3" s="44" t="str">
        <f>IF(AND(ISNUMBER(SEARCH("19", O3)), ISERROR(SEARCH("1819", O3)),  ISERROR(SEARCH("1219", O3)),ISERROR(SEARCH("1119", O3)),ISERROR(SEARCH("1190", O3)),ISERROR(SEARCH("2019", O3))), CHAR(34) &amp; "year19" &amp; CHAR(34) &amp; ",", "")</f>
        <v>"year19",</v>
      </c>
      <c r="DP3" s="5" t="str">
        <f>IF(AND(ISNUMBER(SEARCH("20", O3)), ISERROR(SEARCH("1920", O3))), CHAR(34)&amp;"year00"&amp;CHAR(34)&amp;",", "")</f>
        <v/>
      </c>
      <c r="DQ3" s="5" t="str">
        <f>IF(CC3="y",CHAR(34)&amp;"soviet"&amp;CHAR(34)&amp;",","")</f>
        <v/>
      </c>
      <c r="DR3" s="5" t="str">
        <f>IF(BY3="y",CHAR(34)&amp;"dgband"&amp;CHAR(34)&amp;",","")</f>
        <v/>
      </c>
      <c r="DS3" s="5" t="str">
        <f>IF(W3="y",IF(AND(V3="n",BY3&lt;&gt;"y"),CHAR(34)&amp;"allver"&amp;CHAR(34)&amp;",",""),"")</f>
        <v/>
      </c>
      <c r="DT3" s="5" t="str">
        <f>IF(V3="y",IF(AND(W3="n",BY3&lt;&gt;"y"),CHAR(34)&amp;"allhor"&amp;CHAR(34)&amp;",",""),"")</f>
        <v/>
      </c>
      <c r="DU3" s="5" t="str">
        <f>IF(BY3="y",IF(AND(W3="n",V3="n"),CHAR(34)&amp;"alldia"&amp;CHAR(34)&amp;",",""),"")</f>
        <v/>
      </c>
      <c r="DW3" s="44" t="str">
        <f t="shared" si="1"/>
        <v>"NoBand",</v>
      </c>
      <c r="DX3" s="44" t="str">
        <f t="shared" si="1"/>
        <v/>
      </c>
      <c r="DY3" s="44" t="str">
        <f t="shared" si="1"/>
        <v/>
      </c>
      <c r="DZ3" s="44" t="str">
        <f t="shared" si="1"/>
        <v/>
      </c>
      <c r="EA3" s="44" t="str">
        <f t="shared" si="2"/>
        <v/>
      </c>
      <c r="EB3" s="44" t="str">
        <f t="shared" si="2"/>
        <v/>
      </c>
      <c r="EC3" s="44" t="str">
        <f t="shared" si="2"/>
        <v/>
      </c>
      <c r="ED3" s="44" t="str">
        <f t="shared" si="2"/>
        <v/>
      </c>
      <c r="EE3" s="44" t="str">
        <f t="shared" si="2"/>
        <v/>
      </c>
      <c r="EF3" s="44" t="str">
        <f>IF(AND(Y3&lt;&gt;"n",Y3&lt;&gt;""),CHAR(34)&amp;Y$1&amp;CHAR(34)&amp;",","")</f>
        <v/>
      </c>
      <c r="EG3" s="44" t="str">
        <f t="shared" si="3"/>
        <v/>
      </c>
      <c r="EH3" s="44" t="str">
        <f t="shared" si="3"/>
        <v/>
      </c>
      <c r="EI3" s="44" t="str">
        <f t="shared" si="3"/>
        <v/>
      </c>
      <c r="EJ3" s="44" t="str">
        <f t="shared" si="3"/>
        <v/>
      </c>
      <c r="EK3" s="44" t="str">
        <f t="shared" si="3"/>
        <v/>
      </c>
      <c r="EL3" s="44" t="str">
        <f t="shared" si="3"/>
        <v/>
      </c>
      <c r="EM3" s="44" t="str">
        <f t="shared" si="3"/>
        <v/>
      </c>
      <c r="EN3" s="44" t="str">
        <f t="shared" si="3"/>
        <v>"Unequa",</v>
      </c>
      <c r="EO3" s="44" t="str">
        <f t="shared" si="3"/>
        <v>"Center",</v>
      </c>
      <c r="EP3" s="44" t="str">
        <f t="shared" si="3"/>
        <v/>
      </c>
      <c r="EQ3" s="44" t="str">
        <f t="shared" si="4"/>
        <v/>
      </c>
      <c r="ER3" s="44" t="str">
        <f t="shared" si="4"/>
        <v/>
      </c>
      <c r="ES3" s="44" t="str">
        <f t="shared" si="4"/>
        <v/>
      </c>
      <c r="ET3" s="44" t="str">
        <f t="shared" si="4"/>
        <v/>
      </c>
      <c r="EU3" s="44" t="str">
        <f t="shared" si="4"/>
        <v/>
      </c>
      <c r="EV3" s="44" t="str">
        <f t="shared" si="4"/>
        <v/>
      </c>
      <c r="EW3" s="44" t="str">
        <f t="shared" si="4"/>
        <v/>
      </c>
      <c r="EX3" s="44" t="str">
        <f t="shared" si="4"/>
        <v/>
      </c>
      <c r="EY3" s="44" t="str">
        <f t="shared" si="4"/>
        <v/>
      </c>
      <c r="EZ3" s="44" t="str">
        <f t="shared" si="4"/>
        <v/>
      </c>
      <c r="FA3" s="44" t="str">
        <f>IF(AT3&gt;0,CHAR(34)&amp;"sta"&amp;AZ3&amp;CHAR(34)&amp;",","")</f>
        <v>"staWHI",</v>
      </c>
      <c r="FB3" s="44" t="str">
        <f>IF(AND(AT3&gt;0,BA3&lt;&gt;""),CHAR(34)&amp;"sta"&amp;BA3&amp;CHAR(34)&amp;",","")</f>
        <v/>
      </c>
      <c r="FD3" s="44" t="str">
        <f>IF(BV3="n",CHAR(34)&amp;"tcWHYE"&amp;CHAR(34)&amp;",",IF(BV3="y",CHAR(34)&amp;FD$1&amp;CHAR(34)&amp;",",""))</f>
        <v/>
      </c>
      <c r="FE3" s="44" t="str">
        <f>IF(COUNTIF(BL3:BT3,"BLU")=0,CHAR(34)&amp;"NO_BLU"&amp;CHAR(34)&amp;",", "")</f>
        <v/>
      </c>
      <c r="FF3" s="44" t="str">
        <f>IF(COUNTIF(BL3:BT3,"WHI")=0,CHAR(34)&amp;"NO_WHI"&amp;CHAR(34)&amp;",", "")</f>
        <v/>
      </c>
      <c r="FG3" s="44" t="str">
        <f>IF(COUNTIF(BL3:BT3,"RED")=0,CHAR(34)&amp;"NO_RED"&amp;CHAR(34)&amp;",", "")</f>
        <v>"NO_RED",</v>
      </c>
      <c r="FH3" s="44" t="str">
        <f>IF(COUNTIF(BL3:BS3,"GRE")=0,CHAR(34)&amp;"NO_GRE"&amp;CHAR(34)&amp;",", "")</f>
        <v>"NO_GRE",</v>
      </c>
      <c r="FI3" s="44" t="str">
        <f>IF(COUNTIF(BL3:BT3,"YEL")=0,CHAR(34)&amp;"NO_YEL"&amp;CHAR(34)&amp;",", "")</f>
        <v>"NO_YEL",</v>
      </c>
      <c r="FJ3" s="44" t="str">
        <f>IF(COUNTIF(BL3:BT3,"BLA")=0,CHAR(34)&amp;"NO_BLA"&amp;CHAR(34)&amp;",", "")</f>
        <v>"NO_BLA",</v>
      </c>
      <c r="FK3" s="44" t="str">
        <f>IF(AND(FH3&lt;&gt;"",FF3&lt;&gt;""),CHAR(34)&amp;"WHGRNO"&amp;CHAR(34)&amp;",","")</f>
        <v/>
      </c>
      <c r="FL3" s="44" t="str">
        <f>IF(AND(FI3&lt;&gt;"",FF3&lt;&gt;""),CHAR(34)&amp;"WHYENO"&amp;CHAR(34)&amp;",","")</f>
        <v/>
      </c>
      <c r="FM3" s="44" t="str">
        <f>IF(AND(FJ3&lt;&gt;"",FF3&lt;&gt;""),CHAR(34)&amp;"BAWHNO"&amp;CHAR(34)&amp;",","")</f>
        <v/>
      </c>
      <c r="FN3" s="44" t="str">
        <f>IF(AND(FE3&lt;&gt;"",FF3&lt;&gt;""),CHAR(34)&amp;"BLWHNO"&amp;CHAR(34)&amp;",","")</f>
        <v/>
      </c>
      <c r="FO3" s="44" t="str">
        <f>IF(AND(FE3&lt;&gt;"",FG3&lt;&gt;""),CHAR(34)&amp;"BLRENO"&amp;CHAR(34)&amp;",","")</f>
        <v/>
      </c>
      <c r="FP3" s="44" t="str">
        <f>IF(AND(FF3&lt;&gt;"",FF3&lt;&gt;""),CHAR(34)&amp;"WHRENO"&amp;CHAR(34)&amp;",","")</f>
        <v/>
      </c>
      <c r="FQ3" s="44" t="str">
        <f>IF(LEN(BF3)=3,CHAR(34)&amp;"001"&amp;BF3&amp;CHAR(34)&amp;",","")</f>
        <v/>
      </c>
      <c r="FR3" s="44" t="str">
        <f>IF(LEN(BG3)=3,CHAR(34)&amp;"002"&amp;BG3&amp;CHAR(34)&amp;",","")</f>
        <v/>
      </c>
      <c r="FS3" s="44" t="str">
        <f>IF(LEN(BH3)=3,CHAR(34)&amp;"003"&amp;BH3&amp;CHAR(34)&amp;",","")</f>
        <v/>
      </c>
      <c r="FT3" s="44" t="str">
        <f>CHAR(34)&amp;"myr"&amp;BD3&amp;CHAR(34)&amp;","</f>
        <v>"myrBLU",</v>
      </c>
      <c r="FU3" s="44" t="str">
        <f>IF(AY3="y",CHAR(34)&amp;"island"&amp;CHAR(34)&amp;",","")</f>
        <v/>
      </c>
      <c r="FV3" s="44" t="str">
        <f>IF(BZ3="y",CHAR(34)&amp;"landlo"&amp;CHAR(34)&amp;",","")</f>
        <v/>
      </c>
      <c r="FW3" s="44" t="str">
        <f>IF(CA3="y",CHAR(34)&amp;"eunion"&amp;CHAR(34)&amp;",","")</f>
        <v/>
      </c>
      <c r="FY3" s="44" t="str">
        <f>IFERROR(IF(SEARCH("Arabic",CB3)&gt;0,CHAR(34)&amp;"arabic"&amp;CHAR(34)&amp;",",""),"")</f>
        <v/>
      </c>
      <c r="FZ3" s="44" t="str">
        <f>IFERROR(IF(SEARCH("English",CB3)&gt;0,CHAR(34)&amp;"englis"&amp;CHAR(34)&amp;",",""),"")</f>
        <v/>
      </c>
      <c r="GA3" s="44" t="str">
        <f>IFERROR(IF(SEARCH("French",CB3)&gt;0,CHAR(34)&amp;"french"&amp;CHAR(34)&amp;",",""),"")</f>
        <v/>
      </c>
      <c r="GB3" s="44" t="str">
        <f>IFERROR(IF(SEARCH("Spanish",CB3)&gt;0,CHAR(34)&amp;"spanis"&amp;CHAR(34)&amp;",",""),"")</f>
        <v/>
      </c>
      <c r="GE3" s="44" t="str">
        <f>IFERROR(IF(SEARCH("Dutch",CB3)&gt;0,CHAR(34)&amp;"dutchs"&amp;CHAR(34)&amp;",",""),"")</f>
        <v/>
      </c>
      <c r="GF3" s="44" t="str">
        <f>IFERROR(IF(SEARCH("Historical",AU3)&gt;0,CHAR(34)&amp;"histor"&amp;CHAR(34)&amp;",",""),"")</f>
        <v>"histor",</v>
      </c>
      <c r="GG3" s="44" t="str">
        <f>IF(BU3="y",CHAR(34)&amp;"unjack"&amp;CHAR(34)&amp;",","")</f>
        <v/>
      </c>
      <c r="GH3" s="44" t="str">
        <f>IF(CD3=1,CHAR(34)&amp;"southc"&amp;CHAR(34)&amp;",","")</f>
        <v/>
      </c>
      <c r="GI3" s="44" t="str">
        <f>IF(CE3=1,CHAR(34)&amp;"hasmap"&amp;CHAR(34)&amp;",","")</f>
        <v/>
      </c>
      <c r="GJ3" s="44" t="str">
        <f>IF(CP3="y",CHAR(34)&amp;CP$1&amp;CHAR(34)&amp;",","")</f>
        <v/>
      </c>
      <c r="GK3" s="44" t="str">
        <f>IF(GJ3="",CHAR(34)&amp;"HasSta"&amp;CHAR(34)&amp;",","")</f>
        <v>"HasSta",</v>
      </c>
      <c r="GL3" s="44" t="str">
        <f t="shared" si="5"/>
        <v>"1Stars",</v>
      </c>
      <c r="GM3" s="44" t="str">
        <f t="shared" si="5"/>
        <v/>
      </c>
      <c r="GN3" s="44" t="str">
        <f t="shared" si="5"/>
        <v/>
      </c>
      <c r="GP3" s="44" t="str">
        <f>CHAR(34)&amp;AU3&amp;CHAR(34)</f>
        <v>"Historical"</v>
      </c>
      <c r="GS3" s="44" t="str">
        <f>SUBSTITUTE("["&amp;_xlfn.CONCAT(CW3:GN3)&amp;"]",",]","]")</f>
        <v>["2Color","words2","words3","lets32","startN","BLUWHI","year19","NoBand","Unequa","Center","staWHI","NO_RED","NO_GRE","NO_YEL","NO_BLA","myrBLU","histor","HasSta","1Stars"]</v>
      </c>
      <c r="GT3" s="44" t="str">
        <f t="shared" si="6"/>
        <v/>
      </c>
      <c r="GU3" s="44" t="str">
        <f t="shared" si="6"/>
        <v>"cl_BLU",</v>
      </c>
      <c r="GV3" s="44" t="str">
        <f t="shared" si="6"/>
        <v/>
      </c>
      <c r="GW3" s="44" t="str">
        <f t="shared" si="6"/>
        <v/>
      </c>
      <c r="GX3" s="44" t="str">
        <f t="shared" si="6"/>
        <v/>
      </c>
      <c r="GY3" s="44" t="str">
        <f t="shared" si="6"/>
        <v/>
      </c>
      <c r="GZ3" s="44" t="str">
        <f t="shared" si="6"/>
        <v/>
      </c>
      <c r="HA3" s="44" t="str">
        <f t="shared" si="6"/>
        <v/>
      </c>
      <c r="HB3" s="44" t="str">
        <f t="shared" si="6"/>
        <v>"cl_WHI",</v>
      </c>
      <c r="HC3" s="44" t="str">
        <f>SUBSTITUTE("["&amp;_xlfn.CONCAT(GT3:HB3)&amp;"]",",]","]")</f>
        <v>["cl_BLU","cl_WHI"]</v>
      </c>
      <c r="HE3" s="64"/>
      <c r="HF3" s="65" t="str">
        <f>"{couname:"&amp;CT3&amp;(IF(HK3&lt;&gt;"",",subtype:"&amp;CHAR(34)&amp;HK3&amp;CHAR(34),""))&amp;",year:"&amp;HJ3&amp;",region:"&amp;CU3&amp;",Colors:"&amp;HC3&amp;",Items:"&amp;GS3&amp;",Flag:"&amp;CV3&amp;",HDFlag:"&amp;CHAR(34)&amp;E3&amp;CHAR(34)&amp;",type:"&amp;GP3&amp;", describe: "&amp;HH3&amp;", isnew:"&amp;CHAR(34)&amp;F3&amp;CHAR(34)&amp;", links: "&amp;HL3&amp;"},"</f>
        <v>{couname:"[MNP] Northern Mariana Islands (1976-1981)",year:"1976",region:"rgn_Oceania",Colors:["cl_BLU","cl_WHI"],Items:["2Color","words2","words3","lets32","startN","BLUWHI","year19","NoBand","Unequa","Center","staWHI","NO_RED","NO_GRE","NO_YEL","NO_BLA","myrBLU","histor","HasSta","1Stars"],Flag:"https://upload.wikimedia.org/wikipedia/commons/thumb/5/55/Flag_of_the_Northern_Mariana_Islands_%281972%29.svg/640px-Flag_of_the_Northern_Mariana_Islands_%281972%29.svg.png",HDFlag:"https://upload.wikimedia.org/wikipedia/commons/thumb/5/55/Flag_of_the_Northern_Mariana_Islands_%281972%29.svg/1280px-Flag_of_the_Northern_Mariana_Islands_%281972%29.svg.png",type:"Historical", describe: "\nA latte stone with a white star superimposed over it, on a blue field.", isnew:".", links: "https://en.m.wikipedia.org/wiki/Flag_of_the_Northern_Mariana_Islands"},</v>
      </c>
      <c r="HG3" s="66" t="str">
        <f>"{couname:"&amp;CT3&amp;(IF(HK3&lt;&gt;"",",subtype:"&amp;CHAR(34)&amp;HK3&amp;CHAR(34),""))&amp;",year:"&amp;HJ3&amp;",region:"&amp;CU3&amp;",Colors:"&amp;HC3&amp;",Items:"&amp;GS3&amp;",Flag:"&amp;CV3&amp;",HDFlag:"&amp;CHAR(34)&amp;E3&amp;CHAR(34)&amp;",type:"&amp;GP3&amp;", describe: "&amp;HI3&amp;", links: "&amp;HL3&amp;"},"</f>
        <v>{couname:"[MNP] Northern Mariana Islands (1976-1981)",year:"1976",region:"rgn_Oceania",Colors:["cl_BLU","cl_WHI"],Items:["2Color","words2","words3","lets32","startN","BLUWHI","year19","NoBand","Unequa","Center","staWHI","NO_RED","NO_GRE","NO_YEL","NO_BLA","myrBLU","histor","HasSta","1Stars"],Flag:"https://upload.wikimedia.org/wikipedia/commons/thumb/5/55/Flag_of_the_Northern_Mariana_Islands_%281972%29.svg/640px-Flag_of_the_Northern_Mariana_Islands_%281972%29.svg.png",HDFlag:"https://upload.wikimedia.org/wikipedia/commons/thumb/5/55/Flag_of_the_Northern_Mariana_Islands_%281972%29.svg/1280px-Flag_of_the_Northern_Mariana_Islands_%281972%29.svg.png",type:"Historical", describe: "\nA latte stone with a white star superimposed over it, on a blue field.", links: "https://en.m.wikipedia.org/wiki/Flag_of_the_Northern_Mariana_Islands"},</v>
      </c>
      <c r="HH3" s="44" t="str">
        <f>IF(P3&lt;&gt;"",CHAR(34)&amp;"\n"&amp;P3&amp;CHAR(34),CHAR(34)&amp;CHAR(34))</f>
        <v>"\nA latte stone with a white star superimposed over it, on a blue field."</v>
      </c>
      <c r="HI3" s="44" t="str">
        <f>IF(J3=0,CHAR(34)&amp;CHAR(34),HH3)</f>
        <v>"\nA latte stone with a white star superimposed over it, on a blue field."</v>
      </c>
      <c r="HJ3" s="44" t="str">
        <f>CHAR(34)&amp;O3&amp;CHAR(34)</f>
        <v>"1976"</v>
      </c>
      <c r="HL3" s="44" t="str">
        <f>CHAR(34)&amp;I3&amp;CHAR(34)</f>
        <v>"https://en.m.wikipedia.org/wiki/Flag_of_the_Northern_Mariana_Islands"</v>
      </c>
      <c r="HM3" s="65"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{"couname":"[MNP] Northern Mariana Islands (1976-1981)","subtype":"[MNP] Other","year":"1976","region":"rgn_Oceania","Colors":["cl_BLU","cl_WHI"],"Items":["2Color","words2","words3","lets32","startN","BLUWHI","year19","NoBand","Unequa","Center","staWHI","NO_RED","NO_GRE","NO_YEL","NO_BLA","myrBLU","histor","HasSta","1Stars"],"Flag":"https://upload.wikimedia.org/wikipedia/commons/thumb/5/55/Flag_of_the_Northern_Mariana_Islands_%281972%29.svg/640px-Flag_of_the_Northern_Mariana_Islands_%281972%29.svg.png","HDFlag":"https://upload.wikimedia.org/wikipedia/commons/thumb/5/55/Flag_of_the_Northern_Mariana_Islands_%281972%29.svg/1280px-Flag_of_the_Northern_Mariana_Islands_%281972%29.svg.png","type":"Historical", "describe": "\nA latte stone with a white star superimposed over it, on a blue field.", "isnew": ".", "links": "https://en.m.wikipedia.org/wiki/Flag_of_the_Northern_Mariana_Islands"},</v>
      </c>
      <c r="HN3" s="67"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{"couname":"[MNP] Northern Mariana Islands (1976-1981)","subtype":"[MNP] Other","year":"1976","region":"rgn_Oceania","Colors":["cl_BLU","cl_WHI"],"Items":["2Color","words2","words3","lets32","startN","BLUWHI","year19","NoBand","Unequa","Center","staWHI","NO_RED","NO_GRE","NO_YEL","NO_BLA","myrBLU","histor","HasSta","1Stars"],"Flag":"https://upload.wikimedia.org/wikipedia/commons/thumb/5/55/Flag_of_the_Northern_Mariana_Islands_%281972%29.svg/640px-Flag_of_the_Northern_Mariana_Islands_%281972%29.svg.png","HDFlag":"https://upload.wikimedia.org/wikipedia/commons/thumb/5/55/Flag_of_the_Northern_Mariana_Islands_%281972%29.svg/1280px-Flag_of_the_Northern_Mariana_Islands_%281972%29.svg.png","type":"Historical", "describe": "\nA latte stone with a white star superimposed over it, on a blue field.", "isnew": ".", "links": "https://en.m.wikipedia.org/wiki/Flag_of_the_Northern_Mariana_Islands"},</v>
      </c>
      <c r="HO3" s="71">
        <v>45610</v>
      </c>
      <c r="HP3" s="44" t="str" cm="1">
        <f t="array" ref="HP3">IF(_xlfn.TEXTJOIN(", ", TRUE, IF(ISNUMBER(SEARCH("BLA", BL3:BT3)), COLUMN(BL3:BT3) - COLUMN(BL3) + 1, ""))&lt;&gt;"","BLA","")</f>
        <v/>
      </c>
      <c r="HQ3" s="44" t="str" cm="1">
        <f t="array" ref="HQ3">IF(_xlfn.TEXTJOIN(", ", TRUE, IF(ISNUMBER(SEARCH("BLU", BL3:BT3)), COLUMN(BL3:BT3) - COLUMN(BL3) + 1, ""))&lt;&gt;"","BLU","")</f>
        <v>BLU</v>
      </c>
      <c r="HR3" s="44" t="str" cm="1">
        <f t="array" ref="HR3">IF(_xlfn.TEXTJOIN(", ", TRUE, IF(ISNUMBER(SEARCH("GRE", BL3:BT3)), COLUMN(BL3:BT3) - COLUMN(BL3) + 1, ""))&lt;&gt;"","GRE","")</f>
        <v/>
      </c>
      <c r="HS3" s="44" t="str" cm="1">
        <f t="array" ref="HS3">IF(_xlfn.TEXTJOIN(", ", TRUE, IF(ISNUMBER(SEARCH("RED", BL3:BT3)), COLUMN(BL3:BT3) - COLUMN(BL3) + 1, ""))&lt;&gt;"","RED","")</f>
        <v/>
      </c>
      <c r="HT3" s="44" t="str" cm="1">
        <f t="array" ref="HT3">IF(_xlfn.TEXTJOIN(", ", TRUE, IF(ISNUMBER(SEARCH("YEL", BL3:BT3)), COLUMN(BL3:BT3) - COLUMN(BL3) + 1, ""))&lt;&gt;"","YEL","")</f>
        <v/>
      </c>
      <c r="HU3" s="44" t="str" cm="1">
        <f t="array" ref="HU3">IF(_xlfn.TEXTJOIN(", ", TRUE, IF(ISNUMBER(SEARCH("ORA", BL3:BT3)), COLUMN(BL3:BT3) - COLUMN(BL3) + 1, ""))&lt;&gt;"","ORA","")</f>
        <v/>
      </c>
      <c r="HV3" s="44" t="str" cm="1">
        <f t="array" ref="HV3">IF(_xlfn.TEXTJOIN(", ", TRUE, IF(ISNUMBER(SEARCH("BRO", BL3:BT3)), COLUMN(BL3:BT3) - COLUMN(BL3) + 1, ""))&lt;&gt;"","BRO","")</f>
        <v/>
      </c>
      <c r="HW3" s="44" t="str" cm="1">
        <f t="array" ref="HW3">IF(_xlfn.TEXTJOIN(", ", TRUE, IF(ISNUMBER(SEARCH("PUR", BL3:BT3)), COLUMN(BL3:BT3) - COLUMN(BL3) + 1, ""))&lt;&gt;"","PUR","")</f>
        <v/>
      </c>
      <c r="HX3" s="44" t="str" cm="1">
        <f t="array" ref="HX3">IF(_xlfn.TEXTJOIN(", ", TRUE, IF(ISNUMBER(SEARCH("WHI", BL3:BT3)), COLUMN(BL3:BT3) - COLUMN(BL3) + 1, ""))&lt;&gt;"","WHI","")</f>
        <v>WHI</v>
      </c>
      <c r="HY3" s="72"/>
      <c r="HZ3" s="72"/>
      <c r="IA3" s="5"/>
      <c r="IB3" s="5"/>
      <c r="IC3" s="68"/>
      <c r="ID3" s="68"/>
      <c r="IE3" s="68"/>
      <c r="IF3" s="68"/>
      <c r="IG3" s="68"/>
      <c r="IH3" s="68"/>
      <c r="II3" s="68"/>
      <c r="IJ3" s="68"/>
      <c r="IK3" s="68"/>
      <c r="IM3" s="42">
        <f>COUNTIF(IC3:IK3,"&gt;0")-CG3</f>
        <v>-2</v>
      </c>
      <c r="IN3" s="69" t="str">
        <f>"http://mkweb.bcgsc.ca/color-summarizer/?url="&amp;D3&amp;"&amp;precision=low&amp;num_clusters="&amp;CG3&amp;"&amp;text=1"</f>
        <v>http://mkweb.bcgsc.ca/color-summarizer/?url=https://upload.wikimedia.org/wikipedia/commons/thumb/5/55/Flag_of_the_Northern_Mariana_Islands_%281972%29.svg/640px-Flag_of_the_Northern_Mariana_Islands_%281972%29.svg.png&amp;precision=low&amp;num_clusters=2&amp;text=1</v>
      </c>
      <c r="IO3" s="44" t="str">
        <f>IF(HP3&lt;&gt;"",CHAR(34)&amp;"black"&amp;CHAR(34),"")</f>
        <v/>
      </c>
      <c r="IP3" s="44" t="str">
        <f>IF(HQ3&lt;&gt;"",CHAR(34)&amp;"blue"&amp;CHAR(34),"")</f>
        <v>"blue"</v>
      </c>
      <c r="IQ3" s="44" t="str">
        <f>IF(HR3&lt;&gt;"",CHAR(34)&amp;"green"&amp;CHAR(34),"")</f>
        <v/>
      </c>
      <c r="IR3" s="44" t="str">
        <f>IF(HS3&lt;&gt;"",CHAR(34)&amp;"red"&amp;CHAR(34),"")</f>
        <v/>
      </c>
      <c r="IS3" s="44" t="str">
        <f>IF(HT3&lt;&gt;"",CHAR(34)&amp;"yellow"&amp;CHAR(34),"")</f>
        <v/>
      </c>
      <c r="IT3" s="44" t="str">
        <f>IF(HU3&lt;&gt;"",CHAR(34)&amp;"orange"&amp;CHAR(34),"")</f>
        <v/>
      </c>
      <c r="IU3" s="44" t="str">
        <f>IF(HV3&lt;&gt;"",CHAR(34)&amp;"brown"&amp;CHAR(34),"")</f>
        <v/>
      </c>
      <c r="IV3" s="44" t="str">
        <f>IF(HW3&lt;&gt;"",CHAR(34)&amp;"purple"&amp;CHAR(34),"")</f>
        <v/>
      </c>
      <c r="IW3" s="44" t="str">
        <f>IF(HX3&lt;&gt;"",CHAR(34)&amp;"white"&amp;CHAR(34),"")</f>
        <v>"white"</v>
      </c>
      <c r="IX3" s="44" t="str">
        <f>"{"&amp;CHAR(34)&amp;"url"&amp;CHAR(34)&amp;":"&amp;CHAR(34)&amp;IN3&amp;CHAR(34)&amp;","&amp;CHAR(34)&amp;"name"&amp;CHAR(34)&amp;":"&amp;CHAR(34)&amp;A3&amp;CHAR(34)&amp;"},"</f>
        <v>{"url":"http://mkweb.bcgsc.ca/color-summarizer/?url=https://upload.wikimedia.org/wikipedia/commons/thumb/5/55/Flag_of_the_Northern_Mariana_Islands_%281972%29.svg/640px-Flag_of_the_Northern_Mariana_Islands_%281972%29.svg.png&amp;precision=low&amp;num_clusters=2&amp;text=1","name":"[MNP] Northern Mariana Islands (1976-1981)"},</v>
      </c>
      <c r="IY3" s="44">
        <v>1349</v>
      </c>
    </row>
    <row r="4" spans="1:259" s="44" customFormat="1" ht="38.4" customHeight="1" thickBot="1" x14ac:dyDescent="0.35">
      <c r="A4" s="81" t="s">
        <v>700</v>
      </c>
      <c r="B4" s="99" t="e" vm="58">
        <v>#VALUE!</v>
      </c>
      <c r="C4" s="39">
        <v>3</v>
      </c>
      <c r="D4" s="70" t="s">
        <v>701</v>
      </c>
      <c r="E4" s="40" t="s">
        <v>702</v>
      </c>
      <c r="F4" s="41" t="s">
        <v>165</v>
      </c>
      <c r="G4" s="42">
        <f>COUNTIF($A$1:$A$8229,A4)</f>
        <v>1</v>
      </c>
      <c r="H4" s="43" t="s">
        <v>1035</v>
      </c>
      <c r="I4" s="59" t="s">
        <v>698</v>
      </c>
      <c r="J4" s="44" t="str">
        <f>""</f>
        <v/>
      </c>
      <c r="K4" s="45"/>
      <c r="L4" s="46"/>
      <c r="M4" s="46"/>
      <c r="N4" s="47" t="s">
        <v>177</v>
      </c>
      <c r="O4" s="74">
        <v>1976</v>
      </c>
      <c r="P4" s="48" t="s">
        <v>703</v>
      </c>
      <c r="Q4" s="73">
        <v>4</v>
      </c>
      <c r="R4" s="49" t="s">
        <v>177</v>
      </c>
      <c r="S4" s="50">
        <v>0</v>
      </c>
      <c r="T4" s="51" t="s">
        <v>166</v>
      </c>
      <c r="U4" s="52" t="s">
        <v>166</v>
      </c>
      <c r="V4" s="52" t="s">
        <v>166</v>
      </c>
      <c r="W4" s="52" t="s">
        <v>166</v>
      </c>
      <c r="X4" s="52" t="s">
        <v>167</v>
      </c>
      <c r="Y4" s="52" t="s">
        <v>166</v>
      </c>
      <c r="Z4" s="52" t="s">
        <v>166</v>
      </c>
      <c r="AA4" s="52" t="s">
        <v>167</v>
      </c>
      <c r="AB4" s="52" t="s">
        <v>166</v>
      </c>
      <c r="AC4" s="52" t="s">
        <v>166</v>
      </c>
      <c r="AD4" s="52" t="s">
        <v>166</v>
      </c>
      <c r="AE4" s="52" t="s">
        <v>166</v>
      </c>
      <c r="AF4" s="53" t="s">
        <v>166</v>
      </c>
      <c r="AG4" s="53" t="s">
        <v>167</v>
      </c>
      <c r="AH4" s="53" t="s">
        <v>167</v>
      </c>
      <c r="AI4" s="53" t="s">
        <v>166</v>
      </c>
      <c r="AJ4" s="53" t="s">
        <v>166</v>
      </c>
      <c r="AK4" s="53" t="s">
        <v>166</v>
      </c>
      <c r="AL4" s="53" t="s">
        <v>166</v>
      </c>
      <c r="AM4" s="53" t="s">
        <v>166</v>
      </c>
      <c r="AN4" s="53" t="s">
        <v>166</v>
      </c>
      <c r="AO4" s="53" t="s">
        <v>166</v>
      </c>
      <c r="AP4" s="53" t="s">
        <v>166</v>
      </c>
      <c r="AQ4" s="53" t="s">
        <v>166</v>
      </c>
      <c r="AR4" s="53" t="s">
        <v>166</v>
      </c>
      <c r="AS4" s="53" t="s">
        <v>166</v>
      </c>
      <c r="AT4" s="54">
        <v>1</v>
      </c>
      <c r="AU4" s="53" t="s">
        <v>349</v>
      </c>
      <c r="AV4" s="53" t="str">
        <f>IF(LEFT(A4,1)="[",LEFT(A4,5)&amp;AU4&amp;A4,"")</f>
        <v>[MNP]Historical[MNP] Northern Mariana Islands (1976-1989)</v>
      </c>
      <c r="AW4" s="53" t="str">
        <f>C4&amp;H4&amp;A4</f>
        <v>3[MNP] Other[MNP] Northern Mariana Islands (1976-1989)</v>
      </c>
      <c r="AX4" s="55"/>
      <c r="AY4" s="55"/>
      <c r="AZ4" s="56" t="s">
        <v>161</v>
      </c>
      <c r="BA4" s="56" t="s">
        <v>231</v>
      </c>
      <c r="BB4" s="56"/>
      <c r="BC4" s="57"/>
      <c r="BD4" s="58" t="s">
        <v>154</v>
      </c>
      <c r="BE4" s="59"/>
      <c r="BF4" s="58" t="s">
        <v>231</v>
      </c>
      <c r="BG4" s="58" t="s">
        <v>231</v>
      </c>
      <c r="BH4" s="58" t="s">
        <v>231</v>
      </c>
      <c r="BI4" s="58"/>
      <c r="BJ4" s="58"/>
      <c r="BK4" s="59"/>
      <c r="BL4" s="58" t="s">
        <v>153</v>
      </c>
      <c r="BM4" s="58" t="s">
        <v>154</v>
      </c>
      <c r="BN4" s="58" t="s">
        <v>155</v>
      </c>
      <c r="BO4" s="58" t="s">
        <v>156</v>
      </c>
      <c r="BP4" s="58" t="s">
        <v>157</v>
      </c>
      <c r="BQ4" s="58" t="s">
        <v>158</v>
      </c>
      <c r="BR4" s="58" t="s">
        <v>231</v>
      </c>
      <c r="BS4" s="58" t="s">
        <v>160</v>
      </c>
      <c r="BT4" s="58" t="s">
        <v>161</v>
      </c>
      <c r="BU4" s="60"/>
      <c r="BV4" s="61"/>
      <c r="BW4" s="61">
        <v>0</v>
      </c>
      <c r="BX4" s="59"/>
      <c r="CB4" s="5"/>
      <c r="CC4" s="5"/>
      <c r="CD4" s="62">
        <v>0</v>
      </c>
      <c r="CE4" s="62">
        <v>0</v>
      </c>
      <c r="CF4" s="62" t="e">
        <v>#REF!</v>
      </c>
      <c r="CG4" s="75" cm="1">
        <f t="array" ref="CG4">SUMPRODUCT(--(LEN(TRIM(BL4:BT4))&gt;0))</f>
        <v>8</v>
      </c>
      <c r="CH4" s="53" t="str">
        <f>IF(CG4=2,"y","n")</f>
        <v>n</v>
      </c>
      <c r="CI4" s="53" t="str">
        <f>IF(CG4=3,"y","n")</f>
        <v>n</v>
      </c>
      <c r="CJ4" s="53" t="str">
        <f>IF(CG4=4,"y","n")</f>
        <v>n</v>
      </c>
      <c r="CK4" s="53" t="str">
        <f>IF(CG4&gt;4,"y","n")</f>
        <v>y</v>
      </c>
      <c r="CL4" s="53" t="str">
        <f>IF(S4=0,"y","n")</f>
        <v>y</v>
      </c>
      <c r="CM4" s="53" t="str">
        <f>IF(S4=2,"y","n")</f>
        <v>n</v>
      </c>
      <c r="CN4" s="53" t="str">
        <f>IF(S4=3,"y","n")</f>
        <v>n</v>
      </c>
      <c r="CO4" s="53" t="str">
        <f>IF(S4&gt;=4,"y","n")</f>
        <v>n</v>
      </c>
      <c r="CP4" s="53" t="str">
        <f>IF(AT4=0,"y","n")</f>
        <v>n</v>
      </c>
      <c r="CQ4" s="53" t="str">
        <f>IF(AT4=1,"y","n")</f>
        <v>y</v>
      </c>
      <c r="CR4" s="53" t="str">
        <f>IF(AT4=2,"y","n")</f>
        <v>n</v>
      </c>
      <c r="CS4" s="53" t="str">
        <f>IF(AT4&gt;=3,"y","n")</f>
        <v>n</v>
      </c>
      <c r="CT4" s="38" t="str">
        <f>CHAR(34)&amp;A4&amp;CHAR(34)</f>
        <v>"[MNP] Northern Mariana Islands (1976-1989)"</v>
      </c>
      <c r="CU4" s="63" t="str">
        <f>CHAR(34)&amp;"rgn_"&amp;R4&amp;CHAR(34)</f>
        <v>"rgn_Oceania"</v>
      </c>
      <c r="CV4" s="44" t="str">
        <f>CHAR(34)&amp;D4&amp;CHAR(34)</f>
        <v>"https://upload.wikimedia.org/wikipedia/commons/thumb/0/04/Flag_of_the_Northern_Mariana_Islands_%281976%E2%80%931989%29.svg/640px-Flag_of_the_Northern_Mariana_Islands_%281976%E2%80%931989%29.svg.png"</v>
      </c>
      <c r="CW4" s="44" t="str">
        <f t="shared" si="0"/>
        <v/>
      </c>
      <c r="CX4" s="44" t="str">
        <f t="shared" si="0"/>
        <v/>
      </c>
      <c r="CY4" s="44" t="str">
        <f t="shared" si="0"/>
        <v/>
      </c>
      <c r="CZ4" s="44" t="str">
        <f t="shared" si="0"/>
        <v>"5+Colo",</v>
      </c>
      <c r="DA4" s="44" t="str">
        <f>IF(Q4&gt;1,CHAR(34)&amp;"words2"&amp;CHAR(34)&amp;",","")</f>
        <v>"words2",</v>
      </c>
      <c r="DB4" s="44" t="str">
        <f>IF(Q4&gt;2,CHAR(34)&amp;"words3"&amp;CHAR(34)&amp;",","")</f>
        <v>"words3",</v>
      </c>
      <c r="DD4" s="44" t="str">
        <f>IF(LEN(CHAR(34)&amp;"lets"&amp;LEN(SUBSTITUTE(SUBSTITUTE(IFERROR(TRIM(SUBSTITUTE(A4,MID(A4,FIND("[",A4),FIND("]",A4)-FIND("[",A4)+1),"")),A4)," ",""),"-",""))&amp;CHAR(34)&amp;",")=9,CHAR(34)&amp;"lets"&amp;LEN(SUBSTITUTE(SUBSTITUTE(IFERROR(TRIM(SUBSTITUTE(A4,MID(A4,FIND("[",A4),FIND("]",A4)-FIND("[",A4)+1),"")),A4)," ",""),"-",""))&amp;CHAR(34)&amp;",",CHAR(34)&amp;"lets0"&amp;LEN(SUBSTITUTE(SUBSTITUTE(IFERROR(TRIM(SUBSTITUTE(A4,MID(A4,FIND("[",A4),FIND("]",A4)-FIND("[",A4)+1),"")),A4)," ",""),"-",""))&amp;CHAR(34)&amp;",")</f>
        <v>"lets32",</v>
      </c>
      <c r="DE4" s="44" t="str">
        <f>CHAR(34)&amp;"start"&amp;IFERROR(LEFT(SUBSTITUTE(A4,"["&amp;MID(A4,FIND("[",A4)+1,FIND("]",A4)-FIND("[",A4)-1)&amp;"] ",""),1),LEFT(A4,1))&amp;CHAR(34)&amp;","</f>
        <v>"startN",</v>
      </c>
      <c r="DF4" s="44" t="str">
        <f>IFERROR(IF(SEARCH("tan",A4)&gt;0,CHAR(34)&amp;"withtn"&amp;CHAR(34)&amp;",",""),"")</f>
        <v/>
      </c>
      <c r="DG4" s="44" t="str">
        <f>IFERROR(IF(SEARCH("q",A4)&gt;0,CHAR(34)&amp;"with_q"&amp;CHAR(34)&amp;",",""),"")</f>
        <v/>
      </c>
      <c r="DH4" s="44" t="str">
        <f>IFERROR(IF(SEARCH("v",A4)&gt;0,CHAR(34)&amp;"with_v"&amp;CHAR(34)&amp;",",""),"")</f>
        <v/>
      </c>
      <c r="DI4" s="44" t="str">
        <f>IFERROR(IF(SEARCH("w",A4)&gt;0,CHAR(34)&amp;"with_w"&amp;CHAR(34)&amp;",",""),"")</f>
        <v/>
      </c>
      <c r="DJ4" s="44" t="str">
        <f>IFERROR(IF(SEARCH("y",A4)&gt;0,CHAR(34)&amp;"with_y"&amp;CHAR(34)&amp;",",""),"")</f>
        <v/>
      </c>
      <c r="DK4" s="44" t="str">
        <f>IFERROR(IF(SEARCH("z",A4)&gt;0,CHAR(34)&amp;"with_z"&amp;CHAR(34)&amp;",",""),"")</f>
        <v/>
      </c>
      <c r="DL4" s="44" t="str">
        <f>IF(CG4=2, CHAR(34) &amp; _xlfn.TEXTJOIN("", TRUE, _xlfn._xlws.SORT(HP4:HX4)) &amp; CHAR(34) &amp; ",", "")</f>
        <v/>
      </c>
      <c r="DM4" s="44" t="str" cm="1">
        <f t="array" ref="DM4">IF(CG4=3,CHAR(34) &amp; _xlfn.TEXTJOIN("", TRUE, RIGHT(HP4:HX4, 2)) &amp; CHAR(34) &amp; ",", "")</f>
        <v/>
      </c>
      <c r="DN4" s="44" t="str">
        <f>IF(AND(ISNUMBER(SEARCH("18", O4)), ISERROR(SEARCH("1918", O4)), ISERROR(SEARCH("2018", O4))), CHAR(34) &amp; "year18" &amp; CHAR(34) &amp; ",", "")</f>
        <v/>
      </c>
      <c r="DO4" s="44" t="str">
        <f>IF(AND(ISNUMBER(SEARCH("19", O4)), ISERROR(SEARCH("1819", O4)),  ISERROR(SEARCH("1219", O4)),ISERROR(SEARCH("1119", O4)),ISERROR(SEARCH("1190", O4)),ISERROR(SEARCH("2019", O4))), CHAR(34) &amp; "year19" &amp; CHAR(34) &amp; ",", "")</f>
        <v>"year19",</v>
      </c>
      <c r="DP4" s="5" t="str">
        <f>IF(AND(ISNUMBER(SEARCH("20", O4)), ISERROR(SEARCH("1920", O4))), CHAR(34)&amp;"year00"&amp;CHAR(34)&amp;",", "")</f>
        <v/>
      </c>
      <c r="DQ4" s="5" t="str">
        <f>IF(CC4="y",CHAR(34)&amp;"soviet"&amp;CHAR(34)&amp;",","")</f>
        <v/>
      </c>
      <c r="DR4" s="5" t="str">
        <f>IF(BY4="y",CHAR(34)&amp;"dgband"&amp;CHAR(34)&amp;",","")</f>
        <v/>
      </c>
      <c r="DS4" s="5" t="str">
        <f>IF(W4="y",IF(AND(V4="n",BY4&lt;&gt;"y"),CHAR(34)&amp;"allver"&amp;CHAR(34)&amp;",",""),"")</f>
        <v/>
      </c>
      <c r="DT4" s="5" t="str">
        <f>IF(V4="y",IF(AND(W4="n",BY4&lt;&gt;"y"),CHAR(34)&amp;"allhor"&amp;CHAR(34)&amp;",",""),"")</f>
        <v/>
      </c>
      <c r="DU4" s="5" t="str">
        <f>IF(BY4="y",IF(AND(W4="n",V4="n"),CHAR(34)&amp;"alldia"&amp;CHAR(34)&amp;",",""),"")</f>
        <v/>
      </c>
      <c r="DW4" s="44" t="str">
        <f t="shared" si="1"/>
        <v>"NoBand",</v>
      </c>
      <c r="DX4" s="44" t="str">
        <f t="shared" si="1"/>
        <v/>
      </c>
      <c r="DY4" s="44" t="str">
        <f t="shared" si="1"/>
        <v/>
      </c>
      <c r="DZ4" s="44" t="str">
        <f t="shared" si="1"/>
        <v/>
      </c>
      <c r="EA4" s="44" t="str">
        <f t="shared" si="2"/>
        <v/>
      </c>
      <c r="EB4" s="44" t="str">
        <f t="shared" si="2"/>
        <v/>
      </c>
      <c r="EC4" s="44" t="str">
        <f t="shared" si="2"/>
        <v/>
      </c>
      <c r="ED4" s="44" t="str">
        <f t="shared" si="2"/>
        <v/>
      </c>
      <c r="EE4" s="44" t="str">
        <f t="shared" si="2"/>
        <v>"Circle",</v>
      </c>
      <c r="EF4" s="44" t="str">
        <f>IF(AND(Y4&lt;&gt;"n",Y4&lt;&gt;""),CHAR(34)&amp;Y$1&amp;CHAR(34)&amp;",","")</f>
        <v/>
      </c>
      <c r="EG4" s="44" t="str">
        <f t="shared" si="3"/>
        <v/>
      </c>
      <c r="EH4" s="44" t="str">
        <f t="shared" si="3"/>
        <v>"Plants",</v>
      </c>
      <c r="EI4" s="44" t="str">
        <f t="shared" si="3"/>
        <v/>
      </c>
      <c r="EJ4" s="44" t="str">
        <f t="shared" si="3"/>
        <v/>
      </c>
      <c r="EK4" s="44" t="str">
        <f t="shared" si="3"/>
        <v/>
      </c>
      <c r="EL4" s="44" t="str">
        <f t="shared" si="3"/>
        <v/>
      </c>
      <c r="EM4" s="44" t="str">
        <f t="shared" si="3"/>
        <v/>
      </c>
      <c r="EN4" s="44" t="str">
        <f t="shared" si="3"/>
        <v>"Unequa",</v>
      </c>
      <c r="EO4" s="44" t="str">
        <f t="shared" si="3"/>
        <v>"Center",</v>
      </c>
      <c r="EP4" s="44" t="str">
        <f t="shared" si="3"/>
        <v/>
      </c>
      <c r="EQ4" s="44" t="str">
        <f t="shared" si="4"/>
        <v/>
      </c>
      <c r="ER4" s="44" t="str">
        <f t="shared" si="4"/>
        <v/>
      </c>
      <c r="ES4" s="44" t="str">
        <f t="shared" si="4"/>
        <v/>
      </c>
      <c r="ET4" s="44" t="str">
        <f t="shared" si="4"/>
        <v/>
      </c>
      <c r="EU4" s="44" t="str">
        <f t="shared" si="4"/>
        <v/>
      </c>
      <c r="EV4" s="44" t="str">
        <f t="shared" si="4"/>
        <v/>
      </c>
      <c r="EW4" s="44" t="str">
        <f t="shared" si="4"/>
        <v/>
      </c>
      <c r="EX4" s="44" t="str">
        <f t="shared" si="4"/>
        <v/>
      </c>
      <c r="EY4" s="44" t="str">
        <f t="shared" si="4"/>
        <v/>
      </c>
      <c r="EZ4" s="44" t="str">
        <f t="shared" si="4"/>
        <v/>
      </c>
      <c r="FA4" s="44" t="str">
        <f>IF(AT4&gt;0,CHAR(34)&amp;"sta"&amp;AZ4&amp;CHAR(34)&amp;",","")</f>
        <v>"staWHI",</v>
      </c>
      <c r="FB4" s="44" t="str">
        <f>IF(AND(AT4&gt;0,BA4&lt;&gt;""),CHAR(34)&amp;"sta"&amp;BA4&amp;CHAR(34)&amp;",","")</f>
        <v/>
      </c>
      <c r="FD4" s="44" t="str">
        <f>IF(BV4="n",CHAR(34)&amp;"tcWHYE"&amp;CHAR(34)&amp;",",IF(BV4="y",CHAR(34)&amp;FD$1&amp;CHAR(34)&amp;",",""))</f>
        <v/>
      </c>
      <c r="FE4" s="44" t="str">
        <f>IF(COUNTIF(BL4:BT4,"BLU")=0,CHAR(34)&amp;"NO_BLU"&amp;CHAR(34)&amp;",", "")</f>
        <v/>
      </c>
      <c r="FF4" s="44" t="str">
        <f>IF(COUNTIF(BL4:BT4,"WHI")=0,CHAR(34)&amp;"NO_WHI"&amp;CHAR(34)&amp;",", "")</f>
        <v/>
      </c>
      <c r="FG4" s="44" t="str">
        <f>IF(COUNTIF(BL4:BT4,"RED")=0,CHAR(34)&amp;"NO_RED"&amp;CHAR(34)&amp;",", "")</f>
        <v/>
      </c>
      <c r="FH4" s="44" t="str">
        <f>IF(COUNTIF(BL4:BS4,"GRE")=0,CHAR(34)&amp;"NO_GRE"&amp;CHAR(34)&amp;",", "")</f>
        <v/>
      </c>
      <c r="FI4" s="44" t="str">
        <f>IF(COUNTIF(BL4:BT4,"YEL")=0,CHAR(34)&amp;"NO_YEL"&amp;CHAR(34)&amp;",", "")</f>
        <v/>
      </c>
      <c r="FJ4" s="44" t="str">
        <f>IF(COUNTIF(BL4:BT4,"BLA")=0,CHAR(34)&amp;"NO_BLA"&amp;CHAR(34)&amp;",", "")</f>
        <v/>
      </c>
      <c r="FK4" s="44" t="str">
        <f>IF(AND(FH4&lt;&gt;"",FF4&lt;&gt;""),CHAR(34)&amp;"WHGRNO"&amp;CHAR(34)&amp;",","")</f>
        <v/>
      </c>
      <c r="FL4" s="44" t="str">
        <f>IF(AND(FI4&lt;&gt;"",FF4&lt;&gt;""),CHAR(34)&amp;"WHYENO"&amp;CHAR(34)&amp;",","")</f>
        <v/>
      </c>
      <c r="FM4" s="44" t="str">
        <f>IF(AND(FJ4&lt;&gt;"",FF4&lt;&gt;""),CHAR(34)&amp;"BAWHNO"&amp;CHAR(34)&amp;",","")</f>
        <v/>
      </c>
      <c r="FN4" s="44" t="str">
        <f>IF(AND(FE4&lt;&gt;"",FF4&lt;&gt;""),CHAR(34)&amp;"BLWHNO"&amp;CHAR(34)&amp;",","")</f>
        <v/>
      </c>
      <c r="FO4" s="44" t="str">
        <f>IF(AND(FE4&lt;&gt;"",FG4&lt;&gt;""),CHAR(34)&amp;"BLRENO"&amp;CHAR(34)&amp;",","")</f>
        <v/>
      </c>
      <c r="FP4" s="44" t="str">
        <f>IF(AND(FF4&lt;&gt;"",FF4&lt;&gt;""),CHAR(34)&amp;"WHRENO"&amp;CHAR(34)&amp;",","")</f>
        <v/>
      </c>
      <c r="FQ4" s="44" t="str">
        <f>IF(LEN(BF4)=3,CHAR(34)&amp;"001"&amp;BF4&amp;CHAR(34)&amp;",","")</f>
        <v/>
      </c>
      <c r="FR4" s="44" t="str">
        <f>IF(LEN(BG4)=3,CHAR(34)&amp;"002"&amp;BG4&amp;CHAR(34)&amp;",","")</f>
        <v/>
      </c>
      <c r="FS4" s="44" t="str">
        <f>IF(LEN(BH4)=3,CHAR(34)&amp;"003"&amp;BH4&amp;CHAR(34)&amp;",","")</f>
        <v/>
      </c>
      <c r="FT4" s="44" t="str">
        <f>CHAR(34)&amp;"myr"&amp;BD4&amp;CHAR(34)&amp;","</f>
        <v>"myrBLU",</v>
      </c>
      <c r="FU4" s="44" t="str">
        <f>IF(AY4="y",CHAR(34)&amp;"island"&amp;CHAR(34)&amp;",","")</f>
        <v/>
      </c>
      <c r="FV4" s="44" t="str">
        <f>IF(BZ4="y",CHAR(34)&amp;"landlo"&amp;CHAR(34)&amp;",","")</f>
        <v/>
      </c>
      <c r="FW4" s="44" t="str">
        <f>IF(CA4="y",CHAR(34)&amp;"eunion"&amp;CHAR(34)&amp;",","")</f>
        <v/>
      </c>
      <c r="FY4" s="44" t="str">
        <f>IFERROR(IF(SEARCH("Arabic",CB4)&gt;0,CHAR(34)&amp;"arabic"&amp;CHAR(34)&amp;",",""),"")</f>
        <v/>
      </c>
      <c r="FZ4" s="44" t="str">
        <f>IFERROR(IF(SEARCH("English",CB4)&gt;0,CHAR(34)&amp;"englis"&amp;CHAR(34)&amp;",",""),"")</f>
        <v/>
      </c>
      <c r="GA4" s="44" t="str">
        <f>IFERROR(IF(SEARCH("French",CB4)&gt;0,CHAR(34)&amp;"french"&amp;CHAR(34)&amp;",",""),"")</f>
        <v/>
      </c>
      <c r="GB4" s="44" t="str">
        <f>IFERROR(IF(SEARCH("Spanish",CB4)&gt;0,CHAR(34)&amp;"spanis"&amp;CHAR(34)&amp;",",""),"")</f>
        <v/>
      </c>
      <c r="GE4" s="44" t="str">
        <f>IFERROR(IF(SEARCH("Dutch",CB4)&gt;0,CHAR(34)&amp;"dutchs"&amp;CHAR(34)&amp;",",""),"")</f>
        <v/>
      </c>
      <c r="GF4" s="44" t="str">
        <f>IFERROR(IF(SEARCH("Historical",AU4)&gt;0,CHAR(34)&amp;"histor"&amp;CHAR(34)&amp;",",""),"")</f>
        <v>"histor",</v>
      </c>
      <c r="GG4" s="44" t="str">
        <f>IF(BU4="y",CHAR(34)&amp;"unjack"&amp;CHAR(34)&amp;",","")</f>
        <v/>
      </c>
      <c r="GH4" s="44" t="str">
        <f>IF(CD4=1,CHAR(34)&amp;"southc"&amp;CHAR(34)&amp;",","")</f>
        <v/>
      </c>
      <c r="GI4" s="44" t="str">
        <f>IF(CE4=1,CHAR(34)&amp;"hasmap"&amp;CHAR(34)&amp;",","")</f>
        <v/>
      </c>
      <c r="GJ4" s="44" t="str">
        <f>IF(CP4="y",CHAR(34)&amp;CP$1&amp;CHAR(34)&amp;",","")</f>
        <v/>
      </c>
      <c r="GK4" s="44" t="str">
        <f>IF(GJ4="",CHAR(34)&amp;"HasSta"&amp;CHAR(34)&amp;",","")</f>
        <v>"HasSta",</v>
      </c>
      <c r="GL4" s="44" t="str">
        <f t="shared" si="5"/>
        <v>"1Stars",</v>
      </c>
      <c r="GM4" s="44" t="str">
        <f t="shared" si="5"/>
        <v/>
      </c>
      <c r="GN4" s="44" t="str">
        <f t="shared" si="5"/>
        <v/>
      </c>
      <c r="GP4" s="44" t="str">
        <f>CHAR(34)&amp;AU4&amp;CHAR(34)</f>
        <v>"Historical"</v>
      </c>
      <c r="GS4" s="44" t="str">
        <f>SUBSTITUTE("["&amp;_xlfn.CONCAT(CW4:GN4)&amp;"]",",]","]")</f>
        <v>["5+Colo","words2","words3","lets32","startN","year19","NoBand","Circle","Plants","Unequa","Center","staWHI","myrBLU","histor","HasSta","1Stars"]</v>
      </c>
      <c r="GT4" s="44" t="str">
        <f t="shared" si="6"/>
        <v>"cl_BLA",</v>
      </c>
      <c r="GU4" s="44" t="str">
        <f t="shared" si="6"/>
        <v>"cl_BLU",</v>
      </c>
      <c r="GV4" s="44" t="str">
        <f t="shared" si="6"/>
        <v>"cl_GRE",</v>
      </c>
      <c r="GW4" s="44" t="str">
        <f t="shared" si="6"/>
        <v>"cl_RED",</v>
      </c>
      <c r="GX4" s="44" t="str">
        <f t="shared" si="6"/>
        <v>"cl_YEL",</v>
      </c>
      <c r="GY4" s="44" t="str">
        <f t="shared" si="6"/>
        <v>"cl_ORA",</v>
      </c>
      <c r="GZ4" s="44" t="str">
        <f t="shared" si="6"/>
        <v/>
      </c>
      <c r="HA4" s="44" t="str">
        <f t="shared" si="6"/>
        <v>"cl_PUR",</v>
      </c>
      <c r="HB4" s="44" t="str">
        <f t="shared" si="6"/>
        <v>"cl_WHI",</v>
      </c>
      <c r="HC4" s="44" t="str">
        <f>SUBSTITUTE("["&amp;_xlfn.CONCAT(GT4:HB4)&amp;"]",",]","]")</f>
        <v>["cl_BLA","cl_BLU","cl_GRE","cl_RED","cl_YEL","cl_ORA","cl_PUR","cl_WHI"]</v>
      </c>
      <c r="HE4" s="64"/>
      <c r="HF4" s="65" t="str">
        <f>"{couname:"&amp;CT4&amp;(IF(HK4&lt;&gt;"",",subtype:"&amp;CHAR(34)&amp;HK4&amp;CHAR(34),""))&amp;",year:"&amp;HJ4&amp;",region:"&amp;CU4&amp;",Colors:"&amp;HC4&amp;",Items:"&amp;GS4&amp;",Flag:"&amp;CV4&amp;",HDFlag:"&amp;CHAR(34)&amp;E4&amp;CHAR(34)&amp;",type:"&amp;GP4&amp;", describe: "&amp;HH4&amp;", isnew:"&amp;CHAR(34)&amp;F4&amp;CHAR(34)&amp;", links: "&amp;HL4&amp;"},"</f>
        <v>{couname:"[MNP] Northern Mariana Islands (1976-1989)",year:"1976",region:"rgn_Oceania",Colors:["cl_BLA","cl_BLU","cl_GRE","cl_RED","cl_YEL","cl_ORA","cl_PUR","cl_WHI"],Items:["5+Colo","words2","words3","lets32","startN","year19","NoBand","Circle","Plants","Unequa","Center","staWHI","myrBLU","histor","HasSta","1Stars"],Flag:"https://upload.wikimedia.org/wikipedia/commons/thumb/0/04/Flag_of_the_Northern_Mariana_Islands_%281976%E2%80%931989%29.svg/640px-Flag_of_the_Northern_Mariana_Islands_%281976%E2%80%931989%29.svg.png",HDFlag:"https://upload.wikimedia.org/wikipedia/commons/thumb/0/04/Flag_of_the_Northern_Mariana_Islands_%281976%E2%80%931989%29.svg/1280px-Flag_of_the_Northern_Mariana_Islands_%281976%E2%80%931989%29.svg.png",type:"Historical", describe: "\nA circle of flowers and plants with a grey latte stone and a white star on a blue field.", isnew:".", links: "https://en.m.wikipedia.org/wiki/Flag_of_the_Northern_Mariana_Islands"},</v>
      </c>
      <c r="HG4" s="66" t="str">
        <f>"{couname:"&amp;CT4&amp;(IF(HK4&lt;&gt;"",",subtype:"&amp;CHAR(34)&amp;HK4&amp;CHAR(34),""))&amp;",year:"&amp;HJ4&amp;",region:"&amp;CU4&amp;",Colors:"&amp;HC4&amp;",Items:"&amp;GS4&amp;",Flag:"&amp;CV4&amp;",HDFlag:"&amp;CHAR(34)&amp;E4&amp;CHAR(34)&amp;",type:"&amp;GP4&amp;", describe: "&amp;HI4&amp;", links: "&amp;HL4&amp;"},"</f>
        <v>{couname:"[MNP] Northern Mariana Islands (1976-1989)",year:"1976",region:"rgn_Oceania",Colors:["cl_BLA","cl_BLU","cl_GRE","cl_RED","cl_YEL","cl_ORA","cl_PUR","cl_WHI"],Items:["5+Colo","words2","words3","lets32","startN","year19","NoBand","Circle","Plants","Unequa","Center","staWHI","myrBLU","histor","HasSta","1Stars"],Flag:"https://upload.wikimedia.org/wikipedia/commons/thumb/0/04/Flag_of_the_Northern_Mariana_Islands_%281976%E2%80%931989%29.svg/640px-Flag_of_the_Northern_Mariana_Islands_%281976%E2%80%931989%29.svg.png",HDFlag:"https://upload.wikimedia.org/wikipedia/commons/thumb/0/04/Flag_of_the_Northern_Mariana_Islands_%281976%E2%80%931989%29.svg/1280px-Flag_of_the_Northern_Mariana_Islands_%281976%E2%80%931989%29.svg.png",type:"Historical", describe: "\nA circle of flowers and plants with a grey latte stone and a white star on a blue field.", links: "https://en.m.wikipedia.org/wiki/Flag_of_the_Northern_Mariana_Islands"},</v>
      </c>
      <c r="HH4" s="44" t="str">
        <f>IF(P4&lt;&gt;"",CHAR(34)&amp;"\n"&amp;P4&amp;CHAR(34),CHAR(34)&amp;CHAR(34))</f>
        <v>"\nA circle of flowers and plants with a grey latte stone and a white star on a blue field."</v>
      </c>
      <c r="HI4" s="44" t="str">
        <f>IF(J4=0,CHAR(34)&amp;CHAR(34),HH4)</f>
        <v>"\nA circle of flowers and plants with a grey latte stone and a white star on a blue field."</v>
      </c>
      <c r="HJ4" s="44" t="str">
        <f>CHAR(34)&amp;O4&amp;CHAR(34)</f>
        <v>"1976"</v>
      </c>
      <c r="HL4" s="44" t="str">
        <f>CHAR(34)&amp;I4&amp;CHAR(34)</f>
        <v>"https://en.m.wikipedia.org/wiki/Flag_of_the_Northern_Mariana_Islands"</v>
      </c>
      <c r="HM4" s="65"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"&amp;HH4&amp;", "&amp;CHAR(34)&amp;"isnew"&amp;CHAR(34)&amp;": "&amp;CHAR(34)&amp;F4&amp;CHAR(34)&amp;", "&amp;CHAR(34)&amp;"links"&amp;CHAR(34)&amp;": "&amp;HL4&amp;"},"</f>
        <v>{"couname":"[MNP] Northern Mariana Islands (1976-1989)","subtype":"[MNP] Other","year":"1976","region":"rgn_Oceania","Colors":["cl_BLA","cl_BLU","cl_GRE","cl_RED","cl_YEL","cl_ORA","cl_PUR","cl_WHI"],"Items":["5+Colo","words2","words3","lets32","startN","year19","NoBand","Circle","Plants","Unequa","Center","staWHI","myrBLU","histor","HasSta","1Stars"],"Flag":"https://upload.wikimedia.org/wikipedia/commons/thumb/0/04/Flag_of_the_Northern_Mariana_Islands_%281976%E2%80%931989%29.svg/640px-Flag_of_the_Northern_Mariana_Islands_%281976%E2%80%931989%29.svg.png","HDFlag":"https://upload.wikimedia.org/wikipedia/commons/thumb/0/04/Flag_of_the_Northern_Mariana_Islands_%281976%E2%80%931989%29.svg/1280px-Flag_of_the_Northern_Mariana_Islands_%281976%E2%80%931989%29.svg.png","type":"Historical", "describe": "\nA circle of flowers and plants with a grey latte stone and a white star on a blue field.", "isnew": ".", "links": "https://en.m.wikipedia.org/wiki/Flag_of_the_Northern_Mariana_Islands"},</v>
      </c>
      <c r="HN4" s="67"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"&amp;HI4&amp;", "&amp;CHAR(34)&amp;"isnew"&amp;CHAR(34)&amp;": "&amp;CHAR(34)&amp;F4&amp;CHAR(34)&amp;", "&amp;CHAR(34)&amp;"links"&amp;CHAR(34)&amp;": "&amp;HL4&amp;"},"</f>
        <v>{"couname":"[MNP] Northern Mariana Islands (1976-1989)","subtype":"[MNP] Other","year":"1976","region":"rgn_Oceania","Colors":["cl_BLA","cl_BLU","cl_GRE","cl_RED","cl_YEL","cl_ORA","cl_PUR","cl_WHI"],"Items":["5+Colo","words2","words3","lets32","startN","year19","NoBand","Circle","Plants","Unequa","Center","staWHI","myrBLU","histor","HasSta","1Stars"],"Flag":"https://upload.wikimedia.org/wikipedia/commons/thumb/0/04/Flag_of_the_Northern_Mariana_Islands_%281976%E2%80%931989%29.svg/640px-Flag_of_the_Northern_Mariana_Islands_%281976%E2%80%931989%29.svg.png","HDFlag":"https://upload.wikimedia.org/wikipedia/commons/thumb/0/04/Flag_of_the_Northern_Mariana_Islands_%281976%E2%80%931989%29.svg/1280px-Flag_of_the_Northern_Mariana_Islands_%281976%E2%80%931989%29.svg.png","type":"Historical", "describe": "\nA circle of flowers and plants with a grey latte stone and a white star on a blue field.", "isnew": ".", "links": "https://en.m.wikipedia.org/wiki/Flag_of_the_Northern_Mariana_Islands"},</v>
      </c>
      <c r="HO4" s="71">
        <v>45610</v>
      </c>
      <c r="HP4" s="44" t="str" cm="1">
        <f t="array" ref="HP4">IF(_xlfn.TEXTJOIN(", ", TRUE, IF(ISNUMBER(SEARCH("BLA", BL4:BT4)), COLUMN(BL4:BT4) - COLUMN(BL4) + 1, ""))&lt;&gt;"","BLA","")</f>
        <v>BLA</v>
      </c>
      <c r="HQ4" s="44" t="str" cm="1">
        <f t="array" ref="HQ4">IF(_xlfn.TEXTJOIN(", ", TRUE, IF(ISNUMBER(SEARCH("BLU", BL4:BT4)), COLUMN(BL4:BT4) - COLUMN(BL4) + 1, ""))&lt;&gt;"","BLU","")</f>
        <v>BLU</v>
      </c>
      <c r="HR4" s="44" t="str" cm="1">
        <f t="array" ref="HR4">IF(_xlfn.TEXTJOIN(", ", TRUE, IF(ISNUMBER(SEARCH("GRE", BL4:BT4)), COLUMN(BL4:BT4) - COLUMN(BL4) + 1, ""))&lt;&gt;"","GRE","")</f>
        <v>GRE</v>
      </c>
      <c r="HS4" s="44" t="str" cm="1">
        <f t="array" ref="HS4">IF(_xlfn.TEXTJOIN(", ", TRUE, IF(ISNUMBER(SEARCH("RED", BL4:BT4)), COLUMN(BL4:BT4) - COLUMN(BL4) + 1, ""))&lt;&gt;"","RED","")</f>
        <v>RED</v>
      </c>
      <c r="HT4" s="44" t="str" cm="1">
        <f t="array" ref="HT4">IF(_xlfn.TEXTJOIN(", ", TRUE, IF(ISNUMBER(SEARCH("YEL", BL4:BT4)), COLUMN(BL4:BT4) - COLUMN(BL4) + 1, ""))&lt;&gt;"","YEL","")</f>
        <v>YEL</v>
      </c>
      <c r="HU4" s="44" t="str" cm="1">
        <f t="array" ref="HU4">IF(_xlfn.TEXTJOIN(", ", TRUE, IF(ISNUMBER(SEARCH("ORA", BL4:BT4)), COLUMN(BL4:BT4) - COLUMN(BL4) + 1, ""))&lt;&gt;"","ORA","")</f>
        <v>ORA</v>
      </c>
      <c r="HV4" s="44" t="str" cm="1">
        <f t="array" ref="HV4">IF(_xlfn.TEXTJOIN(", ", TRUE, IF(ISNUMBER(SEARCH("BRO", BL4:BT4)), COLUMN(BL4:BT4) - COLUMN(BL4) + 1, ""))&lt;&gt;"","BRO","")</f>
        <v/>
      </c>
      <c r="HW4" s="44" t="str" cm="1">
        <f t="array" ref="HW4">IF(_xlfn.TEXTJOIN(", ", TRUE, IF(ISNUMBER(SEARCH("PUR", BL4:BT4)), COLUMN(BL4:BT4) - COLUMN(BL4) + 1, ""))&lt;&gt;"","PUR","")</f>
        <v>PUR</v>
      </c>
      <c r="HX4" s="44" t="str" cm="1">
        <f t="array" ref="HX4">IF(_xlfn.TEXTJOIN(", ", TRUE, IF(ISNUMBER(SEARCH("WHI", BL4:BT4)), COLUMN(BL4:BT4) - COLUMN(BL4) + 1, ""))&lt;&gt;"","WHI","")</f>
        <v>WHI</v>
      </c>
      <c r="HY4" s="72"/>
      <c r="HZ4" s="72"/>
      <c r="IA4" s="5"/>
      <c r="IB4" s="5"/>
      <c r="IC4" s="68"/>
      <c r="ID4" s="68"/>
      <c r="IE4" s="68"/>
      <c r="IF4" s="68"/>
      <c r="IG4" s="68"/>
      <c r="IH4" s="68"/>
      <c r="II4" s="68"/>
      <c r="IJ4" s="68"/>
      <c r="IK4" s="68"/>
      <c r="IM4" s="42">
        <f>COUNTIF(IC4:IK4,"&gt;0")-CG4</f>
        <v>-8</v>
      </c>
      <c r="IN4" s="69" t="str">
        <f>"http://mkweb.bcgsc.ca/color-summarizer/?url="&amp;D4&amp;"&amp;precision=low&amp;num_clusters="&amp;CG4&amp;"&amp;text=1"</f>
        <v>http://mkweb.bcgsc.ca/color-summarizer/?url=https://upload.wikimedia.org/wikipedia/commons/thumb/0/04/Flag_of_the_Northern_Mariana_Islands_%281976%E2%80%931989%29.svg/640px-Flag_of_the_Northern_Mariana_Islands_%281976%E2%80%931989%29.svg.png&amp;precision=low&amp;num_clusters=8&amp;text=1</v>
      </c>
      <c r="IO4" s="44" t="str">
        <f>IF(HP4&lt;&gt;"",CHAR(34)&amp;"black"&amp;CHAR(34),"")</f>
        <v>"black"</v>
      </c>
      <c r="IP4" s="44" t="str">
        <f>IF(HQ4&lt;&gt;"",CHAR(34)&amp;"blue"&amp;CHAR(34),"")</f>
        <v>"blue"</v>
      </c>
      <c r="IQ4" s="44" t="str">
        <f>IF(HR4&lt;&gt;"",CHAR(34)&amp;"green"&amp;CHAR(34),"")</f>
        <v>"green"</v>
      </c>
      <c r="IR4" s="44" t="str">
        <f>IF(HS4&lt;&gt;"",CHAR(34)&amp;"red"&amp;CHAR(34),"")</f>
        <v>"red"</v>
      </c>
      <c r="IS4" s="44" t="str">
        <f>IF(HT4&lt;&gt;"",CHAR(34)&amp;"yellow"&amp;CHAR(34),"")</f>
        <v>"yellow"</v>
      </c>
      <c r="IT4" s="44" t="str">
        <f>IF(HU4&lt;&gt;"",CHAR(34)&amp;"orange"&amp;CHAR(34),"")</f>
        <v>"orange"</v>
      </c>
      <c r="IU4" s="44" t="str">
        <f>IF(HV4&lt;&gt;"",CHAR(34)&amp;"brown"&amp;CHAR(34),"")</f>
        <v/>
      </c>
      <c r="IV4" s="44" t="str">
        <f>IF(HW4&lt;&gt;"",CHAR(34)&amp;"purple"&amp;CHAR(34),"")</f>
        <v>"purple"</v>
      </c>
      <c r="IW4" s="44" t="str">
        <f>IF(HX4&lt;&gt;"",CHAR(34)&amp;"white"&amp;CHAR(34),"")</f>
        <v>"white"</v>
      </c>
      <c r="IX4" s="44" t="str">
        <f>"{"&amp;CHAR(34)&amp;"url"&amp;CHAR(34)&amp;":"&amp;CHAR(34)&amp;IN4&amp;CHAR(34)&amp;","&amp;CHAR(34)&amp;"name"&amp;CHAR(34)&amp;":"&amp;CHAR(34)&amp;A4&amp;CHAR(34)&amp;"},"</f>
        <v>{"url":"http://mkweb.bcgsc.ca/color-summarizer/?url=https://upload.wikimedia.org/wikipedia/commons/thumb/0/04/Flag_of_the_Northern_Mariana_Islands_%281976%E2%80%931989%29.svg/640px-Flag_of_the_Northern_Mariana_Islands_%281976%E2%80%931989%29.svg.png&amp;precision=low&amp;num_clusters=8&amp;text=1","name":"[MNP] Northern Mariana Islands (1976-1989)"},</v>
      </c>
      <c r="IY4" s="44">
        <v>1350</v>
      </c>
    </row>
  </sheetData>
  <autoFilter ref="A1:IY4" xr:uid="{A1051193-A95B-4CFB-A73C-F0184620C81F}">
    <sortState xmlns:xlrd2="http://schemas.microsoft.com/office/spreadsheetml/2017/richdata2" ref="A2:IY4">
      <sortCondition ref="AW1:AW4"/>
    </sortState>
  </autoFilter>
  <conditionalFormatting sqref="H1 CW1:GS1 IA1:IB1">
    <cfRule type="cellIs" dxfId="1161" priority="95" operator="greaterThan">
      <formula>0</formula>
    </cfRule>
  </conditionalFormatting>
  <conditionalFormatting sqref="H1:H1048576">
    <cfRule type="cellIs" dxfId="1160" priority="35" stopIfTrue="1" operator="notEqual">
      <formula>""</formula>
    </cfRule>
  </conditionalFormatting>
  <conditionalFormatting sqref="R2:R4 CU2:CU4">
    <cfRule type="cellIs" dxfId="1159" priority="37" operator="greaterThan">
      <formula>0</formula>
    </cfRule>
  </conditionalFormatting>
  <conditionalFormatting sqref="T2:AS3 CH2:CS3">
    <cfRule type="cellIs" dxfId="1158" priority="32" stopIfTrue="1" operator="equal">
      <formula>"n"</formula>
    </cfRule>
    <cfRule type="cellIs" dxfId="1157" priority="33" stopIfTrue="1" operator="equal">
      <formula>"y"</formula>
    </cfRule>
    <cfRule type="cellIs" dxfId="1156" priority="34" operator="greaterThan">
      <formula>0</formula>
    </cfRule>
  </conditionalFormatting>
  <conditionalFormatting sqref="T1:BK1">
    <cfRule type="cellIs" dxfId="1155" priority="98" operator="greaterThan">
      <formula>0</formula>
    </cfRule>
  </conditionalFormatting>
  <conditionalFormatting sqref="AZ2:BB3">
    <cfRule type="expression" dxfId="1154" priority="31">
      <formula>$AT2=0</formula>
    </cfRule>
  </conditionalFormatting>
  <conditionalFormatting sqref="AZ2:BU3">
    <cfRule type="cellIs" dxfId="1153" priority="73" operator="equal">
      <formula>"PIN"</formula>
    </cfRule>
    <cfRule type="cellIs" dxfId="1152" priority="74" operator="equal">
      <formula>"ORA"</formula>
    </cfRule>
    <cfRule type="cellIs" dxfId="1151" priority="75" operator="equal">
      <formula>"GRA"</formula>
    </cfRule>
    <cfRule type="cellIs" dxfId="1150" priority="76" operator="equal">
      <formula>"PUR"</formula>
    </cfRule>
    <cfRule type="cellIs" dxfId="1149" priority="77" operator="equal">
      <formula>"BRO"</formula>
    </cfRule>
    <cfRule type="cellIs" dxfId="1148" priority="78" operator="equal">
      <formula>"YEL"</formula>
    </cfRule>
    <cfRule type="cellIs" dxfId="1147" priority="79" operator="equal">
      <formula>"BLU"</formula>
    </cfRule>
    <cfRule type="cellIs" dxfId="1146" priority="80" operator="equal">
      <formula>"WHI"</formula>
    </cfRule>
    <cfRule type="cellIs" dxfId="1145" priority="81" operator="equal">
      <formula>"GRE"</formula>
    </cfRule>
    <cfRule type="cellIs" dxfId="1144" priority="82" operator="equal">
      <formula>"RED"</formula>
    </cfRule>
    <cfRule type="cellIs" dxfId="1143" priority="83" operator="equal">
      <formula>"BLA"</formula>
    </cfRule>
  </conditionalFormatting>
  <conditionalFormatting sqref="BV1:BW1048576">
    <cfRule type="cellIs" dxfId="1142" priority="97" operator="equal">
      <formula>"nc"</formula>
    </cfRule>
  </conditionalFormatting>
  <conditionalFormatting sqref="BX2:CA3 CD2:CF3">
    <cfRule type="cellIs" dxfId="1141" priority="36" operator="equal">
      <formula>"y"</formula>
    </cfRule>
    <cfRule type="cellIs" dxfId="1140" priority="84" operator="equal">
      <formula>"PIN"</formula>
    </cfRule>
    <cfRule type="cellIs" dxfId="1139" priority="85" operator="equal">
      <formula>"ORA"</formula>
    </cfRule>
    <cfRule type="cellIs" dxfId="1138" priority="86" operator="equal">
      <formula>"GRA"</formula>
    </cfRule>
    <cfRule type="cellIs" dxfId="1137" priority="87" operator="equal">
      <formula>"PUR"</formula>
    </cfRule>
    <cfRule type="cellIs" dxfId="1136" priority="88" operator="equal">
      <formula>"BRO"</formula>
    </cfRule>
    <cfRule type="cellIs" dxfId="1135" priority="89" operator="equal">
      <formula>"YEL"</formula>
    </cfRule>
    <cfRule type="cellIs" dxfId="1134" priority="90" operator="equal">
      <formula>"BLU"</formula>
    </cfRule>
    <cfRule type="cellIs" dxfId="1133" priority="91" operator="equal">
      <formula>"WHI"</formula>
    </cfRule>
    <cfRule type="cellIs" dxfId="1132" priority="92" operator="equal">
      <formula>"GRE"</formula>
    </cfRule>
    <cfRule type="cellIs" dxfId="1131" priority="93" operator="equal">
      <formula>"RED"</formula>
    </cfRule>
    <cfRule type="cellIs" dxfId="1130" priority="94" operator="equal">
      <formula>"BLA"</formula>
    </cfRule>
  </conditionalFormatting>
  <conditionalFormatting sqref="BZ2:CA3 CD2:CF3">
    <cfRule type="cellIs" dxfId="1129" priority="38" operator="greaterThan">
      <formula>0</formula>
    </cfRule>
  </conditionalFormatting>
  <conditionalFormatting sqref="HF1:HG1">
    <cfRule type="cellIs" dxfId="1128" priority="99" operator="greaterThan">
      <formula>0</formula>
    </cfRule>
  </conditionalFormatting>
  <conditionalFormatting sqref="HK1">
    <cfRule type="cellIs" dxfId="1127" priority="96" operator="greaterThan">
      <formula>0</formula>
    </cfRule>
  </conditionalFormatting>
  <conditionalFormatting sqref="HP1:HX1">
    <cfRule type="cellIs" dxfId="1126" priority="50" operator="equal">
      <formula>"PIN"</formula>
    </cfRule>
    <cfRule type="cellIs" dxfId="1125" priority="51" operator="equal">
      <formula>"ORA"</formula>
    </cfRule>
    <cfRule type="cellIs" dxfId="1124" priority="52" operator="equal">
      <formula>"GRA"</formula>
    </cfRule>
    <cfRule type="cellIs" dxfId="1123" priority="53" operator="equal">
      <formula>"PUR"</formula>
    </cfRule>
    <cfRule type="cellIs" dxfId="1122" priority="54" operator="equal">
      <formula>"BRO"</formula>
    </cfRule>
    <cfRule type="cellIs" dxfId="1121" priority="55" operator="equal">
      <formula>"YEL"</formula>
    </cfRule>
    <cfRule type="cellIs" dxfId="1120" priority="56" operator="equal">
      <formula>"BLU"</formula>
    </cfRule>
    <cfRule type="cellIs" dxfId="1119" priority="57" operator="equal">
      <formula>"WHI"</formula>
    </cfRule>
    <cfRule type="cellIs" dxfId="1118" priority="58" operator="equal">
      <formula>"GRE"</formula>
    </cfRule>
    <cfRule type="cellIs" dxfId="1117" priority="59" operator="equal">
      <formula>"RED"</formula>
    </cfRule>
    <cfRule type="cellIs" dxfId="1116" priority="60" operator="equal">
      <formula>"BLA"</formula>
    </cfRule>
  </conditionalFormatting>
  <conditionalFormatting sqref="IC1:IK1">
    <cfRule type="cellIs" dxfId="1115" priority="62" operator="equal">
      <formula>"PIN"</formula>
    </cfRule>
    <cfRule type="cellIs" dxfId="1114" priority="63" operator="equal">
      <formula>"ORA"</formula>
    </cfRule>
    <cfRule type="cellIs" dxfId="1113" priority="64" operator="equal">
      <formula>"GRA"</formula>
    </cfRule>
    <cfRule type="cellIs" dxfId="1112" priority="65" operator="equal">
      <formula>"PUR"</formula>
    </cfRule>
    <cfRule type="cellIs" dxfId="1111" priority="66" operator="equal">
      <formula>"BRO"</formula>
    </cfRule>
    <cfRule type="cellIs" dxfId="1110" priority="67" operator="equal">
      <formula>"YEL"</formula>
    </cfRule>
    <cfRule type="cellIs" dxfId="1109" priority="68" operator="equal">
      <formula>"BLU"</formula>
    </cfRule>
    <cfRule type="cellIs" dxfId="1108" priority="69" operator="equal">
      <formula>"WHI"</formula>
    </cfRule>
    <cfRule type="cellIs" dxfId="1107" priority="70" operator="equal">
      <formula>"GRE"</formula>
    </cfRule>
    <cfRule type="cellIs" dxfId="1106" priority="71" operator="equal">
      <formula>"RED"</formula>
    </cfRule>
    <cfRule type="cellIs" dxfId="1105" priority="72" operator="equal">
      <formula>"BLA"</formula>
    </cfRule>
  </conditionalFormatting>
  <conditionalFormatting sqref="IC2:IK3">
    <cfRule type="expression" dxfId="1104" priority="61">
      <formula>$IL2&gt;0</formula>
    </cfRule>
  </conditionalFormatting>
  <conditionalFormatting sqref="IO1:IW1">
    <cfRule type="cellIs" dxfId="1103" priority="39" operator="equal">
      <formula>"PIN"</formula>
    </cfRule>
    <cfRule type="cellIs" dxfId="1102" priority="40" operator="equal">
      <formula>"ORA"</formula>
    </cfRule>
    <cfRule type="cellIs" dxfId="1101" priority="41" operator="equal">
      <formula>"GRA"</formula>
    </cfRule>
    <cfRule type="cellIs" dxfId="1100" priority="42" operator="equal">
      <formula>"PUR"</formula>
    </cfRule>
    <cfRule type="cellIs" dxfId="1099" priority="43" operator="equal">
      <formula>"BRO"</formula>
    </cfRule>
    <cfRule type="cellIs" dxfId="1098" priority="44" operator="equal">
      <formula>"YEL"</formula>
    </cfRule>
    <cfRule type="cellIs" dxfId="1097" priority="45" operator="equal">
      <formula>"BLU"</formula>
    </cfRule>
    <cfRule type="cellIs" dxfId="1096" priority="46" operator="equal">
      <formula>"WHI"</formula>
    </cfRule>
    <cfRule type="cellIs" dxfId="1095" priority="47" operator="equal">
      <formula>"GRE"</formula>
    </cfRule>
    <cfRule type="cellIs" dxfId="1094" priority="48" operator="equal">
      <formula>"RED"</formula>
    </cfRule>
    <cfRule type="cellIs" dxfId="1093" priority="49" operator="equal">
      <formula>"BLA"</formula>
    </cfRule>
  </conditionalFormatting>
  <conditionalFormatting sqref="T4:AS4 CH4:CS4">
    <cfRule type="cellIs" dxfId="1092" priority="3" stopIfTrue="1" operator="equal">
      <formula>"n"</formula>
    </cfRule>
    <cfRule type="cellIs" dxfId="1091" priority="4" stopIfTrue="1" operator="equal">
      <formula>"y"</formula>
    </cfRule>
    <cfRule type="cellIs" dxfId="1090" priority="5" operator="greaterThan">
      <formula>0</formula>
    </cfRule>
  </conditionalFormatting>
  <conditionalFormatting sqref="AZ4:BB4">
    <cfRule type="expression" dxfId="1089" priority="2">
      <formula>$AT4=0</formula>
    </cfRule>
  </conditionalFormatting>
  <conditionalFormatting sqref="AZ4:BU4">
    <cfRule type="cellIs" dxfId="1088" priority="9" operator="equal">
      <formula>"PIN"</formula>
    </cfRule>
    <cfRule type="cellIs" dxfId="1087" priority="10" operator="equal">
      <formula>"ORA"</formula>
    </cfRule>
    <cfRule type="cellIs" dxfId="1086" priority="11" operator="equal">
      <formula>"GRA"</formula>
    </cfRule>
    <cfRule type="cellIs" dxfId="1085" priority="12" operator="equal">
      <formula>"PUR"</formula>
    </cfRule>
    <cfRule type="cellIs" dxfId="1084" priority="13" operator="equal">
      <formula>"BRO"</formula>
    </cfRule>
    <cfRule type="cellIs" dxfId="1083" priority="14" operator="equal">
      <formula>"YEL"</formula>
    </cfRule>
    <cfRule type="cellIs" dxfId="1082" priority="15" operator="equal">
      <formula>"BLU"</formula>
    </cfRule>
    <cfRule type="cellIs" dxfId="1081" priority="16" operator="equal">
      <formula>"WHI"</formula>
    </cfRule>
    <cfRule type="cellIs" dxfId="1080" priority="17" operator="equal">
      <formula>"GRE"</formula>
    </cfRule>
    <cfRule type="cellIs" dxfId="1079" priority="18" operator="equal">
      <formula>"RED"</formula>
    </cfRule>
    <cfRule type="cellIs" dxfId="1078" priority="19" operator="equal">
      <formula>"BLA"</formula>
    </cfRule>
  </conditionalFormatting>
  <conditionalFormatting sqref="BX4:CA4 CD4:CF4">
    <cfRule type="cellIs" dxfId="1077" priority="6" operator="equal">
      <formula>"y"</formula>
    </cfRule>
    <cfRule type="cellIs" dxfId="1076" priority="20" operator="equal">
      <formula>"PIN"</formula>
    </cfRule>
    <cfRule type="cellIs" dxfId="1075" priority="21" operator="equal">
      <formula>"ORA"</formula>
    </cfRule>
    <cfRule type="cellIs" dxfId="1074" priority="22" operator="equal">
      <formula>"GRA"</formula>
    </cfRule>
    <cfRule type="cellIs" dxfId="1073" priority="23" operator="equal">
      <formula>"PUR"</formula>
    </cfRule>
    <cfRule type="cellIs" dxfId="1072" priority="24" operator="equal">
      <formula>"BRO"</formula>
    </cfRule>
    <cfRule type="cellIs" dxfId="1071" priority="25" operator="equal">
      <formula>"YEL"</formula>
    </cfRule>
    <cfRule type="cellIs" dxfId="1070" priority="26" operator="equal">
      <formula>"BLU"</formula>
    </cfRule>
    <cfRule type="cellIs" dxfId="1069" priority="27" operator="equal">
      <formula>"WHI"</formula>
    </cfRule>
    <cfRule type="cellIs" dxfId="1068" priority="28" operator="equal">
      <formula>"GRE"</formula>
    </cfRule>
    <cfRule type="cellIs" dxfId="1067" priority="29" operator="equal">
      <formula>"RED"</formula>
    </cfRule>
    <cfRule type="cellIs" dxfId="1066" priority="30" operator="equal">
      <formula>"BLA"</formula>
    </cfRule>
  </conditionalFormatting>
  <conditionalFormatting sqref="BZ4:CA4 CD4:CF4">
    <cfRule type="cellIs" dxfId="1065" priority="7" operator="greaterThan">
      <formula>0</formula>
    </cfRule>
  </conditionalFormatting>
  <conditionalFormatting sqref="IC4:IK4">
    <cfRule type="expression" dxfId="1064" priority="8">
      <formula>$IL4&gt;0</formula>
    </cfRule>
  </conditionalFormatting>
  <conditionalFormatting sqref="S2:S4">
    <cfRule type="colorScale" priority="2516">
      <colorScale>
        <cfvo type="min"/>
        <cfvo type="max"/>
        <color rgb="FFFCFCFF"/>
        <color rgb="FF754BFB"/>
      </colorScale>
    </cfRule>
  </conditionalFormatting>
  <conditionalFormatting sqref="AT2:AT4">
    <cfRule type="colorScale" priority="2517">
      <colorScale>
        <cfvo type="min"/>
        <cfvo type="max"/>
        <color rgb="FFFCFCFF"/>
        <color theme="8" tint="0.39997558519241921"/>
      </colorScale>
    </cfRule>
  </conditionalFormatting>
  <conditionalFormatting sqref="CG2:CG4">
    <cfRule type="colorScale" priority="2518">
      <colorScale>
        <cfvo type="min"/>
        <cfvo type="max"/>
        <color rgb="FFFCFCFF"/>
        <color rgb="FF63BE7B"/>
      </colorScale>
    </cfRule>
  </conditionalFormatting>
  <conditionalFormatting sqref="J2:J4">
    <cfRule type="colorScale" priority="1">
      <colorScale>
        <cfvo type="min"/>
        <cfvo type="percentile" val="50"/>
        <cfvo type="max"/>
        <color rgb="FFF8696B"/>
        <color rgb="FFFFEB84"/>
        <color rgb="FF63BE7B"/>
      </colorScale>
    </cfRule>
  </conditionalFormatting>
  <hyperlinks>
    <hyperlink ref="E2" r:id="rId1" xr:uid="{C70E0B5F-1867-4682-8ABB-A3F1DDD66394}"/>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7409" r:id="rId5" name="Button 1">
              <controlPr defaultSize="0" print="0" autoFill="0" autoPict="0" macro="[0]!InsertImagesFromSelectedRange">
                <anchor moveWithCells="1" sizeWithCells="1">
                  <from>
                    <xdr:col>1</xdr:col>
                    <xdr:colOff>15240</xdr:colOff>
                    <xdr:row>0</xdr:row>
                    <xdr:rowOff>0</xdr:rowOff>
                  </from>
                  <to>
                    <xdr:col>2</xdr:col>
                    <xdr:colOff>15240</xdr:colOff>
                    <xdr:row>0</xdr:row>
                    <xdr:rowOff>487680</xdr:rowOff>
                  </to>
                </anchor>
              </controlPr>
            </control>
          </mc:Choice>
        </mc:AlternateContent>
        <mc:AlternateContent xmlns:mc="http://schemas.openxmlformats.org/markup-compatibility/2006">
          <mc:Choice Requires="x14">
            <control shapeId="17410" r:id="rId6" name="Button 2">
              <controlPr defaultSize="0" print="0" autoFill="0" autoPict="0" macro="[0]!ReplaceLineBreaksWithNewLineManualRange">
                <anchor moveWithCells="1" sizeWithCells="1">
                  <from>
                    <xdr:col>7</xdr:col>
                    <xdr:colOff>15240</xdr:colOff>
                    <xdr:row>0</xdr:row>
                    <xdr:rowOff>0</xdr:rowOff>
                  </from>
                  <to>
                    <xdr:col>8</xdr:col>
                    <xdr:colOff>15240</xdr:colOff>
                    <xdr:row>0</xdr:row>
                    <xdr:rowOff>487680</xdr:rowOff>
                  </to>
                </anchor>
              </controlPr>
            </control>
          </mc:Choice>
        </mc:AlternateContent>
        <mc:AlternateContent xmlns:mc="http://schemas.openxmlformats.org/markup-compatibility/2006">
          <mc:Choice Requires="x14">
            <control shapeId="17411" r:id="rId7" name="Button 3">
              <controlPr defaultSize="0" print="0" autoFill="0" autoPict="0" macro="[0]!GoToSheet">
                <anchor moveWithCells="1" sizeWithCells="1">
                  <from>
                    <xdr:col>0</xdr:col>
                    <xdr:colOff>0</xdr:colOff>
                    <xdr:row>0</xdr:row>
                    <xdr:rowOff>0</xdr:rowOff>
                  </from>
                  <to>
                    <xdr:col>1</xdr:col>
                    <xdr:colOff>15240</xdr:colOff>
                    <xdr:row>0</xdr:row>
                    <xdr:rowOff>487680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995543-FADE-4EEB-ACA7-22F0CE7A8ECD}">
  <sheetPr codeName="Sheet12"/>
  <dimension ref="A1:IY48"/>
  <sheetViews>
    <sheetView zoomScale="70" zoomScaleNormal="70" workbookViewId="0">
      <pane xSplit="5" ySplit="1" topLeftCell="F2" activePane="bottomRight" state="frozen"/>
      <selection pane="topRight" activeCell="F1" sqref="F1"/>
      <selection pane="bottomLeft" activeCell="A2" sqref="A2"/>
      <selection pane="bottomRight" activeCell="B2" sqref="B2"/>
    </sheetView>
  </sheetViews>
  <sheetFormatPr defaultRowHeight="38.4" customHeight="1" x14ac:dyDescent="0.3"/>
  <cols>
    <col min="1" max="1" width="52.44140625" style="82" bestFit="1" customWidth="1"/>
    <col min="2" max="2" width="10.109375" style="82" customWidth="1"/>
    <col min="3" max="3" width="7.44140625" style="83" customWidth="1"/>
    <col min="4" max="4" width="4.77734375" style="84" customWidth="1"/>
    <col min="5" max="5" width="4.5546875" style="84" customWidth="1"/>
    <col min="6" max="6" width="5.77734375" style="84" customWidth="1"/>
    <col min="7" max="7" width="7.44140625" style="82" customWidth="1"/>
    <col min="8" max="8" width="11.44140625" style="82" customWidth="1"/>
    <col min="9" max="9" width="10" style="82" customWidth="1"/>
    <col min="10" max="10" width="4.21875" style="82" customWidth="1"/>
    <col min="11" max="11" width="5.6640625" style="84" customWidth="1"/>
    <col min="12" max="12" width="2.88671875" style="84" customWidth="1"/>
    <col min="13" max="13" width="6.44140625" style="84" customWidth="1"/>
    <col min="14" max="14" width="4.5546875" style="84" customWidth="1"/>
    <col min="15" max="15" width="10.5546875" style="85" customWidth="1"/>
    <col min="16" max="16" width="6.88671875" style="84" customWidth="1"/>
    <col min="17" max="17" width="4.77734375" style="84" customWidth="1"/>
    <col min="18" max="18" width="13.109375" style="83" customWidth="1"/>
    <col min="19" max="19" width="6.77734375" style="83" customWidth="1"/>
    <col min="20" max="46" width="8.44140625" style="82" customWidth="1"/>
    <col min="47" max="47" width="24.5546875" style="82" customWidth="1"/>
    <col min="48" max="51" width="16.6640625" style="82" customWidth="1"/>
    <col min="52" max="52" width="6.5546875" style="82" customWidth="1"/>
    <col min="53" max="54" width="5.88671875" style="82" customWidth="1"/>
    <col min="55" max="55" width="1.33203125" style="82" customWidth="1"/>
    <col min="56" max="56" width="7.44140625" style="82" customWidth="1"/>
    <col min="57" max="57" width="2.33203125" style="82" customWidth="1"/>
    <col min="58" max="62" width="6.109375" style="82" customWidth="1"/>
    <col min="63" max="63" width="2.33203125" style="82" customWidth="1"/>
    <col min="64" max="64" width="7" style="82" bestFit="1" customWidth="1"/>
    <col min="65" max="65" width="6.44140625" style="82" bestFit="1" customWidth="1"/>
    <col min="66" max="66" width="7.109375" style="82" bestFit="1" customWidth="1"/>
    <col min="67" max="71" width="6.44140625" style="82" bestFit="1" customWidth="1"/>
    <col min="72" max="73" width="6.44140625" style="82" customWidth="1"/>
    <col min="74" max="75" width="13.44140625" style="82" customWidth="1"/>
    <col min="76" max="84" width="14.6640625" style="82" customWidth="1"/>
    <col min="85" max="85" width="6.44140625" style="82" customWidth="1"/>
    <col min="86" max="87" width="11.6640625" style="82" bestFit="1" customWidth="1"/>
    <col min="88" max="88" width="11.6640625" style="82" customWidth="1"/>
    <col min="89" max="89" width="12.77734375" style="82" bestFit="1" customWidth="1"/>
    <col min="90" max="90" width="16.44140625" style="83" bestFit="1" customWidth="1"/>
    <col min="91" max="92" width="14.88671875" style="83" bestFit="1" customWidth="1"/>
    <col min="93" max="93" width="16" style="83" bestFit="1" customWidth="1"/>
    <col min="94" max="97" width="7.77734375" style="82" customWidth="1"/>
    <col min="98" max="98" width="33.21875" style="82" customWidth="1"/>
    <col min="99" max="99" width="18" style="82" customWidth="1"/>
    <col min="100" max="100" width="75.6640625" style="82" customWidth="1"/>
    <col min="101" max="125" width="33" style="82" customWidth="1"/>
    <col min="126" max="126" width="8.88671875" style="82"/>
    <col min="127" max="128" width="9.44140625" style="82" bestFit="1" customWidth="1"/>
    <col min="129" max="129" width="10.77734375" style="82" bestFit="1" customWidth="1"/>
    <col min="130" max="134" width="10.77734375" style="82" customWidth="1"/>
    <col min="135" max="135" width="10.109375" style="82" bestFit="1" customWidth="1"/>
    <col min="136" max="136" width="7.77734375" style="82" bestFit="1" customWidth="1"/>
    <col min="137" max="137" width="7.77734375" style="82" customWidth="1"/>
    <col min="138" max="138" width="9" style="82" bestFit="1" customWidth="1"/>
    <col min="139" max="139" width="11.33203125" style="82" bestFit="1" customWidth="1"/>
    <col min="140" max="140" width="9.109375" style="82" bestFit="1" customWidth="1"/>
    <col min="141" max="141" width="9" style="82" bestFit="1" customWidth="1"/>
    <col min="142" max="142" width="12" style="82" bestFit="1" customWidth="1"/>
    <col min="143" max="166" width="12" style="82" customWidth="1"/>
    <col min="167" max="167" width="17.21875" style="82" customWidth="1"/>
    <col min="168" max="191" width="12" style="82" customWidth="1"/>
    <col min="192" max="192" width="8.5546875" style="82" bestFit="1" customWidth="1"/>
    <col min="193" max="193" width="8.5546875" style="82" customWidth="1"/>
    <col min="194" max="194" width="7.109375" style="82" bestFit="1" customWidth="1"/>
    <col min="195" max="195" width="7.5546875" style="82" bestFit="1" customWidth="1"/>
    <col min="196" max="196" width="8.5546875" style="82" bestFit="1" customWidth="1"/>
    <col min="197" max="200" width="8.5546875" style="82" customWidth="1"/>
    <col min="201" max="201" width="188.88671875" style="82" customWidth="1"/>
    <col min="202" max="202" width="9.5546875" style="82" bestFit="1" customWidth="1"/>
    <col min="203" max="203" width="10.44140625" style="82" bestFit="1" customWidth="1"/>
    <col min="204" max="204" width="11.109375" style="82" bestFit="1" customWidth="1"/>
    <col min="205" max="205" width="10.44140625" style="82" bestFit="1" customWidth="1"/>
    <col min="206" max="210" width="10.44140625" style="82" customWidth="1"/>
    <col min="211" max="211" width="45.44140625" style="82" customWidth="1"/>
    <col min="212" max="212" width="47.5546875" style="82" bestFit="1" customWidth="1"/>
    <col min="213" max="213" width="9.33203125" style="86" customWidth="1"/>
    <col min="214" max="214" width="119.5546875" style="82" customWidth="1"/>
    <col min="215" max="215" width="69.6640625" style="82" customWidth="1"/>
    <col min="216" max="218" width="8.88671875" style="82"/>
    <col min="219" max="219" width="37.109375" style="82" customWidth="1"/>
    <col min="220" max="220" width="16.33203125" style="82" customWidth="1"/>
    <col min="221" max="222" width="8.88671875" style="82"/>
    <col min="223" max="223" width="10.109375" style="82" bestFit="1" customWidth="1"/>
    <col min="224" max="232" width="10.88671875" style="82" customWidth="1"/>
    <col min="233" max="234" width="30.77734375" style="82" customWidth="1"/>
    <col min="235" max="235" width="5.109375" style="82" customWidth="1"/>
    <col min="236" max="236" width="3" style="82" customWidth="1"/>
    <col min="237" max="245" width="6.77734375" style="76" customWidth="1"/>
    <col min="246" max="247" width="8.88671875" style="82"/>
    <col min="248" max="248" width="61.5546875" style="82" customWidth="1"/>
    <col min="249" max="253" width="8.88671875" style="82"/>
    <col min="254" max="254" width="9" style="82" customWidth="1"/>
    <col min="255" max="16384" width="8.88671875" style="82"/>
  </cols>
  <sheetData>
    <row r="1" spans="1:259" s="5" customFormat="1" ht="38.4" customHeight="1" thickBot="1" x14ac:dyDescent="0.35">
      <c r="A1" s="1" t="s">
        <v>0</v>
      </c>
      <c r="B1" s="79" t="s">
        <v>1</v>
      </c>
      <c r="C1" s="2" t="s">
        <v>2</v>
      </c>
      <c r="D1" s="3"/>
      <c r="E1" s="3" t="s">
        <v>3</v>
      </c>
      <c r="F1" s="4"/>
      <c r="H1" s="6" t="s">
        <v>4</v>
      </c>
      <c r="J1" s="5" t="s">
        <v>5</v>
      </c>
      <c r="K1" s="7" t="s">
        <v>6</v>
      </c>
      <c r="L1" s="8" t="s">
        <v>7</v>
      </c>
      <c r="M1" s="8" t="s">
        <v>8</v>
      </c>
      <c r="N1" s="9" t="s">
        <v>9</v>
      </c>
      <c r="O1" s="10" t="s">
        <v>10</v>
      </c>
      <c r="P1" s="11" t="s">
        <v>11</v>
      </c>
      <c r="Q1" s="11" t="s">
        <v>12</v>
      </c>
      <c r="R1" s="12" t="s">
        <v>0</v>
      </c>
      <c r="S1" s="13" t="s">
        <v>13</v>
      </c>
      <c r="T1" s="14" t="s">
        <v>14</v>
      </c>
      <c r="U1" s="14" t="s">
        <v>15</v>
      </c>
      <c r="V1" s="15" t="s">
        <v>16</v>
      </c>
      <c r="W1" s="14" t="s">
        <v>17</v>
      </c>
      <c r="X1" s="14" t="s">
        <v>18</v>
      </c>
      <c r="Y1" s="14" t="s">
        <v>19</v>
      </c>
      <c r="Z1" s="14" t="s">
        <v>20</v>
      </c>
      <c r="AA1" s="14" t="s">
        <v>21</v>
      </c>
      <c r="AB1" s="14" t="s">
        <v>22</v>
      </c>
      <c r="AC1" s="14" t="s">
        <v>23</v>
      </c>
      <c r="AD1" s="14" t="s">
        <v>24</v>
      </c>
      <c r="AE1" s="14" t="s">
        <v>25</v>
      </c>
      <c r="AF1" s="16" t="s">
        <v>26</v>
      </c>
      <c r="AG1" s="16" t="s">
        <v>27</v>
      </c>
      <c r="AH1" s="16" t="s">
        <v>28</v>
      </c>
      <c r="AI1" s="16" t="s">
        <v>29</v>
      </c>
      <c r="AJ1" s="16" t="s">
        <v>30</v>
      </c>
      <c r="AK1" s="16" t="s">
        <v>31</v>
      </c>
      <c r="AL1" s="16" t="s">
        <v>32</v>
      </c>
      <c r="AM1" s="16" t="s">
        <v>33</v>
      </c>
      <c r="AN1" s="16" t="s">
        <v>34</v>
      </c>
      <c r="AO1" s="16" t="s">
        <v>35</v>
      </c>
      <c r="AP1" s="16" t="s">
        <v>36</v>
      </c>
      <c r="AQ1" s="16" t="s">
        <v>37</v>
      </c>
      <c r="AR1" s="16" t="s">
        <v>38</v>
      </c>
      <c r="AS1" s="16" t="s">
        <v>39</v>
      </c>
      <c r="AT1" s="17" t="s">
        <v>40</v>
      </c>
      <c r="AU1" s="18" t="s">
        <v>41</v>
      </c>
      <c r="AV1" s="18" t="s">
        <v>42</v>
      </c>
      <c r="AW1" s="18" t="s">
        <v>43</v>
      </c>
      <c r="AX1" s="19"/>
      <c r="AY1" s="20" t="s">
        <v>44</v>
      </c>
      <c r="AZ1" s="19" t="s">
        <v>45</v>
      </c>
      <c r="BA1" s="19"/>
      <c r="BB1" s="19"/>
      <c r="BC1" s="21"/>
      <c r="BD1" s="19" t="s">
        <v>46</v>
      </c>
      <c r="BE1" s="21"/>
      <c r="BF1" s="19" t="s">
        <v>47</v>
      </c>
      <c r="BG1" s="19" t="s">
        <v>48</v>
      </c>
      <c r="BH1" s="19" t="s">
        <v>49</v>
      </c>
      <c r="BI1" s="19" t="s">
        <v>50</v>
      </c>
      <c r="BJ1" s="19" t="s">
        <v>51</v>
      </c>
      <c r="BK1" s="21"/>
      <c r="BL1" s="22" t="s">
        <v>52</v>
      </c>
      <c r="BM1" s="22"/>
      <c r="BN1" s="22"/>
      <c r="BO1" s="22"/>
      <c r="BP1" s="22"/>
      <c r="BQ1" s="22"/>
      <c r="BR1" s="22"/>
      <c r="BS1" s="22"/>
      <c r="BT1" s="23"/>
      <c r="BU1" s="23" t="s">
        <v>53</v>
      </c>
      <c r="BV1" s="23" t="s">
        <v>54</v>
      </c>
      <c r="BW1" s="23" t="s">
        <v>55</v>
      </c>
      <c r="BX1" s="23"/>
      <c r="BY1" s="23" t="s">
        <v>56</v>
      </c>
      <c r="BZ1" s="23" t="s">
        <v>57</v>
      </c>
      <c r="CA1" s="23" t="s">
        <v>58</v>
      </c>
      <c r="CB1" s="23" t="s">
        <v>59</v>
      </c>
      <c r="CC1" s="23" t="s">
        <v>60</v>
      </c>
      <c r="CD1" s="23" t="s">
        <v>61</v>
      </c>
      <c r="CE1" s="23" t="s">
        <v>62</v>
      </c>
      <c r="CF1" s="23" t="s">
        <v>63</v>
      </c>
      <c r="CG1" s="23"/>
      <c r="CH1" s="23" t="s">
        <v>64</v>
      </c>
      <c r="CI1" s="23" t="s">
        <v>65</v>
      </c>
      <c r="CJ1" s="23" t="s">
        <v>66</v>
      </c>
      <c r="CK1" s="23" t="s">
        <v>67</v>
      </c>
      <c r="CL1" s="24" t="s">
        <v>68</v>
      </c>
      <c r="CM1" s="24" t="s">
        <v>69</v>
      </c>
      <c r="CN1" s="24" t="s">
        <v>70</v>
      </c>
      <c r="CO1" s="24" t="s">
        <v>71</v>
      </c>
      <c r="CP1" s="24" t="s">
        <v>72</v>
      </c>
      <c r="CQ1" s="24" t="s">
        <v>73</v>
      </c>
      <c r="CR1" s="24" t="s">
        <v>74</v>
      </c>
      <c r="CS1" s="24" t="s">
        <v>75</v>
      </c>
      <c r="CT1" s="1" t="s">
        <v>76</v>
      </c>
      <c r="CU1" s="25" t="s">
        <v>0</v>
      </c>
      <c r="CV1" s="5" t="s">
        <v>77</v>
      </c>
      <c r="CW1" s="14" t="s">
        <v>78</v>
      </c>
      <c r="CX1" s="14" t="s">
        <v>79</v>
      </c>
      <c r="CY1" s="14" t="s">
        <v>66</v>
      </c>
      <c r="CZ1" s="14" t="s">
        <v>80</v>
      </c>
      <c r="DA1" s="14" t="s">
        <v>81</v>
      </c>
      <c r="DB1" s="14" t="s">
        <v>82</v>
      </c>
      <c r="DC1" s="14" t="s">
        <v>83</v>
      </c>
      <c r="DD1" s="14" t="s">
        <v>84</v>
      </c>
      <c r="DE1" s="14" t="s">
        <v>85</v>
      </c>
      <c r="DF1" s="14" t="s">
        <v>86</v>
      </c>
      <c r="DG1" s="14" t="s">
        <v>87</v>
      </c>
      <c r="DH1" s="14" t="s">
        <v>88</v>
      </c>
      <c r="DI1" s="14" t="s">
        <v>89</v>
      </c>
      <c r="DJ1" s="14" t="s">
        <v>90</v>
      </c>
      <c r="DK1" s="14" t="s">
        <v>91</v>
      </c>
      <c r="DL1" s="14" t="s">
        <v>92</v>
      </c>
      <c r="DM1" s="14" t="s">
        <v>93</v>
      </c>
      <c r="DN1" s="14" t="s">
        <v>94</v>
      </c>
      <c r="DO1" s="14" t="s">
        <v>95</v>
      </c>
      <c r="DP1" s="14" t="s">
        <v>96</v>
      </c>
      <c r="DQ1" s="14" t="s">
        <v>97</v>
      </c>
      <c r="DR1" s="14" t="s">
        <v>56</v>
      </c>
      <c r="DS1" s="14" t="s">
        <v>98</v>
      </c>
      <c r="DT1" s="14" t="s">
        <v>99</v>
      </c>
      <c r="DU1" s="14" t="s">
        <v>100</v>
      </c>
      <c r="DV1" s="14" t="s">
        <v>101</v>
      </c>
      <c r="DW1" s="14" t="s">
        <v>102</v>
      </c>
      <c r="DX1" s="14" t="s">
        <v>103</v>
      </c>
      <c r="DY1" s="14" t="s">
        <v>104</v>
      </c>
      <c r="DZ1" s="14" t="s">
        <v>105</v>
      </c>
      <c r="EA1" s="14" t="s">
        <v>106</v>
      </c>
      <c r="EB1" s="14" t="s">
        <v>107</v>
      </c>
      <c r="EC1" s="14" t="s">
        <v>108</v>
      </c>
      <c r="ED1" s="14" t="s">
        <v>109</v>
      </c>
      <c r="EE1" s="15" t="s">
        <v>18</v>
      </c>
      <c r="EF1" s="14" t="s">
        <v>19</v>
      </c>
      <c r="EG1" s="14" t="s">
        <v>20</v>
      </c>
      <c r="EH1" s="14" t="s">
        <v>21</v>
      </c>
      <c r="EI1" s="14" t="s">
        <v>110</v>
      </c>
      <c r="EJ1" s="14" t="s">
        <v>23</v>
      </c>
      <c r="EK1" s="14" t="s">
        <v>111</v>
      </c>
      <c r="EL1" s="14" t="s">
        <v>112</v>
      </c>
      <c r="EM1" s="14" t="s">
        <v>26</v>
      </c>
      <c r="EN1" s="16" t="s">
        <v>27</v>
      </c>
      <c r="EO1" s="16" t="s">
        <v>28</v>
      </c>
      <c r="EP1" s="16" t="s">
        <v>29</v>
      </c>
      <c r="EQ1" s="16" t="s">
        <v>113</v>
      </c>
      <c r="ER1" s="16" t="s">
        <v>31</v>
      </c>
      <c r="ES1" s="16" t="s">
        <v>32</v>
      </c>
      <c r="ET1" s="16" t="s">
        <v>114</v>
      </c>
      <c r="EU1" s="16" t="s">
        <v>34</v>
      </c>
      <c r="EV1" s="16" t="s">
        <v>35</v>
      </c>
      <c r="EW1" s="16" t="s">
        <v>115</v>
      </c>
      <c r="EX1" s="16" t="s">
        <v>37</v>
      </c>
      <c r="EY1" s="16" t="s">
        <v>38</v>
      </c>
      <c r="EZ1" s="16" t="s">
        <v>39</v>
      </c>
      <c r="FA1" s="16" t="s">
        <v>116</v>
      </c>
      <c r="FB1" s="16" t="s">
        <v>117</v>
      </c>
      <c r="FC1" s="16" t="s">
        <v>118</v>
      </c>
      <c r="FD1" s="16" t="s">
        <v>54</v>
      </c>
      <c r="FE1" s="16" t="s">
        <v>119</v>
      </c>
      <c r="FF1" s="16" t="s">
        <v>120</v>
      </c>
      <c r="FG1" s="16" t="s">
        <v>121</v>
      </c>
      <c r="FH1" s="16" t="s">
        <v>122</v>
      </c>
      <c r="FI1" s="16" t="s">
        <v>123</v>
      </c>
      <c r="FJ1" s="16" t="s">
        <v>124</v>
      </c>
      <c r="FK1" s="16" t="s">
        <v>125</v>
      </c>
      <c r="FL1" s="16" t="s">
        <v>126</v>
      </c>
      <c r="FM1" s="16" t="s">
        <v>127</v>
      </c>
      <c r="FN1" s="16" t="s">
        <v>128</v>
      </c>
      <c r="FO1" s="16" t="s">
        <v>129</v>
      </c>
      <c r="FP1" s="16" t="s">
        <v>130</v>
      </c>
      <c r="FQ1" s="16" t="s">
        <v>131</v>
      </c>
      <c r="FR1" s="16" t="s">
        <v>132</v>
      </c>
      <c r="FS1" s="16" t="s">
        <v>133</v>
      </c>
      <c r="FT1" s="16" t="s">
        <v>134</v>
      </c>
      <c r="FU1" s="16" t="s">
        <v>44</v>
      </c>
      <c r="FV1" s="16" t="s">
        <v>135</v>
      </c>
      <c r="FW1" s="16" t="s">
        <v>58</v>
      </c>
      <c r="FX1" s="16" t="s">
        <v>136</v>
      </c>
      <c r="FY1" s="16" t="s">
        <v>137</v>
      </c>
      <c r="FZ1" s="16" t="s">
        <v>138</v>
      </c>
      <c r="GA1" s="16" t="s">
        <v>139</v>
      </c>
      <c r="GB1" s="16" t="s">
        <v>140</v>
      </c>
      <c r="GC1" s="16" t="s">
        <v>141</v>
      </c>
      <c r="GD1" s="16" t="s">
        <v>142</v>
      </c>
      <c r="GE1" s="16" t="s">
        <v>143</v>
      </c>
      <c r="GF1" s="16" t="s">
        <v>144</v>
      </c>
      <c r="GG1" s="16" t="s">
        <v>145</v>
      </c>
      <c r="GH1" s="16" t="s">
        <v>61</v>
      </c>
      <c r="GI1" s="16" t="s">
        <v>62</v>
      </c>
      <c r="GJ1" s="14" t="s">
        <v>146</v>
      </c>
      <c r="GK1" s="14" t="s">
        <v>147</v>
      </c>
      <c r="GL1" s="14" t="s">
        <v>148</v>
      </c>
      <c r="GM1" s="17" t="s">
        <v>149</v>
      </c>
      <c r="GN1" s="26" t="s">
        <v>150</v>
      </c>
      <c r="GO1" s="26" t="s">
        <v>151</v>
      </c>
      <c r="GP1" s="18" t="s">
        <v>41</v>
      </c>
      <c r="GQ1" s="18" t="s">
        <v>42</v>
      </c>
      <c r="GR1" s="18" t="s">
        <v>43</v>
      </c>
      <c r="GS1" s="21"/>
      <c r="GT1" s="27" t="s">
        <v>52</v>
      </c>
      <c r="GU1" s="27"/>
      <c r="GV1" s="27"/>
      <c r="GW1" s="27"/>
      <c r="GX1" s="28"/>
      <c r="GY1" s="28"/>
      <c r="GZ1" s="28"/>
      <c r="HA1" s="28"/>
      <c r="HB1" s="28"/>
      <c r="HC1" s="28"/>
      <c r="HD1" s="29" t="s">
        <v>13</v>
      </c>
      <c r="HE1" s="30" t="s">
        <v>152</v>
      </c>
      <c r="HF1" s="31"/>
      <c r="HG1" s="32"/>
      <c r="HK1" s="32" t="s">
        <v>4</v>
      </c>
      <c r="HP1" s="33" t="s">
        <v>153</v>
      </c>
      <c r="HQ1" s="33" t="s">
        <v>154</v>
      </c>
      <c r="HR1" s="33" t="s">
        <v>155</v>
      </c>
      <c r="HS1" s="33" t="s">
        <v>156</v>
      </c>
      <c r="HT1" s="33" t="s">
        <v>157</v>
      </c>
      <c r="HU1" s="33" t="s">
        <v>158</v>
      </c>
      <c r="HV1" s="33" t="s">
        <v>159</v>
      </c>
      <c r="HW1" s="33" t="s">
        <v>160</v>
      </c>
      <c r="HX1" s="34" t="s">
        <v>161</v>
      </c>
      <c r="IA1" s="14" t="s">
        <v>162</v>
      </c>
      <c r="IB1" s="35" t="s">
        <v>163</v>
      </c>
      <c r="IC1" s="36" t="s">
        <v>153</v>
      </c>
      <c r="ID1" s="36" t="s">
        <v>154</v>
      </c>
      <c r="IE1" s="36" t="s">
        <v>156</v>
      </c>
      <c r="IF1" s="37" t="s">
        <v>161</v>
      </c>
      <c r="IG1" s="36" t="s">
        <v>157</v>
      </c>
      <c r="IH1" s="36" t="s">
        <v>158</v>
      </c>
      <c r="II1" s="36" t="s">
        <v>155</v>
      </c>
      <c r="IJ1" s="36" t="s">
        <v>159</v>
      </c>
      <c r="IK1" s="36" t="s">
        <v>160</v>
      </c>
      <c r="IO1" s="33" t="s">
        <v>153</v>
      </c>
      <c r="IP1" s="33" t="s">
        <v>154</v>
      </c>
      <c r="IQ1" s="33" t="s">
        <v>155</v>
      </c>
      <c r="IR1" s="33" t="s">
        <v>156</v>
      </c>
      <c r="IS1" s="33" t="s">
        <v>157</v>
      </c>
      <c r="IT1" s="33" t="s">
        <v>158</v>
      </c>
      <c r="IU1" s="33" t="s">
        <v>159</v>
      </c>
      <c r="IV1" s="33" t="s">
        <v>160</v>
      </c>
      <c r="IW1" s="34" t="s">
        <v>161</v>
      </c>
      <c r="IY1" s="5" t="s">
        <v>164</v>
      </c>
    </row>
    <row r="2" spans="1:259" s="44" customFormat="1" ht="38.4" customHeight="1" thickBot="1" x14ac:dyDescent="0.35">
      <c r="A2" s="77" t="s">
        <v>263</v>
      </c>
      <c r="B2" s="78" t="e" vm="59">
        <v>#VALUE!</v>
      </c>
      <c r="C2" s="39">
        <v>1</v>
      </c>
      <c r="D2" s="70" t="s">
        <v>264</v>
      </c>
      <c r="E2" s="40" t="s">
        <v>265</v>
      </c>
      <c r="F2" s="41" t="s">
        <v>165</v>
      </c>
      <c r="G2" s="42">
        <f>COUNTIF($A$1:$A$8342,A2)</f>
        <v>1</v>
      </c>
      <c r="H2" s="43"/>
      <c r="I2" s="59" t="s">
        <v>266</v>
      </c>
      <c r="J2" s="44" t="str">
        <f>""</f>
        <v/>
      </c>
      <c r="K2" s="45">
        <v>292000</v>
      </c>
      <c r="L2" s="46">
        <v>125000</v>
      </c>
      <c r="M2" s="46" t="s">
        <v>1167</v>
      </c>
      <c r="N2" s="47" t="s">
        <v>177</v>
      </c>
      <c r="O2" s="74" t="s">
        <v>222</v>
      </c>
      <c r="P2" s="48" t="s">
        <v>267</v>
      </c>
      <c r="Q2" s="73">
        <v>2</v>
      </c>
      <c r="R2" s="49" t="s">
        <v>177</v>
      </c>
      <c r="S2" s="50">
        <v>3</v>
      </c>
      <c r="T2" s="51" t="s">
        <v>166</v>
      </c>
      <c r="U2" s="52" t="s">
        <v>166</v>
      </c>
      <c r="V2" s="52" t="s">
        <v>167</v>
      </c>
      <c r="W2" s="52" t="s">
        <v>166</v>
      </c>
      <c r="X2" s="52" t="s">
        <v>167</v>
      </c>
      <c r="Y2" s="52" t="s">
        <v>166</v>
      </c>
      <c r="Z2" s="52" t="s">
        <v>166</v>
      </c>
      <c r="AA2" s="52" t="s">
        <v>166</v>
      </c>
      <c r="AB2" s="52" t="s">
        <v>166</v>
      </c>
      <c r="AC2" s="52" t="s">
        <v>167</v>
      </c>
      <c r="AD2" s="52" t="s">
        <v>167</v>
      </c>
      <c r="AE2" s="52" t="s">
        <v>166</v>
      </c>
      <c r="AF2" s="53" t="s">
        <v>166</v>
      </c>
      <c r="AG2" s="53" t="s">
        <v>166</v>
      </c>
      <c r="AH2" s="53" t="s">
        <v>166</v>
      </c>
      <c r="AI2" s="53" t="s">
        <v>166</v>
      </c>
      <c r="AJ2" s="53" t="s">
        <v>166</v>
      </c>
      <c r="AK2" s="53" t="s">
        <v>166</v>
      </c>
      <c r="AL2" s="53" t="s">
        <v>166</v>
      </c>
      <c r="AM2" s="53" t="s">
        <v>166</v>
      </c>
      <c r="AN2" s="53" t="s">
        <v>166</v>
      </c>
      <c r="AO2" s="53" t="s">
        <v>166</v>
      </c>
      <c r="AP2" s="53" t="s">
        <v>166</v>
      </c>
      <c r="AQ2" s="53" t="s">
        <v>166</v>
      </c>
      <c r="AR2" s="53" t="s">
        <v>166</v>
      </c>
      <c r="AS2" s="53" t="s">
        <v>166</v>
      </c>
      <c r="AT2" s="54">
        <v>0</v>
      </c>
      <c r="AU2" s="53"/>
      <c r="AV2" s="53" t="str">
        <f>IF(LEFT(A2,1)="[",LEFT(A2,5)&amp;AU2&amp;A2,"")</f>
        <v/>
      </c>
      <c r="AW2" s="53" t="str">
        <f>C2&amp;H2&amp;A2</f>
        <v>1New Caledonia</v>
      </c>
      <c r="AX2" s="55" t="str">
        <f>_xlfn.TEXTJOIN(";",TRUE,AU2:AW2)</f>
        <v>1New Caledonia</v>
      </c>
      <c r="AY2" s="55" t="s">
        <v>167</v>
      </c>
      <c r="AZ2" s="56"/>
      <c r="BA2" s="56"/>
      <c r="BB2" s="56"/>
      <c r="BC2" s="57"/>
      <c r="BD2" s="58" t="s">
        <v>169</v>
      </c>
      <c r="BE2" s="59"/>
      <c r="BF2" s="58" t="s">
        <v>154</v>
      </c>
      <c r="BG2" s="58" t="s">
        <v>156</v>
      </c>
      <c r="BH2" s="58" t="s">
        <v>155</v>
      </c>
      <c r="BI2" s="58"/>
      <c r="BJ2" s="58"/>
      <c r="BK2" s="59"/>
      <c r="BL2" s="58" t="s">
        <v>154</v>
      </c>
      <c r="BM2" s="58" t="s">
        <v>156</v>
      </c>
      <c r="BN2" s="58" t="s">
        <v>155</v>
      </c>
      <c r="BO2" s="58" t="s">
        <v>157</v>
      </c>
      <c r="BP2" s="58" t="s">
        <v>153</v>
      </c>
      <c r="BQ2" s="58"/>
      <c r="BR2" s="58"/>
      <c r="BS2" s="58"/>
      <c r="BT2" s="58"/>
      <c r="BU2" s="60"/>
      <c r="BV2" s="61" t="s">
        <v>168</v>
      </c>
      <c r="BW2" s="61">
        <v>0</v>
      </c>
      <c r="BX2" s="59"/>
      <c r="CB2" s="5" t="s">
        <v>139</v>
      </c>
      <c r="CC2" s="5"/>
      <c r="CD2" s="62">
        <v>0</v>
      </c>
      <c r="CE2" s="62">
        <v>0</v>
      </c>
      <c r="CF2" s="62" t="e">
        <v>#REF!</v>
      </c>
      <c r="CG2" s="75" cm="1">
        <f t="array" ref="CG2">SUMPRODUCT(--(LEN(TRIM(BL2:BT2))&gt;0))</f>
        <v>5</v>
      </c>
      <c r="CH2" s="53" t="str">
        <f>IF(CG2=2,"y","n")</f>
        <v>n</v>
      </c>
      <c r="CI2" s="53" t="str">
        <f>IF(CG2=3,"y","n")</f>
        <v>n</v>
      </c>
      <c r="CJ2" s="53" t="str">
        <f>IF(CG2=4,"y","n")</f>
        <v>n</v>
      </c>
      <c r="CK2" s="53" t="str">
        <f>IF(CG2&gt;4,"y","n")</f>
        <v>y</v>
      </c>
      <c r="CL2" s="53" t="str">
        <f>IF(S2=0,"y","n")</f>
        <v>n</v>
      </c>
      <c r="CM2" s="53" t="str">
        <f>IF(S2=2,"y","n")</f>
        <v>n</v>
      </c>
      <c r="CN2" s="53" t="str">
        <f>IF(S2=3,"y","n")</f>
        <v>y</v>
      </c>
      <c r="CO2" s="53" t="str">
        <f>IF(S2&gt;=4,"y","n")</f>
        <v>n</v>
      </c>
      <c r="CP2" s="53" t="str">
        <f>IF(AT2=0,"y","n")</f>
        <v>y</v>
      </c>
      <c r="CQ2" s="53" t="str">
        <f>IF(AT2=1,"y","n")</f>
        <v>n</v>
      </c>
      <c r="CR2" s="53" t="str">
        <f>IF(AT2=2,"y","n")</f>
        <v>n</v>
      </c>
      <c r="CS2" s="53" t="str">
        <f>IF(AT2&gt;=3,"y","n")</f>
        <v>n</v>
      </c>
      <c r="CT2" s="38" t="str">
        <f>CHAR(34)&amp;A2&amp;CHAR(34)</f>
        <v>"New Caledonia"</v>
      </c>
      <c r="CU2" s="63" t="str">
        <f>CHAR(34)&amp;"rgn_"&amp;R2&amp;CHAR(34)</f>
        <v>"rgn_Oceania"</v>
      </c>
      <c r="CV2" s="44" t="str">
        <f>CHAR(34)&amp;D2&amp;CHAR(34)</f>
        <v>"https://i.ibb.co/8BYXc8r/New-Caledonia-Flag.png"</v>
      </c>
      <c r="CW2" s="44" t="str">
        <f t="shared" ref="CW2:CZ5" si="0">IF(CH2="y",CHAR(34)&amp;CH$1&amp;CHAR(34)&amp;",","")</f>
        <v/>
      </c>
      <c r="CX2" s="44" t="str">
        <f t="shared" si="0"/>
        <v/>
      </c>
      <c r="CY2" s="44" t="str">
        <f t="shared" si="0"/>
        <v/>
      </c>
      <c r="CZ2" s="44" t="str">
        <f t="shared" si="0"/>
        <v>"5+Colo",</v>
      </c>
      <c r="DA2" s="44" t="str">
        <f>IF(Q2&gt;1,CHAR(34)&amp;"words2"&amp;CHAR(34)&amp;",","")</f>
        <v>"words2",</v>
      </c>
      <c r="DB2" s="44" t="str">
        <f>IF(Q2&gt;2,CHAR(34)&amp;"words3"&amp;CHAR(34)&amp;",","")</f>
        <v/>
      </c>
      <c r="DC2" s="44" t="str">
        <f>IF(Q2=2,CHAR(34)&amp;"exact2"&amp;CHAR(34)&amp;",","")</f>
        <v>"exact2",</v>
      </c>
      <c r="DD2" s="44"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"lets12",</v>
      </c>
      <c r="DE2" s="44"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"startN",</v>
      </c>
      <c r="DF2" s="44" t="str">
        <f>IFERROR(IF(SEARCH("tan",A2)&gt;0,CHAR(34)&amp;"withtn"&amp;CHAR(34)&amp;",",""),"")</f>
        <v/>
      </c>
      <c r="DG2" s="44" t="str">
        <f>IFERROR(IF(SEARCH("q",A2)&gt;0,CHAR(34)&amp;"with_q"&amp;CHAR(34)&amp;",",""),"")</f>
        <v/>
      </c>
      <c r="DH2" s="44" t="str">
        <f>IFERROR(IF(SEARCH("v",A2)&gt;0,CHAR(34)&amp;"with_v"&amp;CHAR(34)&amp;",",""),"")</f>
        <v/>
      </c>
      <c r="DI2" s="44" t="str">
        <f>IFERROR(IF(SEARCH("w",A2)&gt;0,CHAR(34)&amp;"with_w"&amp;CHAR(34)&amp;",",""),"")</f>
        <v>"with_w",</v>
      </c>
      <c r="DJ2" s="44" t="str">
        <f>IFERROR(IF(SEARCH("y",A2)&gt;0,CHAR(34)&amp;"with_y"&amp;CHAR(34)&amp;",",""),"")</f>
        <v/>
      </c>
      <c r="DK2" s="44" t="str">
        <f>IFERROR(IF(SEARCH("z",A2)&gt;0,CHAR(34)&amp;"with_z"&amp;CHAR(34)&amp;",",""),"")</f>
        <v/>
      </c>
      <c r="DL2" s="44" t="str">
        <f>IF(CG2=2, CHAR(34) &amp; _xlfn.TEXTJOIN("", TRUE, _xlfn._xlws.SORT(HP2:HX2)) &amp; CHAR(34) &amp; ",", "")</f>
        <v/>
      </c>
      <c r="DM2" s="44" t="str" cm="1">
        <f t="array" ref="DM2">IF(CG2=3,CHAR(34) &amp; _xlfn.TEXTJOIN("", TRUE, RIGHT(HP2:HX2, 2)) &amp; CHAR(34) &amp; ",", "")</f>
        <v/>
      </c>
      <c r="DN2" s="44" t="str">
        <f>IF(AND(ISNUMBER(SEARCH("18", O2)), ISERROR(SEARCH("1918", O2)), ISERROR(SEARCH("2018", O2))), CHAR(34) &amp; "year18" &amp; CHAR(34) &amp; ",", "")</f>
        <v/>
      </c>
      <c r="DO2" s="44" t="str">
        <f>IF(AND(ISNUMBER(SEARCH("19", O2)), ISERROR(SEARCH("1819", O2)),  ISERROR(SEARCH("1219", O2)),ISERROR(SEARCH("1119", O2)),ISERROR(SEARCH("1190", O2)),ISERROR(SEARCH("2019", O2))), CHAR(34) &amp; "year19" &amp; CHAR(34) &amp; ",", "")</f>
        <v/>
      </c>
      <c r="DP2" s="5" t="str">
        <f>IF(AND(ISNUMBER(SEARCH("20", O2)), ISERROR(SEARCH("1920", O2))), CHAR(34)&amp;"year00"&amp;CHAR(34)&amp;",", "")</f>
        <v>"year00",</v>
      </c>
      <c r="DQ2" s="5" t="str">
        <f>IF(CC2="y",CHAR(34)&amp;"soviet"&amp;CHAR(34)&amp;",","")</f>
        <v/>
      </c>
      <c r="DR2" s="5" t="str">
        <f>IF(BY2="y",CHAR(34)&amp;"dgband"&amp;CHAR(34)&amp;",","")</f>
        <v/>
      </c>
      <c r="DS2" s="5" t="str">
        <f>IF(W2="y",IF(AND(V2="n",BY2&lt;&gt;"y"),CHAR(34)&amp;"allver"&amp;CHAR(34)&amp;",",""),"")</f>
        <v/>
      </c>
      <c r="DT2" s="5" t="str">
        <f>IF(V2="y",IF(AND(W2="n",BY2&lt;&gt;"y"),CHAR(34)&amp;"allhor"&amp;CHAR(34)&amp;",",""),"")</f>
        <v>"allhor",</v>
      </c>
      <c r="DU2" s="5" t="str">
        <f>IF(BY2="y",IF(AND(W2="n",V2="n"),CHAR(34)&amp;"alldia"&amp;CHAR(34)&amp;",",""),"")</f>
        <v/>
      </c>
      <c r="DV2" s="44" t="str">
        <f>IF(IA2&lt;&gt;"",(IF(IA2="y",CHAR(34)&amp;"largec"&amp;CHAR(34)&amp;",",CHAR(34)&amp;"smallc"&amp;CHAR(34)&amp;",")),"")</f>
        <v/>
      </c>
      <c r="DW2" s="44" t="str">
        <f t="shared" ref="DW2:DZ5" si="1">IF(CL2="y",CHAR(34)&amp;CL$1&amp;CHAR(34)&amp;",","")</f>
        <v/>
      </c>
      <c r="DX2" s="44" t="str">
        <f t="shared" si="1"/>
        <v/>
      </c>
      <c r="DY2" s="44" t="str">
        <f t="shared" si="1"/>
        <v>"3Bands",</v>
      </c>
      <c r="DZ2" s="44" t="str">
        <f t="shared" si="1"/>
        <v/>
      </c>
      <c r="EA2" s="44" t="str">
        <f t="shared" ref="EA2:EE5" si="2">IF(T2="y",CHAR(34)&amp;T$1&amp;CHAR(34)&amp;",","")</f>
        <v/>
      </c>
      <c r="EB2" s="44" t="str">
        <f t="shared" si="2"/>
        <v/>
      </c>
      <c r="EC2" s="44" t="str">
        <f t="shared" si="2"/>
        <v>"Horizo",</v>
      </c>
      <c r="ED2" s="44" t="str">
        <f t="shared" si="2"/>
        <v/>
      </c>
      <c r="EE2" s="44" t="str">
        <f t="shared" si="2"/>
        <v>"Circle",</v>
      </c>
      <c r="EF2" s="44" t="str">
        <f>IF(AND(Y2&lt;&gt;"n",Y2&lt;&gt;""),CHAR(34)&amp;Y$1&amp;CHAR(34)&amp;",","")</f>
        <v/>
      </c>
      <c r="EG2" s="44" t="str">
        <f t="shared" ref="EG2:EP5" si="3">IF(Z2="y",CHAR(34)&amp;Z$1&amp;CHAR(34)&amp;",","")</f>
        <v/>
      </c>
      <c r="EH2" s="44" t="str">
        <f t="shared" si="3"/>
        <v/>
      </c>
      <c r="EI2" s="44" t="str">
        <f t="shared" si="3"/>
        <v/>
      </c>
      <c r="EJ2" s="44" t="str">
        <f t="shared" si="3"/>
        <v>"Weapon",</v>
      </c>
      <c r="EK2" s="44" t="str">
        <f t="shared" si="3"/>
        <v>"HasSun",</v>
      </c>
      <c r="EL2" s="44" t="str">
        <f t="shared" si="3"/>
        <v/>
      </c>
      <c r="EM2" s="44" t="str">
        <f t="shared" si="3"/>
        <v/>
      </c>
      <c r="EN2" s="44" t="str">
        <f t="shared" si="3"/>
        <v/>
      </c>
      <c r="EO2" s="44" t="str">
        <f t="shared" si="3"/>
        <v/>
      </c>
      <c r="EP2" s="44" t="str">
        <f t="shared" si="3"/>
        <v/>
      </c>
      <c r="EQ2" s="44" t="str">
        <f t="shared" ref="EQ2:EZ5" si="4">IF(AJ2="y",CHAR(34)&amp;AJ$1&amp;CHAR(34)&amp;",","")</f>
        <v/>
      </c>
      <c r="ER2" s="44" t="str">
        <f t="shared" si="4"/>
        <v/>
      </c>
      <c r="ES2" s="44" t="str">
        <f t="shared" si="4"/>
        <v/>
      </c>
      <c r="ET2" s="44" t="str">
        <f t="shared" si="4"/>
        <v/>
      </c>
      <c r="EU2" s="44" t="str">
        <f t="shared" si="4"/>
        <v/>
      </c>
      <c r="EV2" s="44" t="str">
        <f t="shared" si="4"/>
        <v/>
      </c>
      <c r="EW2" s="44" t="str">
        <f t="shared" si="4"/>
        <v/>
      </c>
      <c r="EX2" s="44" t="str">
        <f t="shared" si="4"/>
        <v/>
      </c>
      <c r="EY2" s="44" t="str">
        <f t="shared" si="4"/>
        <v/>
      </c>
      <c r="EZ2" s="44" t="str">
        <f t="shared" si="4"/>
        <v/>
      </c>
      <c r="FA2" s="44" t="str">
        <f>IF(AT2&gt;0,CHAR(34)&amp;"sta"&amp;AZ2&amp;CHAR(34)&amp;",","")</f>
        <v/>
      </c>
      <c r="FB2" s="44" t="str">
        <f>IF(AND(AT2&gt;0,BA2&lt;&gt;""),CHAR(34)&amp;"sta"&amp;BA2&amp;CHAR(34)&amp;",","")</f>
        <v/>
      </c>
      <c r="FC2" s="44" t="str">
        <f>IF(AND(AT2&gt;0,BB2&lt;&gt;""),CHAR(34)&amp;"sta"&amp;BB2&amp;CHAR(34)&amp;",","")</f>
        <v/>
      </c>
      <c r="FD2" s="44" t="str">
        <f>IF(BV2="n",CHAR(34)&amp;"tcWHYE"&amp;CHAR(34)&amp;",",IF(BV2="y",CHAR(34)&amp;FD$1&amp;CHAR(34)&amp;",",""))</f>
        <v/>
      </c>
      <c r="FE2" s="44" t="str">
        <f>IF(COUNTIF(BL2:BT2,"BLU")=0,CHAR(34)&amp;"NO_BLU"&amp;CHAR(34)&amp;",", "")</f>
        <v/>
      </c>
      <c r="FF2" s="44" t="str">
        <f>IF(COUNTIF(BL2:BT2,"WHI")=0,CHAR(34)&amp;"NO_WHI"&amp;CHAR(34)&amp;",", "")</f>
        <v>"NO_WHI",</v>
      </c>
      <c r="FG2" s="44" t="str">
        <f>IF(COUNTIF(BL2:BT2,"RED")=0,CHAR(34)&amp;"NO_RED"&amp;CHAR(34)&amp;",", "")</f>
        <v/>
      </c>
      <c r="FH2" s="44" t="str">
        <f>IF(COUNTIF(BL2:BS2,"GRE")=0,CHAR(34)&amp;"NO_GRE"&amp;CHAR(34)&amp;",", "")</f>
        <v/>
      </c>
      <c r="FI2" s="44" t="str">
        <f>IF(COUNTIF(BL2:BT2,"YEL")=0,CHAR(34)&amp;"NO_YEL"&amp;CHAR(34)&amp;",", "")</f>
        <v/>
      </c>
      <c r="FJ2" s="44" t="str">
        <f>IF(COUNTIF(BL2:BT2,"BLA")=0,CHAR(34)&amp;"NO_BLA"&amp;CHAR(34)&amp;",", "")</f>
        <v/>
      </c>
      <c r="FK2" s="44" t="str">
        <f>IF(AND(FH2&lt;&gt;"",FF2&lt;&gt;""),CHAR(34)&amp;"WHGRNO"&amp;CHAR(34)&amp;",","")</f>
        <v/>
      </c>
      <c r="FL2" s="44" t="str">
        <f>IF(AND(FI2&lt;&gt;"",FF2&lt;&gt;""),CHAR(34)&amp;"WHYENO"&amp;CHAR(34)&amp;",","")</f>
        <v/>
      </c>
      <c r="FM2" s="44" t="str">
        <f>IF(AND(FJ2&lt;&gt;"",FF2&lt;&gt;""),CHAR(34)&amp;"BAWHNO"&amp;CHAR(34)&amp;",","")</f>
        <v/>
      </c>
      <c r="FN2" s="44" t="str">
        <f>IF(AND(FE2&lt;&gt;"",FF2&lt;&gt;""),CHAR(34)&amp;"BLWHNO"&amp;CHAR(34)&amp;",","")</f>
        <v/>
      </c>
      <c r="FO2" s="44" t="str">
        <f>IF(AND(FE2&lt;&gt;"",FG2&lt;&gt;""),CHAR(34)&amp;"BLRENO"&amp;CHAR(34)&amp;",","")</f>
        <v/>
      </c>
      <c r="FP2" s="44" t="str">
        <f>IF(AND(FF2&lt;&gt;"",FF2&lt;&gt;""),CHAR(34)&amp;"WHRENO"&amp;CHAR(34)&amp;",","")</f>
        <v>"WHRENO",</v>
      </c>
      <c r="FQ2" s="44" t="str">
        <f>IF(LEN(BF2)=3,CHAR(34)&amp;"001"&amp;BF2&amp;CHAR(34)&amp;",","")</f>
        <v>"001BLU",</v>
      </c>
      <c r="FR2" s="44" t="str">
        <f>IF(LEN(BG2)=3,CHAR(34)&amp;"002"&amp;BG2&amp;CHAR(34)&amp;",","")</f>
        <v>"002RED",</v>
      </c>
      <c r="FS2" s="44" t="str">
        <f>IF(LEN(BH2)=3,CHAR(34)&amp;"003"&amp;BH2&amp;CHAR(34)&amp;",","")</f>
        <v>"003GRE",</v>
      </c>
      <c r="FT2" s="44" t="str">
        <f>CHAR(34)&amp;"myr"&amp;BD2&amp;CHAR(34)&amp;","</f>
        <v>"myrEQ",</v>
      </c>
      <c r="FU2" s="44" t="str">
        <f>IF(AY2="y",CHAR(34)&amp;"island"&amp;CHAR(34)&amp;",","")</f>
        <v>"island",</v>
      </c>
      <c r="FV2" s="44" t="str">
        <f>IF(BZ2="y",CHAR(34)&amp;"landlo"&amp;CHAR(34)&amp;",","")</f>
        <v/>
      </c>
      <c r="FW2" s="44" t="str">
        <f>IF(CA2="y",CHAR(34)&amp;"eunion"&amp;CHAR(34)&amp;",","")</f>
        <v/>
      </c>
      <c r="FX2" s="44" t="str">
        <f>SUBSTITUTE(IFERROR(SEARCH("[",A2),IFERROR(IF(AND(CA2&lt;&gt;"y",SEARCH("Europe",R2)&gt;0),CHAR(34)&amp;"noeuni"&amp;CHAR(34)&amp;",",""),"")),"1","")</f>
        <v/>
      </c>
      <c r="FY2" s="44" t="str">
        <f>IFERROR(IF(SEARCH("Arabic",CB2)&gt;0,CHAR(34)&amp;"arabic"&amp;CHAR(34)&amp;",",""),"")</f>
        <v/>
      </c>
      <c r="FZ2" s="44" t="str">
        <f>IFERROR(IF(SEARCH("English",CB2)&gt;0,CHAR(34)&amp;"englis"&amp;CHAR(34)&amp;",",""),"")</f>
        <v/>
      </c>
      <c r="GA2" s="44" t="str">
        <f>IFERROR(IF(SEARCH("French",CB2)&gt;0,CHAR(34)&amp;"french"&amp;CHAR(34)&amp;",",""),"")</f>
        <v>"french",</v>
      </c>
      <c r="GB2" s="44" t="str">
        <f>IFERROR(IF(SEARCH("Spanish",CB2)&gt;0,CHAR(34)&amp;"spanis"&amp;CHAR(34)&amp;",",""),"")</f>
        <v/>
      </c>
      <c r="GC2" s="44" t="str">
        <f>IFERROR(IF(SEARCH("Portuguese",CB2)&gt;0,CHAR(34)&amp;"portug"&amp;CHAR(34)&amp;",",""),"")</f>
        <v/>
      </c>
      <c r="GD2" s="44" t="str">
        <f>IFERROR(IF(SEARCH("German",CB2)&gt;0,CHAR(34)&amp;"german"&amp;CHAR(34)&amp;",",""),"")</f>
        <v/>
      </c>
      <c r="GE2" s="44" t="str">
        <f t="shared" ref="GE2:GE48" si="5">IFERROR(IF(SEARCH("Dutch",CB2)&gt;0,CHAR(34)&amp;"dutchs"&amp;CHAR(34)&amp;",",""),"")</f>
        <v/>
      </c>
      <c r="GF2" s="44" t="str">
        <f>IFERROR(IF(SEARCH("Histor",AU2)&gt;0,CHAR(34)&amp;"histor"&amp;CHAR(34)&amp;",",""),"")</f>
        <v/>
      </c>
      <c r="GG2" s="44" t="str">
        <f t="shared" ref="GG2:GG48" si="6">IF(BU2="y",CHAR(34)&amp;"unjack"&amp;CHAR(34)&amp;",","")</f>
        <v/>
      </c>
      <c r="GH2" s="44" t="str">
        <f t="shared" ref="GH2:GH48" si="7">IF(CD2=1,CHAR(34)&amp;"southc"&amp;CHAR(34)&amp;",","")</f>
        <v/>
      </c>
      <c r="GI2" s="44" t="str">
        <f t="shared" ref="GI2:GI48" si="8">IF(CE2=1,CHAR(34)&amp;"hasmap"&amp;CHAR(34)&amp;",","")</f>
        <v/>
      </c>
      <c r="GJ2" s="44" t="str">
        <f>IF(CP2="y",CHAR(34)&amp;CP$1&amp;CHAR(34)&amp;",","")</f>
        <v>"NoStar",</v>
      </c>
      <c r="GK2" s="44" t="str">
        <f>IF(GJ2="",CHAR(34)&amp;"HasSta"&amp;CHAR(34)&amp;",","")</f>
        <v/>
      </c>
      <c r="GL2" s="44" t="str">
        <f t="shared" ref="GL2:GN5" si="9">IF(CQ2="y",CHAR(34)&amp;CQ$1&amp;CHAR(34)&amp;",","")</f>
        <v/>
      </c>
      <c r="GM2" s="44" t="str">
        <f t="shared" si="9"/>
        <v/>
      </c>
      <c r="GN2" s="44" t="str">
        <f t="shared" si="9"/>
        <v/>
      </c>
      <c r="GP2" s="44" t="str">
        <f>CHAR(34)&amp;AU2&amp;CHAR(34)</f>
        <v>""</v>
      </c>
      <c r="GS2" s="44" t="str">
        <f>SUBSTITUTE("["&amp;_xlfn.CONCAT(CW2:GN2)&amp;"]",",]","]")</f>
        <v>["5+Colo","words2","exact2","lets12","startN","with_w","year00","allhor","3Bands","Horizo","Circle","Weapon","HasSun","NO_WHI","WHRENO","001BLU","002RED","003GRE","myrEQ","island","french","NoStar"]</v>
      </c>
      <c r="GT2" s="44" t="str">
        <f t="shared" ref="GT2:HB5" si="10">IF(BL2&lt;&gt;"",CHAR(34)&amp;"cl_"&amp;BL2&amp;CHAR(34)&amp;",","")</f>
        <v>"cl_BLU",</v>
      </c>
      <c r="GU2" s="44" t="str">
        <f t="shared" si="10"/>
        <v>"cl_RED",</v>
      </c>
      <c r="GV2" s="44" t="str">
        <f t="shared" si="10"/>
        <v>"cl_GRE",</v>
      </c>
      <c r="GW2" s="44" t="str">
        <f t="shared" si="10"/>
        <v>"cl_YEL",</v>
      </c>
      <c r="GX2" s="44" t="str">
        <f t="shared" si="10"/>
        <v>"cl_BLA",</v>
      </c>
      <c r="GY2" s="44" t="str">
        <f t="shared" si="10"/>
        <v/>
      </c>
      <c r="GZ2" s="44" t="str">
        <f t="shared" si="10"/>
        <v/>
      </c>
      <c r="HA2" s="44" t="str">
        <f t="shared" si="10"/>
        <v/>
      </c>
      <c r="HB2" s="44" t="str">
        <f t="shared" si="10"/>
        <v/>
      </c>
      <c r="HC2" s="44" t="str">
        <f>SUBSTITUTE("["&amp;_xlfn.CONCAT(GT2:HB2)&amp;"]",",]","]")</f>
        <v>["cl_BLU","cl_RED","cl_GRE","cl_YEL","cl_BLA"]</v>
      </c>
      <c r="HE2" s="64"/>
      <c r="HF2" s="65" t="str">
        <f>"{couname:"&amp;CT2&amp;(IF(HK2&lt;&gt;"",",subtype:"&amp;CHAR(34)&amp;HK2&amp;CHAR(34),""))&amp;",year:"&amp;HJ2&amp;",region:"&amp;CU2&amp;",Colors:"&amp;HC2&amp;",Items:"&amp;GS2&amp;",Flag:"&amp;CV2&amp;",HDFlag:"&amp;CHAR(34)&amp;E2&amp;CHAR(34)&amp;",type:"&amp;GP2&amp;", describe: "&amp;HH2&amp;", isnew:"&amp;CHAR(34)&amp;F2&amp;CHAR(34)&amp;", links: "&amp;HL2&amp;"},"</f>
        <v>{couname:"New Caledonia",year:"2010 ",region:"rgn_Oceania",Colors:["cl_BLU","cl_RED","cl_GRE","cl_YEL","cl_BLA"],Items:["5+Colo","words2","exact2","lets12","startN","with_w","year00","allhor","3Bands","Horizo","Circle","Weapon","HasSun","NO_WHI","WHRENO","001BLU","002RED","003GRE","myrEQ","island","french","NoStar"],Flag:"https://i.ibb.co/8BYXc8r/New-Caledonia-Flag.png",HDFlag:"https://upload.wikimedia.org/wikipedia/commons/thumb/6/66/Flag_of_FLNKS.svg/2560px-Flag_of_FLNKS.svg.png",type:"", describe: "\nIn July 2010, the Congress of New Caledonia voted in favour of a wish to fly the Kanak flag of the independence movement FLNKS alongside the French Tricolour. \n\nThe blue symbolizes both the sky and more importantly the ocean surrounding New Caledonia. The red symbolizes the blood shed by the Kanaks in their struggle for independence, socialism, and unity. The green symbolizes the land itself and by extension the ancestors buried within it. The yellow disc is a representation of the sun and the symbol upon it consists of a flèche faitière, a kind of arrow that adorns the roofs of Kanak houses thrust through tutut shells.", isnew:".", links: "https://en.wikipedia.org/wiki/Flags_of_New_Caledonia"},</v>
      </c>
      <c r="HG2" s="66" t="str">
        <f>"{couname:"&amp;CT2&amp;(IF(HK2&lt;&gt;"",",subtype:"&amp;CHAR(34)&amp;HK2&amp;CHAR(34),""))&amp;",year:"&amp;HJ2&amp;",region:"&amp;CU2&amp;",Colors:"&amp;HC2&amp;",Items:"&amp;GS2&amp;",Flag:"&amp;CV2&amp;",HDFlag:"&amp;CHAR(34)&amp;E2&amp;CHAR(34)&amp;",type:"&amp;GP2&amp;", describe: "&amp;HI2&amp;", links: "&amp;HL2&amp;"},"</f>
        <v>{couname:"New Caledonia",year:"2010 ",region:"rgn_Oceania",Colors:["cl_BLU","cl_RED","cl_GRE","cl_YEL","cl_BLA"],Items:["5+Colo","words2","exact2","lets12","startN","with_w","year00","allhor","3Bands","Horizo","Circle","Weapon","HasSun","NO_WHI","WHRENO","001BLU","002RED","003GRE","myrEQ","island","french","NoStar"],Flag:"https://i.ibb.co/8BYXc8r/New-Caledonia-Flag.png",HDFlag:"https://upload.wikimedia.org/wikipedia/commons/thumb/6/66/Flag_of_FLNKS.svg/2560px-Flag_of_FLNKS.svg.png",type:"", describe: "\nIn July 2010, the Congress of New Caledonia voted in favour of a wish to fly the Kanak flag of the independence movement FLNKS alongside the French Tricolour. \n\nThe blue symbolizes both the sky and more importantly the ocean surrounding New Caledonia. The red symbolizes the blood shed by the Kanaks in their struggle for independence, socialism, and unity. The green symbolizes the land itself and by extension the ancestors buried within it. The yellow disc is a representation of the sun and the symbol upon it consists of a flèche faitière, a kind of arrow that adorns the roofs of Kanak houses thrust through tutut shells.", links: "https://en.wikipedia.org/wiki/Flags_of_New_Caledonia"},</v>
      </c>
      <c r="HH2" s="44" t="str">
        <f>IF(P2&lt;&gt;"",CHAR(34)&amp;"\n"&amp;P2&amp;CHAR(34),CHAR(34)&amp;CHAR(34))</f>
        <v>"\nIn July 2010, the Congress of New Caledonia voted in favour of a wish to fly the Kanak flag of the independence movement FLNKS alongside the French Tricolour. \n\nThe blue symbolizes both the sky and more importantly the ocean surrounding New Caledonia. The red symbolizes the blood shed by the Kanaks in their struggle for independence, socialism, and unity. The green symbolizes the land itself and by extension the ancestors buried within it. The yellow disc is a representation of the sun and the symbol upon it consists of a flèche faitière, a kind of arrow that adorns the roofs of Kanak houses thrust through tutut shells."</v>
      </c>
      <c r="HI2" s="44" t="str">
        <f>IF(J2=0,CHAR(34)&amp;CHAR(34),HH2)</f>
        <v>"\nIn July 2010, the Congress of New Caledonia voted in favour of a wish to fly the Kanak flag of the independence movement FLNKS alongside the French Tricolour. \n\nThe blue symbolizes both the sky and more importantly the ocean surrounding New Caledonia. The red symbolizes the blood shed by the Kanaks in their struggle for independence, socialism, and unity. The green symbolizes the land itself and by extension the ancestors buried within it. The yellow disc is a representation of the sun and the symbol upon it consists of a flèche faitière, a kind of arrow that adorns the roofs of Kanak houses thrust through tutut shells."</v>
      </c>
      <c r="HJ2" s="44" t="str">
        <f>CHAR(34)&amp;O2&amp;CHAR(34)</f>
        <v>"2010 "</v>
      </c>
      <c r="HL2" s="44" t="str">
        <f>CHAR(34)&amp;I2&amp;CHAR(34)</f>
        <v>"https://en.wikipedia.org/wiki/Flags_of_New_Caledonia"</v>
      </c>
      <c r="HM2" s="65"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{"couname":"New Caledonia","year":"2010 ","region":"rgn_Oceania","Colors":["cl_BLU","cl_RED","cl_GRE","cl_YEL","cl_BLA"],"Items":["5+Colo","words2","exact2","lets12","startN","with_w","year00","allhor","3Bands","Horizo","Circle","Weapon","HasSun","NO_WHI","WHRENO","001BLU","002RED","003GRE","myrEQ","island","french","NoStar"],"Flag":"https://i.ibb.co/8BYXc8r/New-Caledonia-Flag.png","HDFlag":"https://upload.wikimedia.org/wikipedia/commons/thumb/6/66/Flag_of_FLNKS.svg/2560px-Flag_of_FLNKS.svg.png","type":"", "describe": "\nIn July 2010, the Congress of New Caledonia voted in favour of a wish to fly the Kanak flag of the independence movement FLNKS alongside the French Tricolour. \n\nThe blue symbolizes both the sky and more importantly the ocean surrounding New Caledonia. The red symbolizes the blood shed by the Kanaks in their struggle for independence, socialism, and unity. The green symbolizes the land itself and by extension the ancestors buried within it. The yellow disc is a representation of the sun and the symbol upon it consists of a flèche faitière, a kind of arrow that adorns the roofs of Kanak houses thrust through tutut shells.", "isnew": ".", "links": "https://en.wikipedia.org/wiki/Flags_of_New_Caledonia"},</v>
      </c>
      <c r="HN2" s="67"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{"couname":"New Caledonia","year":"2010 ","region":"rgn_Oceania","Colors":["cl_BLU","cl_RED","cl_GRE","cl_YEL","cl_BLA"],"Items":["5+Colo","words2","exact2","lets12","startN","with_w","year00","allhor","3Bands","Horizo","Circle","Weapon","HasSun","NO_WHI","WHRENO","001BLU","002RED","003GRE","myrEQ","island","french","NoStar"],"Flag":"https://i.ibb.co/8BYXc8r/New-Caledonia-Flag.png","HDFlag":"https://upload.wikimedia.org/wikipedia/commons/thumb/6/66/Flag_of_FLNKS.svg/2560px-Flag_of_FLNKS.svg.png","type":"", "describe": "\nIn July 2010, the Congress of New Caledonia voted in favour of a wish to fly the Kanak flag of the independence movement FLNKS alongside the French Tricolour. \n\nThe blue symbolizes both the sky and more importantly the ocean surrounding New Caledonia. The red symbolizes the blood shed by the Kanaks in their struggle for independence, socialism, and unity. The green symbolizes the land itself and by extension the ancestors buried within it. The yellow disc is a representation of the sun and the symbol upon it consists of a flèche faitière, a kind of arrow that adorns the roofs of Kanak houses thrust through tutut shells.", "isnew": ".", "links": "https://en.wikipedia.org/wiki/Flags_of_New_Caledonia"},</v>
      </c>
      <c r="HO2" s="71"/>
      <c r="HP2" s="44" t="str" cm="1">
        <f t="array" ref="HP2">IF(_xlfn.TEXTJOIN(", ", TRUE, IF(ISNUMBER(SEARCH("BLA", BL2:BT2)), COLUMN(BL2:BT2) - COLUMN(BL2) + 1, ""))&lt;&gt;"","BLA","")</f>
        <v>BLA</v>
      </c>
      <c r="HQ2" s="44" t="str" cm="1">
        <f t="array" ref="HQ2">IF(_xlfn.TEXTJOIN(", ", TRUE, IF(ISNUMBER(SEARCH("BLU", BL2:BT2)), COLUMN(BL2:BT2) - COLUMN(BL2) + 1, ""))&lt;&gt;"","BLU","")</f>
        <v>BLU</v>
      </c>
      <c r="HR2" s="44" t="str" cm="1">
        <f t="array" ref="HR2">IF(_xlfn.TEXTJOIN(", ", TRUE, IF(ISNUMBER(SEARCH("GRE", BL2:BT2)), COLUMN(BL2:BT2) - COLUMN(BL2) + 1, ""))&lt;&gt;"","GRE","")</f>
        <v>GRE</v>
      </c>
      <c r="HS2" s="44" t="str" cm="1">
        <f t="array" ref="HS2">IF(_xlfn.TEXTJOIN(", ", TRUE, IF(ISNUMBER(SEARCH("RED", BL2:BT2)), COLUMN(BL2:BT2) - COLUMN(BL2) + 1, ""))&lt;&gt;"","RED","")</f>
        <v>RED</v>
      </c>
      <c r="HT2" s="44" t="str" cm="1">
        <f t="array" ref="HT2">IF(_xlfn.TEXTJOIN(", ", TRUE, IF(ISNUMBER(SEARCH("YEL", BL2:BT2)), COLUMN(BL2:BT2) - COLUMN(BL2) + 1, ""))&lt;&gt;"","YEL","")</f>
        <v>YEL</v>
      </c>
      <c r="HU2" s="44" t="str" cm="1">
        <f t="array" ref="HU2">IF(_xlfn.TEXTJOIN(", ", TRUE, IF(ISNUMBER(SEARCH("ORA", BL2:BT2)), COLUMN(BL2:BT2) - COLUMN(BL2) + 1, ""))&lt;&gt;"","ORA","")</f>
        <v/>
      </c>
      <c r="HV2" s="44" t="str" cm="1">
        <f t="array" ref="HV2">IF(_xlfn.TEXTJOIN(", ", TRUE, IF(ISNUMBER(SEARCH("BRO", BL2:BT2)), COLUMN(BL2:BT2) - COLUMN(BL2) + 1, ""))&lt;&gt;"","BRO","")</f>
        <v/>
      </c>
      <c r="HW2" s="44" t="str" cm="1">
        <f t="array" ref="HW2">IF(_xlfn.TEXTJOIN(", ", TRUE, IF(ISNUMBER(SEARCH("PUR", BL2:BT2)), COLUMN(BL2:BT2) - COLUMN(BL2) + 1, ""))&lt;&gt;"","PUR","")</f>
        <v/>
      </c>
      <c r="HX2" s="44" t="str" cm="1">
        <f t="array" ref="HX2">IF(_xlfn.TEXTJOIN(", ", TRUE, IF(ISNUMBER(SEARCH("WHI", BL2:BT2)), COLUMN(BL2:BT2) - COLUMN(BL2) + 1, ""))&lt;&gt;"","WHI","")</f>
        <v/>
      </c>
      <c r="HY2" s="72"/>
      <c r="HZ2" s="72"/>
      <c r="IA2" s="5"/>
      <c r="IB2" s="5"/>
      <c r="IC2" s="68"/>
      <c r="ID2" s="68"/>
      <c r="IE2" s="68"/>
      <c r="IF2" s="68"/>
      <c r="IG2" s="68"/>
      <c r="IH2" s="68"/>
      <c r="II2" s="68"/>
      <c r="IJ2" s="68"/>
      <c r="IK2" s="68"/>
      <c r="IL2" s="44">
        <f>SUM(IC2:IK2)</f>
        <v>0</v>
      </c>
      <c r="IM2" s="42">
        <f>COUNTIF(IC2:IK2,"&gt;0")-CG2</f>
        <v>-5</v>
      </c>
      <c r="IN2" s="69" t="str">
        <f>"http://mkweb.bcgsc.ca/color-summarizer/?url="&amp;D2&amp;"&amp;precision=low&amp;num_clusters="&amp;CG2&amp;"&amp;text=1"</f>
        <v>http://mkweb.bcgsc.ca/color-summarizer/?url=https://i.ibb.co/8BYXc8r/New-Caledonia-Flag.png&amp;precision=low&amp;num_clusters=5&amp;text=1</v>
      </c>
      <c r="IO2" s="44" t="str">
        <f>IF(HP2&lt;&gt;"",CHAR(34)&amp;"black"&amp;CHAR(34),"")</f>
        <v>"black"</v>
      </c>
      <c r="IP2" s="44" t="str">
        <f>IF(HQ2&lt;&gt;"",CHAR(34)&amp;"blue"&amp;CHAR(34),"")</f>
        <v>"blue"</v>
      </c>
      <c r="IQ2" s="44" t="str">
        <f>IF(HR2&lt;&gt;"",CHAR(34)&amp;"green"&amp;CHAR(34),"")</f>
        <v>"green"</v>
      </c>
      <c r="IR2" s="44" t="str">
        <f>IF(HS2&lt;&gt;"",CHAR(34)&amp;"red"&amp;CHAR(34),"")</f>
        <v>"red"</v>
      </c>
      <c r="IS2" s="44" t="str">
        <f>IF(HT2&lt;&gt;"",CHAR(34)&amp;"yellow"&amp;CHAR(34),"")</f>
        <v>"yellow"</v>
      </c>
      <c r="IT2" s="44" t="str">
        <f>IF(HU2&lt;&gt;"",CHAR(34)&amp;"orange"&amp;CHAR(34),"")</f>
        <v/>
      </c>
      <c r="IU2" s="44" t="str">
        <f>IF(HV2&lt;&gt;"",CHAR(34)&amp;"brown"&amp;CHAR(34),"")</f>
        <v/>
      </c>
      <c r="IV2" s="44" t="str">
        <f>IF(HW2&lt;&gt;"",CHAR(34)&amp;"purple"&amp;CHAR(34),"")</f>
        <v/>
      </c>
      <c r="IW2" s="44" t="str">
        <f>IF(HX2&lt;&gt;"",CHAR(34)&amp;"white"&amp;CHAR(34),"")</f>
        <v/>
      </c>
      <c r="IX2" s="44" t="str">
        <f>"{"&amp;CHAR(34)&amp;"url"&amp;CHAR(34)&amp;":"&amp;CHAR(34)&amp;IN2&amp;CHAR(34)&amp;","&amp;CHAR(34)&amp;"name"&amp;CHAR(34)&amp;":"&amp;CHAR(34)&amp;A2&amp;CHAR(34)&amp;"},"</f>
        <v>{"url":"http://mkweb.bcgsc.ca/color-summarizer/?url=https://i.ibb.co/8BYXc8r/New-Caledonia-Flag.png&amp;precision=low&amp;num_clusters=5&amp;text=1","name":"New Caledonia"},</v>
      </c>
      <c r="IY2" s="44">
        <v>152</v>
      </c>
    </row>
    <row r="3" spans="1:259" s="44" customFormat="1" ht="38.4" customHeight="1" thickBot="1" x14ac:dyDescent="0.35">
      <c r="A3" s="80" t="s">
        <v>704</v>
      </c>
      <c r="B3" s="78" t="e" vm="60">
        <v>#VALUE!</v>
      </c>
      <c r="C3" s="39">
        <v>2</v>
      </c>
      <c r="D3" s="70" t="s">
        <v>705</v>
      </c>
      <c r="E3" s="40" t="s">
        <v>706</v>
      </c>
      <c r="F3" s="41" t="s">
        <v>165</v>
      </c>
      <c r="G3" s="42">
        <f>COUNTIF($A$1:$A$8342,A3)</f>
        <v>1</v>
      </c>
      <c r="H3" s="43"/>
      <c r="I3" s="59" t="s">
        <v>707</v>
      </c>
      <c r="J3" s="44" t="str">
        <f>""</f>
        <v/>
      </c>
      <c r="K3" s="45"/>
      <c r="L3" s="46"/>
      <c r="M3" s="46"/>
      <c r="N3" s="47" t="s">
        <v>177</v>
      </c>
      <c r="O3" s="74" t="s">
        <v>230</v>
      </c>
      <c r="P3" s="48" t="s">
        <v>708</v>
      </c>
      <c r="Q3" s="73">
        <v>3</v>
      </c>
      <c r="R3" s="49" t="s">
        <v>177</v>
      </c>
      <c r="S3" s="50">
        <v>0</v>
      </c>
      <c r="T3" s="51" t="s">
        <v>166</v>
      </c>
      <c r="U3" s="52" t="s">
        <v>166</v>
      </c>
      <c r="V3" s="52" t="s">
        <v>166</v>
      </c>
      <c r="W3" s="52" t="s">
        <v>166</v>
      </c>
      <c r="X3" s="52" t="s">
        <v>167</v>
      </c>
      <c r="Y3" s="52" t="s">
        <v>166</v>
      </c>
      <c r="Z3" s="52" t="s">
        <v>166</v>
      </c>
      <c r="AA3" s="52" t="s">
        <v>166</v>
      </c>
      <c r="AB3" s="52" t="s">
        <v>166</v>
      </c>
      <c r="AC3" s="52" t="s">
        <v>166</v>
      </c>
      <c r="AD3" s="52" t="s">
        <v>166</v>
      </c>
      <c r="AE3" s="52" t="s">
        <v>166</v>
      </c>
      <c r="AF3" s="53" t="s">
        <v>166</v>
      </c>
      <c r="AG3" s="53" t="s">
        <v>167</v>
      </c>
      <c r="AH3" s="53" t="s">
        <v>167</v>
      </c>
      <c r="AI3" s="53" t="s">
        <v>166</v>
      </c>
      <c r="AJ3" s="53" t="s">
        <v>166</v>
      </c>
      <c r="AK3" s="53" t="s">
        <v>166</v>
      </c>
      <c r="AL3" s="53" t="s">
        <v>166</v>
      </c>
      <c r="AM3" s="53" t="s">
        <v>167</v>
      </c>
      <c r="AN3" s="53" t="s">
        <v>166</v>
      </c>
      <c r="AO3" s="53" t="s">
        <v>166</v>
      </c>
      <c r="AP3" s="53" t="s">
        <v>166</v>
      </c>
      <c r="AQ3" s="53" t="s">
        <v>166</v>
      </c>
      <c r="AR3" s="53" t="s">
        <v>166</v>
      </c>
      <c r="AS3" s="53" t="s">
        <v>166</v>
      </c>
      <c r="AT3" s="54">
        <v>0</v>
      </c>
      <c r="AU3" s="53" t="s">
        <v>355</v>
      </c>
      <c r="AV3" s="53" t="str">
        <f>IF(LEFT(A3,1)="[",LEFT(A3,5)&amp;AU3&amp;A3,"")</f>
        <v>[NCL]Province[NCL] Loyalty Islands Province</v>
      </c>
      <c r="AW3" s="53" t="str">
        <f>C3&amp;H3&amp;A3</f>
        <v>2[NCL] Loyalty Islands Province</v>
      </c>
      <c r="AX3" s="55"/>
      <c r="AY3" s="55"/>
      <c r="AZ3" s="56" t="s">
        <v>231</v>
      </c>
      <c r="BA3" s="56" t="s">
        <v>231</v>
      </c>
      <c r="BB3" s="56"/>
      <c r="BC3" s="57"/>
      <c r="BD3" s="58" t="s">
        <v>161</v>
      </c>
      <c r="BE3" s="59"/>
      <c r="BF3" s="58" t="s">
        <v>231</v>
      </c>
      <c r="BG3" s="58" t="s">
        <v>231</v>
      </c>
      <c r="BH3" s="58" t="s">
        <v>231</v>
      </c>
      <c r="BI3" s="58"/>
      <c r="BJ3" s="58"/>
      <c r="BK3" s="59"/>
      <c r="BL3" s="58" t="s">
        <v>153</v>
      </c>
      <c r="BM3" s="58" t="s">
        <v>231</v>
      </c>
      <c r="BN3" s="58" t="s">
        <v>231</v>
      </c>
      <c r="BO3" s="58" t="s">
        <v>231</v>
      </c>
      <c r="BP3" s="58" t="s">
        <v>157</v>
      </c>
      <c r="BQ3" s="58" t="s">
        <v>231</v>
      </c>
      <c r="BR3" s="58" t="s">
        <v>231</v>
      </c>
      <c r="BS3" s="58" t="s">
        <v>231</v>
      </c>
      <c r="BT3" s="58" t="s">
        <v>161</v>
      </c>
      <c r="BU3" s="60"/>
      <c r="BV3" s="61"/>
      <c r="BW3" s="61">
        <v>0</v>
      </c>
      <c r="BX3" s="59"/>
      <c r="CB3" s="5"/>
      <c r="CC3" s="5"/>
      <c r="CD3" s="62">
        <v>0</v>
      </c>
      <c r="CE3" s="62">
        <v>1</v>
      </c>
      <c r="CF3" s="62" t="e">
        <v>#REF!</v>
      </c>
      <c r="CG3" s="75" cm="1">
        <f t="array" ref="CG3">SUMPRODUCT(--(LEN(TRIM(BL3:BT3))&gt;0))</f>
        <v>3</v>
      </c>
      <c r="CH3" s="53" t="str">
        <f>IF(CG3=2,"y","n")</f>
        <v>n</v>
      </c>
      <c r="CI3" s="53" t="str">
        <f>IF(CG3=3,"y","n")</f>
        <v>y</v>
      </c>
      <c r="CJ3" s="53" t="str">
        <f>IF(CG3=4,"y","n")</f>
        <v>n</v>
      </c>
      <c r="CK3" s="53" t="str">
        <f>IF(CG3&gt;4,"y","n")</f>
        <v>n</v>
      </c>
      <c r="CL3" s="53" t="str">
        <f>IF(S3=0,"y","n")</f>
        <v>y</v>
      </c>
      <c r="CM3" s="53" t="str">
        <f>IF(S3=2,"y","n")</f>
        <v>n</v>
      </c>
      <c r="CN3" s="53" t="str">
        <f>IF(S3=3,"y","n")</f>
        <v>n</v>
      </c>
      <c r="CO3" s="53" t="str">
        <f>IF(S3&gt;=4,"y","n")</f>
        <v>n</v>
      </c>
      <c r="CP3" s="53" t="str">
        <f>IF(AT3=0,"y","n")</f>
        <v>y</v>
      </c>
      <c r="CQ3" s="53" t="str">
        <f>IF(AT3=1,"y","n")</f>
        <v>n</v>
      </c>
      <c r="CR3" s="53" t="str">
        <f>IF(AT3=2,"y","n")</f>
        <v>n</v>
      </c>
      <c r="CS3" s="53" t="str">
        <f>IF(AT3&gt;=3,"y","n")</f>
        <v>n</v>
      </c>
      <c r="CT3" s="38" t="str">
        <f>CHAR(34)&amp;A3&amp;CHAR(34)</f>
        <v>"[NCL] Loyalty Islands Province"</v>
      </c>
      <c r="CU3" s="63" t="str">
        <f>CHAR(34)&amp;"rgn_"&amp;R3&amp;CHAR(34)</f>
        <v>"rgn_Oceania"</v>
      </c>
      <c r="CV3" s="44" t="str">
        <f>CHAR(34)&amp;D3&amp;CHAR(34)</f>
        <v>"https://upload.wikimedia.org/wikipedia/commons/thumb/8/87/Iles-Loyaut%C3%A9_drapeau.svg/640px-Iles-Loyaut%C3%A9_drapeau.svg.png"</v>
      </c>
      <c r="CW3" s="44" t="str">
        <f t="shared" si="0"/>
        <v/>
      </c>
      <c r="CX3" s="44" t="str">
        <f t="shared" si="0"/>
        <v>"3Color",</v>
      </c>
      <c r="CY3" s="44" t="str">
        <f t="shared" si="0"/>
        <v/>
      </c>
      <c r="CZ3" s="44" t="str">
        <f t="shared" si="0"/>
        <v/>
      </c>
      <c r="DA3" s="44" t="str">
        <f>IF(Q3&gt;1,CHAR(34)&amp;"words2"&amp;CHAR(34)&amp;",","")</f>
        <v>"words2",</v>
      </c>
      <c r="DB3" s="44" t="str">
        <f>IF(Q3&gt;2,CHAR(34)&amp;"words3"&amp;CHAR(34)&amp;",","")</f>
        <v>"words3",</v>
      </c>
      <c r="DD3" s="44"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"lets22",</v>
      </c>
      <c r="DE3" s="44" t="str">
        <f>CHAR(34)&amp;"start"&amp;IFERROR(LEFT(SUBSTITUTE(A3,"["&amp;MID(A3,FIND("[",A3)+1,FIND("]",A3)-FIND("[",A3)-1)&amp;"] ",""),1),LEFT(A3,1))&amp;CHAR(34)&amp;","</f>
        <v>"startL",</v>
      </c>
      <c r="DF3" s="44" t="str">
        <f>IFERROR(IF(SEARCH("tan",A3)&gt;0,CHAR(34)&amp;"withtn"&amp;CHAR(34)&amp;",",""),"")</f>
        <v/>
      </c>
      <c r="DG3" s="44" t="str">
        <f>IFERROR(IF(SEARCH("q",A3)&gt;0,CHAR(34)&amp;"with_q"&amp;CHAR(34)&amp;",",""),"")</f>
        <v/>
      </c>
      <c r="DH3" s="44" t="str">
        <f>IFERROR(IF(SEARCH("v",A3)&gt;0,CHAR(34)&amp;"with_v"&amp;CHAR(34)&amp;",",""),"")</f>
        <v>"with_v",</v>
      </c>
      <c r="DI3" s="44" t="str">
        <f>IFERROR(IF(SEARCH("w",A3)&gt;0,CHAR(34)&amp;"with_w"&amp;CHAR(34)&amp;",",""),"")</f>
        <v/>
      </c>
      <c r="DJ3" s="44" t="str">
        <f>IFERROR(IF(SEARCH("y",A3)&gt;0,CHAR(34)&amp;"with_y"&amp;CHAR(34)&amp;",",""),"")</f>
        <v>"with_y",</v>
      </c>
      <c r="DK3" s="44" t="str">
        <f>IFERROR(IF(SEARCH("z",A3)&gt;0,CHAR(34)&amp;"with_z"&amp;CHAR(34)&amp;",",""),"")</f>
        <v/>
      </c>
      <c r="DL3" s="44" t="str">
        <f>IF(CG3=2, CHAR(34) &amp; _xlfn.TEXTJOIN("", TRUE, _xlfn._xlws.SORT(HP3:HX3)) &amp; CHAR(34) &amp; ",", "")</f>
        <v/>
      </c>
      <c r="DM3" s="44" t="str" cm="1">
        <f t="array" ref="DM3">IF(CG3=3,CHAR(34) &amp; _xlfn.TEXTJOIN("", TRUE, RIGHT(HP3:HX3, 2)) &amp; CHAR(34) &amp; ",", "")</f>
        <v>"LAELHI",</v>
      </c>
      <c r="DN3" s="44" t="str">
        <f>IF(AND(ISNUMBER(SEARCH("18", O3)), ISERROR(SEARCH("1918", O3)), ISERROR(SEARCH("2018", O3))), CHAR(34) &amp; "year18" &amp; CHAR(34) &amp; ",", "")</f>
        <v/>
      </c>
      <c r="DO3" s="44" t="str">
        <f>IF(AND(ISNUMBER(SEARCH("19", O3)), ISERROR(SEARCH("1819", O3)),  ISERROR(SEARCH("1219", O3)),ISERROR(SEARCH("1119", O3)),ISERROR(SEARCH("1190", O3)),ISERROR(SEARCH("2019", O3))), CHAR(34) &amp; "year19" &amp; CHAR(34) &amp; ",", "")</f>
        <v/>
      </c>
      <c r="DP3" s="5" t="str">
        <f>IF(AND(ISNUMBER(SEARCH("20", O3)), ISERROR(SEARCH("1920", O3))), CHAR(34)&amp;"year00"&amp;CHAR(34)&amp;",", "")</f>
        <v/>
      </c>
      <c r="DQ3" s="5" t="str">
        <f>IF(CC3="y",CHAR(34)&amp;"soviet"&amp;CHAR(34)&amp;",","")</f>
        <v/>
      </c>
      <c r="DR3" s="5" t="str">
        <f>IF(BY3="y",CHAR(34)&amp;"dgband"&amp;CHAR(34)&amp;",","")</f>
        <v/>
      </c>
      <c r="DS3" s="5" t="str">
        <f>IF(W3="y",IF(AND(V3="n",BY3&lt;&gt;"y"),CHAR(34)&amp;"allver"&amp;CHAR(34)&amp;",",""),"")</f>
        <v/>
      </c>
      <c r="DT3" s="5" t="str">
        <f>IF(V3="y",IF(AND(W3="n",BY3&lt;&gt;"y"),CHAR(34)&amp;"allhor"&amp;CHAR(34)&amp;",",""),"")</f>
        <v/>
      </c>
      <c r="DU3" s="5" t="str">
        <f>IF(BY3="y",IF(AND(W3="n",V3="n"),CHAR(34)&amp;"alldia"&amp;CHAR(34)&amp;",",""),"")</f>
        <v/>
      </c>
      <c r="DW3" s="44" t="str">
        <f t="shared" si="1"/>
        <v>"NoBand",</v>
      </c>
      <c r="DX3" s="44" t="str">
        <f t="shared" si="1"/>
        <v/>
      </c>
      <c r="DY3" s="44" t="str">
        <f t="shared" si="1"/>
        <v/>
      </c>
      <c r="DZ3" s="44" t="str">
        <f t="shared" si="1"/>
        <v/>
      </c>
      <c r="EA3" s="44" t="str">
        <f t="shared" si="2"/>
        <v/>
      </c>
      <c r="EB3" s="44" t="str">
        <f t="shared" si="2"/>
        <v/>
      </c>
      <c r="EC3" s="44" t="str">
        <f t="shared" si="2"/>
        <v/>
      </c>
      <c r="ED3" s="44" t="str">
        <f t="shared" si="2"/>
        <v/>
      </c>
      <c r="EE3" s="44" t="str">
        <f t="shared" si="2"/>
        <v>"Circle",</v>
      </c>
      <c r="EF3" s="44" t="str">
        <f>IF(AND(Y3&lt;&gt;"n",Y3&lt;&gt;""),CHAR(34)&amp;Y$1&amp;CHAR(34)&amp;",","")</f>
        <v/>
      </c>
      <c r="EG3" s="44" t="str">
        <f t="shared" si="3"/>
        <v/>
      </c>
      <c r="EH3" s="44" t="str">
        <f t="shared" si="3"/>
        <v/>
      </c>
      <c r="EI3" s="44" t="str">
        <f t="shared" si="3"/>
        <v/>
      </c>
      <c r="EJ3" s="44" t="str">
        <f t="shared" si="3"/>
        <v/>
      </c>
      <c r="EK3" s="44" t="str">
        <f t="shared" si="3"/>
        <v/>
      </c>
      <c r="EL3" s="44" t="str">
        <f t="shared" si="3"/>
        <v/>
      </c>
      <c r="EM3" s="44" t="str">
        <f t="shared" si="3"/>
        <v/>
      </c>
      <c r="EN3" s="44" t="str">
        <f t="shared" si="3"/>
        <v>"Unequa",</v>
      </c>
      <c r="EO3" s="44" t="str">
        <f t="shared" si="3"/>
        <v>"Center",</v>
      </c>
      <c r="EP3" s="44" t="str">
        <f t="shared" si="3"/>
        <v/>
      </c>
      <c r="EQ3" s="44" t="str">
        <f t="shared" si="4"/>
        <v/>
      </c>
      <c r="ER3" s="44" t="str">
        <f t="shared" si="4"/>
        <v/>
      </c>
      <c r="ES3" s="44" t="str">
        <f t="shared" si="4"/>
        <v/>
      </c>
      <c r="ET3" s="44" t="str">
        <f t="shared" si="4"/>
        <v>"Geogrh",</v>
      </c>
      <c r="EU3" s="44" t="str">
        <f t="shared" si="4"/>
        <v/>
      </c>
      <c r="EV3" s="44" t="str">
        <f t="shared" si="4"/>
        <v/>
      </c>
      <c r="EW3" s="44" t="str">
        <f t="shared" si="4"/>
        <v/>
      </c>
      <c r="EX3" s="44" t="str">
        <f t="shared" si="4"/>
        <v/>
      </c>
      <c r="EY3" s="44" t="str">
        <f t="shared" si="4"/>
        <v/>
      </c>
      <c r="EZ3" s="44" t="str">
        <f t="shared" si="4"/>
        <v/>
      </c>
      <c r="FA3" s="44" t="str">
        <f>IF(AT3&gt;0,CHAR(34)&amp;"sta"&amp;AZ3&amp;CHAR(34)&amp;",","")</f>
        <v/>
      </c>
      <c r="FB3" s="44" t="str">
        <f>IF(AND(AT3&gt;0,BA3&lt;&gt;""),CHAR(34)&amp;"sta"&amp;BA3&amp;CHAR(34)&amp;",","")</f>
        <v/>
      </c>
      <c r="FD3" s="44" t="str">
        <f>IF(BV3="n",CHAR(34)&amp;"tcWHYE"&amp;CHAR(34)&amp;",",IF(BV3="y",CHAR(34)&amp;FD$1&amp;CHAR(34)&amp;",",""))</f>
        <v/>
      </c>
      <c r="FE3" s="44" t="str">
        <f>IF(COUNTIF(BL3:BT3,"BLU")=0,CHAR(34)&amp;"NO_BLU"&amp;CHAR(34)&amp;",", "")</f>
        <v>"NO_BLU",</v>
      </c>
      <c r="FF3" s="44" t="str">
        <f>IF(COUNTIF(BL3:BT3,"WHI")=0,CHAR(34)&amp;"NO_WHI"&amp;CHAR(34)&amp;",", "")</f>
        <v/>
      </c>
      <c r="FG3" s="44" t="str">
        <f>IF(COUNTIF(BL3:BT3,"RED")=0,CHAR(34)&amp;"NO_RED"&amp;CHAR(34)&amp;",", "")</f>
        <v>"NO_RED",</v>
      </c>
      <c r="FH3" s="44" t="str">
        <f>IF(COUNTIF(BL3:BS3,"GRE")=0,CHAR(34)&amp;"NO_GRE"&amp;CHAR(34)&amp;",", "")</f>
        <v>"NO_GRE",</v>
      </c>
      <c r="FI3" s="44" t="str">
        <f>IF(COUNTIF(BL3:BT3,"YEL")=0,CHAR(34)&amp;"NO_YEL"&amp;CHAR(34)&amp;",", "")</f>
        <v/>
      </c>
      <c r="FJ3" s="44" t="str">
        <f>IF(COUNTIF(BL3:BT3,"BLA")=0,CHAR(34)&amp;"NO_BLA"&amp;CHAR(34)&amp;",", "")</f>
        <v/>
      </c>
      <c r="FK3" s="44" t="str">
        <f>IF(AND(FH3&lt;&gt;"",FF3&lt;&gt;""),CHAR(34)&amp;"WHGRNO"&amp;CHAR(34)&amp;",","")</f>
        <v/>
      </c>
      <c r="FL3" s="44" t="str">
        <f>IF(AND(FI3&lt;&gt;"",FF3&lt;&gt;""),CHAR(34)&amp;"WHYENO"&amp;CHAR(34)&amp;",","")</f>
        <v/>
      </c>
      <c r="FM3" s="44" t="str">
        <f>IF(AND(FJ3&lt;&gt;"",FF3&lt;&gt;""),CHAR(34)&amp;"BAWHNO"&amp;CHAR(34)&amp;",","")</f>
        <v/>
      </c>
      <c r="FN3" s="44" t="str">
        <f>IF(AND(FE3&lt;&gt;"",FF3&lt;&gt;""),CHAR(34)&amp;"BLWHNO"&amp;CHAR(34)&amp;",","")</f>
        <v/>
      </c>
      <c r="FO3" s="44" t="str">
        <f>IF(AND(FE3&lt;&gt;"",FG3&lt;&gt;""),CHAR(34)&amp;"BLRENO"&amp;CHAR(34)&amp;",","")</f>
        <v>"BLRENO",</v>
      </c>
      <c r="FP3" s="44" t="str">
        <f>IF(AND(FF3&lt;&gt;"",FF3&lt;&gt;""),CHAR(34)&amp;"WHRENO"&amp;CHAR(34)&amp;",","")</f>
        <v/>
      </c>
      <c r="FQ3" s="44" t="str">
        <f>IF(LEN(BF3)=3,CHAR(34)&amp;"001"&amp;BF3&amp;CHAR(34)&amp;",","")</f>
        <v/>
      </c>
      <c r="FR3" s="44" t="str">
        <f>IF(LEN(BG3)=3,CHAR(34)&amp;"002"&amp;BG3&amp;CHAR(34)&amp;",","")</f>
        <v/>
      </c>
      <c r="FS3" s="44" t="str">
        <f>IF(LEN(BH3)=3,CHAR(34)&amp;"003"&amp;BH3&amp;CHAR(34)&amp;",","")</f>
        <v/>
      </c>
      <c r="FT3" s="44" t="str">
        <f>CHAR(34)&amp;"myr"&amp;BD3&amp;CHAR(34)&amp;","</f>
        <v>"myrWHI",</v>
      </c>
      <c r="FU3" s="44" t="str">
        <f>IF(AY3="y",CHAR(34)&amp;"island"&amp;CHAR(34)&amp;",","")</f>
        <v/>
      </c>
      <c r="FV3" s="44" t="str">
        <f>IF(BZ3="y",CHAR(34)&amp;"landlo"&amp;CHAR(34)&amp;",","")</f>
        <v/>
      </c>
      <c r="FW3" s="44" t="str">
        <f>IF(CA3="y",CHAR(34)&amp;"eunion"&amp;CHAR(34)&amp;",","")</f>
        <v/>
      </c>
      <c r="FY3" s="44" t="str">
        <f>IFERROR(IF(SEARCH("Arabic",CB3)&gt;0,CHAR(34)&amp;"arabic"&amp;CHAR(34)&amp;",",""),"")</f>
        <v/>
      </c>
      <c r="FZ3" s="44" t="str">
        <f>IFERROR(IF(SEARCH("English",CB3)&gt;0,CHAR(34)&amp;"englis"&amp;CHAR(34)&amp;",",""),"")</f>
        <v/>
      </c>
      <c r="GA3" s="44" t="str">
        <f>IFERROR(IF(SEARCH("French",CB3)&gt;0,CHAR(34)&amp;"french"&amp;CHAR(34)&amp;",",""),"")</f>
        <v/>
      </c>
      <c r="GB3" s="44" t="str">
        <f>IFERROR(IF(SEARCH("Spanish",CB3)&gt;0,CHAR(34)&amp;"spanis"&amp;CHAR(34)&amp;",",""),"")</f>
        <v/>
      </c>
      <c r="GE3" s="44" t="str">
        <f t="shared" si="5"/>
        <v/>
      </c>
      <c r="GF3" s="44" t="str">
        <f>IFERROR(IF(SEARCH("Historical",AU3)&gt;0,CHAR(34)&amp;"histor"&amp;CHAR(34)&amp;",",""),"")</f>
        <v/>
      </c>
      <c r="GG3" s="44" t="str">
        <f t="shared" si="6"/>
        <v/>
      </c>
      <c r="GH3" s="44" t="str">
        <f t="shared" si="7"/>
        <v/>
      </c>
      <c r="GI3" s="44" t="str">
        <f t="shared" si="8"/>
        <v>"hasmap",</v>
      </c>
      <c r="GJ3" s="44" t="str">
        <f>IF(CP3="y",CHAR(34)&amp;CP$1&amp;CHAR(34)&amp;",","")</f>
        <v>"NoStar",</v>
      </c>
      <c r="GK3" s="44" t="str">
        <f>IF(GJ3="",CHAR(34)&amp;"HasSta"&amp;CHAR(34)&amp;",","")</f>
        <v/>
      </c>
      <c r="GL3" s="44" t="str">
        <f t="shared" si="9"/>
        <v/>
      </c>
      <c r="GM3" s="44" t="str">
        <f t="shared" si="9"/>
        <v/>
      </c>
      <c r="GN3" s="44" t="str">
        <f t="shared" si="9"/>
        <v/>
      </c>
      <c r="GP3" s="44" t="str">
        <f>CHAR(34)&amp;AU3&amp;CHAR(34)</f>
        <v>"Province"</v>
      </c>
      <c r="GS3" s="44" t="str">
        <f>SUBSTITUTE("["&amp;_xlfn.CONCAT(CW3:GN3)&amp;"]",",]","]")</f>
        <v>["3Color","words2","words3","lets22","startL","with_v","with_y","LAELHI","NoBand","Circle","Unequa","Center","Geogrh","NO_BLU","NO_RED","NO_GRE","BLRENO","myrWHI","hasmap","NoStar"]</v>
      </c>
      <c r="GT3" s="44" t="str">
        <f t="shared" si="10"/>
        <v>"cl_BLA",</v>
      </c>
      <c r="GU3" s="44" t="str">
        <f t="shared" si="10"/>
        <v/>
      </c>
      <c r="GV3" s="44" t="str">
        <f t="shared" si="10"/>
        <v/>
      </c>
      <c r="GW3" s="44" t="str">
        <f t="shared" si="10"/>
        <v/>
      </c>
      <c r="GX3" s="44" t="str">
        <f t="shared" si="10"/>
        <v>"cl_YEL",</v>
      </c>
      <c r="GY3" s="44" t="str">
        <f t="shared" si="10"/>
        <v/>
      </c>
      <c r="GZ3" s="44" t="str">
        <f t="shared" si="10"/>
        <v/>
      </c>
      <c r="HA3" s="44" t="str">
        <f t="shared" si="10"/>
        <v/>
      </c>
      <c r="HB3" s="44" t="str">
        <f t="shared" si="10"/>
        <v>"cl_WHI",</v>
      </c>
      <c r="HC3" s="44" t="str">
        <f>SUBSTITUTE("["&amp;_xlfn.CONCAT(GT3:HB3)&amp;"]",",]","]")</f>
        <v>["cl_BLA","cl_YEL","cl_WHI"]</v>
      </c>
      <c r="HE3" s="64"/>
      <c r="HF3" s="65" t="str">
        <f>"{couname:"&amp;CT3&amp;(IF(HK3&lt;&gt;"",",subtype:"&amp;CHAR(34)&amp;HK3&amp;CHAR(34),""))&amp;",year:"&amp;HJ3&amp;",region:"&amp;CU3&amp;",Colors:"&amp;HC3&amp;",Items:"&amp;GS3&amp;",Flag:"&amp;CV3&amp;",HDFlag:"&amp;CHAR(34)&amp;E3&amp;CHAR(34)&amp;",type:"&amp;GP3&amp;", describe: "&amp;HH3&amp;", isnew:"&amp;CHAR(34)&amp;F3&amp;CHAR(34)&amp;", links: "&amp;HL3&amp;"},"</f>
        <v>{couname:"[NCL] Loyalty Islands Province",year:"???",region:"rgn_Oceania",Colors:["cl_BLA","cl_YEL","cl_WHI"],Items:["3Color","words2","words3","lets22","startL","with_v","with_y","LAELHI","NoBand","Circle","Unequa","Center","Geogrh","NO_BLU","NO_RED","NO_GRE","BLRENO","myrWHI","hasmap","NoStar"],Flag:"https://upload.wikimedia.org/wikipedia/commons/thumb/8/87/Iles-Loyaut%C3%A9_drapeau.svg/640px-Iles-Loyaut%C3%A9_drapeau.svg.png",HDFlag:"https://upload.wikimedia.org/wikipedia/commons/thumb/8/87/Iles-Loyaut%C3%A9_drapeau.svg/1280px-Iles-Loyaut%C3%A9_drapeau.svg.png",type:"Province", describe: "\nA yellow disc on a white field defaced with a black flèche faîtière.", isnew:".", links: "https://en.m.wikipedia.org/wiki/Flags_of_New_Caledonia"},</v>
      </c>
      <c r="HG3" s="66" t="str">
        <f>"{couname:"&amp;CT3&amp;(IF(HK3&lt;&gt;"",",subtype:"&amp;CHAR(34)&amp;HK3&amp;CHAR(34),""))&amp;",year:"&amp;HJ3&amp;",region:"&amp;CU3&amp;",Colors:"&amp;HC3&amp;",Items:"&amp;GS3&amp;",Flag:"&amp;CV3&amp;",HDFlag:"&amp;CHAR(34)&amp;E3&amp;CHAR(34)&amp;",type:"&amp;GP3&amp;", describe: "&amp;HI3&amp;", links: "&amp;HL3&amp;"},"</f>
        <v>{couname:"[NCL] Loyalty Islands Province",year:"???",region:"rgn_Oceania",Colors:["cl_BLA","cl_YEL","cl_WHI"],Items:["3Color","words2","words3","lets22","startL","with_v","with_y","LAELHI","NoBand","Circle","Unequa","Center","Geogrh","NO_BLU","NO_RED","NO_GRE","BLRENO","myrWHI","hasmap","NoStar"],Flag:"https://upload.wikimedia.org/wikipedia/commons/thumb/8/87/Iles-Loyaut%C3%A9_drapeau.svg/640px-Iles-Loyaut%C3%A9_drapeau.svg.png",HDFlag:"https://upload.wikimedia.org/wikipedia/commons/thumb/8/87/Iles-Loyaut%C3%A9_drapeau.svg/1280px-Iles-Loyaut%C3%A9_drapeau.svg.png",type:"Province", describe: "\nA yellow disc on a white field defaced with a black flèche faîtière.", links: "https://en.m.wikipedia.org/wiki/Flags_of_New_Caledonia"},</v>
      </c>
      <c r="HH3" s="44" t="str">
        <f>IF(P3&lt;&gt;"",CHAR(34)&amp;"\n"&amp;P3&amp;CHAR(34),CHAR(34)&amp;CHAR(34))</f>
        <v>"\nA yellow disc on a white field defaced with a black flèche faîtière."</v>
      </c>
      <c r="HI3" s="44" t="str">
        <f>IF(J3=0,CHAR(34)&amp;CHAR(34),HH3)</f>
        <v>"\nA yellow disc on a white field defaced with a black flèche faîtière."</v>
      </c>
      <c r="HJ3" s="44" t="str">
        <f>CHAR(34)&amp;O3&amp;CHAR(34)</f>
        <v>"???"</v>
      </c>
      <c r="HL3" s="44" t="str">
        <f>CHAR(34)&amp;I3&amp;CHAR(34)</f>
        <v>"https://en.m.wikipedia.org/wiki/Flags_of_New_Caledonia"</v>
      </c>
      <c r="HM3" s="65"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{"couname":"[NCL] Loyalty Islands Province","year":"???","region":"rgn_Oceania","Colors":["cl_BLA","cl_YEL","cl_WHI"],"Items":["3Color","words2","words3","lets22","startL","with_v","with_y","LAELHI","NoBand","Circle","Unequa","Center","Geogrh","NO_BLU","NO_RED","NO_GRE","BLRENO","myrWHI","hasmap","NoStar"],"Flag":"https://upload.wikimedia.org/wikipedia/commons/thumb/8/87/Iles-Loyaut%C3%A9_drapeau.svg/640px-Iles-Loyaut%C3%A9_drapeau.svg.png","HDFlag":"https://upload.wikimedia.org/wikipedia/commons/thumb/8/87/Iles-Loyaut%C3%A9_drapeau.svg/1280px-Iles-Loyaut%C3%A9_drapeau.svg.png","type":"Province", "describe": "\nA yellow disc on a white field defaced with a black flèche faîtière.", "isnew": ".", "links": "https://en.m.wikipedia.org/wiki/Flags_of_New_Caledonia"},</v>
      </c>
      <c r="HN3" s="67"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{"couname":"[NCL] Loyalty Islands Province","year":"???","region":"rgn_Oceania","Colors":["cl_BLA","cl_YEL","cl_WHI"],"Items":["3Color","words2","words3","lets22","startL","with_v","with_y","LAELHI","NoBand","Circle","Unequa","Center","Geogrh","NO_BLU","NO_RED","NO_GRE","BLRENO","myrWHI","hasmap","NoStar"],"Flag":"https://upload.wikimedia.org/wikipedia/commons/thumb/8/87/Iles-Loyaut%C3%A9_drapeau.svg/640px-Iles-Loyaut%C3%A9_drapeau.svg.png","HDFlag":"https://upload.wikimedia.org/wikipedia/commons/thumb/8/87/Iles-Loyaut%C3%A9_drapeau.svg/1280px-Iles-Loyaut%C3%A9_drapeau.svg.png","type":"Province", "describe": "\nA yellow disc on a white field defaced with a black flèche faîtière.", "isnew": ".", "links": "https://en.m.wikipedia.org/wiki/Flags_of_New_Caledonia"},</v>
      </c>
      <c r="HO3" s="71">
        <v>45610</v>
      </c>
      <c r="HP3" s="44" t="str" cm="1">
        <f t="array" ref="HP3">IF(_xlfn.TEXTJOIN(", ", TRUE, IF(ISNUMBER(SEARCH("BLA", BL3:BT3)), COLUMN(BL3:BT3) - COLUMN(BL3) + 1, ""))&lt;&gt;"","BLA","")</f>
        <v>BLA</v>
      </c>
      <c r="HQ3" s="44" t="str" cm="1">
        <f t="array" ref="HQ3">IF(_xlfn.TEXTJOIN(", ", TRUE, IF(ISNUMBER(SEARCH("BLU", BL3:BT3)), COLUMN(BL3:BT3) - COLUMN(BL3) + 1, ""))&lt;&gt;"","BLU","")</f>
        <v/>
      </c>
      <c r="HR3" s="44" t="str" cm="1">
        <f t="array" ref="HR3">IF(_xlfn.TEXTJOIN(", ", TRUE, IF(ISNUMBER(SEARCH("GRE", BL3:BT3)), COLUMN(BL3:BT3) - COLUMN(BL3) + 1, ""))&lt;&gt;"","GRE","")</f>
        <v/>
      </c>
      <c r="HS3" s="44" t="str" cm="1">
        <f t="array" ref="HS3">IF(_xlfn.TEXTJOIN(", ", TRUE, IF(ISNUMBER(SEARCH("RED", BL3:BT3)), COLUMN(BL3:BT3) - COLUMN(BL3) + 1, ""))&lt;&gt;"","RED","")</f>
        <v/>
      </c>
      <c r="HT3" s="44" t="str" cm="1">
        <f t="array" ref="HT3">IF(_xlfn.TEXTJOIN(", ", TRUE, IF(ISNUMBER(SEARCH("YEL", BL3:BT3)), COLUMN(BL3:BT3) - COLUMN(BL3) + 1, ""))&lt;&gt;"","YEL","")</f>
        <v>YEL</v>
      </c>
      <c r="HU3" s="44" t="str" cm="1">
        <f t="array" ref="HU3">IF(_xlfn.TEXTJOIN(", ", TRUE, IF(ISNUMBER(SEARCH("ORA", BL3:BT3)), COLUMN(BL3:BT3) - COLUMN(BL3) + 1, ""))&lt;&gt;"","ORA","")</f>
        <v/>
      </c>
      <c r="HV3" s="44" t="str" cm="1">
        <f t="array" ref="HV3">IF(_xlfn.TEXTJOIN(", ", TRUE, IF(ISNUMBER(SEARCH("BRO", BL3:BT3)), COLUMN(BL3:BT3) - COLUMN(BL3) + 1, ""))&lt;&gt;"","BRO","")</f>
        <v/>
      </c>
      <c r="HW3" s="44" t="str" cm="1">
        <f t="array" ref="HW3">IF(_xlfn.TEXTJOIN(", ", TRUE, IF(ISNUMBER(SEARCH("PUR", BL3:BT3)), COLUMN(BL3:BT3) - COLUMN(BL3) + 1, ""))&lt;&gt;"","PUR","")</f>
        <v/>
      </c>
      <c r="HX3" s="44" t="str" cm="1">
        <f t="array" ref="HX3">IF(_xlfn.TEXTJOIN(", ", TRUE, IF(ISNUMBER(SEARCH("WHI", BL3:BT3)), COLUMN(BL3:BT3) - COLUMN(BL3) + 1, ""))&lt;&gt;"","WHI","")</f>
        <v>WHI</v>
      </c>
      <c r="HY3" s="72"/>
      <c r="HZ3" s="72"/>
      <c r="IA3" s="5"/>
      <c r="IB3" s="5"/>
      <c r="IC3" s="68"/>
      <c r="ID3" s="68"/>
      <c r="IE3" s="68"/>
      <c r="IF3" s="68"/>
      <c r="IG3" s="68"/>
      <c r="IH3" s="68"/>
      <c r="II3" s="68"/>
      <c r="IJ3" s="68"/>
      <c r="IK3" s="68"/>
      <c r="IM3" s="42">
        <f>COUNTIF(IC3:IK3,"&gt;0")-CG3</f>
        <v>-3</v>
      </c>
      <c r="IN3" s="69" t="str">
        <f>"http://mkweb.bcgsc.ca/color-summarizer/?url="&amp;D3&amp;"&amp;precision=low&amp;num_clusters="&amp;CG3&amp;"&amp;text=1"</f>
        <v>http://mkweb.bcgsc.ca/color-summarizer/?url=https://upload.wikimedia.org/wikipedia/commons/thumb/8/87/Iles-Loyaut%C3%A9_drapeau.svg/640px-Iles-Loyaut%C3%A9_drapeau.svg.png&amp;precision=low&amp;num_clusters=3&amp;text=1</v>
      </c>
      <c r="IO3" s="44" t="str">
        <f>IF(HP3&lt;&gt;"",CHAR(34)&amp;"black"&amp;CHAR(34),"")</f>
        <v>"black"</v>
      </c>
      <c r="IP3" s="44" t="str">
        <f>IF(HQ3&lt;&gt;"",CHAR(34)&amp;"blue"&amp;CHAR(34),"")</f>
        <v/>
      </c>
      <c r="IQ3" s="44" t="str">
        <f>IF(HR3&lt;&gt;"",CHAR(34)&amp;"green"&amp;CHAR(34),"")</f>
        <v/>
      </c>
      <c r="IR3" s="44" t="str">
        <f>IF(HS3&lt;&gt;"",CHAR(34)&amp;"red"&amp;CHAR(34),"")</f>
        <v/>
      </c>
      <c r="IS3" s="44" t="str">
        <f>IF(HT3&lt;&gt;"",CHAR(34)&amp;"yellow"&amp;CHAR(34),"")</f>
        <v>"yellow"</v>
      </c>
      <c r="IT3" s="44" t="str">
        <f>IF(HU3&lt;&gt;"",CHAR(34)&amp;"orange"&amp;CHAR(34),"")</f>
        <v/>
      </c>
      <c r="IU3" s="44" t="str">
        <f>IF(HV3&lt;&gt;"",CHAR(34)&amp;"brown"&amp;CHAR(34),"")</f>
        <v/>
      </c>
      <c r="IV3" s="44" t="str">
        <f>IF(HW3&lt;&gt;"",CHAR(34)&amp;"purple"&amp;CHAR(34),"")</f>
        <v/>
      </c>
      <c r="IW3" s="44" t="str">
        <f>IF(HX3&lt;&gt;"",CHAR(34)&amp;"white"&amp;CHAR(34),"")</f>
        <v>"white"</v>
      </c>
      <c r="IX3" s="44" t="str">
        <f>"{"&amp;CHAR(34)&amp;"url"&amp;CHAR(34)&amp;":"&amp;CHAR(34)&amp;IN3&amp;CHAR(34)&amp;","&amp;CHAR(34)&amp;"name"&amp;CHAR(34)&amp;":"&amp;CHAR(34)&amp;A3&amp;CHAR(34)&amp;"},"</f>
        <v>{"url":"http://mkweb.bcgsc.ca/color-summarizer/?url=https://upload.wikimedia.org/wikipedia/commons/thumb/8/87/Iles-Loyaut%C3%A9_drapeau.svg/640px-Iles-Loyaut%C3%A9_drapeau.svg.png&amp;precision=low&amp;num_clusters=3&amp;text=1","name":"[NCL] Loyalty Islands Province"},</v>
      </c>
      <c r="IY3" s="44">
        <v>1354</v>
      </c>
    </row>
    <row r="4" spans="1:259" s="44" customFormat="1" ht="38.4" customHeight="1" thickBot="1" x14ac:dyDescent="0.35">
      <c r="A4" s="80" t="s">
        <v>709</v>
      </c>
      <c r="B4" s="78" t="e" vm="61">
        <v>#VALUE!</v>
      </c>
      <c r="C4" s="39">
        <v>2</v>
      </c>
      <c r="D4" s="70" t="s">
        <v>710</v>
      </c>
      <c r="E4" s="40" t="s">
        <v>711</v>
      </c>
      <c r="F4" s="41" t="s">
        <v>165</v>
      </c>
      <c r="G4" s="42">
        <f>COUNTIF($A$1:$A$8342,A4)</f>
        <v>1</v>
      </c>
      <c r="H4" s="43"/>
      <c r="I4" s="59" t="s">
        <v>712</v>
      </c>
      <c r="J4" s="44" t="str">
        <f>""</f>
        <v/>
      </c>
      <c r="K4" s="45"/>
      <c r="L4" s="46"/>
      <c r="M4" s="46"/>
      <c r="N4" s="47" t="s">
        <v>177</v>
      </c>
      <c r="O4" s="74" t="s">
        <v>230</v>
      </c>
      <c r="P4" s="48" t="s">
        <v>713</v>
      </c>
      <c r="Q4" s="73">
        <v>2</v>
      </c>
      <c r="R4" s="49" t="s">
        <v>177</v>
      </c>
      <c r="S4" s="50">
        <v>0</v>
      </c>
      <c r="T4" s="51" t="s">
        <v>166</v>
      </c>
      <c r="U4" s="52" t="s">
        <v>166</v>
      </c>
      <c r="V4" s="52" t="s">
        <v>166</v>
      </c>
      <c r="W4" s="52" t="s">
        <v>166</v>
      </c>
      <c r="X4" s="52" t="s">
        <v>167</v>
      </c>
      <c r="Y4" s="52" t="s">
        <v>166</v>
      </c>
      <c r="Z4" s="52" t="s">
        <v>166</v>
      </c>
      <c r="AA4" s="52" t="s">
        <v>166</v>
      </c>
      <c r="AB4" s="52" t="s">
        <v>166</v>
      </c>
      <c r="AC4" s="52" t="s">
        <v>166</v>
      </c>
      <c r="AD4" s="52" t="s">
        <v>166</v>
      </c>
      <c r="AE4" s="52" t="s">
        <v>166</v>
      </c>
      <c r="AF4" s="53" t="s">
        <v>166</v>
      </c>
      <c r="AG4" s="53" t="s">
        <v>167</v>
      </c>
      <c r="AH4" s="53" t="s">
        <v>167</v>
      </c>
      <c r="AI4" s="53" t="s">
        <v>166</v>
      </c>
      <c r="AJ4" s="53" t="s">
        <v>166</v>
      </c>
      <c r="AK4" s="53" t="s">
        <v>166</v>
      </c>
      <c r="AL4" s="53" t="s">
        <v>166</v>
      </c>
      <c r="AM4" s="53" t="s">
        <v>167</v>
      </c>
      <c r="AN4" s="53" t="s">
        <v>166</v>
      </c>
      <c r="AO4" s="53" t="s">
        <v>166</v>
      </c>
      <c r="AP4" s="53" t="s">
        <v>166</v>
      </c>
      <c r="AQ4" s="53" t="s">
        <v>166</v>
      </c>
      <c r="AR4" s="53" t="s">
        <v>166</v>
      </c>
      <c r="AS4" s="53" t="s">
        <v>166</v>
      </c>
      <c r="AT4" s="54">
        <v>0</v>
      </c>
      <c r="AU4" s="53" t="s">
        <v>355</v>
      </c>
      <c r="AV4" s="53" t="str">
        <f>IF(LEFT(A4,1)="[",LEFT(A4,5)&amp;AU4&amp;A4,"")</f>
        <v>[NCL]Province[NCL] North Province</v>
      </c>
      <c r="AW4" s="53" t="str">
        <f>C4&amp;H4&amp;A4</f>
        <v>2[NCL] North Province</v>
      </c>
      <c r="AX4" s="55"/>
      <c r="AY4" s="55"/>
      <c r="AZ4" s="56" t="s">
        <v>231</v>
      </c>
      <c r="BA4" s="56" t="s">
        <v>231</v>
      </c>
      <c r="BB4" s="56"/>
      <c r="BC4" s="57"/>
      <c r="BD4" s="58" t="s">
        <v>161</v>
      </c>
      <c r="BE4" s="59"/>
      <c r="BF4" s="58" t="s">
        <v>231</v>
      </c>
      <c r="BG4" s="58" t="s">
        <v>231</v>
      </c>
      <c r="BH4" s="58" t="s">
        <v>231</v>
      </c>
      <c r="BI4" s="58"/>
      <c r="BJ4" s="58"/>
      <c r="BK4" s="59"/>
      <c r="BL4" s="58" t="s">
        <v>153</v>
      </c>
      <c r="BM4" s="58" t="s">
        <v>154</v>
      </c>
      <c r="BN4" s="58" t="s">
        <v>231</v>
      </c>
      <c r="BO4" s="58" t="s">
        <v>231</v>
      </c>
      <c r="BP4" s="58" t="s">
        <v>231</v>
      </c>
      <c r="BQ4" s="58" t="s">
        <v>231</v>
      </c>
      <c r="BR4" s="58" t="s">
        <v>231</v>
      </c>
      <c r="BS4" s="58" t="s">
        <v>231</v>
      </c>
      <c r="BT4" s="58" t="s">
        <v>161</v>
      </c>
      <c r="BU4" s="60"/>
      <c r="BV4" s="61"/>
      <c r="BW4" s="61">
        <v>0</v>
      </c>
      <c r="BX4" s="59"/>
      <c r="CB4" s="5"/>
      <c r="CC4" s="5"/>
      <c r="CD4" s="62">
        <v>0</v>
      </c>
      <c r="CE4" s="62">
        <v>1</v>
      </c>
      <c r="CF4" s="62" t="e">
        <v>#REF!</v>
      </c>
      <c r="CG4" s="75" cm="1">
        <f t="array" ref="CG4">SUMPRODUCT(--(LEN(TRIM(BL4:BT4))&gt;0))</f>
        <v>3</v>
      </c>
      <c r="CH4" s="53" t="str">
        <f>IF(CG4=2,"y","n")</f>
        <v>n</v>
      </c>
      <c r="CI4" s="53" t="str">
        <f>IF(CG4=3,"y","n")</f>
        <v>y</v>
      </c>
      <c r="CJ4" s="53" t="str">
        <f>IF(CG4=4,"y","n")</f>
        <v>n</v>
      </c>
      <c r="CK4" s="53" t="str">
        <f>IF(CG4&gt;4,"y","n")</f>
        <v>n</v>
      </c>
      <c r="CL4" s="53" t="str">
        <f>IF(S4=0,"y","n")</f>
        <v>y</v>
      </c>
      <c r="CM4" s="53" t="str">
        <f>IF(S4=2,"y","n")</f>
        <v>n</v>
      </c>
      <c r="CN4" s="53" t="str">
        <f>IF(S4=3,"y","n")</f>
        <v>n</v>
      </c>
      <c r="CO4" s="53" t="str">
        <f>IF(S4&gt;=4,"y","n")</f>
        <v>n</v>
      </c>
      <c r="CP4" s="53" t="str">
        <f>IF(AT4=0,"y","n")</f>
        <v>y</v>
      </c>
      <c r="CQ4" s="53" t="str">
        <f>IF(AT4=1,"y","n")</f>
        <v>n</v>
      </c>
      <c r="CR4" s="53" t="str">
        <f>IF(AT4=2,"y","n")</f>
        <v>n</v>
      </c>
      <c r="CS4" s="53" t="str">
        <f>IF(AT4&gt;=3,"y","n")</f>
        <v>n</v>
      </c>
      <c r="CT4" s="38" t="str">
        <f>CHAR(34)&amp;A4&amp;CHAR(34)</f>
        <v>"[NCL] North Province"</v>
      </c>
      <c r="CU4" s="63" t="str">
        <f>CHAR(34)&amp;"rgn_"&amp;R4&amp;CHAR(34)</f>
        <v>"rgn_Oceania"</v>
      </c>
      <c r="CV4" s="44" t="str">
        <f>CHAR(34)&amp;D4&amp;CHAR(34)</f>
        <v>"https://upload.wikimedia.org/wikipedia/commons/thumb/4/42/Drapeau_Province_Nord_Nouvelle_Cal%C3%A9donie.svg/640px-Drapeau_Province_Nord_Nouvelle_Cal%C3%A9donie.svg.png"</v>
      </c>
      <c r="CW4" s="44" t="str">
        <f t="shared" si="0"/>
        <v/>
      </c>
      <c r="CX4" s="44" t="str">
        <f t="shared" si="0"/>
        <v>"3Color",</v>
      </c>
      <c r="CY4" s="44" t="str">
        <f t="shared" si="0"/>
        <v/>
      </c>
      <c r="CZ4" s="44" t="str">
        <f t="shared" si="0"/>
        <v/>
      </c>
      <c r="DA4" s="44" t="str">
        <f>IF(Q4&gt;1,CHAR(34)&amp;"words2"&amp;CHAR(34)&amp;",","")</f>
        <v>"words2",</v>
      </c>
      <c r="DB4" s="44" t="str">
        <f>IF(Q4&gt;2,CHAR(34)&amp;"words3"&amp;CHAR(34)&amp;",","")</f>
        <v/>
      </c>
      <c r="DD4" s="44" t="str">
        <f>IF(LEN(CHAR(34)&amp;"lets"&amp;LEN(SUBSTITUTE(SUBSTITUTE(IFERROR(TRIM(SUBSTITUTE(A4,MID(A4,FIND("[",A4),FIND("]",A4)-FIND("[",A4)+1),"")),A4)," ",""),"-",""))&amp;CHAR(34)&amp;",")=9,CHAR(34)&amp;"lets"&amp;LEN(SUBSTITUTE(SUBSTITUTE(IFERROR(TRIM(SUBSTITUTE(A4,MID(A4,FIND("[",A4),FIND("]",A4)-FIND("[",A4)+1),"")),A4)," ",""),"-",""))&amp;CHAR(34)&amp;",",CHAR(34)&amp;"lets0"&amp;LEN(SUBSTITUTE(SUBSTITUTE(IFERROR(TRIM(SUBSTITUTE(A4,MID(A4,FIND("[",A4),FIND("]",A4)-FIND("[",A4)+1),"")),A4)," ",""),"-",""))&amp;CHAR(34)&amp;",")</f>
        <v>"lets13",</v>
      </c>
      <c r="DE4" s="44" t="str">
        <f>CHAR(34)&amp;"start"&amp;IFERROR(LEFT(SUBSTITUTE(A4,"["&amp;MID(A4,FIND("[",A4)+1,FIND("]",A4)-FIND("[",A4)-1)&amp;"] ",""),1),LEFT(A4,1))&amp;CHAR(34)&amp;","</f>
        <v>"startN",</v>
      </c>
      <c r="DF4" s="44" t="str">
        <f>IFERROR(IF(SEARCH("tan",A4)&gt;0,CHAR(34)&amp;"withtn"&amp;CHAR(34)&amp;",",""),"")</f>
        <v/>
      </c>
      <c r="DG4" s="44" t="str">
        <f>IFERROR(IF(SEARCH("q",A4)&gt;0,CHAR(34)&amp;"with_q"&amp;CHAR(34)&amp;",",""),"")</f>
        <v/>
      </c>
      <c r="DH4" s="44" t="str">
        <f>IFERROR(IF(SEARCH("v",A4)&gt;0,CHAR(34)&amp;"with_v"&amp;CHAR(34)&amp;",",""),"")</f>
        <v>"with_v",</v>
      </c>
      <c r="DI4" s="44" t="str">
        <f>IFERROR(IF(SEARCH("w",A4)&gt;0,CHAR(34)&amp;"with_w"&amp;CHAR(34)&amp;",",""),"")</f>
        <v/>
      </c>
      <c r="DJ4" s="44" t="str">
        <f>IFERROR(IF(SEARCH("y",A4)&gt;0,CHAR(34)&amp;"with_y"&amp;CHAR(34)&amp;",",""),"")</f>
        <v/>
      </c>
      <c r="DK4" s="44" t="str">
        <f>IFERROR(IF(SEARCH("z",A4)&gt;0,CHAR(34)&amp;"with_z"&amp;CHAR(34)&amp;",",""),"")</f>
        <v/>
      </c>
      <c r="DL4" s="44" t="str">
        <f>IF(CG4=2, CHAR(34) &amp; _xlfn.TEXTJOIN("", TRUE, _xlfn._xlws.SORT(HP4:HX4)) &amp; CHAR(34) &amp; ",", "")</f>
        <v/>
      </c>
      <c r="DM4" s="44" t="str" cm="1">
        <f t="array" ref="DM4">IF(CG4=3,CHAR(34) &amp; _xlfn.TEXTJOIN("", TRUE, RIGHT(HP4:HX4, 2)) &amp; CHAR(34) &amp; ",", "")</f>
        <v>"LALUHI",</v>
      </c>
      <c r="DN4" s="44" t="str">
        <f>IF(AND(ISNUMBER(SEARCH("18", O4)), ISERROR(SEARCH("1918", O4)), ISERROR(SEARCH("2018", O4))), CHAR(34) &amp; "year18" &amp; CHAR(34) &amp; ",", "")</f>
        <v/>
      </c>
      <c r="DO4" s="44" t="str">
        <f>IF(AND(ISNUMBER(SEARCH("19", O4)), ISERROR(SEARCH("1819", O4)),  ISERROR(SEARCH("1219", O4)),ISERROR(SEARCH("1119", O4)),ISERROR(SEARCH("1190", O4)),ISERROR(SEARCH("2019", O4))), CHAR(34) &amp; "year19" &amp; CHAR(34) &amp; ",", "")</f>
        <v/>
      </c>
      <c r="DP4" s="5" t="str">
        <f>IF(AND(ISNUMBER(SEARCH("20", O4)), ISERROR(SEARCH("1920", O4))), CHAR(34)&amp;"year00"&amp;CHAR(34)&amp;",", "")</f>
        <v/>
      </c>
      <c r="DQ4" s="5" t="str">
        <f>IF(CC4="y",CHAR(34)&amp;"soviet"&amp;CHAR(34)&amp;",","")</f>
        <v/>
      </c>
      <c r="DR4" s="5" t="str">
        <f>IF(BY4="y",CHAR(34)&amp;"dgband"&amp;CHAR(34)&amp;",","")</f>
        <v/>
      </c>
      <c r="DS4" s="5" t="str">
        <f>IF(W4="y",IF(AND(V4="n",BY4&lt;&gt;"y"),CHAR(34)&amp;"allver"&amp;CHAR(34)&amp;",",""),"")</f>
        <v/>
      </c>
      <c r="DT4" s="5" t="str">
        <f>IF(V4="y",IF(AND(W4="n",BY4&lt;&gt;"y"),CHAR(34)&amp;"allhor"&amp;CHAR(34)&amp;",",""),"")</f>
        <v/>
      </c>
      <c r="DU4" s="5" t="str">
        <f>IF(BY4="y",IF(AND(W4="n",V4="n"),CHAR(34)&amp;"alldia"&amp;CHAR(34)&amp;",",""),"")</f>
        <v/>
      </c>
      <c r="DW4" s="44" t="str">
        <f t="shared" si="1"/>
        <v>"NoBand",</v>
      </c>
      <c r="DX4" s="44" t="str">
        <f t="shared" si="1"/>
        <v/>
      </c>
      <c r="DY4" s="44" t="str">
        <f t="shared" si="1"/>
        <v/>
      </c>
      <c r="DZ4" s="44" t="str">
        <f t="shared" si="1"/>
        <v/>
      </c>
      <c r="EA4" s="44" t="str">
        <f t="shared" si="2"/>
        <v/>
      </c>
      <c r="EB4" s="44" t="str">
        <f t="shared" si="2"/>
        <v/>
      </c>
      <c r="EC4" s="44" t="str">
        <f t="shared" si="2"/>
        <v/>
      </c>
      <c r="ED4" s="44" t="str">
        <f t="shared" si="2"/>
        <v/>
      </c>
      <c r="EE4" s="44" t="str">
        <f t="shared" si="2"/>
        <v>"Circle",</v>
      </c>
      <c r="EF4" s="44" t="str">
        <f>IF(AND(Y4&lt;&gt;"n",Y4&lt;&gt;""),CHAR(34)&amp;Y$1&amp;CHAR(34)&amp;",","")</f>
        <v/>
      </c>
      <c r="EG4" s="44" t="str">
        <f t="shared" si="3"/>
        <v/>
      </c>
      <c r="EH4" s="44" t="str">
        <f t="shared" si="3"/>
        <v/>
      </c>
      <c r="EI4" s="44" t="str">
        <f t="shared" si="3"/>
        <v/>
      </c>
      <c r="EJ4" s="44" t="str">
        <f t="shared" si="3"/>
        <v/>
      </c>
      <c r="EK4" s="44" t="str">
        <f t="shared" si="3"/>
        <v/>
      </c>
      <c r="EL4" s="44" t="str">
        <f t="shared" si="3"/>
        <v/>
      </c>
      <c r="EM4" s="44" t="str">
        <f t="shared" si="3"/>
        <v/>
      </c>
      <c r="EN4" s="44" t="str">
        <f t="shared" si="3"/>
        <v>"Unequa",</v>
      </c>
      <c r="EO4" s="44" t="str">
        <f t="shared" si="3"/>
        <v>"Center",</v>
      </c>
      <c r="EP4" s="44" t="str">
        <f t="shared" si="3"/>
        <v/>
      </c>
      <c r="EQ4" s="44" t="str">
        <f t="shared" si="4"/>
        <v/>
      </c>
      <c r="ER4" s="44" t="str">
        <f t="shared" si="4"/>
        <v/>
      </c>
      <c r="ES4" s="44" t="str">
        <f t="shared" si="4"/>
        <v/>
      </c>
      <c r="ET4" s="44" t="str">
        <f t="shared" si="4"/>
        <v>"Geogrh",</v>
      </c>
      <c r="EU4" s="44" t="str">
        <f t="shared" si="4"/>
        <v/>
      </c>
      <c r="EV4" s="44" t="str">
        <f t="shared" si="4"/>
        <v/>
      </c>
      <c r="EW4" s="44" t="str">
        <f t="shared" si="4"/>
        <v/>
      </c>
      <c r="EX4" s="44" t="str">
        <f t="shared" si="4"/>
        <v/>
      </c>
      <c r="EY4" s="44" t="str">
        <f t="shared" si="4"/>
        <v/>
      </c>
      <c r="EZ4" s="44" t="str">
        <f t="shared" si="4"/>
        <v/>
      </c>
      <c r="FA4" s="44" t="str">
        <f>IF(AT4&gt;0,CHAR(34)&amp;"sta"&amp;AZ4&amp;CHAR(34)&amp;",","")</f>
        <v/>
      </c>
      <c r="FB4" s="44" t="str">
        <f>IF(AND(AT4&gt;0,BA4&lt;&gt;""),CHAR(34)&amp;"sta"&amp;BA4&amp;CHAR(34)&amp;",","")</f>
        <v/>
      </c>
      <c r="FD4" s="44" t="str">
        <f>IF(BV4="n",CHAR(34)&amp;"tcWHYE"&amp;CHAR(34)&amp;",",IF(BV4="y",CHAR(34)&amp;FD$1&amp;CHAR(34)&amp;",",""))</f>
        <v/>
      </c>
      <c r="FE4" s="44" t="str">
        <f>IF(COUNTIF(BL4:BT4,"BLU")=0,CHAR(34)&amp;"NO_BLU"&amp;CHAR(34)&amp;",", "")</f>
        <v/>
      </c>
      <c r="FF4" s="44" t="str">
        <f>IF(COUNTIF(BL4:BT4,"WHI")=0,CHAR(34)&amp;"NO_WHI"&amp;CHAR(34)&amp;",", "")</f>
        <v/>
      </c>
      <c r="FG4" s="44" t="str">
        <f>IF(COUNTIF(BL4:BT4,"RED")=0,CHAR(34)&amp;"NO_RED"&amp;CHAR(34)&amp;",", "")</f>
        <v>"NO_RED",</v>
      </c>
      <c r="FH4" s="44" t="str">
        <f>IF(COUNTIF(BL4:BS4,"GRE")=0,CHAR(34)&amp;"NO_GRE"&amp;CHAR(34)&amp;",", "")</f>
        <v>"NO_GRE",</v>
      </c>
      <c r="FI4" s="44" t="str">
        <f>IF(COUNTIF(BL4:BT4,"YEL")=0,CHAR(34)&amp;"NO_YEL"&amp;CHAR(34)&amp;",", "")</f>
        <v>"NO_YEL",</v>
      </c>
      <c r="FJ4" s="44" t="str">
        <f>IF(COUNTIF(BL4:BT4,"BLA")=0,CHAR(34)&amp;"NO_BLA"&amp;CHAR(34)&amp;",", "")</f>
        <v/>
      </c>
      <c r="FK4" s="44" t="str">
        <f>IF(AND(FH4&lt;&gt;"",FF4&lt;&gt;""),CHAR(34)&amp;"WHGRNO"&amp;CHAR(34)&amp;",","")</f>
        <v/>
      </c>
      <c r="FL4" s="44" t="str">
        <f>IF(AND(FI4&lt;&gt;"",FF4&lt;&gt;""),CHAR(34)&amp;"WHYENO"&amp;CHAR(34)&amp;",","")</f>
        <v/>
      </c>
      <c r="FM4" s="44" t="str">
        <f>IF(AND(FJ4&lt;&gt;"",FF4&lt;&gt;""),CHAR(34)&amp;"BAWHNO"&amp;CHAR(34)&amp;",","")</f>
        <v/>
      </c>
      <c r="FN4" s="44" t="str">
        <f>IF(AND(FE4&lt;&gt;"",FF4&lt;&gt;""),CHAR(34)&amp;"BLWHNO"&amp;CHAR(34)&amp;",","")</f>
        <v/>
      </c>
      <c r="FO4" s="44" t="str">
        <f>IF(AND(FE4&lt;&gt;"",FG4&lt;&gt;""),CHAR(34)&amp;"BLRENO"&amp;CHAR(34)&amp;",","")</f>
        <v/>
      </c>
      <c r="FP4" s="44" t="str">
        <f>IF(AND(FF4&lt;&gt;"",FF4&lt;&gt;""),CHAR(34)&amp;"WHRENO"&amp;CHAR(34)&amp;",","")</f>
        <v/>
      </c>
      <c r="FQ4" s="44" t="str">
        <f>IF(LEN(BF4)=3,CHAR(34)&amp;"001"&amp;BF4&amp;CHAR(34)&amp;",","")</f>
        <v/>
      </c>
      <c r="FR4" s="44" t="str">
        <f>IF(LEN(BG4)=3,CHAR(34)&amp;"002"&amp;BG4&amp;CHAR(34)&amp;",","")</f>
        <v/>
      </c>
      <c r="FS4" s="44" t="str">
        <f>IF(LEN(BH4)=3,CHAR(34)&amp;"003"&amp;BH4&amp;CHAR(34)&amp;",","")</f>
        <v/>
      </c>
      <c r="FT4" s="44" t="str">
        <f>CHAR(34)&amp;"myr"&amp;BD4&amp;CHAR(34)&amp;","</f>
        <v>"myrWHI",</v>
      </c>
      <c r="FU4" s="44" t="str">
        <f>IF(AY4="y",CHAR(34)&amp;"island"&amp;CHAR(34)&amp;",","")</f>
        <v/>
      </c>
      <c r="FV4" s="44" t="str">
        <f>IF(BZ4="y",CHAR(34)&amp;"landlo"&amp;CHAR(34)&amp;",","")</f>
        <v/>
      </c>
      <c r="FW4" s="44" t="str">
        <f>IF(CA4="y",CHAR(34)&amp;"eunion"&amp;CHAR(34)&amp;",","")</f>
        <v/>
      </c>
      <c r="FY4" s="44" t="str">
        <f>IFERROR(IF(SEARCH("Arabic",CB4)&gt;0,CHAR(34)&amp;"arabic"&amp;CHAR(34)&amp;",",""),"")</f>
        <v/>
      </c>
      <c r="FZ4" s="44" t="str">
        <f>IFERROR(IF(SEARCH("English",CB4)&gt;0,CHAR(34)&amp;"englis"&amp;CHAR(34)&amp;",",""),"")</f>
        <v/>
      </c>
      <c r="GA4" s="44" t="str">
        <f>IFERROR(IF(SEARCH("French",CB4)&gt;0,CHAR(34)&amp;"french"&amp;CHAR(34)&amp;",",""),"")</f>
        <v/>
      </c>
      <c r="GB4" s="44" t="str">
        <f>IFERROR(IF(SEARCH("Spanish",CB4)&gt;0,CHAR(34)&amp;"spanis"&amp;CHAR(34)&amp;",",""),"")</f>
        <v/>
      </c>
      <c r="GE4" s="44" t="str">
        <f t="shared" si="5"/>
        <v/>
      </c>
      <c r="GF4" s="44" t="str">
        <f>IFERROR(IF(SEARCH("Historical",AU4)&gt;0,CHAR(34)&amp;"histor"&amp;CHAR(34)&amp;",",""),"")</f>
        <v/>
      </c>
      <c r="GG4" s="44" t="str">
        <f t="shared" si="6"/>
        <v/>
      </c>
      <c r="GH4" s="44" t="str">
        <f t="shared" si="7"/>
        <v/>
      </c>
      <c r="GI4" s="44" t="str">
        <f t="shared" si="8"/>
        <v>"hasmap",</v>
      </c>
      <c r="GJ4" s="44" t="str">
        <f>IF(CP4="y",CHAR(34)&amp;CP$1&amp;CHAR(34)&amp;",","")</f>
        <v>"NoStar",</v>
      </c>
      <c r="GK4" s="44" t="str">
        <f>IF(GJ4="",CHAR(34)&amp;"HasSta"&amp;CHAR(34)&amp;",","")</f>
        <v/>
      </c>
      <c r="GL4" s="44" t="str">
        <f t="shared" si="9"/>
        <v/>
      </c>
      <c r="GM4" s="44" t="str">
        <f t="shared" si="9"/>
        <v/>
      </c>
      <c r="GN4" s="44" t="str">
        <f t="shared" si="9"/>
        <v/>
      </c>
      <c r="GP4" s="44" t="str">
        <f>CHAR(34)&amp;AU4&amp;CHAR(34)</f>
        <v>"Province"</v>
      </c>
      <c r="GS4" s="44" t="str">
        <f>SUBSTITUTE("["&amp;_xlfn.CONCAT(CW4:GN4)&amp;"]",",]","]")</f>
        <v>["3Color","words2","lets13","startN","with_v","LALUHI","NoBand","Circle","Unequa","Center","Geogrh","NO_RED","NO_GRE","NO_YEL","myrWHI","hasmap","NoStar"]</v>
      </c>
      <c r="GT4" s="44" t="str">
        <f t="shared" si="10"/>
        <v>"cl_BLA",</v>
      </c>
      <c r="GU4" s="44" t="str">
        <f t="shared" si="10"/>
        <v>"cl_BLU",</v>
      </c>
      <c r="GV4" s="44" t="str">
        <f t="shared" si="10"/>
        <v/>
      </c>
      <c r="GW4" s="44" t="str">
        <f t="shared" si="10"/>
        <v/>
      </c>
      <c r="GX4" s="44" t="str">
        <f t="shared" si="10"/>
        <v/>
      </c>
      <c r="GY4" s="44" t="str">
        <f t="shared" si="10"/>
        <v/>
      </c>
      <c r="GZ4" s="44" t="str">
        <f t="shared" si="10"/>
        <v/>
      </c>
      <c r="HA4" s="44" t="str">
        <f t="shared" si="10"/>
        <v/>
      </c>
      <c r="HB4" s="44" t="str">
        <f t="shared" si="10"/>
        <v>"cl_WHI",</v>
      </c>
      <c r="HC4" s="44" t="str">
        <f>SUBSTITUTE("["&amp;_xlfn.CONCAT(GT4:HB4)&amp;"]",",]","]")</f>
        <v>["cl_BLA","cl_BLU","cl_WHI"]</v>
      </c>
      <c r="HE4" s="64"/>
      <c r="HF4" s="65" t="str">
        <f>"{couname:"&amp;CT4&amp;(IF(HK4&lt;&gt;"",",subtype:"&amp;CHAR(34)&amp;HK4&amp;CHAR(34),""))&amp;",year:"&amp;HJ4&amp;",region:"&amp;CU4&amp;",Colors:"&amp;HC4&amp;",Items:"&amp;GS4&amp;",Flag:"&amp;CV4&amp;",HDFlag:"&amp;CHAR(34)&amp;E4&amp;CHAR(34)&amp;",type:"&amp;GP4&amp;", describe: "&amp;HH4&amp;", isnew:"&amp;CHAR(34)&amp;F4&amp;CHAR(34)&amp;", links: "&amp;HL4&amp;"},"</f>
        <v>{couname:"[NCL] North Province",year:"???",region:"rgn_Oceania",Colors:["cl_BLA","cl_BLU","cl_WHI"],Items:["3Color","words2","lets13","startN","with_v","LALUHI","NoBand","Circle","Unequa","Center","Geogrh","NO_RED","NO_GRE","NO_YEL","myrWHI","hasmap","NoStar"],Flag:"https://upload.wikimedia.org/wikipedia/commons/thumb/4/42/Drapeau_Province_Nord_Nouvelle_Cal%C3%A9donie.svg/640px-Drapeau_Province_Nord_Nouvelle_Cal%C3%A9donie.svg.png",HDFlag:"https://upload.wikimedia.org/wikipedia/commons/thumb/4/42/Drapeau_Province_Nord_Nouvelle_Cal%C3%A9donie.svg/1280px-Drapeau_Province_Nord_Nouvelle_Cal%C3%A9donie.svg.png",type:"Province", describe: "\nA map of the region on a white field defaced with a black flèche faîtière", isnew:".", links: "https://en.m.wikipedia.org/wiki/North_Province,_New_Caledonia"},</v>
      </c>
      <c r="HG4" s="66" t="str">
        <f>"{couname:"&amp;CT4&amp;(IF(HK4&lt;&gt;"",",subtype:"&amp;CHAR(34)&amp;HK4&amp;CHAR(34),""))&amp;",year:"&amp;HJ4&amp;",region:"&amp;CU4&amp;",Colors:"&amp;HC4&amp;",Items:"&amp;GS4&amp;",Flag:"&amp;CV4&amp;",HDFlag:"&amp;CHAR(34)&amp;E4&amp;CHAR(34)&amp;",type:"&amp;GP4&amp;", describe: "&amp;HI4&amp;", links: "&amp;HL4&amp;"},"</f>
        <v>{couname:"[NCL] North Province",year:"???",region:"rgn_Oceania",Colors:["cl_BLA","cl_BLU","cl_WHI"],Items:["3Color","words2","lets13","startN","with_v","LALUHI","NoBand","Circle","Unequa","Center","Geogrh","NO_RED","NO_GRE","NO_YEL","myrWHI","hasmap","NoStar"],Flag:"https://upload.wikimedia.org/wikipedia/commons/thumb/4/42/Drapeau_Province_Nord_Nouvelle_Cal%C3%A9donie.svg/640px-Drapeau_Province_Nord_Nouvelle_Cal%C3%A9donie.svg.png",HDFlag:"https://upload.wikimedia.org/wikipedia/commons/thumb/4/42/Drapeau_Province_Nord_Nouvelle_Cal%C3%A9donie.svg/1280px-Drapeau_Province_Nord_Nouvelle_Cal%C3%A9donie.svg.png",type:"Province", describe: "\nA map of the region on a white field defaced with a black flèche faîtière", links: "https://en.m.wikipedia.org/wiki/North_Province,_New_Caledonia"},</v>
      </c>
      <c r="HH4" s="44" t="str">
        <f>IF(P4&lt;&gt;"",CHAR(34)&amp;"\n"&amp;P4&amp;CHAR(34),CHAR(34)&amp;CHAR(34))</f>
        <v>"\nA map of the region on a white field defaced with a black flèche faîtière"</v>
      </c>
      <c r="HI4" s="44" t="str">
        <f>IF(J4=0,CHAR(34)&amp;CHAR(34),HH4)</f>
        <v>"\nA map of the region on a white field defaced with a black flèche faîtière"</v>
      </c>
      <c r="HJ4" s="44" t="str">
        <f>CHAR(34)&amp;O4&amp;CHAR(34)</f>
        <v>"???"</v>
      </c>
      <c r="HL4" s="44" t="str">
        <f>CHAR(34)&amp;I4&amp;CHAR(34)</f>
        <v>"https://en.m.wikipedia.org/wiki/North_Province,_New_Caledonia"</v>
      </c>
      <c r="HM4" s="65"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"&amp;HH4&amp;", "&amp;CHAR(34)&amp;"isnew"&amp;CHAR(34)&amp;": "&amp;CHAR(34)&amp;F4&amp;CHAR(34)&amp;", "&amp;CHAR(34)&amp;"links"&amp;CHAR(34)&amp;": "&amp;HL4&amp;"},"</f>
        <v>{"couname":"[NCL] North Province","year":"???","region":"rgn_Oceania","Colors":["cl_BLA","cl_BLU","cl_WHI"],"Items":["3Color","words2","lets13","startN","with_v","LALUHI","NoBand","Circle","Unequa","Center","Geogrh","NO_RED","NO_GRE","NO_YEL","myrWHI","hasmap","NoStar"],"Flag":"https://upload.wikimedia.org/wikipedia/commons/thumb/4/42/Drapeau_Province_Nord_Nouvelle_Cal%C3%A9donie.svg/640px-Drapeau_Province_Nord_Nouvelle_Cal%C3%A9donie.svg.png","HDFlag":"https://upload.wikimedia.org/wikipedia/commons/thumb/4/42/Drapeau_Province_Nord_Nouvelle_Cal%C3%A9donie.svg/1280px-Drapeau_Province_Nord_Nouvelle_Cal%C3%A9donie.svg.png","type":"Province", "describe": "\nA map of the region on a white field defaced with a black flèche faîtière", "isnew": ".", "links": "https://en.m.wikipedia.org/wiki/North_Province,_New_Caledonia"},</v>
      </c>
      <c r="HN4" s="67"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"&amp;HI4&amp;", "&amp;CHAR(34)&amp;"isnew"&amp;CHAR(34)&amp;": "&amp;CHAR(34)&amp;F4&amp;CHAR(34)&amp;", "&amp;CHAR(34)&amp;"links"&amp;CHAR(34)&amp;": "&amp;HL4&amp;"},"</f>
        <v>{"couname":"[NCL] North Province","year":"???","region":"rgn_Oceania","Colors":["cl_BLA","cl_BLU","cl_WHI"],"Items":["3Color","words2","lets13","startN","with_v","LALUHI","NoBand","Circle","Unequa","Center","Geogrh","NO_RED","NO_GRE","NO_YEL","myrWHI","hasmap","NoStar"],"Flag":"https://upload.wikimedia.org/wikipedia/commons/thumb/4/42/Drapeau_Province_Nord_Nouvelle_Cal%C3%A9donie.svg/640px-Drapeau_Province_Nord_Nouvelle_Cal%C3%A9donie.svg.png","HDFlag":"https://upload.wikimedia.org/wikipedia/commons/thumb/4/42/Drapeau_Province_Nord_Nouvelle_Cal%C3%A9donie.svg/1280px-Drapeau_Province_Nord_Nouvelle_Cal%C3%A9donie.svg.png","type":"Province", "describe": "\nA map of the region on a white field defaced with a black flèche faîtière", "isnew": ".", "links": "https://en.m.wikipedia.org/wiki/North_Province,_New_Caledonia"},</v>
      </c>
      <c r="HO4" s="71">
        <v>45610</v>
      </c>
      <c r="HP4" s="44" t="str" cm="1">
        <f t="array" ref="HP4">IF(_xlfn.TEXTJOIN(", ", TRUE, IF(ISNUMBER(SEARCH("BLA", BL4:BT4)), COLUMN(BL4:BT4) - COLUMN(BL4) + 1, ""))&lt;&gt;"","BLA","")</f>
        <v>BLA</v>
      </c>
      <c r="HQ4" s="44" t="str" cm="1">
        <f t="array" ref="HQ4">IF(_xlfn.TEXTJOIN(", ", TRUE, IF(ISNUMBER(SEARCH("BLU", BL4:BT4)), COLUMN(BL4:BT4) - COLUMN(BL4) + 1, ""))&lt;&gt;"","BLU","")</f>
        <v>BLU</v>
      </c>
      <c r="HR4" s="44" t="str" cm="1">
        <f t="array" ref="HR4">IF(_xlfn.TEXTJOIN(", ", TRUE, IF(ISNUMBER(SEARCH("GRE", BL4:BT4)), COLUMN(BL4:BT4) - COLUMN(BL4) + 1, ""))&lt;&gt;"","GRE","")</f>
        <v/>
      </c>
      <c r="HS4" s="44" t="str" cm="1">
        <f t="array" ref="HS4">IF(_xlfn.TEXTJOIN(", ", TRUE, IF(ISNUMBER(SEARCH("RED", BL4:BT4)), COLUMN(BL4:BT4) - COLUMN(BL4) + 1, ""))&lt;&gt;"","RED","")</f>
        <v/>
      </c>
      <c r="HT4" s="44" t="str" cm="1">
        <f t="array" ref="HT4">IF(_xlfn.TEXTJOIN(", ", TRUE, IF(ISNUMBER(SEARCH("YEL", BL4:BT4)), COLUMN(BL4:BT4) - COLUMN(BL4) + 1, ""))&lt;&gt;"","YEL","")</f>
        <v/>
      </c>
      <c r="HU4" s="44" t="str" cm="1">
        <f t="array" ref="HU4">IF(_xlfn.TEXTJOIN(", ", TRUE, IF(ISNUMBER(SEARCH("ORA", BL4:BT4)), COLUMN(BL4:BT4) - COLUMN(BL4) + 1, ""))&lt;&gt;"","ORA","")</f>
        <v/>
      </c>
      <c r="HV4" s="44" t="str" cm="1">
        <f t="array" ref="HV4">IF(_xlfn.TEXTJOIN(", ", TRUE, IF(ISNUMBER(SEARCH("BRO", BL4:BT4)), COLUMN(BL4:BT4) - COLUMN(BL4) + 1, ""))&lt;&gt;"","BRO","")</f>
        <v/>
      </c>
      <c r="HW4" s="44" t="str" cm="1">
        <f t="array" ref="HW4">IF(_xlfn.TEXTJOIN(", ", TRUE, IF(ISNUMBER(SEARCH("PUR", BL4:BT4)), COLUMN(BL4:BT4) - COLUMN(BL4) + 1, ""))&lt;&gt;"","PUR","")</f>
        <v/>
      </c>
      <c r="HX4" s="44" t="str" cm="1">
        <f t="array" ref="HX4">IF(_xlfn.TEXTJOIN(", ", TRUE, IF(ISNUMBER(SEARCH("WHI", BL4:BT4)), COLUMN(BL4:BT4) - COLUMN(BL4) + 1, ""))&lt;&gt;"","WHI","")</f>
        <v>WHI</v>
      </c>
      <c r="HY4" s="72"/>
      <c r="HZ4" s="72"/>
      <c r="IA4" s="5"/>
      <c r="IB4" s="5"/>
      <c r="IC4" s="68"/>
      <c r="ID4" s="68"/>
      <c r="IE4" s="68"/>
      <c r="IF4" s="68"/>
      <c r="IG4" s="68"/>
      <c r="IH4" s="68"/>
      <c r="II4" s="68"/>
      <c r="IJ4" s="68"/>
      <c r="IK4" s="68"/>
      <c r="IM4" s="42">
        <f>COUNTIF(IC4:IK4,"&gt;0")-CG4</f>
        <v>-3</v>
      </c>
      <c r="IN4" s="69" t="str">
        <f>"http://mkweb.bcgsc.ca/color-summarizer/?url="&amp;D4&amp;"&amp;precision=low&amp;num_clusters="&amp;CG4&amp;"&amp;text=1"</f>
        <v>http://mkweb.bcgsc.ca/color-summarizer/?url=https://upload.wikimedia.org/wikipedia/commons/thumb/4/42/Drapeau_Province_Nord_Nouvelle_Cal%C3%A9donie.svg/640px-Drapeau_Province_Nord_Nouvelle_Cal%C3%A9donie.svg.png&amp;precision=low&amp;num_clusters=3&amp;text=1</v>
      </c>
      <c r="IO4" s="44" t="str">
        <f>IF(HP4&lt;&gt;"",CHAR(34)&amp;"black"&amp;CHAR(34),"")</f>
        <v>"black"</v>
      </c>
      <c r="IP4" s="44" t="str">
        <f>IF(HQ4&lt;&gt;"",CHAR(34)&amp;"blue"&amp;CHAR(34),"")</f>
        <v>"blue"</v>
      </c>
      <c r="IQ4" s="44" t="str">
        <f>IF(HR4&lt;&gt;"",CHAR(34)&amp;"green"&amp;CHAR(34),"")</f>
        <v/>
      </c>
      <c r="IR4" s="44" t="str">
        <f>IF(HS4&lt;&gt;"",CHAR(34)&amp;"red"&amp;CHAR(34),"")</f>
        <v/>
      </c>
      <c r="IS4" s="44" t="str">
        <f>IF(HT4&lt;&gt;"",CHAR(34)&amp;"yellow"&amp;CHAR(34),"")</f>
        <v/>
      </c>
      <c r="IT4" s="44" t="str">
        <f>IF(HU4&lt;&gt;"",CHAR(34)&amp;"orange"&amp;CHAR(34),"")</f>
        <v/>
      </c>
      <c r="IU4" s="44" t="str">
        <f>IF(HV4&lt;&gt;"",CHAR(34)&amp;"brown"&amp;CHAR(34),"")</f>
        <v/>
      </c>
      <c r="IV4" s="44" t="str">
        <f>IF(HW4&lt;&gt;"",CHAR(34)&amp;"purple"&amp;CHAR(34),"")</f>
        <v/>
      </c>
      <c r="IW4" s="44" t="str">
        <f>IF(HX4&lt;&gt;"",CHAR(34)&amp;"white"&amp;CHAR(34),"")</f>
        <v>"white"</v>
      </c>
      <c r="IX4" s="44" t="str">
        <f>"{"&amp;CHAR(34)&amp;"url"&amp;CHAR(34)&amp;":"&amp;CHAR(34)&amp;IN4&amp;CHAR(34)&amp;","&amp;CHAR(34)&amp;"name"&amp;CHAR(34)&amp;":"&amp;CHAR(34)&amp;A4&amp;CHAR(34)&amp;"},"</f>
        <v>{"url":"http://mkweb.bcgsc.ca/color-summarizer/?url=https://upload.wikimedia.org/wikipedia/commons/thumb/4/42/Drapeau_Province_Nord_Nouvelle_Cal%C3%A9donie.svg/640px-Drapeau_Province_Nord_Nouvelle_Cal%C3%A9donie.svg.png&amp;precision=low&amp;num_clusters=3&amp;text=1","name":"[NCL] North Province"},</v>
      </c>
      <c r="IY4" s="44">
        <v>1355</v>
      </c>
    </row>
    <row r="5" spans="1:259" s="44" customFormat="1" ht="38.4" customHeight="1" thickBot="1" x14ac:dyDescent="0.35">
      <c r="A5" s="80" t="s">
        <v>714</v>
      </c>
      <c r="B5" s="78" t="e" vm="62">
        <v>#VALUE!</v>
      </c>
      <c r="C5" s="39">
        <v>2</v>
      </c>
      <c r="D5" s="70" t="s">
        <v>715</v>
      </c>
      <c r="E5" s="40" t="s">
        <v>716</v>
      </c>
      <c r="F5" s="41" t="s">
        <v>165</v>
      </c>
      <c r="G5" s="42">
        <f>COUNTIF($A$1:$A$8342,A5)</f>
        <v>1</v>
      </c>
      <c r="H5" s="43"/>
      <c r="I5" s="59" t="s">
        <v>717</v>
      </c>
      <c r="J5" s="44" t="str">
        <f>""</f>
        <v/>
      </c>
      <c r="K5" s="45"/>
      <c r="L5" s="46"/>
      <c r="M5" s="46"/>
      <c r="N5" s="47" t="s">
        <v>177</v>
      </c>
      <c r="O5" s="74" t="s">
        <v>230</v>
      </c>
      <c r="P5" s="48" t="s">
        <v>718</v>
      </c>
      <c r="Q5" s="73">
        <v>2</v>
      </c>
      <c r="R5" s="49" t="s">
        <v>177</v>
      </c>
      <c r="S5" s="50">
        <v>0</v>
      </c>
      <c r="T5" s="51" t="s">
        <v>166</v>
      </c>
      <c r="U5" s="52" t="s">
        <v>166</v>
      </c>
      <c r="V5" s="52" t="s">
        <v>166</v>
      </c>
      <c r="W5" s="52" t="s">
        <v>166</v>
      </c>
      <c r="X5" s="52" t="s">
        <v>166</v>
      </c>
      <c r="Y5" s="52" t="s">
        <v>166</v>
      </c>
      <c r="Z5" s="52" t="s">
        <v>166</v>
      </c>
      <c r="AA5" s="52" t="s">
        <v>166</v>
      </c>
      <c r="AB5" s="52" t="s">
        <v>166</v>
      </c>
      <c r="AC5" s="52" t="s">
        <v>166</v>
      </c>
      <c r="AD5" s="52" t="s">
        <v>166</v>
      </c>
      <c r="AE5" s="52" t="s">
        <v>166</v>
      </c>
      <c r="AF5" s="53" t="s">
        <v>166</v>
      </c>
      <c r="AG5" s="53" t="s">
        <v>167</v>
      </c>
      <c r="AH5" s="53" t="s">
        <v>167</v>
      </c>
      <c r="AI5" s="53" t="s">
        <v>166</v>
      </c>
      <c r="AJ5" s="53" t="s">
        <v>166</v>
      </c>
      <c r="AK5" s="53" t="s">
        <v>166</v>
      </c>
      <c r="AL5" s="53" t="s">
        <v>166</v>
      </c>
      <c r="AM5" s="53" t="s">
        <v>166</v>
      </c>
      <c r="AN5" s="53" t="s">
        <v>167</v>
      </c>
      <c r="AO5" s="53" t="s">
        <v>166</v>
      </c>
      <c r="AP5" s="53" t="s">
        <v>167</v>
      </c>
      <c r="AQ5" s="53" t="s">
        <v>166</v>
      </c>
      <c r="AR5" s="53" t="s">
        <v>166</v>
      </c>
      <c r="AS5" s="53" t="s">
        <v>166</v>
      </c>
      <c r="AT5" s="54">
        <v>0</v>
      </c>
      <c r="AU5" s="53" t="s">
        <v>355</v>
      </c>
      <c r="AV5" s="53" t="str">
        <f>IF(LEFT(A5,1)="[",LEFT(A5,5)&amp;AU5&amp;A5,"")</f>
        <v>[NCL]Province[NCL] South Province</v>
      </c>
      <c r="AW5" s="53" t="str">
        <f>C5&amp;H5&amp;A5</f>
        <v>2[NCL] South Province</v>
      </c>
      <c r="AX5" s="55"/>
      <c r="AY5" s="55"/>
      <c r="AZ5" s="56" t="s">
        <v>231</v>
      </c>
      <c r="BA5" s="56" t="s">
        <v>231</v>
      </c>
      <c r="BB5" s="56"/>
      <c r="BC5" s="57"/>
      <c r="BD5" s="58" t="s">
        <v>161</v>
      </c>
      <c r="BE5" s="59"/>
      <c r="BF5" s="58" t="s">
        <v>231</v>
      </c>
      <c r="BG5" s="58" t="s">
        <v>231</v>
      </c>
      <c r="BH5" s="58" t="s">
        <v>231</v>
      </c>
      <c r="BI5" s="58"/>
      <c r="BJ5" s="58"/>
      <c r="BK5" s="59"/>
      <c r="BL5" s="58" t="s">
        <v>231</v>
      </c>
      <c r="BM5" s="58" t="s">
        <v>154</v>
      </c>
      <c r="BN5" s="58" t="s">
        <v>231</v>
      </c>
      <c r="BO5" s="58" t="s">
        <v>156</v>
      </c>
      <c r="BP5" s="58" t="s">
        <v>231</v>
      </c>
      <c r="BQ5" s="58" t="s">
        <v>231</v>
      </c>
      <c r="BR5" s="58" t="s">
        <v>231</v>
      </c>
      <c r="BS5" s="58" t="s">
        <v>231</v>
      </c>
      <c r="BT5" s="58" t="s">
        <v>161</v>
      </c>
      <c r="BU5" s="60"/>
      <c r="BV5" s="61"/>
      <c r="BW5" s="61">
        <v>0</v>
      </c>
      <c r="BX5" s="59"/>
      <c r="CB5" s="5"/>
      <c r="CC5" s="5"/>
      <c r="CD5" s="62">
        <v>0</v>
      </c>
      <c r="CE5" s="62">
        <v>0</v>
      </c>
      <c r="CF5" s="62" t="e">
        <v>#REF!</v>
      </c>
      <c r="CG5" s="75" cm="1">
        <f t="array" ref="CG5">SUMPRODUCT(--(LEN(TRIM(BL5:BT5))&gt;0))</f>
        <v>3</v>
      </c>
      <c r="CH5" s="53" t="str">
        <f>IF(CG5=2,"y","n")</f>
        <v>n</v>
      </c>
      <c r="CI5" s="53" t="str">
        <f>IF(CG5=3,"y","n")</f>
        <v>y</v>
      </c>
      <c r="CJ5" s="53" t="str">
        <f>IF(CG5=4,"y","n")</f>
        <v>n</v>
      </c>
      <c r="CK5" s="53" t="str">
        <f>IF(CG5&gt;4,"y","n")</f>
        <v>n</v>
      </c>
      <c r="CL5" s="53" t="str">
        <f>IF(S5=0,"y","n")</f>
        <v>y</v>
      </c>
      <c r="CM5" s="53" t="str">
        <f>IF(S5=2,"y","n")</f>
        <v>n</v>
      </c>
      <c r="CN5" s="53" t="str">
        <f>IF(S5=3,"y","n")</f>
        <v>n</v>
      </c>
      <c r="CO5" s="53" t="str">
        <f>IF(S5&gt;=4,"y","n")</f>
        <v>n</v>
      </c>
      <c r="CP5" s="53" t="str">
        <f>IF(AT5=0,"y","n")</f>
        <v>y</v>
      </c>
      <c r="CQ5" s="53" t="str">
        <f>IF(AT5=1,"y","n")</f>
        <v>n</v>
      </c>
      <c r="CR5" s="53" t="str">
        <f>IF(AT5=2,"y","n")</f>
        <v>n</v>
      </c>
      <c r="CS5" s="53" t="str">
        <f>IF(AT5&gt;=3,"y","n")</f>
        <v>n</v>
      </c>
      <c r="CT5" s="38" t="str">
        <f>CHAR(34)&amp;A5&amp;CHAR(34)</f>
        <v>"[NCL] South Province"</v>
      </c>
      <c r="CU5" s="63" t="str">
        <f>CHAR(34)&amp;"rgn_"&amp;R5&amp;CHAR(34)</f>
        <v>"rgn_Oceania"</v>
      </c>
      <c r="CV5" s="44" t="str">
        <f>CHAR(34)&amp;D5&amp;CHAR(34)</f>
        <v>"https://upload.wikimedia.org/wikipedia/commons/thumb/9/94/Bandera_Province_Sud.svg/640px-Bandera_Province_Sud.svg.png"</v>
      </c>
      <c r="CW5" s="44" t="str">
        <f t="shared" si="0"/>
        <v/>
      </c>
      <c r="CX5" s="44" t="str">
        <f t="shared" si="0"/>
        <v>"3Color",</v>
      </c>
      <c r="CY5" s="44" t="str">
        <f t="shared" si="0"/>
        <v/>
      </c>
      <c r="CZ5" s="44" t="str">
        <f t="shared" si="0"/>
        <v/>
      </c>
      <c r="DA5" s="44" t="str">
        <f>IF(Q5&gt;1,CHAR(34)&amp;"words2"&amp;CHAR(34)&amp;",","")</f>
        <v>"words2",</v>
      </c>
      <c r="DB5" s="44" t="str">
        <f>IF(Q5&gt;2,CHAR(34)&amp;"words3"&amp;CHAR(34)&amp;",","")</f>
        <v/>
      </c>
      <c r="DD5" s="44" t="str">
        <f>IF(LEN(CHAR(34)&amp;"lets"&amp;LEN(SUBSTITUTE(SUBSTITUTE(IFERROR(TRIM(SUBSTITUTE(A5,MID(A5,FIND("[",A5),FIND("]",A5)-FIND("[",A5)+1),"")),A5)," ",""),"-",""))&amp;CHAR(34)&amp;",")=9,CHAR(34)&amp;"lets"&amp;LEN(SUBSTITUTE(SUBSTITUTE(IFERROR(TRIM(SUBSTITUTE(A5,MID(A5,FIND("[",A5),FIND("]",A5)-FIND("[",A5)+1),"")),A5)," ",""),"-",""))&amp;CHAR(34)&amp;",",CHAR(34)&amp;"lets0"&amp;LEN(SUBSTITUTE(SUBSTITUTE(IFERROR(TRIM(SUBSTITUTE(A5,MID(A5,FIND("[",A5),FIND("]",A5)-FIND("[",A5)+1),"")),A5)," ",""),"-",""))&amp;CHAR(34)&amp;",")</f>
        <v>"lets13",</v>
      </c>
      <c r="DE5" s="44" t="str">
        <f>CHAR(34)&amp;"start"&amp;IFERROR(LEFT(SUBSTITUTE(A5,"["&amp;MID(A5,FIND("[",A5)+1,FIND("]",A5)-FIND("[",A5)-1)&amp;"] ",""),1),LEFT(A5,1))&amp;CHAR(34)&amp;","</f>
        <v>"startS",</v>
      </c>
      <c r="DF5" s="44" t="str">
        <f>IFERROR(IF(SEARCH("tan",A5)&gt;0,CHAR(34)&amp;"withtn"&amp;CHAR(34)&amp;",",""),"")</f>
        <v/>
      </c>
      <c r="DG5" s="44" t="str">
        <f>IFERROR(IF(SEARCH("q",A5)&gt;0,CHAR(34)&amp;"with_q"&amp;CHAR(34)&amp;",",""),"")</f>
        <v/>
      </c>
      <c r="DH5" s="44" t="str">
        <f>IFERROR(IF(SEARCH("v",A5)&gt;0,CHAR(34)&amp;"with_v"&amp;CHAR(34)&amp;",",""),"")</f>
        <v>"with_v",</v>
      </c>
      <c r="DI5" s="44" t="str">
        <f>IFERROR(IF(SEARCH("w",A5)&gt;0,CHAR(34)&amp;"with_w"&amp;CHAR(34)&amp;",",""),"")</f>
        <v/>
      </c>
      <c r="DJ5" s="44" t="str">
        <f>IFERROR(IF(SEARCH("y",A5)&gt;0,CHAR(34)&amp;"with_y"&amp;CHAR(34)&amp;",",""),"")</f>
        <v/>
      </c>
      <c r="DK5" s="44" t="str">
        <f>IFERROR(IF(SEARCH("z",A5)&gt;0,CHAR(34)&amp;"with_z"&amp;CHAR(34)&amp;",",""),"")</f>
        <v/>
      </c>
      <c r="DL5" s="44" t="str">
        <f>IF(CG5=2, CHAR(34) &amp; _xlfn.TEXTJOIN("", TRUE, _xlfn._xlws.SORT(HP5:HX5)) &amp; CHAR(34) &amp; ",", "")</f>
        <v/>
      </c>
      <c r="DM5" s="44" t="str" cm="1">
        <f t="array" ref="DM5">IF(CG5=3,CHAR(34) &amp; _xlfn.TEXTJOIN("", TRUE, RIGHT(HP5:HX5, 2)) &amp; CHAR(34) &amp; ",", "")</f>
        <v>"LUEDHI",</v>
      </c>
      <c r="DN5" s="44" t="str">
        <f>IF(AND(ISNUMBER(SEARCH("18", O5)), ISERROR(SEARCH("1918", O5)), ISERROR(SEARCH("2018", O5))), CHAR(34) &amp; "year18" &amp; CHAR(34) &amp; ",", "")</f>
        <v/>
      </c>
      <c r="DO5" s="44" t="str">
        <f>IF(AND(ISNUMBER(SEARCH("19", O5)), ISERROR(SEARCH("1819", O5)),  ISERROR(SEARCH("1219", O5)),ISERROR(SEARCH("1119", O5)),ISERROR(SEARCH("1190", O5)),ISERROR(SEARCH("2019", O5))), CHAR(34) &amp; "year19" &amp; CHAR(34) &amp; ",", "")</f>
        <v/>
      </c>
      <c r="DP5" s="5" t="str">
        <f>IF(AND(ISNUMBER(SEARCH("20", O5)), ISERROR(SEARCH("1920", O5))), CHAR(34)&amp;"year00"&amp;CHAR(34)&amp;",", "")</f>
        <v/>
      </c>
      <c r="DQ5" s="5" t="str">
        <f>IF(CC5="y",CHAR(34)&amp;"soviet"&amp;CHAR(34)&amp;",","")</f>
        <v/>
      </c>
      <c r="DR5" s="5" t="str">
        <f>IF(BY5="y",CHAR(34)&amp;"dgband"&amp;CHAR(34)&amp;",","")</f>
        <v/>
      </c>
      <c r="DS5" s="5" t="str">
        <f>IF(W5="y",IF(AND(V5="n",BY5&lt;&gt;"y"),CHAR(34)&amp;"allver"&amp;CHAR(34)&amp;",",""),"")</f>
        <v/>
      </c>
      <c r="DT5" s="5" t="str">
        <f>IF(V5="y",IF(AND(W5="n",BY5&lt;&gt;"y"),CHAR(34)&amp;"allhor"&amp;CHAR(34)&amp;",",""),"")</f>
        <v/>
      </c>
      <c r="DU5" s="5" t="str">
        <f>IF(BY5="y",IF(AND(W5="n",V5="n"),CHAR(34)&amp;"alldia"&amp;CHAR(34)&amp;",",""),"")</f>
        <v/>
      </c>
      <c r="DW5" s="44" t="str">
        <f t="shared" si="1"/>
        <v>"NoBand",</v>
      </c>
      <c r="DX5" s="44" t="str">
        <f t="shared" si="1"/>
        <v/>
      </c>
      <c r="DY5" s="44" t="str">
        <f t="shared" si="1"/>
        <v/>
      </c>
      <c r="DZ5" s="44" t="str">
        <f t="shared" si="1"/>
        <v/>
      </c>
      <c r="EA5" s="44" t="str">
        <f t="shared" si="2"/>
        <v/>
      </c>
      <c r="EB5" s="44" t="str">
        <f t="shared" si="2"/>
        <v/>
      </c>
      <c r="EC5" s="44" t="str">
        <f t="shared" si="2"/>
        <v/>
      </c>
      <c r="ED5" s="44" t="str">
        <f t="shared" si="2"/>
        <v/>
      </c>
      <c r="EE5" s="44" t="str">
        <f t="shared" si="2"/>
        <v/>
      </c>
      <c r="EF5" s="44" t="str">
        <f>IF(AND(Y5&lt;&gt;"n",Y5&lt;&gt;""),CHAR(34)&amp;Y$1&amp;CHAR(34)&amp;",","")</f>
        <v/>
      </c>
      <c r="EG5" s="44" t="str">
        <f t="shared" si="3"/>
        <v/>
      </c>
      <c r="EH5" s="44" t="str">
        <f t="shared" si="3"/>
        <v/>
      </c>
      <c r="EI5" s="44" t="str">
        <f t="shared" si="3"/>
        <v/>
      </c>
      <c r="EJ5" s="44" t="str">
        <f t="shared" si="3"/>
        <v/>
      </c>
      <c r="EK5" s="44" t="str">
        <f t="shared" si="3"/>
        <v/>
      </c>
      <c r="EL5" s="44" t="str">
        <f t="shared" si="3"/>
        <v/>
      </c>
      <c r="EM5" s="44" t="str">
        <f t="shared" si="3"/>
        <v/>
      </c>
      <c r="EN5" s="44" t="str">
        <f t="shared" si="3"/>
        <v>"Unequa",</v>
      </c>
      <c r="EO5" s="44" t="str">
        <f t="shared" si="3"/>
        <v>"Center",</v>
      </c>
      <c r="EP5" s="44" t="str">
        <f t="shared" si="3"/>
        <v/>
      </c>
      <c r="EQ5" s="44" t="str">
        <f t="shared" si="4"/>
        <v/>
      </c>
      <c r="ER5" s="44" t="str">
        <f t="shared" si="4"/>
        <v/>
      </c>
      <c r="ES5" s="44" t="str">
        <f t="shared" si="4"/>
        <v/>
      </c>
      <c r="ET5" s="44" t="str">
        <f t="shared" si="4"/>
        <v/>
      </c>
      <c r="EU5" s="44" t="str">
        <f t="shared" si="4"/>
        <v>"Humans",</v>
      </c>
      <c r="EV5" s="44" t="str">
        <f t="shared" si="4"/>
        <v/>
      </c>
      <c r="EW5" s="44" t="str">
        <f t="shared" si="4"/>
        <v>"Ships!",</v>
      </c>
      <c r="EX5" s="44" t="str">
        <f t="shared" si="4"/>
        <v/>
      </c>
      <c r="EY5" s="44" t="str">
        <f t="shared" si="4"/>
        <v/>
      </c>
      <c r="EZ5" s="44" t="str">
        <f t="shared" si="4"/>
        <v/>
      </c>
      <c r="FA5" s="44" t="str">
        <f>IF(AT5&gt;0,CHAR(34)&amp;"sta"&amp;AZ5&amp;CHAR(34)&amp;",","")</f>
        <v/>
      </c>
      <c r="FB5" s="44" t="str">
        <f>IF(AND(AT5&gt;0,BA5&lt;&gt;""),CHAR(34)&amp;"sta"&amp;BA5&amp;CHAR(34)&amp;",","")</f>
        <v/>
      </c>
      <c r="FD5" s="44" t="str">
        <f>IF(BV5="n",CHAR(34)&amp;"tcWHYE"&amp;CHAR(34)&amp;",",IF(BV5="y",CHAR(34)&amp;FD$1&amp;CHAR(34)&amp;",",""))</f>
        <v/>
      </c>
      <c r="FE5" s="44" t="str">
        <f>IF(COUNTIF(BL5:BT5,"BLU")=0,CHAR(34)&amp;"NO_BLU"&amp;CHAR(34)&amp;",", "")</f>
        <v/>
      </c>
      <c r="FF5" s="44" t="str">
        <f>IF(COUNTIF(BL5:BT5,"WHI")=0,CHAR(34)&amp;"NO_WHI"&amp;CHAR(34)&amp;",", "")</f>
        <v/>
      </c>
      <c r="FG5" s="44" t="str">
        <f>IF(COUNTIF(BL5:BT5,"RED")=0,CHAR(34)&amp;"NO_RED"&amp;CHAR(34)&amp;",", "")</f>
        <v/>
      </c>
      <c r="FH5" s="44" t="str">
        <f>IF(COUNTIF(BL5:BS5,"GRE")=0,CHAR(34)&amp;"NO_GRE"&amp;CHAR(34)&amp;",", "")</f>
        <v>"NO_GRE",</v>
      </c>
      <c r="FI5" s="44" t="str">
        <f>IF(COUNTIF(BL5:BT5,"YEL")=0,CHAR(34)&amp;"NO_YEL"&amp;CHAR(34)&amp;",", "")</f>
        <v>"NO_YEL",</v>
      </c>
      <c r="FJ5" s="44" t="str">
        <f>IF(COUNTIF(BL5:BT5,"BLA")=0,CHAR(34)&amp;"NO_BLA"&amp;CHAR(34)&amp;",", "")</f>
        <v>"NO_BLA",</v>
      </c>
      <c r="FK5" s="44" t="str">
        <f>IF(AND(FH5&lt;&gt;"",FF5&lt;&gt;""),CHAR(34)&amp;"WHGRNO"&amp;CHAR(34)&amp;",","")</f>
        <v/>
      </c>
      <c r="FL5" s="44" t="str">
        <f>IF(AND(FI5&lt;&gt;"",FF5&lt;&gt;""),CHAR(34)&amp;"WHYENO"&amp;CHAR(34)&amp;",","")</f>
        <v/>
      </c>
      <c r="FM5" s="44" t="str">
        <f>IF(AND(FJ5&lt;&gt;"",FF5&lt;&gt;""),CHAR(34)&amp;"BAWHNO"&amp;CHAR(34)&amp;",","")</f>
        <v/>
      </c>
      <c r="FN5" s="44" t="str">
        <f>IF(AND(FE5&lt;&gt;"",FF5&lt;&gt;""),CHAR(34)&amp;"BLWHNO"&amp;CHAR(34)&amp;",","")</f>
        <v/>
      </c>
      <c r="FO5" s="44" t="str">
        <f>IF(AND(FE5&lt;&gt;"",FG5&lt;&gt;""),CHAR(34)&amp;"BLRENO"&amp;CHAR(34)&amp;",","")</f>
        <v/>
      </c>
      <c r="FP5" s="44" t="str">
        <f>IF(AND(FF5&lt;&gt;"",FF5&lt;&gt;""),CHAR(34)&amp;"WHRENO"&amp;CHAR(34)&amp;",","")</f>
        <v/>
      </c>
      <c r="FQ5" s="44" t="str">
        <f>IF(LEN(BF5)=3,CHAR(34)&amp;"001"&amp;BF5&amp;CHAR(34)&amp;",","")</f>
        <v/>
      </c>
      <c r="FR5" s="44" t="str">
        <f>IF(LEN(BG5)=3,CHAR(34)&amp;"002"&amp;BG5&amp;CHAR(34)&amp;",","")</f>
        <v/>
      </c>
      <c r="FS5" s="44" t="str">
        <f>IF(LEN(BH5)=3,CHAR(34)&amp;"003"&amp;BH5&amp;CHAR(34)&amp;",","")</f>
        <v/>
      </c>
      <c r="FT5" s="44" t="str">
        <f>CHAR(34)&amp;"myr"&amp;BD5&amp;CHAR(34)&amp;","</f>
        <v>"myrWHI",</v>
      </c>
      <c r="FU5" s="44" t="str">
        <f>IF(AY5="y",CHAR(34)&amp;"island"&amp;CHAR(34)&amp;",","")</f>
        <v/>
      </c>
      <c r="FV5" s="44" t="str">
        <f>IF(BZ5="y",CHAR(34)&amp;"landlo"&amp;CHAR(34)&amp;",","")</f>
        <v/>
      </c>
      <c r="FW5" s="44" t="str">
        <f>IF(CA5="y",CHAR(34)&amp;"eunion"&amp;CHAR(34)&amp;",","")</f>
        <v/>
      </c>
      <c r="FY5" s="44" t="str">
        <f>IFERROR(IF(SEARCH("Arabic",CB5)&gt;0,CHAR(34)&amp;"arabic"&amp;CHAR(34)&amp;",",""),"")</f>
        <v/>
      </c>
      <c r="FZ5" s="44" t="str">
        <f>IFERROR(IF(SEARCH("English",CB5)&gt;0,CHAR(34)&amp;"englis"&amp;CHAR(34)&amp;",",""),"")</f>
        <v/>
      </c>
      <c r="GA5" s="44" t="str">
        <f>IFERROR(IF(SEARCH("French",CB5)&gt;0,CHAR(34)&amp;"french"&amp;CHAR(34)&amp;",",""),"")</f>
        <v/>
      </c>
      <c r="GB5" s="44" t="str">
        <f>IFERROR(IF(SEARCH("Spanish",CB5)&gt;0,CHAR(34)&amp;"spanis"&amp;CHAR(34)&amp;",",""),"")</f>
        <v/>
      </c>
      <c r="GE5" s="44" t="str">
        <f t="shared" si="5"/>
        <v/>
      </c>
      <c r="GF5" s="44" t="str">
        <f>IFERROR(IF(SEARCH("Historical",AU5)&gt;0,CHAR(34)&amp;"histor"&amp;CHAR(34)&amp;",",""),"")</f>
        <v/>
      </c>
      <c r="GG5" s="44" t="str">
        <f t="shared" si="6"/>
        <v/>
      </c>
      <c r="GH5" s="44" t="str">
        <f t="shared" si="7"/>
        <v/>
      </c>
      <c r="GI5" s="44" t="str">
        <f t="shared" si="8"/>
        <v/>
      </c>
      <c r="GJ5" s="44" t="str">
        <f>IF(CP5="y",CHAR(34)&amp;CP$1&amp;CHAR(34)&amp;",","")</f>
        <v>"NoStar",</v>
      </c>
      <c r="GK5" s="44" t="str">
        <f>IF(GJ5="",CHAR(34)&amp;"HasSta"&amp;CHAR(34)&amp;",","")</f>
        <v/>
      </c>
      <c r="GL5" s="44" t="str">
        <f t="shared" si="9"/>
        <v/>
      </c>
      <c r="GM5" s="44" t="str">
        <f t="shared" si="9"/>
        <v/>
      </c>
      <c r="GN5" s="44" t="str">
        <f t="shared" si="9"/>
        <v/>
      </c>
      <c r="GP5" s="44" t="str">
        <f>CHAR(34)&amp;AU5&amp;CHAR(34)</f>
        <v>"Province"</v>
      </c>
      <c r="GS5" s="44" t="str">
        <f>SUBSTITUTE("["&amp;_xlfn.CONCAT(CW5:GN5)&amp;"]",",]","]")</f>
        <v>["3Color","words2","lets13","startS","with_v","LUEDHI","NoBand","Unequa","Center","Humans","Ships!","NO_GRE","NO_YEL","NO_BLA","myrWHI","NoStar"]</v>
      </c>
      <c r="GT5" s="44" t="str">
        <f t="shared" si="10"/>
        <v/>
      </c>
      <c r="GU5" s="44" t="str">
        <f t="shared" si="10"/>
        <v>"cl_BLU",</v>
      </c>
      <c r="GV5" s="44" t="str">
        <f t="shared" si="10"/>
        <v/>
      </c>
      <c r="GW5" s="44" t="str">
        <f t="shared" si="10"/>
        <v>"cl_RED",</v>
      </c>
      <c r="GX5" s="44" t="str">
        <f t="shared" si="10"/>
        <v/>
      </c>
      <c r="GY5" s="44" t="str">
        <f t="shared" si="10"/>
        <v/>
      </c>
      <c r="GZ5" s="44" t="str">
        <f t="shared" si="10"/>
        <v/>
      </c>
      <c r="HA5" s="44" t="str">
        <f t="shared" si="10"/>
        <v/>
      </c>
      <c r="HB5" s="44" t="str">
        <f t="shared" si="10"/>
        <v>"cl_WHI",</v>
      </c>
      <c r="HC5" s="44" t="str">
        <f>SUBSTITUTE("["&amp;_xlfn.CONCAT(GT5:HB5)&amp;"]",",]","]")</f>
        <v>["cl_BLU","cl_RED","cl_WHI"]</v>
      </c>
      <c r="HE5" s="64"/>
      <c r="HF5" s="65" t="str">
        <f>"{couname:"&amp;CT5&amp;(IF(HK5&lt;&gt;"",",subtype:"&amp;CHAR(34)&amp;HK5&amp;CHAR(34),""))&amp;",year:"&amp;HJ5&amp;",region:"&amp;CU5&amp;",Colors:"&amp;HC5&amp;",Items:"&amp;GS5&amp;",Flag:"&amp;CV5&amp;",HDFlag:"&amp;CHAR(34)&amp;E5&amp;CHAR(34)&amp;",type:"&amp;GP5&amp;", describe: "&amp;HH5&amp;", isnew:"&amp;CHAR(34)&amp;F5&amp;CHAR(34)&amp;", links: "&amp;HL5&amp;"},"</f>
        <v>{couname:"[NCL] South Province",year:"???",region:"rgn_Oceania",Colors:["cl_BLU","cl_RED","cl_WHI"],Items:["3Color","words2","lets13","startS","with_v","LUEDHI","NoBand","Unequa","Center","Humans","Ships!","NO_GRE","NO_YEL","NO_BLA","myrWHI","NoStar"],Flag:"https://upload.wikimedia.org/wikipedia/commons/thumb/9/94/Bandera_Province_Sud.svg/640px-Bandera_Province_Sud.svg.png",HDFlag:"https://upload.wikimedia.org/wikipedia/commons/thumb/9/94/Bandera_Province_Sud.svg/1280px-Bandera_Province_Sud.svg.png",type:"Province", describe: "\nA white field with the province's logo, made of a blue sail with a white-blue-white-red face, placed over two blue waves", isnew:".", links: "https://en.m.wikipedia.org/wiki/South_Province,_New_Caledonia"},</v>
      </c>
      <c r="HG5" s="66" t="str">
        <f>"{couname:"&amp;CT5&amp;(IF(HK5&lt;&gt;"",",subtype:"&amp;CHAR(34)&amp;HK5&amp;CHAR(34),""))&amp;",year:"&amp;HJ5&amp;",region:"&amp;CU5&amp;",Colors:"&amp;HC5&amp;",Items:"&amp;GS5&amp;",Flag:"&amp;CV5&amp;",HDFlag:"&amp;CHAR(34)&amp;E5&amp;CHAR(34)&amp;",type:"&amp;GP5&amp;", describe: "&amp;HI5&amp;", links: "&amp;HL5&amp;"},"</f>
        <v>{couname:"[NCL] South Province",year:"???",region:"rgn_Oceania",Colors:["cl_BLU","cl_RED","cl_WHI"],Items:["3Color","words2","lets13","startS","with_v","LUEDHI","NoBand","Unequa","Center","Humans","Ships!","NO_GRE","NO_YEL","NO_BLA","myrWHI","NoStar"],Flag:"https://upload.wikimedia.org/wikipedia/commons/thumb/9/94/Bandera_Province_Sud.svg/640px-Bandera_Province_Sud.svg.png",HDFlag:"https://upload.wikimedia.org/wikipedia/commons/thumb/9/94/Bandera_Province_Sud.svg/1280px-Bandera_Province_Sud.svg.png",type:"Province", describe: "\nA white field with the province's logo, made of a blue sail with a white-blue-white-red face, placed over two blue waves", links: "https://en.m.wikipedia.org/wiki/South_Province,_New_Caledonia"},</v>
      </c>
      <c r="HH5" s="44" t="str">
        <f>IF(P5&lt;&gt;"",CHAR(34)&amp;"\n"&amp;P5&amp;CHAR(34),CHAR(34)&amp;CHAR(34))</f>
        <v>"\nA white field with the province's logo, made of a blue sail with a white-blue-white-red face, placed over two blue waves"</v>
      </c>
      <c r="HI5" s="44" t="str">
        <f>IF(J5=0,CHAR(34)&amp;CHAR(34),HH5)</f>
        <v>"\nA white field with the province's logo, made of a blue sail with a white-blue-white-red face, placed over two blue waves"</v>
      </c>
      <c r="HJ5" s="44" t="str">
        <f>CHAR(34)&amp;O5&amp;CHAR(34)</f>
        <v>"???"</v>
      </c>
      <c r="HL5" s="44" t="str">
        <f>CHAR(34)&amp;I5&amp;CHAR(34)</f>
        <v>"https://en.m.wikipedia.org/wiki/South_Province,_New_Caledonia"</v>
      </c>
      <c r="HM5" s="65" t="str">
        <f>"{"&amp;CHAR(34)&amp;"couname"&amp;CHAR(34)&amp;":"&amp;CT5&amp;(IF(H5&lt;&gt;"",","&amp;CHAR(34)&amp;"subtype"&amp;CHAR(34)&amp;":"&amp;CHAR(34)&amp;H5&amp;CHAR(34),""))&amp;","&amp;CHAR(34)&amp;"year"&amp;CHAR(34)&amp;":"&amp;HJ5&amp;","&amp;CHAR(34)&amp;"region"&amp;CHAR(34)&amp;":"&amp;CU5&amp;","&amp;CHAR(34)&amp;"Colors"&amp;CHAR(34)&amp;":"&amp;HC5&amp;","&amp;CHAR(34)&amp;"Items"&amp;CHAR(34)&amp;":"&amp;GS5&amp;","&amp;CHAR(34)&amp;"Flag"&amp;CHAR(34)&amp;":"&amp;CV5&amp;","&amp;CHAR(34)&amp;"HDFlag"&amp;CHAR(34)&amp;":"&amp;CHAR(34)&amp;E5&amp;CHAR(34)&amp;","&amp;CHAR(34)&amp;"type"&amp;CHAR(34)&amp;":"&amp;GP5&amp;", "&amp;CHAR(34)&amp;"describe"&amp;CHAR(34)&amp;": "&amp;HH5&amp;", "&amp;CHAR(34)&amp;"isnew"&amp;CHAR(34)&amp;": "&amp;CHAR(34)&amp;F5&amp;CHAR(34)&amp;", "&amp;CHAR(34)&amp;"links"&amp;CHAR(34)&amp;": "&amp;HL5&amp;"},"</f>
        <v>{"couname":"[NCL] South Province","year":"???","region":"rgn_Oceania","Colors":["cl_BLU","cl_RED","cl_WHI"],"Items":["3Color","words2","lets13","startS","with_v","LUEDHI","NoBand","Unequa","Center","Humans","Ships!","NO_GRE","NO_YEL","NO_BLA","myrWHI","NoStar"],"Flag":"https://upload.wikimedia.org/wikipedia/commons/thumb/9/94/Bandera_Province_Sud.svg/640px-Bandera_Province_Sud.svg.png","HDFlag":"https://upload.wikimedia.org/wikipedia/commons/thumb/9/94/Bandera_Province_Sud.svg/1280px-Bandera_Province_Sud.svg.png","type":"Province", "describe": "\nA white field with the province's logo, made of a blue sail with a white-blue-white-red face, placed over two blue waves", "isnew": ".", "links": "https://en.m.wikipedia.org/wiki/South_Province,_New_Caledonia"},</v>
      </c>
      <c r="HN5" s="67" t="str">
        <f>"{"&amp;CHAR(34)&amp;"couname"&amp;CHAR(34)&amp;":"&amp;CT5&amp;(IF(H5&lt;&gt;"",","&amp;CHAR(34)&amp;"subtype"&amp;CHAR(34)&amp;":"&amp;CHAR(34)&amp;H5&amp;CHAR(34),""))&amp;","&amp;CHAR(34)&amp;"year"&amp;CHAR(34)&amp;":"&amp;HJ5&amp;","&amp;CHAR(34)&amp;"region"&amp;CHAR(34)&amp;":"&amp;CU5&amp;","&amp;CHAR(34)&amp;"Colors"&amp;CHAR(34)&amp;":"&amp;HC5&amp;","&amp;CHAR(34)&amp;"Items"&amp;CHAR(34)&amp;":"&amp;GS5&amp;","&amp;CHAR(34)&amp;"Flag"&amp;CHAR(34)&amp;":"&amp;CV5&amp;","&amp;CHAR(34)&amp;"HDFlag"&amp;CHAR(34)&amp;":"&amp;CHAR(34)&amp;E5&amp;CHAR(34)&amp;","&amp;CHAR(34)&amp;"type"&amp;CHAR(34)&amp;":"&amp;GP5&amp;", "&amp;CHAR(34)&amp;"describe"&amp;CHAR(34)&amp;": "&amp;HI5&amp;", "&amp;CHAR(34)&amp;"isnew"&amp;CHAR(34)&amp;": "&amp;CHAR(34)&amp;F5&amp;CHAR(34)&amp;", "&amp;CHAR(34)&amp;"links"&amp;CHAR(34)&amp;": "&amp;HL5&amp;"},"</f>
        <v>{"couname":"[NCL] South Province","year":"???","region":"rgn_Oceania","Colors":["cl_BLU","cl_RED","cl_WHI"],"Items":["3Color","words2","lets13","startS","with_v","LUEDHI","NoBand","Unequa","Center","Humans","Ships!","NO_GRE","NO_YEL","NO_BLA","myrWHI","NoStar"],"Flag":"https://upload.wikimedia.org/wikipedia/commons/thumb/9/94/Bandera_Province_Sud.svg/640px-Bandera_Province_Sud.svg.png","HDFlag":"https://upload.wikimedia.org/wikipedia/commons/thumb/9/94/Bandera_Province_Sud.svg/1280px-Bandera_Province_Sud.svg.png","type":"Province", "describe": "\nA white field with the province's logo, made of a blue sail with a white-blue-white-red face, placed over two blue waves", "isnew": ".", "links": "https://en.m.wikipedia.org/wiki/South_Province,_New_Caledonia"},</v>
      </c>
      <c r="HO5" s="71">
        <v>45610</v>
      </c>
      <c r="HP5" s="44" t="str" cm="1">
        <f t="array" ref="HP5">IF(_xlfn.TEXTJOIN(", ", TRUE, IF(ISNUMBER(SEARCH("BLA", BL5:BT5)), COLUMN(BL5:BT5) - COLUMN(BL5) + 1, ""))&lt;&gt;"","BLA","")</f>
        <v/>
      </c>
      <c r="HQ5" s="44" t="str" cm="1">
        <f t="array" ref="HQ5">IF(_xlfn.TEXTJOIN(", ", TRUE, IF(ISNUMBER(SEARCH("BLU", BL5:BT5)), COLUMN(BL5:BT5) - COLUMN(BL5) + 1, ""))&lt;&gt;"","BLU","")</f>
        <v>BLU</v>
      </c>
      <c r="HR5" s="44" t="str" cm="1">
        <f t="array" ref="HR5">IF(_xlfn.TEXTJOIN(", ", TRUE, IF(ISNUMBER(SEARCH("GRE", BL5:BT5)), COLUMN(BL5:BT5) - COLUMN(BL5) + 1, ""))&lt;&gt;"","GRE","")</f>
        <v/>
      </c>
      <c r="HS5" s="44" t="str" cm="1">
        <f t="array" ref="HS5">IF(_xlfn.TEXTJOIN(", ", TRUE, IF(ISNUMBER(SEARCH("RED", BL5:BT5)), COLUMN(BL5:BT5) - COLUMN(BL5) + 1, ""))&lt;&gt;"","RED","")</f>
        <v>RED</v>
      </c>
      <c r="HT5" s="44" t="str" cm="1">
        <f t="array" ref="HT5">IF(_xlfn.TEXTJOIN(", ", TRUE, IF(ISNUMBER(SEARCH("YEL", BL5:BT5)), COLUMN(BL5:BT5) - COLUMN(BL5) + 1, ""))&lt;&gt;"","YEL","")</f>
        <v/>
      </c>
      <c r="HU5" s="44" t="str" cm="1">
        <f t="array" ref="HU5">IF(_xlfn.TEXTJOIN(", ", TRUE, IF(ISNUMBER(SEARCH("ORA", BL5:BT5)), COLUMN(BL5:BT5) - COLUMN(BL5) + 1, ""))&lt;&gt;"","ORA","")</f>
        <v/>
      </c>
      <c r="HV5" s="44" t="str" cm="1">
        <f t="array" ref="HV5">IF(_xlfn.TEXTJOIN(", ", TRUE, IF(ISNUMBER(SEARCH("BRO", BL5:BT5)), COLUMN(BL5:BT5) - COLUMN(BL5) + 1, ""))&lt;&gt;"","BRO","")</f>
        <v/>
      </c>
      <c r="HW5" s="44" t="str" cm="1">
        <f t="array" ref="HW5">IF(_xlfn.TEXTJOIN(", ", TRUE, IF(ISNUMBER(SEARCH("PUR", BL5:BT5)), COLUMN(BL5:BT5) - COLUMN(BL5) + 1, ""))&lt;&gt;"","PUR","")</f>
        <v/>
      </c>
      <c r="HX5" s="44" t="str" cm="1">
        <f t="array" ref="HX5">IF(_xlfn.TEXTJOIN(", ", TRUE, IF(ISNUMBER(SEARCH("WHI", BL5:BT5)), COLUMN(BL5:BT5) - COLUMN(BL5) + 1, ""))&lt;&gt;"","WHI","")</f>
        <v>WHI</v>
      </c>
      <c r="HY5" s="72"/>
      <c r="HZ5" s="72"/>
      <c r="IA5" s="5"/>
      <c r="IB5" s="5"/>
      <c r="IC5" s="68"/>
      <c r="ID5" s="68"/>
      <c r="IE5" s="68"/>
      <c r="IF5" s="68"/>
      <c r="IG5" s="68"/>
      <c r="IH5" s="68"/>
      <c r="II5" s="68"/>
      <c r="IJ5" s="68"/>
      <c r="IK5" s="68"/>
      <c r="IM5" s="42">
        <f>COUNTIF(IC5:IK5,"&gt;0")-CG5</f>
        <v>-3</v>
      </c>
      <c r="IN5" s="69" t="str">
        <f>"http://mkweb.bcgsc.ca/color-summarizer/?url="&amp;D5&amp;"&amp;precision=low&amp;num_clusters="&amp;CG5&amp;"&amp;text=1"</f>
        <v>http://mkweb.bcgsc.ca/color-summarizer/?url=https://upload.wikimedia.org/wikipedia/commons/thumb/9/94/Bandera_Province_Sud.svg/640px-Bandera_Province_Sud.svg.png&amp;precision=low&amp;num_clusters=3&amp;text=1</v>
      </c>
      <c r="IO5" s="44" t="str">
        <f>IF(HP5&lt;&gt;"",CHAR(34)&amp;"black"&amp;CHAR(34),"")</f>
        <v/>
      </c>
      <c r="IP5" s="44" t="str">
        <f>IF(HQ5&lt;&gt;"",CHAR(34)&amp;"blue"&amp;CHAR(34),"")</f>
        <v>"blue"</v>
      </c>
      <c r="IQ5" s="44" t="str">
        <f>IF(HR5&lt;&gt;"",CHAR(34)&amp;"green"&amp;CHAR(34),"")</f>
        <v/>
      </c>
      <c r="IR5" s="44" t="str">
        <f>IF(HS5&lt;&gt;"",CHAR(34)&amp;"red"&amp;CHAR(34),"")</f>
        <v>"red"</v>
      </c>
      <c r="IS5" s="44" t="str">
        <f>IF(HT5&lt;&gt;"",CHAR(34)&amp;"yellow"&amp;CHAR(34),"")</f>
        <v/>
      </c>
      <c r="IT5" s="44" t="str">
        <f>IF(HU5&lt;&gt;"",CHAR(34)&amp;"orange"&amp;CHAR(34),"")</f>
        <v/>
      </c>
      <c r="IU5" s="44" t="str">
        <f>IF(HV5&lt;&gt;"",CHAR(34)&amp;"brown"&amp;CHAR(34),"")</f>
        <v/>
      </c>
      <c r="IV5" s="44" t="str">
        <f>IF(HW5&lt;&gt;"",CHAR(34)&amp;"purple"&amp;CHAR(34),"")</f>
        <v/>
      </c>
      <c r="IW5" s="44" t="str">
        <f>IF(HX5&lt;&gt;"",CHAR(34)&amp;"white"&amp;CHAR(34),"")</f>
        <v>"white"</v>
      </c>
      <c r="IX5" s="44" t="str">
        <f>"{"&amp;CHAR(34)&amp;"url"&amp;CHAR(34)&amp;":"&amp;CHAR(34)&amp;IN5&amp;CHAR(34)&amp;","&amp;CHAR(34)&amp;"name"&amp;CHAR(34)&amp;":"&amp;CHAR(34)&amp;A5&amp;CHAR(34)&amp;"},"</f>
        <v>{"url":"http://mkweb.bcgsc.ca/color-summarizer/?url=https://upload.wikimedia.org/wikipedia/commons/thumb/9/94/Bandera_Province_Sud.svg/640px-Bandera_Province_Sud.svg.png&amp;precision=low&amp;num_clusters=3&amp;text=1","name":"[NCL] South Province"},</v>
      </c>
      <c r="IY5" s="44">
        <v>1356</v>
      </c>
    </row>
    <row r="6" spans="1:259" ht="38.4" customHeight="1" x14ac:dyDescent="0.3">
      <c r="D6" s="83"/>
      <c r="E6" s="83"/>
      <c r="F6" s="83"/>
      <c r="G6" s="83"/>
      <c r="H6" s="83"/>
      <c r="BW6" s="82">
        <v>0</v>
      </c>
      <c r="CE6" s="82">
        <v>0</v>
      </c>
      <c r="CF6" s="82" t="e">
        <v>#REF!</v>
      </c>
      <c r="GE6" s="82" t="str">
        <f t="shared" si="5"/>
        <v/>
      </c>
      <c r="GG6" s="82" t="str">
        <f t="shared" si="6"/>
        <v/>
      </c>
      <c r="GH6" s="82" t="str">
        <f t="shared" si="7"/>
        <v/>
      </c>
      <c r="GI6" s="82" t="str">
        <f t="shared" si="8"/>
        <v/>
      </c>
    </row>
    <row r="7" spans="1:259" ht="38.4" customHeight="1" x14ac:dyDescent="0.3">
      <c r="D7" s="83"/>
      <c r="E7" s="83"/>
      <c r="F7" s="83"/>
      <c r="G7" s="83"/>
      <c r="H7" s="83"/>
      <c r="BW7" s="82">
        <v>0</v>
      </c>
      <c r="CE7" s="82">
        <v>0</v>
      </c>
      <c r="CF7" s="82" t="e">
        <v>#REF!</v>
      </c>
      <c r="GE7" s="82" t="str">
        <f t="shared" si="5"/>
        <v/>
      </c>
      <c r="GG7" s="82" t="str">
        <f t="shared" si="6"/>
        <v/>
      </c>
      <c r="GH7" s="82" t="str">
        <f t="shared" si="7"/>
        <v/>
      </c>
      <c r="GI7" s="82" t="str">
        <f t="shared" si="8"/>
        <v/>
      </c>
    </row>
    <row r="8" spans="1:259" ht="38.4" customHeight="1" x14ac:dyDescent="0.3">
      <c r="D8" s="83"/>
      <c r="E8" s="83"/>
      <c r="F8" s="83"/>
      <c r="G8" s="83"/>
      <c r="H8" s="83"/>
      <c r="BW8" s="82">
        <v>0</v>
      </c>
      <c r="CE8" s="82">
        <v>0</v>
      </c>
      <c r="CF8" s="82" t="e">
        <v>#REF!</v>
      </c>
      <c r="GE8" s="82" t="str">
        <f t="shared" si="5"/>
        <v/>
      </c>
      <c r="GG8" s="82" t="str">
        <f t="shared" si="6"/>
        <v/>
      </c>
      <c r="GH8" s="82" t="str">
        <f t="shared" si="7"/>
        <v/>
      </c>
      <c r="GI8" s="82" t="str">
        <f t="shared" si="8"/>
        <v/>
      </c>
    </row>
    <row r="9" spans="1:259" ht="38.4" customHeight="1" x14ac:dyDescent="0.3">
      <c r="BW9" s="82">
        <v>0</v>
      </c>
      <c r="CE9" s="82">
        <v>0</v>
      </c>
      <c r="CF9" s="82" t="e">
        <v>#REF!</v>
      </c>
      <c r="GE9" s="82" t="str">
        <f t="shared" si="5"/>
        <v/>
      </c>
      <c r="GG9" s="82" t="str">
        <f t="shared" si="6"/>
        <v/>
      </c>
      <c r="GH9" s="82" t="str">
        <f t="shared" si="7"/>
        <v/>
      </c>
      <c r="GI9" s="82" t="str">
        <f t="shared" si="8"/>
        <v/>
      </c>
    </row>
    <row r="10" spans="1:259" ht="38.4" customHeight="1" x14ac:dyDescent="0.3">
      <c r="BW10" s="82">
        <v>0</v>
      </c>
      <c r="CE10" s="82">
        <v>0</v>
      </c>
      <c r="CF10" s="82" t="e">
        <v>#REF!</v>
      </c>
      <c r="GE10" s="82" t="str">
        <f t="shared" si="5"/>
        <v/>
      </c>
      <c r="GG10" s="82" t="str">
        <f t="shared" si="6"/>
        <v/>
      </c>
      <c r="GH10" s="82" t="str">
        <f t="shared" si="7"/>
        <v/>
      </c>
      <c r="GI10" s="82" t="str">
        <f t="shared" si="8"/>
        <v/>
      </c>
    </row>
    <row r="11" spans="1:259" ht="38.4" customHeight="1" x14ac:dyDescent="0.3">
      <c r="BW11" s="82">
        <v>0</v>
      </c>
      <c r="CE11" s="82">
        <v>0</v>
      </c>
      <c r="CF11" s="82" t="e">
        <v>#REF!</v>
      </c>
      <c r="GE11" s="82" t="str">
        <f t="shared" si="5"/>
        <v/>
      </c>
      <c r="GG11" s="82" t="str">
        <f t="shared" si="6"/>
        <v/>
      </c>
      <c r="GH11" s="82" t="str">
        <f t="shared" si="7"/>
        <v/>
      </c>
      <c r="GI11" s="82" t="str">
        <f t="shared" si="8"/>
        <v/>
      </c>
    </row>
    <row r="12" spans="1:259" ht="38.4" customHeight="1" x14ac:dyDescent="0.3">
      <c r="BW12" s="82">
        <v>0</v>
      </c>
      <c r="CE12" s="82">
        <v>0</v>
      </c>
      <c r="CF12" s="82" t="e">
        <v>#REF!</v>
      </c>
      <c r="GE12" s="82" t="str">
        <f t="shared" si="5"/>
        <v/>
      </c>
      <c r="GG12" s="82" t="str">
        <f t="shared" si="6"/>
        <v/>
      </c>
      <c r="GH12" s="82" t="str">
        <f t="shared" si="7"/>
        <v/>
      </c>
      <c r="GI12" s="82" t="str">
        <f t="shared" si="8"/>
        <v/>
      </c>
    </row>
    <row r="13" spans="1:259" ht="38.4" customHeight="1" x14ac:dyDescent="0.3">
      <c r="BW13" s="82">
        <v>0</v>
      </c>
      <c r="CE13" s="82">
        <v>0</v>
      </c>
      <c r="CF13" s="82" t="e">
        <v>#REF!</v>
      </c>
      <c r="GE13" s="82" t="str">
        <f t="shared" si="5"/>
        <v/>
      </c>
      <c r="GG13" s="82" t="str">
        <f t="shared" si="6"/>
        <v/>
      </c>
      <c r="GH13" s="82" t="str">
        <f t="shared" si="7"/>
        <v/>
      </c>
      <c r="GI13" s="82" t="str">
        <f t="shared" si="8"/>
        <v/>
      </c>
    </row>
    <row r="14" spans="1:259" ht="38.4" customHeight="1" x14ac:dyDescent="0.3">
      <c r="BW14" s="82">
        <v>0</v>
      </c>
      <c r="CE14" s="82">
        <v>0</v>
      </c>
      <c r="CF14" s="82" t="e">
        <v>#REF!</v>
      </c>
      <c r="GE14" s="82" t="str">
        <f t="shared" si="5"/>
        <v/>
      </c>
      <c r="GG14" s="82" t="str">
        <f t="shared" si="6"/>
        <v/>
      </c>
      <c r="GH14" s="82" t="str">
        <f t="shared" si="7"/>
        <v/>
      </c>
      <c r="GI14" s="82" t="str">
        <f t="shared" si="8"/>
        <v/>
      </c>
    </row>
    <row r="15" spans="1:259" ht="38.4" customHeight="1" x14ac:dyDescent="0.3">
      <c r="BW15" s="82">
        <v>0</v>
      </c>
      <c r="CE15" s="82">
        <v>0</v>
      </c>
      <c r="CF15" s="82" t="e">
        <v>#REF!</v>
      </c>
      <c r="GE15" s="82" t="str">
        <f t="shared" si="5"/>
        <v/>
      </c>
      <c r="GG15" s="82" t="str">
        <f t="shared" si="6"/>
        <v/>
      </c>
      <c r="GH15" s="82" t="str">
        <f t="shared" si="7"/>
        <v/>
      </c>
      <c r="GI15" s="82" t="str">
        <f t="shared" si="8"/>
        <v/>
      </c>
    </row>
    <row r="16" spans="1:259" ht="38.4" customHeight="1" x14ac:dyDescent="0.3">
      <c r="BW16" s="82">
        <v>0</v>
      </c>
      <c r="CE16" s="82">
        <v>0</v>
      </c>
      <c r="CF16" s="82" t="e">
        <v>#REF!</v>
      </c>
      <c r="GE16" s="82" t="str">
        <f t="shared" si="5"/>
        <v/>
      </c>
      <c r="GG16" s="82" t="str">
        <f t="shared" si="6"/>
        <v/>
      </c>
      <c r="GH16" s="82" t="str">
        <f t="shared" si="7"/>
        <v/>
      </c>
      <c r="GI16" s="82" t="str">
        <f t="shared" si="8"/>
        <v/>
      </c>
    </row>
    <row r="17" spans="75:191" ht="38.4" customHeight="1" x14ac:dyDescent="0.3">
      <c r="BW17" s="82">
        <v>0</v>
      </c>
      <c r="CE17" s="82">
        <v>0</v>
      </c>
      <c r="CF17" s="82" t="e">
        <v>#REF!</v>
      </c>
      <c r="GE17" s="82" t="str">
        <f t="shared" si="5"/>
        <v/>
      </c>
      <c r="GG17" s="82" t="str">
        <f t="shared" si="6"/>
        <v/>
      </c>
      <c r="GH17" s="82" t="str">
        <f t="shared" si="7"/>
        <v/>
      </c>
      <c r="GI17" s="82" t="str">
        <f t="shared" si="8"/>
        <v/>
      </c>
    </row>
    <row r="18" spans="75:191" ht="38.4" customHeight="1" x14ac:dyDescent="0.3">
      <c r="BW18" s="82">
        <v>0</v>
      </c>
      <c r="CE18" s="82">
        <v>0</v>
      </c>
      <c r="CF18" s="82" t="e">
        <v>#REF!</v>
      </c>
      <c r="GE18" s="82" t="str">
        <f t="shared" si="5"/>
        <v/>
      </c>
      <c r="GG18" s="82" t="str">
        <f t="shared" si="6"/>
        <v/>
      </c>
      <c r="GH18" s="82" t="str">
        <f t="shared" si="7"/>
        <v/>
      </c>
      <c r="GI18" s="82" t="str">
        <f t="shared" si="8"/>
        <v/>
      </c>
    </row>
    <row r="19" spans="75:191" ht="38.4" customHeight="1" x14ac:dyDescent="0.3">
      <c r="BW19" s="82">
        <v>0</v>
      </c>
      <c r="CE19" s="82">
        <v>0</v>
      </c>
      <c r="CF19" s="82" t="e">
        <v>#REF!</v>
      </c>
      <c r="GE19" s="82" t="str">
        <f t="shared" si="5"/>
        <v/>
      </c>
      <c r="GG19" s="82" t="str">
        <f t="shared" si="6"/>
        <v/>
      </c>
      <c r="GH19" s="82" t="str">
        <f t="shared" si="7"/>
        <v/>
      </c>
      <c r="GI19" s="82" t="str">
        <f t="shared" si="8"/>
        <v/>
      </c>
    </row>
    <row r="20" spans="75:191" ht="38.4" customHeight="1" x14ac:dyDescent="0.3">
      <c r="BW20" s="82">
        <v>0</v>
      </c>
      <c r="CE20" s="82">
        <v>0</v>
      </c>
      <c r="CF20" s="82" t="e">
        <v>#REF!</v>
      </c>
      <c r="GE20" s="82" t="str">
        <f t="shared" si="5"/>
        <v/>
      </c>
      <c r="GG20" s="82" t="str">
        <f t="shared" si="6"/>
        <v/>
      </c>
      <c r="GH20" s="82" t="str">
        <f t="shared" si="7"/>
        <v/>
      </c>
      <c r="GI20" s="82" t="str">
        <f t="shared" si="8"/>
        <v/>
      </c>
    </row>
    <row r="21" spans="75:191" ht="38.4" customHeight="1" x14ac:dyDescent="0.3">
      <c r="BW21" s="82">
        <v>0</v>
      </c>
      <c r="CE21" s="82">
        <v>0</v>
      </c>
      <c r="CF21" s="82" t="e">
        <v>#REF!</v>
      </c>
      <c r="GE21" s="82" t="str">
        <f t="shared" si="5"/>
        <v/>
      </c>
      <c r="GG21" s="82" t="str">
        <f t="shared" si="6"/>
        <v/>
      </c>
      <c r="GH21" s="82" t="str">
        <f t="shared" si="7"/>
        <v/>
      </c>
      <c r="GI21" s="82" t="str">
        <f t="shared" si="8"/>
        <v/>
      </c>
    </row>
    <row r="22" spans="75:191" ht="38.4" customHeight="1" x14ac:dyDescent="0.3">
      <c r="BW22" s="82">
        <v>0</v>
      </c>
      <c r="CE22" s="82">
        <v>0</v>
      </c>
      <c r="CF22" s="82" t="e">
        <v>#REF!</v>
      </c>
      <c r="GE22" s="82" t="str">
        <f t="shared" si="5"/>
        <v/>
      </c>
      <c r="GG22" s="82" t="str">
        <f t="shared" si="6"/>
        <v/>
      </c>
      <c r="GH22" s="82" t="str">
        <f t="shared" si="7"/>
        <v/>
      </c>
      <c r="GI22" s="82" t="str">
        <f t="shared" si="8"/>
        <v/>
      </c>
    </row>
    <row r="23" spans="75:191" ht="38.4" customHeight="1" x14ac:dyDescent="0.3">
      <c r="BW23" s="82">
        <v>0</v>
      </c>
      <c r="CE23" s="82">
        <v>0</v>
      </c>
      <c r="CF23" s="82" t="e">
        <v>#REF!</v>
      </c>
      <c r="GE23" s="82" t="str">
        <f t="shared" si="5"/>
        <v/>
      </c>
      <c r="GG23" s="82" t="str">
        <f t="shared" si="6"/>
        <v/>
      </c>
      <c r="GH23" s="82" t="str">
        <f t="shared" si="7"/>
        <v/>
      </c>
      <c r="GI23" s="82" t="str">
        <f t="shared" si="8"/>
        <v/>
      </c>
    </row>
    <row r="24" spans="75:191" ht="38.4" customHeight="1" x14ac:dyDescent="0.3">
      <c r="BW24" s="82">
        <v>0</v>
      </c>
      <c r="CE24" s="82">
        <v>0</v>
      </c>
      <c r="CF24" s="82" t="e">
        <v>#REF!</v>
      </c>
      <c r="GE24" s="82" t="str">
        <f t="shared" si="5"/>
        <v/>
      </c>
      <c r="GG24" s="82" t="str">
        <f t="shared" si="6"/>
        <v/>
      </c>
      <c r="GH24" s="82" t="str">
        <f t="shared" si="7"/>
        <v/>
      </c>
      <c r="GI24" s="82" t="str">
        <f t="shared" si="8"/>
        <v/>
      </c>
    </row>
    <row r="25" spans="75:191" ht="38.4" customHeight="1" x14ac:dyDescent="0.3">
      <c r="BW25" s="82">
        <v>0</v>
      </c>
      <c r="CE25" s="82">
        <v>0</v>
      </c>
      <c r="CF25" s="82" t="e">
        <v>#REF!</v>
      </c>
      <c r="GE25" s="82" t="str">
        <f t="shared" si="5"/>
        <v/>
      </c>
      <c r="GG25" s="82" t="str">
        <f t="shared" si="6"/>
        <v/>
      </c>
      <c r="GH25" s="82" t="str">
        <f t="shared" si="7"/>
        <v/>
      </c>
      <c r="GI25" s="82" t="str">
        <f t="shared" si="8"/>
        <v/>
      </c>
    </row>
    <row r="26" spans="75:191" ht="38.4" customHeight="1" x14ac:dyDescent="0.3">
      <c r="BW26" s="82">
        <v>0</v>
      </c>
      <c r="CE26" s="82">
        <v>0</v>
      </c>
      <c r="CF26" s="82" t="e">
        <v>#REF!</v>
      </c>
      <c r="GE26" s="82" t="str">
        <f t="shared" si="5"/>
        <v/>
      </c>
      <c r="GG26" s="82" t="str">
        <f t="shared" si="6"/>
        <v/>
      </c>
      <c r="GH26" s="82" t="str">
        <f t="shared" si="7"/>
        <v/>
      </c>
      <c r="GI26" s="82" t="str">
        <f t="shared" si="8"/>
        <v/>
      </c>
    </row>
    <row r="27" spans="75:191" ht="38.4" customHeight="1" x14ac:dyDescent="0.3">
      <c r="BW27" s="82">
        <v>0</v>
      </c>
      <c r="CE27" s="82">
        <v>0</v>
      </c>
      <c r="CF27" s="82" t="e">
        <v>#REF!</v>
      </c>
      <c r="GE27" s="82" t="str">
        <f t="shared" si="5"/>
        <v/>
      </c>
      <c r="GG27" s="82" t="str">
        <f t="shared" si="6"/>
        <v/>
      </c>
      <c r="GH27" s="82" t="str">
        <f t="shared" si="7"/>
        <v/>
      </c>
      <c r="GI27" s="82" t="str">
        <f t="shared" si="8"/>
        <v/>
      </c>
    </row>
    <row r="28" spans="75:191" ht="38.4" customHeight="1" x14ac:dyDescent="0.3">
      <c r="BW28" s="82">
        <v>0</v>
      </c>
      <c r="CE28" s="82">
        <v>0</v>
      </c>
      <c r="CF28" s="82" t="e">
        <v>#REF!</v>
      </c>
      <c r="GE28" s="82" t="str">
        <f t="shared" si="5"/>
        <v/>
      </c>
      <c r="GG28" s="82" t="str">
        <f t="shared" si="6"/>
        <v/>
      </c>
      <c r="GH28" s="82" t="str">
        <f t="shared" si="7"/>
        <v/>
      </c>
      <c r="GI28" s="82" t="str">
        <f t="shared" si="8"/>
        <v/>
      </c>
    </row>
    <row r="29" spans="75:191" ht="38.4" customHeight="1" x14ac:dyDescent="0.3">
      <c r="BW29" s="82">
        <v>0</v>
      </c>
      <c r="CE29" s="82">
        <v>0</v>
      </c>
      <c r="CF29" s="82" t="e">
        <v>#REF!</v>
      </c>
      <c r="GE29" s="82" t="str">
        <f t="shared" si="5"/>
        <v/>
      </c>
      <c r="GG29" s="82" t="str">
        <f t="shared" si="6"/>
        <v/>
      </c>
      <c r="GH29" s="82" t="str">
        <f t="shared" si="7"/>
        <v/>
      </c>
      <c r="GI29" s="82" t="str">
        <f t="shared" si="8"/>
        <v/>
      </c>
    </row>
    <row r="30" spans="75:191" ht="38.4" customHeight="1" x14ac:dyDescent="0.3">
      <c r="BW30" s="82">
        <v>0</v>
      </c>
      <c r="CE30" s="82">
        <v>0</v>
      </c>
      <c r="CF30" s="82" t="e">
        <v>#REF!</v>
      </c>
      <c r="GE30" s="82" t="str">
        <f t="shared" si="5"/>
        <v/>
      </c>
      <c r="GG30" s="82" t="str">
        <f t="shared" si="6"/>
        <v/>
      </c>
      <c r="GH30" s="82" t="str">
        <f t="shared" si="7"/>
        <v/>
      </c>
      <c r="GI30" s="82" t="str">
        <f t="shared" si="8"/>
        <v/>
      </c>
    </row>
    <row r="31" spans="75:191" ht="38.4" customHeight="1" x14ac:dyDescent="0.3">
      <c r="BW31" s="82">
        <v>0</v>
      </c>
      <c r="CE31" s="82">
        <v>0</v>
      </c>
      <c r="CF31" s="82" t="e">
        <v>#REF!</v>
      </c>
      <c r="GE31" s="82" t="str">
        <f t="shared" si="5"/>
        <v/>
      </c>
      <c r="GG31" s="82" t="str">
        <f t="shared" si="6"/>
        <v/>
      </c>
      <c r="GH31" s="82" t="str">
        <f t="shared" si="7"/>
        <v/>
      </c>
      <c r="GI31" s="82" t="str">
        <f t="shared" si="8"/>
        <v/>
      </c>
    </row>
    <row r="32" spans="75:191" ht="38.4" customHeight="1" x14ac:dyDescent="0.3">
      <c r="BW32" s="82">
        <v>0</v>
      </c>
      <c r="CE32" s="82">
        <v>0</v>
      </c>
      <c r="CF32" s="82" t="e">
        <v>#REF!</v>
      </c>
      <c r="GE32" s="82" t="str">
        <f t="shared" si="5"/>
        <v/>
      </c>
      <c r="GG32" s="82" t="str">
        <f t="shared" si="6"/>
        <v/>
      </c>
      <c r="GH32" s="82" t="str">
        <f t="shared" si="7"/>
        <v/>
      </c>
      <c r="GI32" s="82" t="str">
        <f t="shared" si="8"/>
        <v/>
      </c>
    </row>
    <row r="33" spans="75:191" ht="38.4" customHeight="1" x14ac:dyDescent="0.3">
      <c r="BW33" s="82">
        <v>0</v>
      </c>
      <c r="CE33" s="82">
        <v>0</v>
      </c>
      <c r="CF33" s="82" t="e">
        <v>#REF!</v>
      </c>
      <c r="GE33" s="82" t="str">
        <f t="shared" si="5"/>
        <v/>
      </c>
      <c r="GG33" s="82" t="str">
        <f t="shared" si="6"/>
        <v/>
      </c>
      <c r="GH33" s="82" t="str">
        <f t="shared" si="7"/>
        <v/>
      </c>
      <c r="GI33" s="82" t="str">
        <f t="shared" si="8"/>
        <v/>
      </c>
    </row>
    <row r="34" spans="75:191" ht="38.4" customHeight="1" x14ac:dyDescent="0.3">
      <c r="BW34" s="82">
        <v>0</v>
      </c>
      <c r="CE34" s="82">
        <v>0</v>
      </c>
      <c r="CF34" s="82" t="e">
        <v>#REF!</v>
      </c>
      <c r="GE34" s="82" t="str">
        <f t="shared" si="5"/>
        <v/>
      </c>
      <c r="GG34" s="82" t="str">
        <f t="shared" si="6"/>
        <v/>
      </c>
      <c r="GH34" s="82" t="str">
        <f t="shared" si="7"/>
        <v/>
      </c>
      <c r="GI34" s="82" t="str">
        <f t="shared" si="8"/>
        <v/>
      </c>
    </row>
    <row r="35" spans="75:191" ht="38.4" customHeight="1" x14ac:dyDescent="0.3">
      <c r="BW35" s="82">
        <v>0</v>
      </c>
      <c r="CE35" s="82">
        <v>0</v>
      </c>
      <c r="CF35" s="82" t="e">
        <v>#REF!</v>
      </c>
      <c r="GE35" s="82" t="str">
        <f t="shared" si="5"/>
        <v/>
      </c>
      <c r="GG35" s="82" t="str">
        <f t="shared" si="6"/>
        <v/>
      </c>
      <c r="GH35" s="82" t="str">
        <f t="shared" si="7"/>
        <v/>
      </c>
      <c r="GI35" s="82" t="str">
        <f t="shared" si="8"/>
        <v/>
      </c>
    </row>
    <row r="36" spans="75:191" ht="38.4" customHeight="1" x14ac:dyDescent="0.3">
      <c r="BW36" s="82">
        <v>0</v>
      </c>
      <c r="CE36" s="82">
        <v>0</v>
      </c>
      <c r="CF36" s="82" t="e">
        <v>#REF!</v>
      </c>
      <c r="GE36" s="82" t="str">
        <f t="shared" si="5"/>
        <v/>
      </c>
      <c r="GG36" s="82" t="str">
        <f t="shared" si="6"/>
        <v/>
      </c>
      <c r="GH36" s="82" t="str">
        <f t="shared" si="7"/>
        <v/>
      </c>
      <c r="GI36" s="82" t="str">
        <f t="shared" si="8"/>
        <v/>
      </c>
    </row>
    <row r="37" spans="75:191" ht="38.4" customHeight="1" x14ac:dyDescent="0.3">
      <c r="BW37" s="82">
        <v>0</v>
      </c>
      <c r="CE37" s="82">
        <v>0</v>
      </c>
      <c r="CF37" s="82" t="e">
        <v>#REF!</v>
      </c>
      <c r="GE37" s="82" t="str">
        <f t="shared" si="5"/>
        <v/>
      </c>
      <c r="GG37" s="82" t="str">
        <f t="shared" si="6"/>
        <v/>
      </c>
      <c r="GH37" s="82" t="str">
        <f t="shared" si="7"/>
        <v/>
      </c>
      <c r="GI37" s="82" t="str">
        <f t="shared" si="8"/>
        <v/>
      </c>
    </row>
    <row r="38" spans="75:191" ht="38.4" customHeight="1" x14ac:dyDescent="0.3">
      <c r="BW38" s="82">
        <v>0</v>
      </c>
      <c r="CE38" s="82">
        <v>0</v>
      </c>
      <c r="CF38" s="82" t="e">
        <v>#REF!</v>
      </c>
      <c r="GE38" s="82" t="str">
        <f t="shared" si="5"/>
        <v/>
      </c>
      <c r="GG38" s="82" t="str">
        <f t="shared" si="6"/>
        <v/>
      </c>
      <c r="GH38" s="82" t="str">
        <f t="shared" si="7"/>
        <v/>
      </c>
      <c r="GI38" s="82" t="str">
        <f t="shared" si="8"/>
        <v/>
      </c>
    </row>
    <row r="39" spans="75:191" ht="38.4" customHeight="1" x14ac:dyDescent="0.3">
      <c r="BW39" s="82">
        <v>0</v>
      </c>
      <c r="CE39" s="82">
        <v>0</v>
      </c>
      <c r="CF39" s="82" t="e">
        <v>#REF!</v>
      </c>
      <c r="GE39" s="82" t="str">
        <f t="shared" si="5"/>
        <v/>
      </c>
      <c r="GG39" s="82" t="str">
        <f t="shared" si="6"/>
        <v/>
      </c>
      <c r="GH39" s="82" t="str">
        <f t="shared" si="7"/>
        <v/>
      </c>
      <c r="GI39" s="82" t="str">
        <f t="shared" si="8"/>
        <v/>
      </c>
    </row>
    <row r="40" spans="75:191" ht="38.4" customHeight="1" x14ac:dyDescent="0.3">
      <c r="BW40" s="82">
        <v>0</v>
      </c>
      <c r="CE40" s="82">
        <v>0</v>
      </c>
      <c r="CF40" s="82" t="e">
        <v>#REF!</v>
      </c>
      <c r="GE40" s="82" t="str">
        <f t="shared" si="5"/>
        <v/>
      </c>
      <c r="GG40" s="82" t="str">
        <f t="shared" si="6"/>
        <v/>
      </c>
      <c r="GH40" s="82" t="str">
        <f t="shared" si="7"/>
        <v/>
      </c>
      <c r="GI40" s="82" t="str">
        <f t="shared" si="8"/>
        <v/>
      </c>
    </row>
    <row r="41" spans="75:191" ht="38.4" customHeight="1" x14ac:dyDescent="0.3">
      <c r="BW41" s="82">
        <v>0</v>
      </c>
      <c r="CE41" s="82">
        <v>0</v>
      </c>
      <c r="CF41" s="82" t="e">
        <v>#REF!</v>
      </c>
      <c r="GE41" s="82" t="str">
        <f t="shared" si="5"/>
        <v/>
      </c>
      <c r="GG41" s="82" t="str">
        <f t="shared" si="6"/>
        <v/>
      </c>
      <c r="GH41" s="82" t="str">
        <f t="shared" si="7"/>
        <v/>
      </c>
      <c r="GI41" s="82" t="str">
        <f t="shared" si="8"/>
        <v/>
      </c>
    </row>
    <row r="42" spans="75:191" ht="38.4" customHeight="1" x14ac:dyDescent="0.3">
      <c r="BW42" s="82">
        <v>0</v>
      </c>
      <c r="CE42" s="82">
        <v>0</v>
      </c>
      <c r="CF42" s="82" t="e">
        <v>#REF!</v>
      </c>
      <c r="GE42" s="82" t="str">
        <f t="shared" si="5"/>
        <v/>
      </c>
      <c r="GG42" s="82" t="str">
        <f t="shared" si="6"/>
        <v/>
      </c>
      <c r="GH42" s="82" t="str">
        <f t="shared" si="7"/>
        <v/>
      </c>
      <c r="GI42" s="82" t="str">
        <f t="shared" si="8"/>
        <v/>
      </c>
    </row>
    <row r="43" spans="75:191" ht="38.4" customHeight="1" x14ac:dyDescent="0.3">
      <c r="BW43" s="82">
        <v>0</v>
      </c>
      <c r="CE43" s="82">
        <v>0</v>
      </c>
      <c r="CF43" s="82" t="e">
        <v>#REF!</v>
      </c>
      <c r="GE43" s="82" t="str">
        <f t="shared" si="5"/>
        <v/>
      </c>
      <c r="GG43" s="82" t="str">
        <f t="shared" si="6"/>
        <v/>
      </c>
      <c r="GH43" s="82" t="str">
        <f t="shared" si="7"/>
        <v/>
      </c>
      <c r="GI43" s="82" t="str">
        <f t="shared" si="8"/>
        <v/>
      </c>
    </row>
    <row r="44" spans="75:191" ht="38.4" customHeight="1" x14ac:dyDescent="0.3">
      <c r="BW44" s="82">
        <v>0</v>
      </c>
      <c r="CE44" s="82">
        <v>0</v>
      </c>
      <c r="CF44" s="82" t="e">
        <v>#REF!</v>
      </c>
      <c r="GE44" s="82" t="str">
        <f t="shared" si="5"/>
        <v/>
      </c>
      <c r="GG44" s="82" t="str">
        <f t="shared" si="6"/>
        <v/>
      </c>
      <c r="GH44" s="82" t="str">
        <f t="shared" si="7"/>
        <v/>
      </c>
      <c r="GI44" s="82" t="str">
        <f t="shared" si="8"/>
        <v/>
      </c>
    </row>
    <row r="45" spans="75:191" ht="38.4" customHeight="1" x14ac:dyDescent="0.3">
      <c r="BW45" s="82">
        <v>0</v>
      </c>
      <c r="CE45" s="82">
        <v>0</v>
      </c>
      <c r="CF45" s="82" t="e">
        <v>#REF!</v>
      </c>
      <c r="GE45" s="82" t="str">
        <f t="shared" si="5"/>
        <v/>
      </c>
      <c r="GG45" s="82" t="str">
        <f t="shared" si="6"/>
        <v/>
      </c>
      <c r="GH45" s="82" t="str">
        <f t="shared" si="7"/>
        <v/>
      </c>
      <c r="GI45" s="82" t="str">
        <f t="shared" si="8"/>
        <v/>
      </c>
    </row>
    <row r="46" spans="75:191" ht="38.4" customHeight="1" x14ac:dyDescent="0.3">
      <c r="BW46" s="82">
        <v>0</v>
      </c>
      <c r="CE46" s="82">
        <v>0</v>
      </c>
      <c r="CF46" s="82" t="e">
        <v>#REF!</v>
      </c>
      <c r="GE46" s="82" t="str">
        <f t="shared" si="5"/>
        <v/>
      </c>
      <c r="GG46" s="82" t="str">
        <f t="shared" si="6"/>
        <v/>
      </c>
      <c r="GH46" s="82" t="str">
        <f t="shared" si="7"/>
        <v/>
      </c>
      <c r="GI46" s="82" t="str">
        <f t="shared" si="8"/>
        <v/>
      </c>
    </row>
    <row r="47" spans="75:191" ht="38.4" customHeight="1" x14ac:dyDescent="0.3">
      <c r="BW47" s="82">
        <v>0</v>
      </c>
      <c r="CE47" s="82">
        <v>0</v>
      </c>
      <c r="CF47" s="82" t="e">
        <v>#REF!</v>
      </c>
      <c r="GE47" s="82" t="str">
        <f t="shared" si="5"/>
        <v/>
      </c>
      <c r="GG47" s="82" t="str">
        <f t="shared" si="6"/>
        <v/>
      </c>
      <c r="GH47" s="82" t="str">
        <f t="shared" si="7"/>
        <v/>
      </c>
      <c r="GI47" s="82" t="str">
        <f t="shared" si="8"/>
        <v/>
      </c>
    </row>
    <row r="48" spans="75:191" ht="38.4" customHeight="1" x14ac:dyDescent="0.3">
      <c r="BW48" s="82">
        <v>0</v>
      </c>
      <c r="CE48" s="82">
        <v>0</v>
      </c>
      <c r="CF48" s="82" t="e">
        <v>#REF!</v>
      </c>
      <c r="GE48" s="82" t="str">
        <f t="shared" si="5"/>
        <v/>
      </c>
      <c r="GG48" s="82" t="str">
        <f t="shared" si="6"/>
        <v/>
      </c>
      <c r="GH48" s="82" t="str">
        <f t="shared" si="7"/>
        <v/>
      </c>
      <c r="GI48" s="82" t="str">
        <f t="shared" si="8"/>
        <v/>
      </c>
    </row>
  </sheetData>
  <autoFilter ref="A1:IY48" xr:uid="{A1051193-A95B-4CFB-A73C-F0184620C81F}">
    <sortState xmlns:xlrd2="http://schemas.microsoft.com/office/spreadsheetml/2017/richdata2" ref="A2:IY48">
      <sortCondition ref="AW1:AW48"/>
    </sortState>
  </autoFilter>
  <conditionalFormatting sqref="H1 CW1:GS1 IA1:IB1">
    <cfRule type="cellIs" dxfId="1063" priority="66" operator="greaterThan">
      <formula>0</formula>
    </cfRule>
  </conditionalFormatting>
  <conditionalFormatting sqref="H1:H5 H9:H1048576">
    <cfRule type="cellIs" dxfId="1062" priority="6" stopIfTrue="1" operator="notEqual">
      <formula>""</formula>
    </cfRule>
  </conditionalFormatting>
  <conditionalFormatting sqref="R2:R5 CU2:CU5">
    <cfRule type="cellIs" dxfId="1061" priority="8" operator="greaterThan">
      <formula>0</formula>
    </cfRule>
  </conditionalFormatting>
  <conditionalFormatting sqref="T2:AS5 CH2:CS5">
    <cfRule type="cellIs" dxfId="1060" priority="3" stopIfTrue="1" operator="equal">
      <formula>"n"</formula>
    </cfRule>
    <cfRule type="cellIs" dxfId="1059" priority="4" stopIfTrue="1" operator="equal">
      <formula>"y"</formula>
    </cfRule>
    <cfRule type="cellIs" dxfId="1058" priority="5" operator="greaterThan">
      <formula>0</formula>
    </cfRule>
  </conditionalFormatting>
  <conditionalFormatting sqref="T1:BK1">
    <cfRule type="cellIs" dxfId="1057" priority="69" operator="greaterThan">
      <formula>0</formula>
    </cfRule>
  </conditionalFormatting>
  <conditionalFormatting sqref="AZ2:BB5">
    <cfRule type="expression" dxfId="1056" priority="2">
      <formula>$AT2=0</formula>
    </cfRule>
  </conditionalFormatting>
  <conditionalFormatting sqref="AZ2:BU5">
    <cfRule type="cellIs" dxfId="1055" priority="44" operator="equal">
      <formula>"PIN"</formula>
    </cfRule>
    <cfRule type="cellIs" dxfId="1054" priority="45" operator="equal">
      <formula>"ORA"</formula>
    </cfRule>
    <cfRule type="cellIs" dxfId="1053" priority="46" operator="equal">
      <formula>"GRA"</formula>
    </cfRule>
    <cfRule type="cellIs" dxfId="1052" priority="47" operator="equal">
      <formula>"PUR"</formula>
    </cfRule>
    <cfRule type="cellIs" dxfId="1051" priority="48" operator="equal">
      <formula>"BRO"</formula>
    </cfRule>
    <cfRule type="cellIs" dxfId="1050" priority="49" operator="equal">
      <formula>"YEL"</formula>
    </cfRule>
    <cfRule type="cellIs" dxfId="1049" priority="50" operator="equal">
      <formula>"BLU"</formula>
    </cfRule>
    <cfRule type="cellIs" dxfId="1048" priority="51" operator="equal">
      <formula>"WHI"</formula>
    </cfRule>
    <cfRule type="cellIs" dxfId="1047" priority="52" operator="equal">
      <formula>"GRE"</formula>
    </cfRule>
    <cfRule type="cellIs" dxfId="1046" priority="53" operator="equal">
      <formula>"RED"</formula>
    </cfRule>
    <cfRule type="cellIs" dxfId="1045" priority="54" operator="equal">
      <formula>"BLA"</formula>
    </cfRule>
  </conditionalFormatting>
  <conditionalFormatting sqref="BV1:BW1048576">
    <cfRule type="cellIs" dxfId="1044" priority="68" operator="equal">
      <formula>"nc"</formula>
    </cfRule>
  </conditionalFormatting>
  <conditionalFormatting sqref="BX2:CA5 CD2:CF5">
    <cfRule type="cellIs" dxfId="1043" priority="7" operator="equal">
      <formula>"y"</formula>
    </cfRule>
    <cfRule type="cellIs" dxfId="1042" priority="55" operator="equal">
      <formula>"PIN"</formula>
    </cfRule>
    <cfRule type="cellIs" dxfId="1041" priority="56" operator="equal">
      <formula>"ORA"</formula>
    </cfRule>
    <cfRule type="cellIs" dxfId="1040" priority="57" operator="equal">
      <formula>"GRA"</formula>
    </cfRule>
    <cfRule type="cellIs" dxfId="1039" priority="58" operator="equal">
      <formula>"PUR"</formula>
    </cfRule>
    <cfRule type="cellIs" dxfId="1038" priority="59" operator="equal">
      <formula>"BRO"</formula>
    </cfRule>
    <cfRule type="cellIs" dxfId="1037" priority="60" operator="equal">
      <formula>"YEL"</formula>
    </cfRule>
    <cfRule type="cellIs" dxfId="1036" priority="61" operator="equal">
      <formula>"BLU"</formula>
    </cfRule>
    <cfRule type="cellIs" dxfId="1035" priority="62" operator="equal">
      <formula>"WHI"</formula>
    </cfRule>
    <cfRule type="cellIs" dxfId="1034" priority="63" operator="equal">
      <formula>"GRE"</formula>
    </cfRule>
    <cfRule type="cellIs" dxfId="1033" priority="64" operator="equal">
      <formula>"RED"</formula>
    </cfRule>
    <cfRule type="cellIs" dxfId="1032" priority="65" operator="equal">
      <formula>"BLA"</formula>
    </cfRule>
  </conditionalFormatting>
  <conditionalFormatting sqref="BZ2:CA5 CD2:CF5">
    <cfRule type="cellIs" dxfId="1031" priority="9" operator="greaterThan">
      <formula>0</formula>
    </cfRule>
  </conditionalFormatting>
  <conditionalFormatting sqref="HF1:HG1">
    <cfRule type="cellIs" dxfId="1030" priority="70" operator="greaterThan">
      <formula>0</formula>
    </cfRule>
  </conditionalFormatting>
  <conditionalFormatting sqref="HK1">
    <cfRule type="cellIs" dxfId="1029" priority="67" operator="greaterThan">
      <formula>0</formula>
    </cfRule>
  </conditionalFormatting>
  <conditionalFormatting sqref="HP1:HX1">
    <cfRule type="cellIs" dxfId="1028" priority="21" operator="equal">
      <formula>"PIN"</formula>
    </cfRule>
    <cfRule type="cellIs" dxfId="1027" priority="22" operator="equal">
      <formula>"ORA"</formula>
    </cfRule>
    <cfRule type="cellIs" dxfId="1026" priority="23" operator="equal">
      <formula>"GRA"</formula>
    </cfRule>
    <cfRule type="cellIs" dxfId="1025" priority="24" operator="equal">
      <formula>"PUR"</formula>
    </cfRule>
    <cfRule type="cellIs" dxfId="1024" priority="25" operator="equal">
      <formula>"BRO"</formula>
    </cfRule>
    <cfRule type="cellIs" dxfId="1023" priority="26" operator="equal">
      <formula>"YEL"</formula>
    </cfRule>
    <cfRule type="cellIs" dxfId="1022" priority="27" operator="equal">
      <formula>"BLU"</formula>
    </cfRule>
    <cfRule type="cellIs" dxfId="1021" priority="28" operator="equal">
      <formula>"WHI"</formula>
    </cfRule>
    <cfRule type="cellIs" dxfId="1020" priority="29" operator="equal">
      <formula>"GRE"</formula>
    </cfRule>
    <cfRule type="cellIs" dxfId="1019" priority="30" operator="equal">
      <formula>"RED"</formula>
    </cfRule>
    <cfRule type="cellIs" dxfId="1018" priority="31" operator="equal">
      <formula>"BLA"</formula>
    </cfRule>
  </conditionalFormatting>
  <conditionalFormatting sqref="IC1:IK1">
    <cfRule type="cellIs" dxfId="1017" priority="33" operator="equal">
      <formula>"PIN"</formula>
    </cfRule>
    <cfRule type="cellIs" dxfId="1016" priority="34" operator="equal">
      <formula>"ORA"</formula>
    </cfRule>
    <cfRule type="cellIs" dxfId="1015" priority="35" operator="equal">
      <formula>"GRA"</formula>
    </cfRule>
    <cfRule type="cellIs" dxfId="1014" priority="36" operator="equal">
      <formula>"PUR"</formula>
    </cfRule>
    <cfRule type="cellIs" dxfId="1013" priority="37" operator="equal">
      <formula>"BRO"</formula>
    </cfRule>
    <cfRule type="cellIs" dxfId="1012" priority="38" operator="equal">
      <formula>"YEL"</formula>
    </cfRule>
    <cfRule type="cellIs" dxfId="1011" priority="39" operator="equal">
      <formula>"BLU"</formula>
    </cfRule>
    <cfRule type="cellIs" dxfId="1010" priority="40" operator="equal">
      <formula>"WHI"</formula>
    </cfRule>
    <cfRule type="cellIs" dxfId="1009" priority="41" operator="equal">
      <formula>"GRE"</formula>
    </cfRule>
    <cfRule type="cellIs" dxfId="1008" priority="42" operator="equal">
      <formula>"RED"</formula>
    </cfRule>
    <cfRule type="cellIs" dxfId="1007" priority="43" operator="equal">
      <formula>"BLA"</formula>
    </cfRule>
  </conditionalFormatting>
  <conditionalFormatting sqref="IC2:IK5">
    <cfRule type="expression" dxfId="1006" priority="32">
      <formula>$IL2&gt;0</formula>
    </cfRule>
  </conditionalFormatting>
  <conditionalFormatting sqref="IO1:IW1">
    <cfRule type="cellIs" dxfId="1005" priority="10" operator="equal">
      <formula>"PIN"</formula>
    </cfRule>
    <cfRule type="cellIs" dxfId="1004" priority="11" operator="equal">
      <formula>"ORA"</formula>
    </cfRule>
    <cfRule type="cellIs" dxfId="1003" priority="12" operator="equal">
      <formula>"GRA"</formula>
    </cfRule>
    <cfRule type="cellIs" dxfId="1002" priority="13" operator="equal">
      <formula>"PUR"</formula>
    </cfRule>
    <cfRule type="cellIs" dxfId="1001" priority="14" operator="equal">
      <formula>"BRO"</formula>
    </cfRule>
    <cfRule type="cellIs" dxfId="1000" priority="15" operator="equal">
      <formula>"YEL"</formula>
    </cfRule>
    <cfRule type="cellIs" dxfId="999" priority="16" operator="equal">
      <formula>"BLU"</formula>
    </cfRule>
    <cfRule type="cellIs" dxfId="998" priority="17" operator="equal">
      <formula>"WHI"</formula>
    </cfRule>
    <cfRule type="cellIs" dxfId="997" priority="18" operator="equal">
      <formula>"GRE"</formula>
    </cfRule>
    <cfRule type="cellIs" dxfId="996" priority="19" operator="equal">
      <formula>"RED"</formula>
    </cfRule>
    <cfRule type="cellIs" dxfId="995" priority="20" operator="equal">
      <formula>"BLA"</formula>
    </cfRule>
  </conditionalFormatting>
  <conditionalFormatting sqref="S2:S5">
    <cfRule type="colorScale" priority="2082">
      <colorScale>
        <cfvo type="min"/>
        <cfvo type="max"/>
        <color rgb="FFFCFCFF"/>
        <color rgb="FF754BFB"/>
      </colorScale>
    </cfRule>
  </conditionalFormatting>
  <conditionalFormatting sqref="AT2:AT5">
    <cfRule type="colorScale" priority="2083">
      <colorScale>
        <cfvo type="min"/>
        <cfvo type="max"/>
        <color rgb="FFFCFCFF"/>
        <color theme="8" tint="0.39997558519241921"/>
      </colorScale>
    </cfRule>
  </conditionalFormatting>
  <conditionalFormatting sqref="CG2:CG5">
    <cfRule type="colorScale" priority="2084">
      <colorScale>
        <cfvo type="min"/>
        <cfvo type="max"/>
        <color rgb="FFFCFCFF"/>
        <color rgb="FF63BE7B"/>
      </colorScale>
    </cfRule>
  </conditionalFormatting>
  <conditionalFormatting sqref="J2:J5">
    <cfRule type="colorScale" priority="1">
      <colorScale>
        <cfvo type="min"/>
        <cfvo type="percentile" val="50"/>
        <cfvo type="max"/>
        <color rgb="FFF8696B"/>
        <color rgb="FFFFEB84"/>
        <color rgb="FF63BE7B"/>
      </colorScale>
    </cfRule>
  </conditionalFormatting>
  <hyperlinks>
    <hyperlink ref="A2" r:id="rId1" display="https://fbref.com/en/country/NCL/New-Caledonia-Football" xr:uid="{77C09F74-8329-4567-870C-9AFB669036EA}"/>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5361" r:id="rId5" name="Button 1">
              <controlPr defaultSize="0" print="0" autoFill="0" autoPict="0" macro="[0]!InsertImagesFromSelectedRange">
                <anchor moveWithCells="1" sizeWithCells="1">
                  <from>
                    <xdr:col>1</xdr:col>
                    <xdr:colOff>76200</xdr:colOff>
                    <xdr:row>0</xdr:row>
                    <xdr:rowOff>7620</xdr:rowOff>
                  </from>
                  <to>
                    <xdr:col>2</xdr:col>
                    <xdr:colOff>0</xdr:colOff>
                    <xdr:row>0</xdr:row>
                    <xdr:rowOff>487680</xdr:rowOff>
                  </to>
                </anchor>
              </controlPr>
            </control>
          </mc:Choice>
        </mc:AlternateContent>
        <mc:AlternateContent xmlns:mc="http://schemas.openxmlformats.org/markup-compatibility/2006">
          <mc:Choice Requires="x14">
            <control shapeId="15362" r:id="rId6" name="Button 2">
              <controlPr defaultSize="0" print="0" autoFill="0" autoPict="0" macro="[0]!ReplaceLineBreaksWithNewLineManualRange">
                <anchor moveWithCells="1" sizeWithCells="1">
                  <from>
                    <xdr:col>7</xdr:col>
                    <xdr:colOff>15240</xdr:colOff>
                    <xdr:row>0</xdr:row>
                    <xdr:rowOff>45720</xdr:rowOff>
                  </from>
                  <to>
                    <xdr:col>7</xdr:col>
                    <xdr:colOff>685800</xdr:colOff>
                    <xdr:row>0</xdr:row>
                    <xdr:rowOff>403860</xdr:rowOff>
                  </to>
                </anchor>
              </controlPr>
            </control>
          </mc:Choice>
        </mc:AlternateContent>
        <mc:AlternateContent xmlns:mc="http://schemas.openxmlformats.org/markup-compatibility/2006">
          <mc:Choice Requires="x14">
            <control shapeId="15363" r:id="rId7" name="Button 3">
              <controlPr defaultSize="0" print="0" autoFill="0" autoPict="0" macro="[0]!GoToSheet">
                <anchor moveWithCells="1" sizeWithCells="1">
                  <from>
                    <xdr:col>0</xdr:col>
                    <xdr:colOff>137160</xdr:colOff>
                    <xdr:row>0</xdr:row>
                    <xdr:rowOff>114300</xdr:rowOff>
                  </from>
                  <to>
                    <xdr:col>0</xdr:col>
                    <xdr:colOff>762000</xdr:colOff>
                    <xdr:row>0</xdr:row>
                    <xdr:rowOff>419100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52BCCB-B0E2-4368-B408-CB2360167309}">
  <sheetPr codeName="Sheet28"/>
  <dimension ref="A1:IY8"/>
  <sheetViews>
    <sheetView zoomScale="70" zoomScaleNormal="70" workbookViewId="0">
      <pane xSplit="5" ySplit="1" topLeftCell="F2" activePane="bottomRight" state="frozen"/>
      <selection activeCell="A2" sqref="A2"/>
      <selection pane="topRight" activeCell="A2" sqref="A2"/>
      <selection pane="bottomLeft" activeCell="A2" sqref="A2"/>
      <selection pane="bottomRight" activeCell="M3" sqref="M3"/>
    </sheetView>
  </sheetViews>
  <sheetFormatPr defaultRowHeight="38.4" customHeight="1" x14ac:dyDescent="0.3"/>
  <cols>
    <col min="1" max="1" width="52.44140625" style="82" bestFit="1" customWidth="1"/>
    <col min="2" max="2" width="10.109375" style="82" customWidth="1"/>
    <col min="3" max="3" width="7.44140625" style="83" customWidth="1"/>
    <col min="4" max="4" width="4.77734375" style="84" customWidth="1"/>
    <col min="5" max="5" width="4.5546875" style="84" customWidth="1"/>
    <col min="6" max="6" width="5.77734375" style="84" customWidth="1"/>
    <col min="7" max="7" width="7.44140625" style="82" customWidth="1"/>
    <col min="8" max="8" width="11.44140625" style="82" customWidth="1"/>
    <col min="9" max="9" width="10" style="82" customWidth="1"/>
    <col min="10" max="10" width="4.21875" style="82" customWidth="1"/>
    <col min="11" max="11" width="5.6640625" style="84" customWidth="1"/>
    <col min="12" max="12" width="2.88671875" style="84" customWidth="1"/>
    <col min="13" max="13" width="6.44140625" style="84" customWidth="1"/>
    <col min="14" max="14" width="4.5546875" style="84" customWidth="1"/>
    <col min="15" max="15" width="10.5546875" style="85" customWidth="1"/>
    <col min="16" max="16" width="6.88671875" style="84" customWidth="1"/>
    <col min="17" max="17" width="4.77734375" style="84" customWidth="1"/>
    <col min="18" max="18" width="13.109375" style="83" customWidth="1"/>
    <col min="19" max="19" width="6.77734375" style="83" customWidth="1"/>
    <col min="20" max="46" width="8.44140625" style="82" customWidth="1"/>
    <col min="47" max="47" width="24.5546875" style="82" customWidth="1"/>
    <col min="48" max="51" width="16.6640625" style="82" customWidth="1"/>
    <col min="52" max="52" width="6.5546875" style="82" customWidth="1"/>
    <col min="53" max="54" width="5.88671875" style="82" customWidth="1"/>
    <col min="55" max="55" width="1.33203125" style="82" customWidth="1"/>
    <col min="56" max="56" width="7.44140625" style="82" customWidth="1"/>
    <col min="57" max="57" width="2.33203125" style="82" customWidth="1"/>
    <col min="58" max="62" width="6.109375" style="82" customWidth="1"/>
    <col min="63" max="63" width="2.33203125" style="82" customWidth="1"/>
    <col min="64" max="64" width="7" style="82" bestFit="1" customWidth="1"/>
    <col min="65" max="65" width="6.44140625" style="82" bestFit="1" customWidth="1"/>
    <col min="66" max="66" width="7.109375" style="82" bestFit="1" customWidth="1"/>
    <col min="67" max="71" width="6.44140625" style="82" bestFit="1" customWidth="1"/>
    <col min="72" max="73" width="6.44140625" style="82" customWidth="1"/>
    <col min="74" max="75" width="13.44140625" style="82" customWidth="1"/>
    <col min="76" max="84" width="14.6640625" style="82" customWidth="1"/>
    <col min="85" max="85" width="6.44140625" style="82" customWidth="1"/>
    <col min="86" max="87" width="11.6640625" style="82" bestFit="1" customWidth="1"/>
    <col min="88" max="88" width="11.6640625" style="82" customWidth="1"/>
    <col min="89" max="89" width="12.77734375" style="82" bestFit="1" customWidth="1"/>
    <col min="90" max="90" width="16.44140625" style="83" bestFit="1" customWidth="1"/>
    <col min="91" max="92" width="14.88671875" style="83" bestFit="1" customWidth="1"/>
    <col min="93" max="93" width="16" style="83" bestFit="1" customWidth="1"/>
    <col min="94" max="97" width="7.77734375" style="82" customWidth="1"/>
    <col min="98" max="98" width="33.21875" style="82" customWidth="1"/>
    <col min="99" max="99" width="18" style="82" customWidth="1"/>
    <col min="100" max="100" width="75.6640625" style="82" customWidth="1"/>
    <col min="101" max="125" width="33" style="82" customWidth="1"/>
    <col min="126" max="126" width="8.88671875" style="82"/>
    <col min="127" max="128" width="9.44140625" style="82" bestFit="1" customWidth="1"/>
    <col min="129" max="129" width="10.77734375" style="82" bestFit="1" customWidth="1"/>
    <col min="130" max="134" width="10.77734375" style="82" customWidth="1"/>
    <col min="135" max="135" width="10.109375" style="82" bestFit="1" customWidth="1"/>
    <col min="136" max="136" width="7.77734375" style="82" bestFit="1" customWidth="1"/>
    <col min="137" max="137" width="7.77734375" style="82" customWidth="1"/>
    <col min="138" max="138" width="9" style="82" bestFit="1" customWidth="1"/>
    <col min="139" max="139" width="11.33203125" style="82" bestFit="1" customWidth="1"/>
    <col min="140" max="140" width="9.109375" style="82" bestFit="1" customWidth="1"/>
    <col min="141" max="141" width="9" style="82" bestFit="1" customWidth="1"/>
    <col min="142" max="142" width="12" style="82" bestFit="1" customWidth="1"/>
    <col min="143" max="166" width="12" style="82" customWidth="1"/>
    <col min="167" max="167" width="17.21875" style="82" customWidth="1"/>
    <col min="168" max="191" width="12" style="82" customWidth="1"/>
    <col min="192" max="192" width="8.5546875" style="82" bestFit="1" customWidth="1"/>
    <col min="193" max="193" width="8.5546875" style="82" customWidth="1"/>
    <col min="194" max="194" width="7.109375" style="82" bestFit="1" customWidth="1"/>
    <col min="195" max="195" width="7.5546875" style="82" bestFit="1" customWidth="1"/>
    <col min="196" max="196" width="8.5546875" style="82" bestFit="1" customWidth="1"/>
    <col min="197" max="200" width="8.5546875" style="82" customWidth="1"/>
    <col min="201" max="201" width="188.88671875" style="82" customWidth="1"/>
    <col min="202" max="202" width="9.5546875" style="82" bestFit="1" customWidth="1"/>
    <col min="203" max="203" width="10.44140625" style="82" bestFit="1" customWidth="1"/>
    <col min="204" max="204" width="11.109375" style="82" bestFit="1" customWidth="1"/>
    <col min="205" max="205" width="10.44140625" style="82" bestFit="1" customWidth="1"/>
    <col min="206" max="210" width="10.44140625" style="82" customWidth="1"/>
    <col min="211" max="211" width="45.44140625" style="82" customWidth="1"/>
    <col min="212" max="212" width="47.5546875" style="82" bestFit="1" customWidth="1"/>
    <col min="213" max="213" width="9.33203125" style="86" customWidth="1"/>
    <col min="214" max="214" width="119.5546875" style="82" customWidth="1"/>
    <col min="215" max="215" width="69.6640625" style="82" customWidth="1"/>
    <col min="216" max="218" width="8.88671875" style="82"/>
    <col min="219" max="219" width="37.109375" style="82" customWidth="1"/>
    <col min="220" max="220" width="16.33203125" style="82" customWidth="1"/>
    <col min="221" max="222" width="8.88671875" style="82"/>
    <col min="223" max="223" width="10.109375" style="82" bestFit="1" customWidth="1"/>
    <col min="224" max="232" width="10.88671875" style="82" customWidth="1"/>
    <col min="233" max="234" width="30.77734375" style="82" customWidth="1"/>
    <col min="235" max="235" width="5.109375" style="82" customWidth="1"/>
    <col min="236" max="236" width="3" style="82" customWidth="1"/>
    <col min="237" max="245" width="6.77734375" style="76" customWidth="1"/>
    <col min="246" max="247" width="8.88671875" style="82"/>
    <col min="248" max="248" width="61.5546875" style="82" customWidth="1"/>
    <col min="249" max="253" width="8.88671875" style="82"/>
    <col min="254" max="254" width="9" style="82" customWidth="1"/>
    <col min="255" max="16384" width="8.88671875" style="82"/>
  </cols>
  <sheetData>
    <row r="1" spans="1:259" s="5" customFormat="1" ht="38.4" customHeight="1" thickBot="1" x14ac:dyDescent="0.35">
      <c r="A1" s="1" t="s">
        <v>0</v>
      </c>
      <c r="B1" s="79" t="s">
        <v>1</v>
      </c>
      <c r="C1" s="2" t="s">
        <v>2</v>
      </c>
      <c r="D1" s="3"/>
      <c r="E1" s="3" t="s">
        <v>3</v>
      </c>
      <c r="F1" s="4"/>
      <c r="H1" s="6" t="s">
        <v>4</v>
      </c>
      <c r="J1" s="5" t="s">
        <v>5</v>
      </c>
      <c r="K1" s="7" t="s">
        <v>6</v>
      </c>
      <c r="L1" s="8" t="s">
        <v>7</v>
      </c>
      <c r="M1" s="8" t="s">
        <v>8</v>
      </c>
      <c r="N1" s="9" t="s">
        <v>9</v>
      </c>
      <c r="O1" s="10" t="s">
        <v>10</v>
      </c>
      <c r="P1" s="11" t="s">
        <v>11</v>
      </c>
      <c r="Q1" s="11" t="s">
        <v>12</v>
      </c>
      <c r="R1" s="12" t="s">
        <v>0</v>
      </c>
      <c r="S1" s="13" t="s">
        <v>13</v>
      </c>
      <c r="T1" s="14" t="s">
        <v>14</v>
      </c>
      <c r="U1" s="14" t="s">
        <v>15</v>
      </c>
      <c r="V1" s="15" t="s">
        <v>16</v>
      </c>
      <c r="W1" s="14" t="s">
        <v>17</v>
      </c>
      <c r="X1" s="14" t="s">
        <v>18</v>
      </c>
      <c r="Y1" s="14" t="s">
        <v>19</v>
      </c>
      <c r="Z1" s="14" t="s">
        <v>20</v>
      </c>
      <c r="AA1" s="14" t="s">
        <v>21</v>
      </c>
      <c r="AB1" s="14" t="s">
        <v>22</v>
      </c>
      <c r="AC1" s="14" t="s">
        <v>23</v>
      </c>
      <c r="AD1" s="14" t="s">
        <v>24</v>
      </c>
      <c r="AE1" s="14" t="s">
        <v>25</v>
      </c>
      <c r="AF1" s="16" t="s">
        <v>26</v>
      </c>
      <c r="AG1" s="16" t="s">
        <v>27</v>
      </c>
      <c r="AH1" s="16" t="s">
        <v>28</v>
      </c>
      <c r="AI1" s="16" t="s">
        <v>29</v>
      </c>
      <c r="AJ1" s="16" t="s">
        <v>30</v>
      </c>
      <c r="AK1" s="16" t="s">
        <v>31</v>
      </c>
      <c r="AL1" s="16" t="s">
        <v>32</v>
      </c>
      <c r="AM1" s="16" t="s">
        <v>33</v>
      </c>
      <c r="AN1" s="16" t="s">
        <v>34</v>
      </c>
      <c r="AO1" s="16" t="s">
        <v>35</v>
      </c>
      <c r="AP1" s="16" t="s">
        <v>36</v>
      </c>
      <c r="AQ1" s="16" t="s">
        <v>37</v>
      </c>
      <c r="AR1" s="16" t="s">
        <v>38</v>
      </c>
      <c r="AS1" s="16" t="s">
        <v>39</v>
      </c>
      <c r="AT1" s="17" t="s">
        <v>40</v>
      </c>
      <c r="AU1" s="18" t="s">
        <v>41</v>
      </c>
      <c r="AV1" s="18" t="s">
        <v>42</v>
      </c>
      <c r="AW1" s="18" t="s">
        <v>43</v>
      </c>
      <c r="AX1" s="19"/>
      <c r="AY1" s="20" t="s">
        <v>44</v>
      </c>
      <c r="AZ1" s="19" t="s">
        <v>45</v>
      </c>
      <c r="BA1" s="19"/>
      <c r="BB1" s="19"/>
      <c r="BC1" s="21"/>
      <c r="BD1" s="19" t="s">
        <v>46</v>
      </c>
      <c r="BE1" s="21"/>
      <c r="BF1" s="19" t="s">
        <v>47</v>
      </c>
      <c r="BG1" s="19" t="s">
        <v>48</v>
      </c>
      <c r="BH1" s="19" t="s">
        <v>49</v>
      </c>
      <c r="BI1" s="19" t="s">
        <v>50</v>
      </c>
      <c r="BJ1" s="19" t="s">
        <v>51</v>
      </c>
      <c r="BK1" s="21"/>
      <c r="BL1" s="22" t="s">
        <v>52</v>
      </c>
      <c r="BM1" s="22"/>
      <c r="BN1" s="22"/>
      <c r="BO1" s="22"/>
      <c r="BP1" s="22"/>
      <c r="BQ1" s="22"/>
      <c r="BR1" s="22"/>
      <c r="BS1" s="22"/>
      <c r="BT1" s="23"/>
      <c r="BU1" s="23" t="s">
        <v>53</v>
      </c>
      <c r="BV1" s="23" t="s">
        <v>54</v>
      </c>
      <c r="BW1" s="23" t="s">
        <v>55</v>
      </c>
      <c r="BX1" s="23"/>
      <c r="BY1" s="23" t="s">
        <v>56</v>
      </c>
      <c r="BZ1" s="23" t="s">
        <v>57</v>
      </c>
      <c r="CA1" s="23" t="s">
        <v>58</v>
      </c>
      <c r="CB1" s="23" t="s">
        <v>59</v>
      </c>
      <c r="CC1" s="23" t="s">
        <v>60</v>
      </c>
      <c r="CD1" s="23" t="s">
        <v>61</v>
      </c>
      <c r="CE1" s="23" t="s">
        <v>62</v>
      </c>
      <c r="CF1" s="23" t="s">
        <v>63</v>
      </c>
      <c r="CG1" s="23"/>
      <c r="CH1" s="23" t="s">
        <v>64</v>
      </c>
      <c r="CI1" s="23" t="s">
        <v>65</v>
      </c>
      <c r="CJ1" s="23" t="s">
        <v>66</v>
      </c>
      <c r="CK1" s="23" t="s">
        <v>67</v>
      </c>
      <c r="CL1" s="24" t="s">
        <v>68</v>
      </c>
      <c r="CM1" s="24" t="s">
        <v>69</v>
      </c>
      <c r="CN1" s="24" t="s">
        <v>70</v>
      </c>
      <c r="CO1" s="24" t="s">
        <v>71</v>
      </c>
      <c r="CP1" s="24" t="s">
        <v>72</v>
      </c>
      <c r="CQ1" s="24" t="s">
        <v>73</v>
      </c>
      <c r="CR1" s="24" t="s">
        <v>74</v>
      </c>
      <c r="CS1" s="24" t="s">
        <v>75</v>
      </c>
      <c r="CT1" s="1" t="s">
        <v>76</v>
      </c>
      <c r="CU1" s="25" t="s">
        <v>0</v>
      </c>
      <c r="CV1" s="5" t="s">
        <v>77</v>
      </c>
      <c r="CW1" s="14" t="s">
        <v>78</v>
      </c>
      <c r="CX1" s="14" t="s">
        <v>79</v>
      </c>
      <c r="CY1" s="14" t="s">
        <v>66</v>
      </c>
      <c r="CZ1" s="14" t="s">
        <v>80</v>
      </c>
      <c r="DA1" s="14" t="s">
        <v>81</v>
      </c>
      <c r="DB1" s="14" t="s">
        <v>82</v>
      </c>
      <c r="DC1" s="14" t="s">
        <v>83</v>
      </c>
      <c r="DD1" s="14" t="s">
        <v>84</v>
      </c>
      <c r="DE1" s="14" t="s">
        <v>85</v>
      </c>
      <c r="DF1" s="14" t="s">
        <v>86</v>
      </c>
      <c r="DG1" s="14" t="s">
        <v>87</v>
      </c>
      <c r="DH1" s="14" t="s">
        <v>88</v>
      </c>
      <c r="DI1" s="14" t="s">
        <v>89</v>
      </c>
      <c r="DJ1" s="14" t="s">
        <v>90</v>
      </c>
      <c r="DK1" s="14" t="s">
        <v>91</v>
      </c>
      <c r="DL1" s="14" t="s">
        <v>92</v>
      </c>
      <c r="DM1" s="14" t="s">
        <v>93</v>
      </c>
      <c r="DN1" s="14" t="s">
        <v>94</v>
      </c>
      <c r="DO1" s="14" t="s">
        <v>95</v>
      </c>
      <c r="DP1" s="14" t="s">
        <v>96</v>
      </c>
      <c r="DQ1" s="14" t="s">
        <v>97</v>
      </c>
      <c r="DR1" s="14" t="s">
        <v>56</v>
      </c>
      <c r="DS1" s="14" t="s">
        <v>98</v>
      </c>
      <c r="DT1" s="14" t="s">
        <v>99</v>
      </c>
      <c r="DU1" s="14" t="s">
        <v>100</v>
      </c>
      <c r="DV1" s="14" t="s">
        <v>101</v>
      </c>
      <c r="DW1" s="14" t="s">
        <v>102</v>
      </c>
      <c r="DX1" s="14" t="s">
        <v>103</v>
      </c>
      <c r="DY1" s="14" t="s">
        <v>104</v>
      </c>
      <c r="DZ1" s="14" t="s">
        <v>105</v>
      </c>
      <c r="EA1" s="14" t="s">
        <v>106</v>
      </c>
      <c r="EB1" s="14" t="s">
        <v>107</v>
      </c>
      <c r="EC1" s="14" t="s">
        <v>108</v>
      </c>
      <c r="ED1" s="14" t="s">
        <v>109</v>
      </c>
      <c r="EE1" s="15" t="s">
        <v>18</v>
      </c>
      <c r="EF1" s="14" t="s">
        <v>19</v>
      </c>
      <c r="EG1" s="14" t="s">
        <v>20</v>
      </c>
      <c r="EH1" s="14" t="s">
        <v>21</v>
      </c>
      <c r="EI1" s="14" t="s">
        <v>110</v>
      </c>
      <c r="EJ1" s="14" t="s">
        <v>23</v>
      </c>
      <c r="EK1" s="14" t="s">
        <v>111</v>
      </c>
      <c r="EL1" s="14" t="s">
        <v>112</v>
      </c>
      <c r="EM1" s="14" t="s">
        <v>26</v>
      </c>
      <c r="EN1" s="16" t="s">
        <v>27</v>
      </c>
      <c r="EO1" s="16" t="s">
        <v>28</v>
      </c>
      <c r="EP1" s="16" t="s">
        <v>29</v>
      </c>
      <c r="EQ1" s="16" t="s">
        <v>113</v>
      </c>
      <c r="ER1" s="16" t="s">
        <v>31</v>
      </c>
      <c r="ES1" s="16" t="s">
        <v>32</v>
      </c>
      <c r="ET1" s="16" t="s">
        <v>114</v>
      </c>
      <c r="EU1" s="16" t="s">
        <v>34</v>
      </c>
      <c r="EV1" s="16" t="s">
        <v>35</v>
      </c>
      <c r="EW1" s="16" t="s">
        <v>115</v>
      </c>
      <c r="EX1" s="16" t="s">
        <v>37</v>
      </c>
      <c r="EY1" s="16" t="s">
        <v>38</v>
      </c>
      <c r="EZ1" s="16" t="s">
        <v>39</v>
      </c>
      <c r="FA1" s="16" t="s">
        <v>116</v>
      </c>
      <c r="FB1" s="16" t="s">
        <v>117</v>
      </c>
      <c r="FC1" s="16" t="s">
        <v>118</v>
      </c>
      <c r="FD1" s="16" t="s">
        <v>54</v>
      </c>
      <c r="FE1" s="16" t="s">
        <v>119</v>
      </c>
      <c r="FF1" s="16" t="s">
        <v>120</v>
      </c>
      <c r="FG1" s="16" t="s">
        <v>121</v>
      </c>
      <c r="FH1" s="16" t="s">
        <v>122</v>
      </c>
      <c r="FI1" s="16" t="s">
        <v>123</v>
      </c>
      <c r="FJ1" s="16" t="s">
        <v>124</v>
      </c>
      <c r="FK1" s="16" t="s">
        <v>125</v>
      </c>
      <c r="FL1" s="16" t="s">
        <v>126</v>
      </c>
      <c r="FM1" s="16" t="s">
        <v>127</v>
      </c>
      <c r="FN1" s="16" t="s">
        <v>128</v>
      </c>
      <c r="FO1" s="16" t="s">
        <v>129</v>
      </c>
      <c r="FP1" s="16" t="s">
        <v>130</v>
      </c>
      <c r="FQ1" s="16" t="s">
        <v>131</v>
      </c>
      <c r="FR1" s="16" t="s">
        <v>132</v>
      </c>
      <c r="FS1" s="16" t="s">
        <v>133</v>
      </c>
      <c r="FT1" s="16" t="s">
        <v>134</v>
      </c>
      <c r="FU1" s="16" t="s">
        <v>44</v>
      </c>
      <c r="FV1" s="16" t="s">
        <v>135</v>
      </c>
      <c r="FW1" s="16" t="s">
        <v>58</v>
      </c>
      <c r="FX1" s="16" t="s">
        <v>136</v>
      </c>
      <c r="FY1" s="16" t="s">
        <v>137</v>
      </c>
      <c r="FZ1" s="16" t="s">
        <v>138</v>
      </c>
      <c r="GA1" s="16" t="s">
        <v>139</v>
      </c>
      <c r="GB1" s="16" t="s">
        <v>140</v>
      </c>
      <c r="GC1" s="16" t="s">
        <v>141</v>
      </c>
      <c r="GD1" s="16" t="s">
        <v>142</v>
      </c>
      <c r="GE1" s="16" t="s">
        <v>143</v>
      </c>
      <c r="GF1" s="16" t="s">
        <v>144</v>
      </c>
      <c r="GG1" s="16" t="s">
        <v>145</v>
      </c>
      <c r="GH1" s="16" t="s">
        <v>61</v>
      </c>
      <c r="GI1" s="16" t="s">
        <v>62</v>
      </c>
      <c r="GJ1" s="14" t="s">
        <v>146</v>
      </c>
      <c r="GK1" s="14" t="s">
        <v>147</v>
      </c>
      <c r="GL1" s="14" t="s">
        <v>148</v>
      </c>
      <c r="GM1" s="17" t="s">
        <v>149</v>
      </c>
      <c r="GN1" s="26" t="s">
        <v>150</v>
      </c>
      <c r="GO1" s="26" t="s">
        <v>151</v>
      </c>
      <c r="GP1" s="18" t="s">
        <v>41</v>
      </c>
      <c r="GQ1" s="18" t="s">
        <v>42</v>
      </c>
      <c r="GR1" s="18" t="s">
        <v>43</v>
      </c>
      <c r="GS1" s="21"/>
      <c r="GT1" s="27" t="s">
        <v>52</v>
      </c>
      <c r="GU1" s="27"/>
      <c r="GV1" s="27"/>
      <c r="GW1" s="27"/>
      <c r="GX1" s="28"/>
      <c r="GY1" s="28"/>
      <c r="GZ1" s="28"/>
      <c r="HA1" s="28"/>
      <c r="HB1" s="28"/>
      <c r="HC1" s="28"/>
      <c r="HD1" s="29" t="s">
        <v>13</v>
      </c>
      <c r="HE1" s="30" t="s">
        <v>152</v>
      </c>
      <c r="HF1" s="31"/>
      <c r="HG1" s="32"/>
      <c r="HK1" s="32" t="s">
        <v>4</v>
      </c>
      <c r="HP1" s="33" t="s">
        <v>153</v>
      </c>
      <c r="HQ1" s="33" t="s">
        <v>154</v>
      </c>
      <c r="HR1" s="33" t="s">
        <v>155</v>
      </c>
      <c r="HS1" s="33" t="s">
        <v>156</v>
      </c>
      <c r="HT1" s="33" t="s">
        <v>157</v>
      </c>
      <c r="HU1" s="33" t="s">
        <v>158</v>
      </c>
      <c r="HV1" s="33" t="s">
        <v>159</v>
      </c>
      <c r="HW1" s="33" t="s">
        <v>160</v>
      </c>
      <c r="HX1" s="34" t="s">
        <v>161</v>
      </c>
      <c r="IA1" s="14" t="s">
        <v>162</v>
      </c>
      <c r="IB1" s="35" t="s">
        <v>163</v>
      </c>
      <c r="IC1" s="36" t="s">
        <v>153</v>
      </c>
      <c r="ID1" s="36" t="s">
        <v>154</v>
      </c>
      <c r="IE1" s="36" t="s">
        <v>156</v>
      </c>
      <c r="IF1" s="37" t="s">
        <v>161</v>
      </c>
      <c r="IG1" s="36" t="s">
        <v>157</v>
      </c>
      <c r="IH1" s="36" t="s">
        <v>158</v>
      </c>
      <c r="II1" s="36" t="s">
        <v>155</v>
      </c>
      <c r="IJ1" s="36" t="s">
        <v>159</v>
      </c>
      <c r="IK1" s="36" t="s">
        <v>160</v>
      </c>
      <c r="IO1" s="33" t="s">
        <v>153</v>
      </c>
      <c r="IP1" s="33" t="s">
        <v>154</v>
      </c>
      <c r="IQ1" s="33" t="s">
        <v>155</v>
      </c>
      <c r="IR1" s="33" t="s">
        <v>156</v>
      </c>
      <c r="IS1" s="33" t="s">
        <v>157</v>
      </c>
      <c r="IT1" s="33" t="s">
        <v>158</v>
      </c>
      <c r="IU1" s="33" t="s">
        <v>159</v>
      </c>
      <c r="IV1" s="33" t="s">
        <v>160</v>
      </c>
      <c r="IW1" s="34" t="s">
        <v>161</v>
      </c>
      <c r="IY1" s="5" t="s">
        <v>164</v>
      </c>
    </row>
    <row r="2" spans="1:259" s="44" customFormat="1" ht="38.4" customHeight="1" thickBot="1" x14ac:dyDescent="0.35">
      <c r="A2" s="77" t="s">
        <v>279</v>
      </c>
      <c r="B2" s="78" t="e" vm="63">
        <v>#VALUE!</v>
      </c>
      <c r="C2" s="39">
        <v>1</v>
      </c>
      <c r="D2" s="70" t="s">
        <v>280</v>
      </c>
      <c r="E2" s="40" t="s">
        <v>281</v>
      </c>
      <c r="F2" s="41" t="s">
        <v>165</v>
      </c>
      <c r="G2" s="42">
        <f>COUNTIF($A$1:$A$8302,A2)</f>
        <v>1</v>
      </c>
      <c r="H2" s="43"/>
      <c r="I2" s="59" t="s">
        <v>282</v>
      </c>
      <c r="J2" s="44" t="str">
        <f>""</f>
        <v/>
      </c>
      <c r="K2" s="45">
        <v>2169</v>
      </c>
      <c r="L2" s="46">
        <v>22562</v>
      </c>
      <c r="M2" s="46" t="s">
        <v>1166</v>
      </c>
      <c r="N2" s="47" t="s">
        <v>177</v>
      </c>
      <c r="O2" s="74" t="s">
        <v>208</v>
      </c>
      <c r="P2" s="48" t="s">
        <v>283</v>
      </c>
      <c r="Q2" s="73">
        <v>2</v>
      </c>
      <c r="R2" s="49" t="s">
        <v>177</v>
      </c>
      <c r="S2" s="50">
        <v>3</v>
      </c>
      <c r="T2" s="51" t="s">
        <v>166</v>
      </c>
      <c r="U2" s="52" t="s">
        <v>166</v>
      </c>
      <c r="V2" s="52" t="s">
        <v>166</v>
      </c>
      <c r="W2" s="52" t="s">
        <v>167</v>
      </c>
      <c r="X2" s="52" t="s">
        <v>166</v>
      </c>
      <c r="Y2" s="52" t="s">
        <v>166</v>
      </c>
      <c r="Z2" s="52" t="s">
        <v>166</v>
      </c>
      <c r="AA2" s="52" t="s">
        <v>167</v>
      </c>
      <c r="AB2" s="52" t="s">
        <v>166</v>
      </c>
      <c r="AC2" s="52" t="s">
        <v>166</v>
      </c>
      <c r="AD2" s="52" t="s">
        <v>166</v>
      </c>
      <c r="AE2" s="52" t="s">
        <v>166</v>
      </c>
      <c r="AF2" s="53" t="s">
        <v>166</v>
      </c>
      <c r="AG2" s="53" t="s">
        <v>166</v>
      </c>
      <c r="AH2" s="53" t="s">
        <v>167</v>
      </c>
      <c r="AI2" s="53" t="s">
        <v>166</v>
      </c>
      <c r="AJ2" s="53" t="s">
        <v>166</v>
      </c>
      <c r="AK2" s="53" t="s">
        <v>166</v>
      </c>
      <c r="AL2" s="53" t="s">
        <v>166</v>
      </c>
      <c r="AM2" s="53" t="s">
        <v>166</v>
      </c>
      <c r="AN2" s="53" t="s">
        <v>166</v>
      </c>
      <c r="AO2" s="53" t="s">
        <v>166</v>
      </c>
      <c r="AP2" s="53" t="s">
        <v>166</v>
      </c>
      <c r="AQ2" s="53" t="s">
        <v>166</v>
      </c>
      <c r="AR2" s="53" t="s">
        <v>166</v>
      </c>
      <c r="AS2" s="53" t="s">
        <v>166</v>
      </c>
      <c r="AT2" s="54">
        <v>0</v>
      </c>
      <c r="AU2" s="53"/>
      <c r="AV2" s="53" t="str">
        <f>IF(LEFT(A2,1)="[",LEFT(A2,5)&amp;AU2&amp;A2,"")</f>
        <v/>
      </c>
      <c r="AW2" s="53" t="str">
        <f>C2&amp;H2&amp;A2</f>
        <v>1Norfolk Island</v>
      </c>
      <c r="AX2" s="55" t="str">
        <f>_xlfn.TEXTJOIN(";",TRUE,AU2:AW2)</f>
        <v>1Norfolk Island</v>
      </c>
      <c r="AY2" s="55" t="s">
        <v>167</v>
      </c>
      <c r="AZ2" s="56"/>
      <c r="BA2" s="56"/>
      <c r="BB2" s="56"/>
      <c r="BC2" s="57"/>
      <c r="BD2" s="58" t="s">
        <v>155</v>
      </c>
      <c r="BE2" s="59"/>
      <c r="BF2" s="58" t="s">
        <v>155</v>
      </c>
      <c r="BG2" s="58" t="s">
        <v>161</v>
      </c>
      <c r="BH2" s="58" t="s">
        <v>155</v>
      </c>
      <c r="BI2" s="58"/>
      <c r="BJ2" s="58"/>
      <c r="BK2" s="59"/>
      <c r="BL2" s="58" t="s">
        <v>155</v>
      </c>
      <c r="BM2" s="58" t="s">
        <v>161</v>
      </c>
      <c r="BN2" s="58"/>
      <c r="BO2" s="58"/>
      <c r="BP2" s="58"/>
      <c r="BQ2" s="58"/>
      <c r="BR2" s="58"/>
      <c r="BS2" s="58"/>
      <c r="BT2" s="58"/>
      <c r="BU2" s="60"/>
      <c r="BV2" s="61" t="s">
        <v>168</v>
      </c>
      <c r="BW2" s="61">
        <v>0</v>
      </c>
      <c r="BX2" s="59"/>
      <c r="CB2" s="5" t="s">
        <v>284</v>
      </c>
      <c r="CC2" s="5"/>
      <c r="CD2" s="62">
        <v>0</v>
      </c>
      <c r="CE2" s="62">
        <v>0</v>
      </c>
      <c r="CF2" s="62" t="e">
        <v>#REF!</v>
      </c>
      <c r="CG2" s="75" cm="1">
        <f t="array" ref="CG2">SUMPRODUCT(--(LEN(TRIM(BL2:BT2))&gt;0))</f>
        <v>2</v>
      </c>
      <c r="CH2" s="53" t="str">
        <f>IF(CG2=2,"y","n")</f>
        <v>y</v>
      </c>
      <c r="CI2" s="53" t="str">
        <f>IF(CG2=3,"y","n")</f>
        <v>n</v>
      </c>
      <c r="CJ2" s="53" t="str">
        <f>IF(CG2=4,"y","n")</f>
        <v>n</v>
      </c>
      <c r="CK2" s="53" t="str">
        <f>IF(CG2&gt;4,"y","n")</f>
        <v>n</v>
      </c>
      <c r="CL2" s="53" t="str">
        <f>IF(S2=0,"y","n")</f>
        <v>n</v>
      </c>
      <c r="CM2" s="53" t="str">
        <f>IF(S2=2,"y","n")</f>
        <v>n</v>
      </c>
      <c r="CN2" s="53" t="str">
        <f>IF(S2=3,"y","n")</f>
        <v>y</v>
      </c>
      <c r="CO2" s="53" t="str">
        <f>IF(S2&gt;=4,"y","n")</f>
        <v>n</v>
      </c>
      <c r="CP2" s="53" t="str">
        <f>IF(AT2=0,"y","n")</f>
        <v>y</v>
      </c>
      <c r="CQ2" s="53" t="str">
        <f>IF(AT2=1,"y","n")</f>
        <v>n</v>
      </c>
      <c r="CR2" s="53" t="str">
        <f>IF(AT2=2,"y","n")</f>
        <v>n</v>
      </c>
      <c r="CS2" s="53" t="str">
        <f>IF(AT2&gt;=3,"y","n")</f>
        <v>n</v>
      </c>
      <c r="CT2" s="38" t="str">
        <f>CHAR(34)&amp;A2&amp;CHAR(34)</f>
        <v>"Norfolk Island"</v>
      </c>
      <c r="CU2" s="63" t="str">
        <f>CHAR(34)&amp;"rgn_"&amp;R2&amp;CHAR(34)</f>
        <v>"rgn_Oceania"</v>
      </c>
      <c r="CV2" s="44" t="str">
        <f>CHAR(34)&amp;D2&amp;CHAR(34)</f>
        <v>"https://upload.wikimedia.org/wikipedia/commons/thumb/4/48/Flag_of_Norfolk_Island.svg/383px-Flag_of_Norfolk_Island.svg.png"</v>
      </c>
      <c r="CW2" s="44" t="str">
        <f>IF(CH2="y",CHAR(34)&amp;CH$1&amp;CHAR(34)&amp;",","")</f>
        <v>"2Color",</v>
      </c>
      <c r="CX2" s="44" t="str">
        <f>IF(CI2="y",CHAR(34)&amp;CI$1&amp;CHAR(34)&amp;",","")</f>
        <v/>
      </c>
      <c r="CY2" s="44" t="str">
        <f>IF(CJ2="y",CHAR(34)&amp;CJ$1&amp;CHAR(34)&amp;",","")</f>
        <v/>
      </c>
      <c r="CZ2" s="44" t="str">
        <f>IF(CK2="y",CHAR(34)&amp;CK$1&amp;CHAR(34)&amp;",","")</f>
        <v/>
      </c>
      <c r="DA2" s="44" t="str">
        <f>IF(Q2&gt;1,CHAR(34)&amp;"words2"&amp;CHAR(34)&amp;",","")</f>
        <v>"words2",</v>
      </c>
      <c r="DB2" s="44" t="str">
        <f>IF(Q2&gt;2,CHAR(34)&amp;"words3"&amp;CHAR(34)&amp;",","")</f>
        <v/>
      </c>
      <c r="DC2" s="44" t="str">
        <f>IF(Q2=2,CHAR(34)&amp;"exact2"&amp;CHAR(34)&amp;",","")</f>
        <v>"exact2",</v>
      </c>
      <c r="DD2" s="44"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"lets13",</v>
      </c>
      <c r="DE2" s="44"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"startN",</v>
      </c>
      <c r="DF2" s="44" t="str">
        <f>IFERROR(IF(SEARCH("tan",A2)&gt;0,CHAR(34)&amp;"withtn"&amp;CHAR(34)&amp;",",""),"")</f>
        <v/>
      </c>
      <c r="DG2" s="44" t="str">
        <f>IFERROR(IF(SEARCH("q",A2)&gt;0,CHAR(34)&amp;"with_q"&amp;CHAR(34)&amp;",",""),"")</f>
        <v/>
      </c>
      <c r="DH2" s="44" t="str">
        <f>IFERROR(IF(SEARCH("v",A2)&gt;0,CHAR(34)&amp;"with_v"&amp;CHAR(34)&amp;",",""),"")</f>
        <v/>
      </c>
      <c r="DI2" s="44" t="str">
        <f>IFERROR(IF(SEARCH("w",A2)&gt;0,CHAR(34)&amp;"with_w"&amp;CHAR(34)&amp;",",""),"")</f>
        <v/>
      </c>
      <c r="DJ2" s="44" t="str">
        <f>IFERROR(IF(SEARCH("y",A2)&gt;0,CHAR(34)&amp;"with_y"&amp;CHAR(34)&amp;",",""),"")</f>
        <v/>
      </c>
      <c r="DK2" s="44" t="str">
        <f>IFERROR(IF(SEARCH("z",A2)&gt;0,CHAR(34)&amp;"with_z"&amp;CHAR(34)&amp;",",""),"")</f>
        <v/>
      </c>
      <c r="DL2" s="44" t="str">
        <f>IF(CG2=2, CHAR(34) &amp; _xlfn.TEXTJOIN("", TRUE, _xlfn._xlws.SORT(HP2:HX2)) &amp; CHAR(34) &amp; ",", "")</f>
        <v>"GREWHI",</v>
      </c>
      <c r="DM2" s="44" t="str" cm="1">
        <f t="array" ref="DM2">IF(CG2=3,CHAR(34) &amp; _xlfn.TEXTJOIN("", TRUE, RIGHT(HP2:HX2, 2)) &amp; CHAR(34) &amp; ",", "")</f>
        <v/>
      </c>
      <c r="DN2" s="44" t="str">
        <f>IF(AND(ISNUMBER(SEARCH("18", O2)), ISERROR(SEARCH("1918", O2)), ISERROR(SEARCH("2018", O2))), CHAR(34) &amp; "year18" &amp; CHAR(34) &amp; ",", "")</f>
        <v/>
      </c>
      <c r="DO2" s="44" t="str">
        <f>IF(AND(ISNUMBER(SEARCH("19", O2)), ISERROR(SEARCH("1819", O2)),  ISERROR(SEARCH("1219", O2)),ISERROR(SEARCH("1119", O2)),ISERROR(SEARCH("1190", O2)),ISERROR(SEARCH("2019", O2))), CHAR(34) &amp; "year19" &amp; CHAR(34) &amp; ",", "")</f>
        <v>"year19",</v>
      </c>
      <c r="DP2" s="5" t="str">
        <f>IF(AND(ISNUMBER(SEARCH("20", O2)), ISERROR(SEARCH("1920", O2))), CHAR(34)&amp;"year00"&amp;CHAR(34)&amp;",", "")</f>
        <v/>
      </c>
      <c r="DQ2" s="5" t="str">
        <f>IF(CC2="y",CHAR(34)&amp;"soviet"&amp;CHAR(34)&amp;",","")</f>
        <v/>
      </c>
      <c r="DR2" s="5" t="str">
        <f>IF(BY2="y",CHAR(34)&amp;"dgband"&amp;CHAR(34)&amp;",","")</f>
        <v/>
      </c>
      <c r="DS2" s="5" t="str">
        <f>IF(W2="y",IF(AND(V2="n",BY2&lt;&gt;"y"),CHAR(34)&amp;"allver"&amp;CHAR(34)&amp;",",""),"")</f>
        <v>"allver",</v>
      </c>
      <c r="DT2" s="5" t="str">
        <f>IF(V2="y",IF(AND(W2="n",BY2&lt;&gt;"y"),CHAR(34)&amp;"allhor"&amp;CHAR(34)&amp;",",""),"")</f>
        <v/>
      </c>
      <c r="DU2" s="5" t="str">
        <f>IF(BY2="y",IF(AND(W2="n",V2="n"),CHAR(34)&amp;"alldia"&amp;CHAR(34)&amp;",",""),"")</f>
        <v/>
      </c>
      <c r="DV2" s="44" t="str">
        <f>IF(IA2&lt;&gt;"",(IF(IA2="y",CHAR(34)&amp;"largec"&amp;CHAR(34)&amp;",",CHAR(34)&amp;"smallc"&amp;CHAR(34)&amp;",")),"")</f>
        <v/>
      </c>
      <c r="DW2" s="44" t="str">
        <f>IF(CL2="y",CHAR(34)&amp;CL$1&amp;CHAR(34)&amp;",","")</f>
        <v/>
      </c>
      <c r="DX2" s="44" t="str">
        <f>IF(CM2="y",CHAR(34)&amp;CM$1&amp;CHAR(34)&amp;",","")</f>
        <v/>
      </c>
      <c r="DY2" s="44" t="str">
        <f>IF(CN2="y",CHAR(34)&amp;CN$1&amp;CHAR(34)&amp;",","")</f>
        <v>"3Bands",</v>
      </c>
      <c r="DZ2" s="44" t="str">
        <f>IF(CO2="y",CHAR(34)&amp;CO$1&amp;CHAR(34)&amp;",","")</f>
        <v/>
      </c>
      <c r="EA2" s="44" t="str">
        <f>IF(T2="y",CHAR(34)&amp;T$1&amp;CHAR(34)&amp;",","")</f>
        <v/>
      </c>
      <c r="EB2" s="44" t="str">
        <f>IF(U2="y",CHAR(34)&amp;U$1&amp;CHAR(34)&amp;",","")</f>
        <v/>
      </c>
      <c r="EC2" s="44" t="str">
        <f>IF(V2="y",CHAR(34)&amp;V$1&amp;CHAR(34)&amp;",","")</f>
        <v/>
      </c>
      <c r="ED2" s="44" t="str">
        <f>IF(W2="y",CHAR(34)&amp;W$1&amp;CHAR(34)&amp;",","")</f>
        <v>"Vertic",</v>
      </c>
      <c r="EE2" s="44" t="str">
        <f>IF(X2="y",CHAR(34)&amp;X$1&amp;CHAR(34)&amp;",","")</f>
        <v/>
      </c>
      <c r="EF2" s="44" t="str">
        <f>IF(AND(Y2&lt;&gt;"n",Y2&lt;&gt;""),CHAR(34)&amp;Y$1&amp;CHAR(34)&amp;",","")</f>
        <v/>
      </c>
      <c r="EG2" s="44" t="str">
        <f t="shared" ref="EG2:EZ2" si="0">IF(Z2="y",CHAR(34)&amp;Z$1&amp;CHAR(34)&amp;",","")</f>
        <v/>
      </c>
      <c r="EH2" s="44" t="str">
        <f t="shared" si="0"/>
        <v>"Plants",</v>
      </c>
      <c r="EI2" s="44" t="str">
        <f t="shared" si="0"/>
        <v/>
      </c>
      <c r="EJ2" s="44" t="str">
        <f t="shared" si="0"/>
        <v/>
      </c>
      <c r="EK2" s="44" t="str">
        <f t="shared" si="0"/>
        <v/>
      </c>
      <c r="EL2" s="44" t="str">
        <f t="shared" si="0"/>
        <v/>
      </c>
      <c r="EM2" s="44" t="str">
        <f t="shared" si="0"/>
        <v/>
      </c>
      <c r="EN2" s="44" t="str">
        <f t="shared" si="0"/>
        <v/>
      </c>
      <c r="EO2" s="44" t="str">
        <f t="shared" si="0"/>
        <v>"Center",</v>
      </c>
      <c r="EP2" s="44" t="str">
        <f t="shared" si="0"/>
        <v/>
      </c>
      <c r="EQ2" s="44" t="str">
        <f t="shared" si="0"/>
        <v/>
      </c>
      <c r="ER2" s="44" t="str">
        <f t="shared" si="0"/>
        <v/>
      </c>
      <c r="ES2" s="44" t="str">
        <f t="shared" si="0"/>
        <v/>
      </c>
      <c r="ET2" s="44" t="str">
        <f t="shared" si="0"/>
        <v/>
      </c>
      <c r="EU2" s="44" t="str">
        <f t="shared" si="0"/>
        <v/>
      </c>
      <c r="EV2" s="44" t="str">
        <f t="shared" si="0"/>
        <v/>
      </c>
      <c r="EW2" s="44" t="str">
        <f t="shared" si="0"/>
        <v/>
      </c>
      <c r="EX2" s="44" t="str">
        <f t="shared" si="0"/>
        <v/>
      </c>
      <c r="EY2" s="44" t="str">
        <f t="shared" si="0"/>
        <v/>
      </c>
      <c r="EZ2" s="44" t="str">
        <f t="shared" si="0"/>
        <v/>
      </c>
      <c r="FA2" s="44" t="str">
        <f>IF(AT2&gt;0,CHAR(34)&amp;"sta"&amp;AZ2&amp;CHAR(34)&amp;",","")</f>
        <v/>
      </c>
      <c r="FB2" s="44" t="str">
        <f>IF(AND(AT2&gt;0,BA2&lt;&gt;""),CHAR(34)&amp;"sta"&amp;BA2&amp;CHAR(34)&amp;",","")</f>
        <v/>
      </c>
      <c r="FC2" s="44" t="str">
        <f>IF(AND(AT2&gt;0,BB2&lt;&gt;""),CHAR(34)&amp;"sta"&amp;BB2&amp;CHAR(34)&amp;",","")</f>
        <v/>
      </c>
      <c r="FD2" s="44" t="str">
        <f>IF(BV2="n",CHAR(34)&amp;"tcWHYE"&amp;CHAR(34)&amp;",",IF(BV2="y",CHAR(34)&amp;FD$1&amp;CHAR(34)&amp;",",""))</f>
        <v/>
      </c>
      <c r="FE2" s="44" t="str">
        <f>IF(COUNTIF(BL2:BT2,"BLU")=0,CHAR(34)&amp;"NO_BLU"&amp;CHAR(34)&amp;",", "")</f>
        <v>"NO_BLU",</v>
      </c>
      <c r="FF2" s="44" t="str">
        <f>IF(COUNTIF(BL2:BT2,"WHI")=0,CHAR(34)&amp;"NO_WHI"&amp;CHAR(34)&amp;",", "")</f>
        <v/>
      </c>
      <c r="FG2" s="44" t="str">
        <f>IF(COUNTIF(BL2:BT2,"RED")=0,CHAR(34)&amp;"NO_RED"&amp;CHAR(34)&amp;",", "")</f>
        <v>"NO_RED",</v>
      </c>
      <c r="FH2" s="44" t="str">
        <f>IF(COUNTIF(BL2:BS2,"GRE")=0,CHAR(34)&amp;"NO_GRE"&amp;CHAR(34)&amp;",", "")</f>
        <v/>
      </c>
      <c r="FI2" s="44" t="str">
        <f>IF(COUNTIF(BL2:BT2,"YEL")=0,CHAR(34)&amp;"NO_YEL"&amp;CHAR(34)&amp;",", "")</f>
        <v>"NO_YEL",</v>
      </c>
      <c r="FJ2" s="44" t="str">
        <f>IF(COUNTIF(BL2:BT2,"BLA")=0,CHAR(34)&amp;"NO_BLA"&amp;CHAR(34)&amp;",", "")</f>
        <v>"NO_BLA",</v>
      </c>
      <c r="FK2" s="44" t="str">
        <f>IF(AND(FH2&lt;&gt;"",FF2&lt;&gt;""),CHAR(34)&amp;"WHGRNO"&amp;CHAR(34)&amp;",","")</f>
        <v/>
      </c>
      <c r="FL2" s="44" t="str">
        <f>IF(AND(FI2&lt;&gt;"",FF2&lt;&gt;""),CHAR(34)&amp;"WHYENO"&amp;CHAR(34)&amp;",","")</f>
        <v/>
      </c>
      <c r="FM2" s="44" t="str">
        <f>IF(AND(FJ2&lt;&gt;"",FF2&lt;&gt;""),CHAR(34)&amp;"BAWHNO"&amp;CHAR(34)&amp;",","")</f>
        <v/>
      </c>
      <c r="FN2" s="44" t="str">
        <f>IF(AND(FE2&lt;&gt;"",FF2&lt;&gt;""),CHAR(34)&amp;"BLWHNO"&amp;CHAR(34)&amp;",","")</f>
        <v/>
      </c>
      <c r="FO2" s="44" t="str">
        <f>IF(AND(FE2&lt;&gt;"",FG2&lt;&gt;""),CHAR(34)&amp;"BLRENO"&amp;CHAR(34)&amp;",","")</f>
        <v>"BLRENO",</v>
      </c>
      <c r="FP2" s="44" t="str">
        <f>IF(AND(FF2&lt;&gt;"",FF2&lt;&gt;""),CHAR(34)&amp;"WHRENO"&amp;CHAR(34)&amp;",","")</f>
        <v/>
      </c>
      <c r="FQ2" s="44" t="str">
        <f>IF(LEN(BF2)=3,CHAR(34)&amp;"001"&amp;BF2&amp;CHAR(34)&amp;",","")</f>
        <v>"001GRE",</v>
      </c>
      <c r="FR2" s="44" t="str">
        <f>IF(LEN(BG2)=3,CHAR(34)&amp;"002"&amp;BG2&amp;CHAR(34)&amp;",","")</f>
        <v>"002WHI",</v>
      </c>
      <c r="FS2" s="44" t="str">
        <f>IF(LEN(BH2)=3,CHAR(34)&amp;"003"&amp;BH2&amp;CHAR(34)&amp;",","")</f>
        <v>"003GRE",</v>
      </c>
      <c r="FT2" s="44" t="str">
        <f>CHAR(34)&amp;"myr"&amp;BD2&amp;CHAR(34)&amp;","</f>
        <v>"myrGRE",</v>
      </c>
      <c r="FU2" s="44" t="str">
        <f>IF(AY2="y",CHAR(34)&amp;"island"&amp;CHAR(34)&amp;",","")</f>
        <v>"island",</v>
      </c>
      <c r="FV2" s="44" t="str">
        <f>IF(BZ2="y",CHAR(34)&amp;"landlo"&amp;CHAR(34)&amp;",","")</f>
        <v/>
      </c>
      <c r="FW2" s="44" t="str">
        <f>IF(CA2="y",CHAR(34)&amp;"eunion"&amp;CHAR(34)&amp;",","")</f>
        <v/>
      </c>
      <c r="FX2" s="44" t="str">
        <f>SUBSTITUTE(IFERROR(SEARCH("[",A2),IFERROR(IF(AND(CA2&lt;&gt;"y",SEARCH("Europe",R2)&gt;0),CHAR(34)&amp;"noeuni"&amp;CHAR(34)&amp;",",""),"")),"1","")</f>
        <v/>
      </c>
      <c r="FY2" s="44" t="str">
        <f>IFERROR(IF(SEARCH("Arabic",CB2)&gt;0,CHAR(34)&amp;"arabic"&amp;CHAR(34)&amp;",",""),"")</f>
        <v/>
      </c>
      <c r="FZ2" s="44" t="str">
        <f>IFERROR(IF(SEARCH("English",CB2)&gt;0,CHAR(34)&amp;"englis"&amp;CHAR(34)&amp;",",""),"")</f>
        <v>"englis",</v>
      </c>
      <c r="GA2" s="44" t="str">
        <f>IFERROR(IF(SEARCH("French",CB2)&gt;0,CHAR(34)&amp;"french"&amp;CHAR(34)&amp;",",""),"")</f>
        <v/>
      </c>
      <c r="GB2" s="44" t="str">
        <f>IFERROR(IF(SEARCH("Spanish",CB2)&gt;0,CHAR(34)&amp;"spanis"&amp;CHAR(34)&amp;",",""),"")</f>
        <v/>
      </c>
      <c r="GC2" s="44" t="str">
        <f>IFERROR(IF(SEARCH("Portuguese",CB2)&gt;0,CHAR(34)&amp;"portug"&amp;CHAR(34)&amp;",",""),"")</f>
        <v/>
      </c>
      <c r="GD2" s="44" t="str">
        <f>IFERROR(IF(SEARCH("German",CB2)&gt;0,CHAR(34)&amp;"german"&amp;CHAR(34)&amp;",",""),"")</f>
        <v/>
      </c>
      <c r="GE2" s="44" t="str">
        <f t="shared" ref="GE2:GE8" si="1">IFERROR(IF(SEARCH("Dutch",CB2)&gt;0,CHAR(34)&amp;"dutchs"&amp;CHAR(34)&amp;",",""),"")</f>
        <v/>
      </c>
      <c r="GF2" s="44" t="str">
        <f>IFERROR(IF(SEARCH("Histor",AU2)&gt;0,CHAR(34)&amp;"histor"&amp;CHAR(34)&amp;",",""),"")</f>
        <v/>
      </c>
      <c r="GG2" s="44" t="str">
        <f t="shared" ref="GG2:GG8" si="2">IF(BU2="y",CHAR(34)&amp;"unjack"&amp;CHAR(34)&amp;",","")</f>
        <v/>
      </c>
      <c r="GH2" s="44" t="str">
        <f t="shared" ref="GH2:GH8" si="3">IF(CD2=1,CHAR(34)&amp;"southc"&amp;CHAR(34)&amp;",","")</f>
        <v/>
      </c>
      <c r="GI2" s="44" t="str">
        <f t="shared" ref="GI2:GI8" si="4">IF(CE2=1,CHAR(34)&amp;"hasmap"&amp;CHAR(34)&amp;",","")</f>
        <v/>
      </c>
      <c r="GJ2" s="44" t="str">
        <f>IF(CP2="y",CHAR(34)&amp;CP$1&amp;CHAR(34)&amp;",","")</f>
        <v>"NoStar",</v>
      </c>
      <c r="GK2" s="44" t="str">
        <f>IF(GJ2="",CHAR(34)&amp;"HasSta"&amp;CHAR(34)&amp;",","")</f>
        <v/>
      </c>
      <c r="GL2" s="44" t="str">
        <f>IF(CQ2="y",CHAR(34)&amp;CQ$1&amp;CHAR(34)&amp;",","")</f>
        <v/>
      </c>
      <c r="GM2" s="44" t="str">
        <f>IF(CR2="y",CHAR(34)&amp;CR$1&amp;CHAR(34)&amp;",","")</f>
        <v/>
      </c>
      <c r="GN2" s="44" t="str">
        <f>IF(CS2="y",CHAR(34)&amp;CS$1&amp;CHAR(34)&amp;",","")</f>
        <v/>
      </c>
      <c r="GP2" s="44" t="str">
        <f>CHAR(34)&amp;AU2&amp;CHAR(34)</f>
        <v>""</v>
      </c>
      <c r="GS2" s="44" t="str">
        <f>SUBSTITUTE("["&amp;_xlfn.CONCAT(CW2:GN2)&amp;"]",",]","]")</f>
        <v>["2Color","words2","exact2","lets13","startN","GREWHI","year19","allver","3Bands","Vertic","Plants","Center","NO_BLU","NO_RED","NO_YEL","NO_BLA","BLRENO","001GRE","002WHI","003GRE","myrGRE","island","englis","NoStar"]</v>
      </c>
      <c r="GT2" s="44" t="str">
        <f t="shared" ref="GT2:HB2" si="5">IF(BL2&lt;&gt;"",CHAR(34)&amp;"cl_"&amp;BL2&amp;CHAR(34)&amp;",","")</f>
        <v>"cl_GRE",</v>
      </c>
      <c r="GU2" s="44" t="str">
        <f t="shared" si="5"/>
        <v>"cl_WHI",</v>
      </c>
      <c r="GV2" s="44" t="str">
        <f t="shared" si="5"/>
        <v/>
      </c>
      <c r="GW2" s="44" t="str">
        <f t="shared" si="5"/>
        <v/>
      </c>
      <c r="GX2" s="44" t="str">
        <f t="shared" si="5"/>
        <v/>
      </c>
      <c r="GY2" s="44" t="str">
        <f t="shared" si="5"/>
        <v/>
      </c>
      <c r="GZ2" s="44" t="str">
        <f t="shared" si="5"/>
        <v/>
      </c>
      <c r="HA2" s="44" t="str">
        <f t="shared" si="5"/>
        <v/>
      </c>
      <c r="HB2" s="44" t="str">
        <f t="shared" si="5"/>
        <v/>
      </c>
      <c r="HC2" s="44" t="str">
        <f>SUBSTITUTE("["&amp;_xlfn.CONCAT(GT2:HB2)&amp;"]",",]","]")</f>
        <v>["cl_GRE","cl_WHI"]</v>
      </c>
      <c r="HE2" s="64"/>
      <c r="HF2" s="65" t="str">
        <f>"{couname:"&amp;CT2&amp;(IF(HK2&lt;&gt;"",",subtype:"&amp;CHAR(34)&amp;HK2&amp;CHAR(34),""))&amp;",year:"&amp;HJ2&amp;",region:"&amp;CU2&amp;",Colors:"&amp;HC2&amp;",Items:"&amp;GS2&amp;",Flag:"&amp;CV2&amp;",HDFlag:"&amp;CHAR(34)&amp;E2&amp;CHAR(34)&amp;",type:"&amp;GP2&amp;", describe: "&amp;HH2&amp;", isnew:"&amp;CHAR(34)&amp;F2&amp;CHAR(34)&amp;", links: "&amp;HL2&amp;"},"</f>
        <v>{couname:"Norfolk Island",year:"1979 ",region:"rgn_Oceania",Colors:["cl_GRE","cl_WHI"],Items:["2Color","words2","exact2","lets13","startN","GREWHI","year19","allver","3Bands","Vertic","Plants","Center","NO_BLU","NO_RED","NO_YEL","NO_BLA","BLRENO","001GRE","002WHI","003GRE","myrGRE","island","englis","NoStar"],Flag:"https://upload.wikimedia.org/wikipedia/commons/thumb/4/48/Flag_of_Norfolk_Island.svg/383px-Flag_of_Norfolk_Island.svg.png",HDFlag:"https://upload.wikimedia.org/wikipedia/commons/thumb/4/48/Flag_of_Norfolk_Island.svg/2560px-Flag_of_Norfolk_Island.svg.png",type:"", describe: "\nThe green symbolises Norfolk Island's plentiful vegetation and fertile land. The Norfolk Island pine is native to the islands, and is the official tree of the territory.", isnew:".", links: "https://en.wikipedia.org/wiki/Flag_of_Norfolk_Island"},</v>
      </c>
      <c r="HG2" s="66" t="str">
        <f>"{couname:"&amp;CT2&amp;(IF(HK2&lt;&gt;"",",subtype:"&amp;CHAR(34)&amp;HK2&amp;CHAR(34),""))&amp;",year:"&amp;HJ2&amp;",region:"&amp;CU2&amp;",Colors:"&amp;HC2&amp;",Items:"&amp;GS2&amp;",Flag:"&amp;CV2&amp;",HDFlag:"&amp;CHAR(34)&amp;E2&amp;CHAR(34)&amp;",type:"&amp;GP2&amp;", describe: "&amp;HI2&amp;", links: "&amp;HL2&amp;"},"</f>
        <v>{couname:"Norfolk Island",year:"1979 ",region:"rgn_Oceania",Colors:["cl_GRE","cl_WHI"],Items:["2Color","words2","exact2","lets13","startN","GREWHI","year19","allver","3Bands","Vertic","Plants","Center","NO_BLU","NO_RED","NO_YEL","NO_BLA","BLRENO","001GRE","002WHI","003GRE","myrGRE","island","englis","NoStar"],Flag:"https://upload.wikimedia.org/wikipedia/commons/thumb/4/48/Flag_of_Norfolk_Island.svg/383px-Flag_of_Norfolk_Island.svg.png",HDFlag:"https://upload.wikimedia.org/wikipedia/commons/thumb/4/48/Flag_of_Norfolk_Island.svg/2560px-Flag_of_Norfolk_Island.svg.png",type:"", describe: "\nThe green symbolises Norfolk Island's plentiful vegetation and fertile land. The Norfolk Island pine is native to the islands, and is the official tree of the territory.", links: "https://en.wikipedia.org/wiki/Flag_of_Norfolk_Island"},</v>
      </c>
      <c r="HH2" s="44" t="str">
        <f>IF(P2&lt;&gt;"",CHAR(34)&amp;"\n"&amp;P2&amp;CHAR(34),CHAR(34)&amp;CHAR(34))</f>
        <v>"\nThe green symbolises Norfolk Island's plentiful vegetation and fertile land. The Norfolk Island pine is native to the islands, and is the official tree of the territory."</v>
      </c>
      <c r="HI2" s="44" t="str">
        <f>IF(J2=0,CHAR(34)&amp;CHAR(34),HH2)</f>
        <v>"\nThe green symbolises Norfolk Island's plentiful vegetation and fertile land. The Norfolk Island pine is native to the islands, and is the official tree of the territory."</v>
      </c>
      <c r="HJ2" s="44" t="str">
        <f>CHAR(34)&amp;O2&amp;CHAR(34)</f>
        <v>"1979 "</v>
      </c>
      <c r="HL2" s="44" t="str">
        <f>CHAR(34)&amp;I2&amp;CHAR(34)</f>
        <v>"https://en.wikipedia.org/wiki/Flag_of_Norfolk_Island"</v>
      </c>
      <c r="HM2" s="65"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{"couname":"Norfolk Island","year":"1979 ","region":"rgn_Oceania","Colors":["cl_GRE","cl_WHI"],"Items":["2Color","words2","exact2","lets13","startN","GREWHI","year19","allver","3Bands","Vertic","Plants","Center","NO_BLU","NO_RED","NO_YEL","NO_BLA","BLRENO","001GRE","002WHI","003GRE","myrGRE","island","englis","NoStar"],"Flag":"https://upload.wikimedia.org/wikipedia/commons/thumb/4/48/Flag_of_Norfolk_Island.svg/383px-Flag_of_Norfolk_Island.svg.png","HDFlag":"https://upload.wikimedia.org/wikipedia/commons/thumb/4/48/Flag_of_Norfolk_Island.svg/2560px-Flag_of_Norfolk_Island.svg.png","type":"", "describe": "\nThe green symbolises Norfolk Island's plentiful vegetation and fertile land. The Norfolk Island pine is native to the islands, and is the official tree of the territory.", "isnew": ".", "links": "https://en.wikipedia.org/wiki/Flag_of_Norfolk_Island"},</v>
      </c>
      <c r="HN2" s="67"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{"couname":"Norfolk Island","year":"1979 ","region":"rgn_Oceania","Colors":["cl_GRE","cl_WHI"],"Items":["2Color","words2","exact2","lets13","startN","GREWHI","year19","allver","3Bands","Vertic","Plants","Center","NO_BLU","NO_RED","NO_YEL","NO_BLA","BLRENO","001GRE","002WHI","003GRE","myrGRE","island","englis","NoStar"],"Flag":"https://upload.wikimedia.org/wikipedia/commons/thumb/4/48/Flag_of_Norfolk_Island.svg/383px-Flag_of_Norfolk_Island.svg.png","HDFlag":"https://upload.wikimedia.org/wikipedia/commons/thumb/4/48/Flag_of_Norfolk_Island.svg/2560px-Flag_of_Norfolk_Island.svg.png","type":"", "describe": "\nThe green symbolises Norfolk Island's plentiful vegetation and fertile land. The Norfolk Island pine is native to the islands, and is the official tree of the territory.", "isnew": ".", "links": "https://en.wikipedia.org/wiki/Flag_of_Norfolk_Island"},</v>
      </c>
      <c r="HO2" s="71"/>
      <c r="HP2" s="44" t="str" cm="1">
        <f t="array" ref="HP2">IF(_xlfn.TEXTJOIN(", ", TRUE, IF(ISNUMBER(SEARCH("BLA", BL2:BT2)), COLUMN(BL2:BT2) - COLUMN(BL2) + 1, ""))&lt;&gt;"","BLA","")</f>
        <v/>
      </c>
      <c r="HQ2" s="44" t="str" cm="1">
        <f t="array" ref="HQ2">IF(_xlfn.TEXTJOIN(", ", TRUE, IF(ISNUMBER(SEARCH("BLU", BL2:BT2)), COLUMN(BL2:BT2) - COLUMN(BL2) + 1, ""))&lt;&gt;"","BLU","")</f>
        <v/>
      </c>
      <c r="HR2" s="44" t="str" cm="1">
        <f t="array" ref="HR2">IF(_xlfn.TEXTJOIN(", ", TRUE, IF(ISNUMBER(SEARCH("GRE", BL2:BT2)), COLUMN(BL2:BT2) - COLUMN(BL2) + 1, ""))&lt;&gt;"","GRE","")</f>
        <v>GRE</v>
      </c>
      <c r="HS2" s="44" t="str" cm="1">
        <f t="array" ref="HS2">IF(_xlfn.TEXTJOIN(", ", TRUE, IF(ISNUMBER(SEARCH("RED", BL2:BT2)), COLUMN(BL2:BT2) - COLUMN(BL2) + 1, ""))&lt;&gt;"","RED","")</f>
        <v/>
      </c>
      <c r="HT2" s="44" t="str" cm="1">
        <f t="array" ref="HT2">IF(_xlfn.TEXTJOIN(", ", TRUE, IF(ISNUMBER(SEARCH("YEL", BL2:BT2)), COLUMN(BL2:BT2) - COLUMN(BL2) + 1, ""))&lt;&gt;"","YEL","")</f>
        <v/>
      </c>
      <c r="HU2" s="44" t="str" cm="1">
        <f t="array" ref="HU2">IF(_xlfn.TEXTJOIN(", ", TRUE, IF(ISNUMBER(SEARCH("ORA", BL2:BT2)), COLUMN(BL2:BT2) - COLUMN(BL2) + 1, ""))&lt;&gt;"","ORA","")</f>
        <v/>
      </c>
      <c r="HV2" s="44" t="str" cm="1">
        <f t="array" ref="HV2">IF(_xlfn.TEXTJOIN(", ", TRUE, IF(ISNUMBER(SEARCH("BRO", BL2:BT2)), COLUMN(BL2:BT2) - COLUMN(BL2) + 1, ""))&lt;&gt;"","BRO","")</f>
        <v/>
      </c>
      <c r="HW2" s="44" t="str" cm="1">
        <f t="array" ref="HW2">IF(_xlfn.TEXTJOIN(", ", TRUE, IF(ISNUMBER(SEARCH("PUR", BL2:BT2)), COLUMN(BL2:BT2) - COLUMN(BL2) + 1, ""))&lt;&gt;"","PUR","")</f>
        <v/>
      </c>
      <c r="HX2" s="44" t="str" cm="1">
        <f t="array" ref="HX2">IF(_xlfn.TEXTJOIN(", ", TRUE, IF(ISNUMBER(SEARCH("WHI", BL2:BT2)), COLUMN(BL2:BT2) - COLUMN(BL2) + 1, ""))&lt;&gt;"","WHI","")</f>
        <v>WHI</v>
      </c>
      <c r="HY2" s="72"/>
      <c r="HZ2" s="72"/>
      <c r="IA2" s="5"/>
      <c r="IB2" s="5"/>
      <c r="IC2" s="68"/>
      <c r="ID2" s="68"/>
      <c r="IE2" s="68"/>
      <c r="IF2" s="68"/>
      <c r="IG2" s="68"/>
      <c r="IH2" s="68"/>
      <c r="II2" s="68"/>
      <c r="IJ2" s="68"/>
      <c r="IK2" s="68"/>
      <c r="IL2" s="44">
        <f>SUM(IC2:IK2)</f>
        <v>0</v>
      </c>
      <c r="IM2" s="42">
        <f>COUNTIF(IC2:IK2,"&gt;0")-CG2</f>
        <v>-2</v>
      </c>
      <c r="IN2" s="69" t="str">
        <f>"http://mkweb.bcgsc.ca/color-summarizer/?url="&amp;D2&amp;"&amp;precision=low&amp;num_clusters="&amp;CG2&amp;"&amp;text=1"</f>
        <v>http://mkweb.bcgsc.ca/color-summarizer/?url=https://upload.wikimedia.org/wikipedia/commons/thumb/4/48/Flag_of_Norfolk_Island.svg/383px-Flag_of_Norfolk_Island.svg.png&amp;precision=low&amp;num_clusters=2&amp;text=1</v>
      </c>
      <c r="IO2" s="44" t="str">
        <f>IF(HP2&lt;&gt;"",CHAR(34)&amp;"black"&amp;CHAR(34),"")</f>
        <v/>
      </c>
      <c r="IP2" s="44" t="str">
        <f>IF(HQ2&lt;&gt;"",CHAR(34)&amp;"blue"&amp;CHAR(34),"")</f>
        <v/>
      </c>
      <c r="IQ2" s="44" t="str">
        <f>IF(HR2&lt;&gt;"",CHAR(34)&amp;"green"&amp;CHAR(34),"")</f>
        <v>"green"</v>
      </c>
      <c r="IR2" s="44" t="str">
        <f>IF(HS2&lt;&gt;"",CHAR(34)&amp;"red"&amp;CHAR(34),"")</f>
        <v/>
      </c>
      <c r="IS2" s="44" t="str">
        <f>IF(HT2&lt;&gt;"",CHAR(34)&amp;"yellow"&amp;CHAR(34),"")</f>
        <v/>
      </c>
      <c r="IT2" s="44" t="str">
        <f>IF(HU2&lt;&gt;"",CHAR(34)&amp;"orange"&amp;CHAR(34),"")</f>
        <v/>
      </c>
      <c r="IU2" s="44" t="str">
        <f>IF(HV2&lt;&gt;"",CHAR(34)&amp;"brown"&amp;CHAR(34),"")</f>
        <v/>
      </c>
      <c r="IV2" s="44" t="str">
        <f>IF(HW2&lt;&gt;"",CHAR(34)&amp;"purple"&amp;CHAR(34),"")</f>
        <v/>
      </c>
      <c r="IW2" s="44" t="str">
        <f>IF(HX2&lt;&gt;"",CHAR(34)&amp;"white"&amp;CHAR(34),"")</f>
        <v>"white"</v>
      </c>
      <c r="IX2" s="44" t="str">
        <f>"{"&amp;CHAR(34)&amp;"url"&amp;CHAR(34)&amp;":"&amp;CHAR(34)&amp;IN2&amp;CHAR(34)&amp;","&amp;CHAR(34)&amp;"name"&amp;CHAR(34)&amp;":"&amp;CHAR(34)&amp;A2&amp;CHAR(34)&amp;"},"</f>
        <v>{"url":"http://mkweb.bcgsc.ca/color-summarizer/?url=https://upload.wikimedia.org/wikipedia/commons/thumb/4/48/Flag_of_Norfolk_Island.svg/383px-Flag_of_Norfolk_Island.svg.png&amp;precision=low&amp;num_clusters=2&amp;text=1","name":"Norfolk Island"},</v>
      </c>
      <c r="IY2" s="44">
        <v>158</v>
      </c>
    </row>
    <row r="3" spans="1:259" ht="38.4" customHeight="1" x14ac:dyDescent="0.3">
      <c r="BW3" s="82">
        <v>0</v>
      </c>
      <c r="CE3" s="82">
        <v>0</v>
      </c>
      <c r="CF3" s="82" t="e">
        <v>#REF!</v>
      </c>
      <c r="GE3" s="82" t="str">
        <f t="shared" si="1"/>
        <v/>
      </c>
      <c r="GG3" s="82" t="str">
        <f t="shared" si="2"/>
        <v/>
      </c>
      <c r="GH3" s="82" t="str">
        <f t="shared" si="3"/>
        <v/>
      </c>
      <c r="GI3" s="82" t="str">
        <f t="shared" si="4"/>
        <v/>
      </c>
    </row>
    <row r="4" spans="1:259" ht="38.4" customHeight="1" x14ac:dyDescent="0.3">
      <c r="BW4" s="82">
        <v>0</v>
      </c>
      <c r="CE4" s="82">
        <v>0</v>
      </c>
      <c r="CF4" s="82" t="e">
        <v>#REF!</v>
      </c>
      <c r="GE4" s="82" t="str">
        <f t="shared" si="1"/>
        <v/>
      </c>
      <c r="GG4" s="82" t="str">
        <f t="shared" si="2"/>
        <v/>
      </c>
      <c r="GH4" s="82" t="str">
        <f t="shared" si="3"/>
        <v/>
      </c>
      <c r="GI4" s="82" t="str">
        <f t="shared" si="4"/>
        <v/>
      </c>
    </row>
    <row r="5" spans="1:259" ht="38.4" customHeight="1" x14ac:dyDescent="0.3">
      <c r="BW5" s="82">
        <v>0</v>
      </c>
      <c r="CE5" s="82">
        <v>0</v>
      </c>
      <c r="CF5" s="82" t="e">
        <v>#REF!</v>
      </c>
      <c r="GE5" s="82" t="str">
        <f t="shared" si="1"/>
        <v/>
      </c>
      <c r="GG5" s="82" t="str">
        <f t="shared" si="2"/>
        <v/>
      </c>
      <c r="GH5" s="82" t="str">
        <f t="shared" si="3"/>
        <v/>
      </c>
      <c r="GI5" s="82" t="str">
        <f t="shared" si="4"/>
        <v/>
      </c>
    </row>
    <row r="6" spans="1:259" ht="38.4" customHeight="1" x14ac:dyDescent="0.3">
      <c r="BW6" s="82">
        <v>0</v>
      </c>
      <c r="CE6" s="82">
        <v>0</v>
      </c>
      <c r="CF6" s="82" t="e">
        <v>#REF!</v>
      </c>
      <c r="GE6" s="82" t="str">
        <f t="shared" si="1"/>
        <v/>
      </c>
      <c r="GG6" s="82" t="str">
        <f t="shared" si="2"/>
        <v/>
      </c>
      <c r="GH6" s="82" t="str">
        <f t="shared" si="3"/>
        <v/>
      </c>
      <c r="GI6" s="82" t="str">
        <f t="shared" si="4"/>
        <v/>
      </c>
    </row>
    <row r="7" spans="1:259" ht="38.4" customHeight="1" x14ac:dyDescent="0.3">
      <c r="BW7" s="82">
        <v>0</v>
      </c>
      <c r="CE7" s="82">
        <v>0</v>
      </c>
      <c r="CF7" s="82" t="e">
        <v>#REF!</v>
      </c>
      <c r="GE7" s="82" t="str">
        <f t="shared" si="1"/>
        <v/>
      </c>
      <c r="GG7" s="82" t="str">
        <f t="shared" si="2"/>
        <v/>
      </c>
      <c r="GH7" s="82" t="str">
        <f t="shared" si="3"/>
        <v/>
      </c>
      <c r="GI7" s="82" t="str">
        <f t="shared" si="4"/>
        <v/>
      </c>
    </row>
    <row r="8" spans="1:259" ht="38.4" customHeight="1" x14ac:dyDescent="0.3">
      <c r="BW8" s="82">
        <v>0</v>
      </c>
      <c r="CE8" s="82">
        <v>0</v>
      </c>
      <c r="CF8" s="82" t="e">
        <v>#REF!</v>
      </c>
      <c r="GE8" s="82" t="str">
        <f t="shared" si="1"/>
        <v/>
      </c>
      <c r="GG8" s="82" t="str">
        <f t="shared" si="2"/>
        <v/>
      </c>
      <c r="GH8" s="82" t="str">
        <f t="shared" si="3"/>
        <v/>
      </c>
      <c r="GI8" s="82" t="str">
        <f t="shared" si="4"/>
        <v/>
      </c>
    </row>
  </sheetData>
  <autoFilter ref="A1:IY8" xr:uid="{A1051193-A95B-4CFB-A73C-F0184620C81F}">
    <sortState xmlns:xlrd2="http://schemas.microsoft.com/office/spreadsheetml/2017/richdata2" ref="A2:IY8">
      <sortCondition ref="A1:A8"/>
    </sortState>
  </autoFilter>
  <conditionalFormatting sqref="H1 CW1:GS1 IA1:IB1">
    <cfRule type="cellIs" dxfId="994" priority="66" operator="greaterThan">
      <formula>0</formula>
    </cfRule>
  </conditionalFormatting>
  <conditionalFormatting sqref="H1:H1048576">
    <cfRule type="cellIs" dxfId="993" priority="6" stopIfTrue="1" operator="notEqual">
      <formula>""</formula>
    </cfRule>
  </conditionalFormatting>
  <conditionalFormatting sqref="R2 CU2">
    <cfRule type="cellIs" dxfId="992" priority="8" operator="greaterThan">
      <formula>0</formula>
    </cfRule>
  </conditionalFormatting>
  <conditionalFormatting sqref="T2:AS2 CH2:CS2">
    <cfRule type="cellIs" dxfId="991" priority="3" stopIfTrue="1" operator="equal">
      <formula>"n"</formula>
    </cfRule>
    <cfRule type="cellIs" dxfId="990" priority="4" stopIfTrue="1" operator="equal">
      <formula>"y"</formula>
    </cfRule>
    <cfRule type="cellIs" dxfId="989" priority="5" operator="greaterThan">
      <formula>0</formula>
    </cfRule>
  </conditionalFormatting>
  <conditionalFormatting sqref="T1:BK1">
    <cfRule type="cellIs" dxfId="988" priority="69" operator="greaterThan">
      <formula>0</formula>
    </cfRule>
  </conditionalFormatting>
  <conditionalFormatting sqref="AZ2:BB2">
    <cfRule type="expression" dxfId="987" priority="2">
      <formula>$AT2=0</formula>
    </cfRule>
  </conditionalFormatting>
  <conditionalFormatting sqref="AZ2:BU2">
    <cfRule type="cellIs" dxfId="986" priority="44" operator="equal">
      <formula>"PIN"</formula>
    </cfRule>
    <cfRule type="cellIs" dxfId="985" priority="45" operator="equal">
      <formula>"ORA"</formula>
    </cfRule>
    <cfRule type="cellIs" dxfId="984" priority="46" operator="equal">
      <formula>"GRA"</formula>
    </cfRule>
    <cfRule type="cellIs" dxfId="983" priority="47" operator="equal">
      <formula>"PUR"</formula>
    </cfRule>
    <cfRule type="cellIs" dxfId="982" priority="48" operator="equal">
      <formula>"BRO"</formula>
    </cfRule>
    <cfRule type="cellIs" dxfId="981" priority="49" operator="equal">
      <formula>"YEL"</formula>
    </cfRule>
    <cfRule type="cellIs" dxfId="980" priority="50" operator="equal">
      <formula>"BLU"</formula>
    </cfRule>
    <cfRule type="cellIs" dxfId="979" priority="51" operator="equal">
      <formula>"WHI"</formula>
    </cfRule>
    <cfRule type="cellIs" dxfId="978" priority="52" operator="equal">
      <formula>"GRE"</formula>
    </cfRule>
    <cfRule type="cellIs" dxfId="977" priority="53" operator="equal">
      <formula>"RED"</formula>
    </cfRule>
    <cfRule type="cellIs" dxfId="976" priority="54" operator="equal">
      <formula>"BLA"</formula>
    </cfRule>
  </conditionalFormatting>
  <conditionalFormatting sqref="BV1:BW1048576">
    <cfRule type="cellIs" dxfId="975" priority="68" operator="equal">
      <formula>"nc"</formula>
    </cfRule>
  </conditionalFormatting>
  <conditionalFormatting sqref="BX2:CA2 CD2:CF2">
    <cfRule type="cellIs" dxfId="974" priority="7" operator="equal">
      <formula>"y"</formula>
    </cfRule>
    <cfRule type="cellIs" dxfId="973" priority="55" operator="equal">
      <formula>"PIN"</formula>
    </cfRule>
    <cfRule type="cellIs" dxfId="972" priority="56" operator="equal">
      <formula>"ORA"</formula>
    </cfRule>
    <cfRule type="cellIs" dxfId="971" priority="57" operator="equal">
      <formula>"GRA"</formula>
    </cfRule>
    <cfRule type="cellIs" dxfId="970" priority="58" operator="equal">
      <formula>"PUR"</formula>
    </cfRule>
    <cfRule type="cellIs" dxfId="969" priority="59" operator="equal">
      <formula>"BRO"</formula>
    </cfRule>
    <cfRule type="cellIs" dxfId="968" priority="60" operator="equal">
      <formula>"YEL"</formula>
    </cfRule>
    <cfRule type="cellIs" dxfId="967" priority="61" operator="equal">
      <formula>"BLU"</formula>
    </cfRule>
    <cfRule type="cellIs" dxfId="966" priority="62" operator="equal">
      <formula>"WHI"</formula>
    </cfRule>
    <cfRule type="cellIs" dxfId="965" priority="63" operator="equal">
      <formula>"GRE"</formula>
    </cfRule>
    <cfRule type="cellIs" dxfId="964" priority="64" operator="equal">
      <formula>"RED"</formula>
    </cfRule>
    <cfRule type="cellIs" dxfId="963" priority="65" operator="equal">
      <formula>"BLA"</formula>
    </cfRule>
  </conditionalFormatting>
  <conditionalFormatting sqref="BZ2:CA2 CD2:CF2">
    <cfRule type="cellIs" dxfId="962" priority="9" operator="greaterThan">
      <formula>0</formula>
    </cfRule>
  </conditionalFormatting>
  <conditionalFormatting sqref="HF1:HG1">
    <cfRule type="cellIs" dxfId="961" priority="70" operator="greaterThan">
      <formula>0</formula>
    </cfRule>
  </conditionalFormatting>
  <conditionalFormatting sqref="HK1">
    <cfRule type="cellIs" dxfId="960" priority="67" operator="greaterThan">
      <formula>0</formula>
    </cfRule>
  </conditionalFormatting>
  <conditionalFormatting sqref="HP1:HX1">
    <cfRule type="cellIs" dxfId="959" priority="21" operator="equal">
      <formula>"PIN"</formula>
    </cfRule>
    <cfRule type="cellIs" dxfId="958" priority="22" operator="equal">
      <formula>"ORA"</formula>
    </cfRule>
    <cfRule type="cellIs" dxfId="957" priority="23" operator="equal">
      <formula>"GRA"</formula>
    </cfRule>
    <cfRule type="cellIs" dxfId="956" priority="24" operator="equal">
      <formula>"PUR"</formula>
    </cfRule>
    <cfRule type="cellIs" dxfId="955" priority="25" operator="equal">
      <formula>"BRO"</formula>
    </cfRule>
    <cfRule type="cellIs" dxfId="954" priority="26" operator="equal">
      <formula>"YEL"</formula>
    </cfRule>
    <cfRule type="cellIs" dxfId="953" priority="27" operator="equal">
      <formula>"BLU"</formula>
    </cfRule>
    <cfRule type="cellIs" dxfId="952" priority="28" operator="equal">
      <formula>"WHI"</formula>
    </cfRule>
    <cfRule type="cellIs" dxfId="951" priority="29" operator="equal">
      <formula>"GRE"</formula>
    </cfRule>
    <cfRule type="cellIs" dxfId="950" priority="30" operator="equal">
      <formula>"RED"</formula>
    </cfRule>
    <cfRule type="cellIs" dxfId="949" priority="31" operator="equal">
      <formula>"BLA"</formula>
    </cfRule>
  </conditionalFormatting>
  <conditionalFormatting sqref="IC1:IK1">
    <cfRule type="cellIs" dxfId="948" priority="33" operator="equal">
      <formula>"PIN"</formula>
    </cfRule>
    <cfRule type="cellIs" dxfId="947" priority="34" operator="equal">
      <formula>"ORA"</formula>
    </cfRule>
    <cfRule type="cellIs" dxfId="946" priority="35" operator="equal">
      <formula>"GRA"</formula>
    </cfRule>
    <cfRule type="cellIs" dxfId="945" priority="36" operator="equal">
      <formula>"PUR"</formula>
    </cfRule>
    <cfRule type="cellIs" dxfId="944" priority="37" operator="equal">
      <formula>"BRO"</formula>
    </cfRule>
    <cfRule type="cellIs" dxfId="943" priority="38" operator="equal">
      <formula>"YEL"</formula>
    </cfRule>
    <cfRule type="cellIs" dxfId="942" priority="39" operator="equal">
      <formula>"BLU"</formula>
    </cfRule>
    <cfRule type="cellIs" dxfId="941" priority="40" operator="equal">
      <formula>"WHI"</formula>
    </cfRule>
    <cfRule type="cellIs" dxfId="940" priority="41" operator="equal">
      <formula>"GRE"</formula>
    </cfRule>
    <cfRule type="cellIs" dxfId="939" priority="42" operator="equal">
      <formula>"RED"</formula>
    </cfRule>
    <cfRule type="cellIs" dxfId="938" priority="43" operator="equal">
      <formula>"BLA"</formula>
    </cfRule>
  </conditionalFormatting>
  <conditionalFormatting sqref="IC2:IK2">
    <cfRule type="expression" dxfId="937" priority="32">
      <formula>$IL2&gt;0</formula>
    </cfRule>
  </conditionalFormatting>
  <conditionalFormatting sqref="IO1:IW1">
    <cfRule type="cellIs" dxfId="936" priority="10" operator="equal">
      <formula>"PIN"</formula>
    </cfRule>
    <cfRule type="cellIs" dxfId="935" priority="11" operator="equal">
      <formula>"ORA"</formula>
    </cfRule>
    <cfRule type="cellIs" dxfId="934" priority="12" operator="equal">
      <formula>"GRA"</formula>
    </cfRule>
    <cfRule type="cellIs" dxfId="933" priority="13" operator="equal">
      <formula>"PUR"</formula>
    </cfRule>
    <cfRule type="cellIs" dxfId="932" priority="14" operator="equal">
      <formula>"BRO"</formula>
    </cfRule>
    <cfRule type="cellIs" dxfId="931" priority="15" operator="equal">
      <formula>"YEL"</formula>
    </cfRule>
    <cfRule type="cellIs" dxfId="930" priority="16" operator="equal">
      <formula>"BLU"</formula>
    </cfRule>
    <cfRule type="cellIs" dxfId="929" priority="17" operator="equal">
      <formula>"WHI"</formula>
    </cfRule>
    <cfRule type="cellIs" dxfId="928" priority="18" operator="equal">
      <formula>"GRE"</formula>
    </cfRule>
    <cfRule type="cellIs" dxfId="927" priority="19" operator="equal">
      <formula>"RED"</formula>
    </cfRule>
    <cfRule type="cellIs" dxfId="926" priority="20" operator="equal">
      <formula>"BLA"</formula>
    </cfRule>
  </conditionalFormatting>
  <conditionalFormatting sqref="S2">
    <cfRule type="colorScale" priority="4763">
      <colorScale>
        <cfvo type="min"/>
        <cfvo type="max"/>
        <color rgb="FFFCFCFF"/>
        <color rgb="FF754BFB"/>
      </colorScale>
    </cfRule>
  </conditionalFormatting>
  <conditionalFormatting sqref="AT2">
    <cfRule type="colorScale" priority="4764">
      <colorScale>
        <cfvo type="min"/>
        <cfvo type="max"/>
        <color rgb="FFFCFCFF"/>
        <color theme="8" tint="0.39997558519241921"/>
      </colorScale>
    </cfRule>
  </conditionalFormatting>
  <conditionalFormatting sqref="CG2">
    <cfRule type="colorScale" priority="4765">
      <colorScale>
        <cfvo type="min"/>
        <cfvo type="max"/>
        <color rgb="FFFCFCFF"/>
        <color rgb="FF63BE7B"/>
      </colorScale>
    </cfRule>
  </conditionalFormatting>
  <conditionalFormatting sqref="J2">
    <cfRule type="colorScale" priority="1">
      <colorScale>
        <cfvo type="min"/>
        <cfvo type="percentile" val="50"/>
        <cfvo type="max"/>
        <color rgb="FFF8696B"/>
        <color rgb="FFFFEB84"/>
        <color rgb="FF63BE7B"/>
      </colorScale>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InsertImagesFromSelectedRange">
                <anchor moveWithCells="1" sizeWithCells="1">
                  <from>
                    <xdr:col>1</xdr:col>
                    <xdr:colOff>76200</xdr:colOff>
                    <xdr:row>0</xdr:row>
                    <xdr:rowOff>7620</xdr:rowOff>
                  </from>
                  <to>
                    <xdr:col>2</xdr:col>
                    <xdr:colOff>0</xdr:colOff>
                    <xdr:row>0</xdr:row>
                    <xdr:rowOff>487680</xdr:rowOff>
                  </to>
                </anchor>
              </controlPr>
            </control>
          </mc:Choice>
        </mc:AlternateContent>
        <mc:AlternateContent xmlns:mc="http://schemas.openxmlformats.org/markup-compatibility/2006">
          <mc:Choice Requires="x14">
            <control shapeId="31746" r:id="rId5" name="Button 2">
              <controlPr defaultSize="0" print="0" autoFill="0" autoPict="0" macro="[0]!ReplaceLineBreaksWithNewLineManualRange">
                <anchor moveWithCells="1" sizeWithCells="1">
                  <from>
                    <xdr:col>7</xdr:col>
                    <xdr:colOff>15240</xdr:colOff>
                    <xdr:row>0</xdr:row>
                    <xdr:rowOff>45720</xdr:rowOff>
                  </from>
                  <to>
                    <xdr:col>7</xdr:col>
                    <xdr:colOff>685800</xdr:colOff>
                    <xdr:row>0</xdr:row>
                    <xdr:rowOff>403860</xdr:rowOff>
                  </to>
                </anchor>
              </controlPr>
            </control>
          </mc:Choice>
        </mc:AlternateContent>
        <mc:AlternateContent xmlns:mc="http://schemas.openxmlformats.org/markup-compatibility/2006">
          <mc:Choice Requires="x14">
            <control shapeId="31747" r:id="rId6" name="Button 3">
              <controlPr defaultSize="0" print="0" autoFill="0" autoPict="0" macro="[0]!GoToSheet">
                <anchor moveWithCells="1" sizeWithCells="1">
                  <from>
                    <xdr:col>0</xdr:col>
                    <xdr:colOff>137160</xdr:colOff>
                    <xdr:row>0</xdr:row>
                    <xdr:rowOff>114300</xdr:rowOff>
                  </from>
                  <to>
                    <xdr:col>0</xdr:col>
                    <xdr:colOff>762000</xdr:colOff>
                    <xdr:row>0</xdr:row>
                    <xdr:rowOff>419100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802A06-1935-43F1-827A-368799643424}">
  <sheetPr codeName="Sheet18"/>
  <dimension ref="A1:IY4"/>
  <sheetViews>
    <sheetView zoomScale="70" zoomScaleNormal="70" workbookViewId="0">
      <pane xSplit="5" ySplit="1" topLeftCell="F2" activePane="bottomRight" state="frozen"/>
      <selection activeCell="A2" sqref="A2"/>
      <selection pane="topRight" activeCell="A2" sqref="A2"/>
      <selection pane="bottomLeft" activeCell="A2" sqref="A2"/>
      <selection pane="bottomRight" activeCell="B2" sqref="B2"/>
    </sheetView>
  </sheetViews>
  <sheetFormatPr defaultRowHeight="38.4" customHeight="1" x14ac:dyDescent="0.3"/>
  <cols>
    <col min="1" max="1" width="52.44140625" style="82" bestFit="1" customWidth="1"/>
    <col min="2" max="2" width="10.109375" style="82" customWidth="1"/>
    <col min="3" max="3" width="7.44140625" style="83" customWidth="1"/>
    <col min="4" max="4" width="4.77734375" style="84" customWidth="1"/>
    <col min="5" max="5" width="4.5546875" style="84" customWidth="1"/>
    <col min="6" max="6" width="5.77734375" style="84" customWidth="1"/>
    <col min="7" max="7" width="7.44140625" style="82" customWidth="1"/>
    <col min="8" max="8" width="11.44140625" style="82" customWidth="1"/>
    <col min="9" max="9" width="10" style="82" customWidth="1"/>
    <col min="10" max="10" width="4.21875" style="82" customWidth="1"/>
    <col min="11" max="11" width="5.6640625" style="84" customWidth="1"/>
    <col min="12" max="12" width="2.88671875" style="84" customWidth="1"/>
    <col min="13" max="13" width="6.44140625" style="84" customWidth="1"/>
    <col min="14" max="14" width="4.5546875" style="84" customWidth="1"/>
    <col min="15" max="15" width="10.5546875" style="85" customWidth="1"/>
    <col min="16" max="16" width="6.88671875" style="84" customWidth="1"/>
    <col min="17" max="17" width="4.77734375" style="84" customWidth="1"/>
    <col min="18" max="18" width="13.109375" style="83" customWidth="1"/>
    <col min="19" max="19" width="6.77734375" style="83" customWidth="1"/>
    <col min="20" max="46" width="8.44140625" style="82" customWidth="1"/>
    <col min="47" max="47" width="24.5546875" style="82" customWidth="1"/>
    <col min="48" max="51" width="16.6640625" style="82" customWidth="1"/>
    <col min="52" max="52" width="6.5546875" style="82" customWidth="1"/>
    <col min="53" max="54" width="5.88671875" style="82" customWidth="1"/>
    <col min="55" max="55" width="1.33203125" style="82" customWidth="1"/>
    <col min="56" max="56" width="7.44140625" style="82" customWidth="1"/>
    <col min="57" max="57" width="2.33203125" style="82" customWidth="1"/>
    <col min="58" max="62" width="6.109375" style="82" customWidth="1"/>
    <col min="63" max="63" width="2.33203125" style="82" customWidth="1"/>
    <col min="64" max="64" width="7" style="82" bestFit="1" customWidth="1"/>
    <col min="65" max="65" width="6.44140625" style="82" bestFit="1" customWidth="1"/>
    <col min="66" max="66" width="7.109375" style="82" bestFit="1" customWidth="1"/>
    <col min="67" max="71" width="6.44140625" style="82" bestFit="1" customWidth="1"/>
    <col min="72" max="73" width="6.44140625" style="82" customWidth="1"/>
    <col min="74" max="75" width="13.44140625" style="82" customWidth="1"/>
    <col min="76" max="84" width="14.6640625" style="82" customWidth="1"/>
    <col min="85" max="85" width="6.44140625" style="82" customWidth="1"/>
    <col min="86" max="87" width="11.6640625" style="82" bestFit="1" customWidth="1"/>
    <col min="88" max="88" width="11.6640625" style="82" customWidth="1"/>
    <col min="89" max="89" width="12.77734375" style="82" bestFit="1" customWidth="1"/>
    <col min="90" max="90" width="16.44140625" style="83" bestFit="1" customWidth="1"/>
    <col min="91" max="92" width="14.88671875" style="83" bestFit="1" customWidth="1"/>
    <col min="93" max="93" width="16" style="83" bestFit="1" customWidth="1"/>
    <col min="94" max="97" width="7.77734375" style="82" customWidth="1"/>
    <col min="98" max="98" width="33.21875" style="82" customWidth="1"/>
    <col min="99" max="99" width="18" style="82" customWidth="1"/>
    <col min="100" max="100" width="75.6640625" style="82" customWidth="1"/>
    <col min="101" max="125" width="33" style="82" customWidth="1"/>
    <col min="126" max="126" width="8.88671875" style="82"/>
    <col min="127" max="128" width="9.44140625" style="82" bestFit="1" customWidth="1"/>
    <col min="129" max="129" width="10.77734375" style="82" bestFit="1" customWidth="1"/>
    <col min="130" max="134" width="10.77734375" style="82" customWidth="1"/>
    <col min="135" max="135" width="10.109375" style="82" bestFit="1" customWidth="1"/>
    <col min="136" max="136" width="7.77734375" style="82" bestFit="1" customWidth="1"/>
    <col min="137" max="137" width="7.77734375" style="82" customWidth="1"/>
    <col min="138" max="138" width="9" style="82" bestFit="1" customWidth="1"/>
    <col min="139" max="139" width="11.33203125" style="82" bestFit="1" customWidth="1"/>
    <col min="140" max="140" width="9.109375" style="82" bestFit="1" customWidth="1"/>
    <col min="141" max="141" width="9" style="82" bestFit="1" customWidth="1"/>
    <col min="142" max="142" width="12" style="82" bestFit="1" customWidth="1"/>
    <col min="143" max="166" width="12" style="82" customWidth="1"/>
    <col min="167" max="167" width="17.21875" style="82" customWidth="1"/>
    <col min="168" max="191" width="12" style="82" customWidth="1"/>
    <col min="192" max="192" width="8.5546875" style="82" bestFit="1" customWidth="1"/>
    <col min="193" max="193" width="8.5546875" style="82" customWidth="1"/>
    <col min="194" max="194" width="7.109375" style="82" bestFit="1" customWidth="1"/>
    <col min="195" max="195" width="7.5546875" style="82" bestFit="1" customWidth="1"/>
    <col min="196" max="196" width="8.5546875" style="82" bestFit="1" customWidth="1"/>
    <col min="197" max="200" width="8.5546875" style="82" customWidth="1"/>
    <col min="201" max="201" width="188.88671875" style="82" customWidth="1"/>
    <col min="202" max="202" width="9.5546875" style="82" bestFit="1" customWidth="1"/>
    <col min="203" max="203" width="10.44140625" style="82" bestFit="1" customWidth="1"/>
    <col min="204" max="204" width="11.109375" style="82" bestFit="1" customWidth="1"/>
    <col min="205" max="205" width="10.44140625" style="82" bestFit="1" customWidth="1"/>
    <col min="206" max="210" width="10.44140625" style="82" customWidth="1"/>
    <col min="211" max="211" width="45.44140625" style="82" customWidth="1"/>
    <col min="212" max="212" width="47.5546875" style="82" bestFit="1" customWidth="1"/>
    <col min="213" max="213" width="9.33203125" style="86" customWidth="1"/>
    <col min="214" max="214" width="119.5546875" style="82" customWidth="1"/>
    <col min="215" max="215" width="69.6640625" style="82" customWidth="1"/>
    <col min="216" max="218" width="8.88671875" style="82"/>
    <col min="219" max="219" width="37.109375" style="82" customWidth="1"/>
    <col min="220" max="220" width="16.33203125" style="82" customWidth="1"/>
    <col min="221" max="222" width="8.88671875" style="82"/>
    <col min="223" max="223" width="10.109375" style="82" bestFit="1" customWidth="1"/>
    <col min="224" max="232" width="10.88671875" style="82" customWidth="1"/>
    <col min="233" max="234" width="30.77734375" style="82" customWidth="1"/>
    <col min="235" max="235" width="5.109375" style="82" customWidth="1"/>
    <col min="236" max="236" width="3" style="82" customWidth="1"/>
    <col min="237" max="245" width="6.77734375" style="76" customWidth="1"/>
    <col min="246" max="247" width="8.88671875" style="82"/>
    <col min="248" max="248" width="61.5546875" style="82" customWidth="1"/>
    <col min="249" max="253" width="8.88671875" style="82"/>
    <col min="254" max="254" width="9" style="82" customWidth="1"/>
    <col min="255" max="16384" width="8.88671875" style="82"/>
  </cols>
  <sheetData>
    <row r="1" spans="1:259" s="5" customFormat="1" ht="38.4" customHeight="1" thickBot="1" x14ac:dyDescent="0.35">
      <c r="A1" s="1" t="s">
        <v>0</v>
      </c>
      <c r="B1" s="79" t="s">
        <v>1</v>
      </c>
      <c r="C1" s="2" t="s">
        <v>2</v>
      </c>
      <c r="D1" s="3"/>
      <c r="E1" s="3" t="s">
        <v>3</v>
      </c>
      <c r="F1" s="4"/>
      <c r="H1" s="6" t="s">
        <v>4</v>
      </c>
      <c r="J1" s="5" t="s">
        <v>5</v>
      </c>
      <c r="K1" s="7" t="s">
        <v>6</v>
      </c>
      <c r="L1" s="8" t="s">
        <v>7</v>
      </c>
      <c r="M1" s="8" t="s">
        <v>8</v>
      </c>
      <c r="N1" s="9" t="s">
        <v>9</v>
      </c>
      <c r="O1" s="10" t="s">
        <v>10</v>
      </c>
      <c r="P1" s="11" t="s">
        <v>11</v>
      </c>
      <c r="Q1" s="11" t="s">
        <v>12</v>
      </c>
      <c r="R1" s="12" t="s">
        <v>0</v>
      </c>
      <c r="S1" s="13" t="s">
        <v>13</v>
      </c>
      <c r="T1" s="14" t="s">
        <v>14</v>
      </c>
      <c r="U1" s="14" t="s">
        <v>15</v>
      </c>
      <c r="V1" s="15" t="s">
        <v>16</v>
      </c>
      <c r="W1" s="14" t="s">
        <v>17</v>
      </c>
      <c r="X1" s="14" t="s">
        <v>18</v>
      </c>
      <c r="Y1" s="14" t="s">
        <v>19</v>
      </c>
      <c r="Z1" s="14" t="s">
        <v>20</v>
      </c>
      <c r="AA1" s="14" t="s">
        <v>21</v>
      </c>
      <c r="AB1" s="14" t="s">
        <v>22</v>
      </c>
      <c r="AC1" s="14" t="s">
        <v>23</v>
      </c>
      <c r="AD1" s="14" t="s">
        <v>24</v>
      </c>
      <c r="AE1" s="14" t="s">
        <v>25</v>
      </c>
      <c r="AF1" s="16" t="s">
        <v>26</v>
      </c>
      <c r="AG1" s="16" t="s">
        <v>27</v>
      </c>
      <c r="AH1" s="16" t="s">
        <v>28</v>
      </c>
      <c r="AI1" s="16" t="s">
        <v>29</v>
      </c>
      <c r="AJ1" s="16" t="s">
        <v>30</v>
      </c>
      <c r="AK1" s="16" t="s">
        <v>31</v>
      </c>
      <c r="AL1" s="16" t="s">
        <v>32</v>
      </c>
      <c r="AM1" s="16" t="s">
        <v>33</v>
      </c>
      <c r="AN1" s="16" t="s">
        <v>34</v>
      </c>
      <c r="AO1" s="16" t="s">
        <v>35</v>
      </c>
      <c r="AP1" s="16" t="s">
        <v>36</v>
      </c>
      <c r="AQ1" s="16" t="s">
        <v>37</v>
      </c>
      <c r="AR1" s="16" t="s">
        <v>38</v>
      </c>
      <c r="AS1" s="16" t="s">
        <v>39</v>
      </c>
      <c r="AT1" s="17" t="s">
        <v>40</v>
      </c>
      <c r="AU1" s="18" t="s">
        <v>41</v>
      </c>
      <c r="AV1" s="18" t="s">
        <v>42</v>
      </c>
      <c r="AW1" s="18" t="s">
        <v>43</v>
      </c>
      <c r="AX1" s="19"/>
      <c r="AY1" s="20" t="s">
        <v>44</v>
      </c>
      <c r="AZ1" s="19" t="s">
        <v>45</v>
      </c>
      <c r="BA1" s="19"/>
      <c r="BB1" s="19"/>
      <c r="BC1" s="21"/>
      <c r="BD1" s="19" t="s">
        <v>46</v>
      </c>
      <c r="BE1" s="21"/>
      <c r="BF1" s="19" t="s">
        <v>47</v>
      </c>
      <c r="BG1" s="19" t="s">
        <v>48</v>
      </c>
      <c r="BH1" s="19" t="s">
        <v>49</v>
      </c>
      <c r="BI1" s="19" t="s">
        <v>50</v>
      </c>
      <c r="BJ1" s="19" t="s">
        <v>51</v>
      </c>
      <c r="BK1" s="21"/>
      <c r="BL1" s="22" t="s">
        <v>52</v>
      </c>
      <c r="BM1" s="22"/>
      <c r="BN1" s="22"/>
      <c r="BO1" s="22"/>
      <c r="BP1" s="22"/>
      <c r="BQ1" s="22"/>
      <c r="BR1" s="22"/>
      <c r="BS1" s="22"/>
      <c r="BT1" s="23"/>
      <c r="BU1" s="23" t="s">
        <v>53</v>
      </c>
      <c r="BV1" s="23" t="s">
        <v>54</v>
      </c>
      <c r="BW1" s="23" t="s">
        <v>55</v>
      </c>
      <c r="BX1" s="23"/>
      <c r="BY1" s="23" t="s">
        <v>56</v>
      </c>
      <c r="BZ1" s="23" t="s">
        <v>57</v>
      </c>
      <c r="CA1" s="23" t="s">
        <v>58</v>
      </c>
      <c r="CB1" s="23" t="s">
        <v>59</v>
      </c>
      <c r="CC1" s="23" t="s">
        <v>60</v>
      </c>
      <c r="CD1" s="23" t="s">
        <v>61</v>
      </c>
      <c r="CE1" s="23" t="s">
        <v>62</v>
      </c>
      <c r="CF1" s="23" t="s">
        <v>63</v>
      </c>
      <c r="CG1" s="23"/>
      <c r="CH1" s="23" t="s">
        <v>64</v>
      </c>
      <c r="CI1" s="23" t="s">
        <v>65</v>
      </c>
      <c r="CJ1" s="23" t="s">
        <v>66</v>
      </c>
      <c r="CK1" s="23" t="s">
        <v>67</v>
      </c>
      <c r="CL1" s="24" t="s">
        <v>68</v>
      </c>
      <c r="CM1" s="24" t="s">
        <v>69</v>
      </c>
      <c r="CN1" s="24" t="s">
        <v>70</v>
      </c>
      <c r="CO1" s="24" t="s">
        <v>71</v>
      </c>
      <c r="CP1" s="24" t="s">
        <v>72</v>
      </c>
      <c r="CQ1" s="24" t="s">
        <v>73</v>
      </c>
      <c r="CR1" s="24" t="s">
        <v>74</v>
      </c>
      <c r="CS1" s="24" t="s">
        <v>75</v>
      </c>
      <c r="CT1" s="1" t="s">
        <v>76</v>
      </c>
      <c r="CU1" s="25" t="s">
        <v>0</v>
      </c>
      <c r="CV1" s="5" t="s">
        <v>77</v>
      </c>
      <c r="CW1" s="14" t="s">
        <v>78</v>
      </c>
      <c r="CX1" s="14" t="s">
        <v>79</v>
      </c>
      <c r="CY1" s="14" t="s">
        <v>66</v>
      </c>
      <c r="CZ1" s="14" t="s">
        <v>80</v>
      </c>
      <c r="DA1" s="14" t="s">
        <v>81</v>
      </c>
      <c r="DB1" s="14" t="s">
        <v>82</v>
      </c>
      <c r="DC1" s="14" t="s">
        <v>83</v>
      </c>
      <c r="DD1" s="14" t="s">
        <v>84</v>
      </c>
      <c r="DE1" s="14" t="s">
        <v>85</v>
      </c>
      <c r="DF1" s="14" t="s">
        <v>86</v>
      </c>
      <c r="DG1" s="14" t="s">
        <v>87</v>
      </c>
      <c r="DH1" s="14" t="s">
        <v>88</v>
      </c>
      <c r="DI1" s="14" t="s">
        <v>89</v>
      </c>
      <c r="DJ1" s="14" t="s">
        <v>90</v>
      </c>
      <c r="DK1" s="14" t="s">
        <v>91</v>
      </c>
      <c r="DL1" s="14" t="s">
        <v>92</v>
      </c>
      <c r="DM1" s="14" t="s">
        <v>93</v>
      </c>
      <c r="DN1" s="14" t="s">
        <v>94</v>
      </c>
      <c r="DO1" s="14" t="s">
        <v>95</v>
      </c>
      <c r="DP1" s="14" t="s">
        <v>96</v>
      </c>
      <c r="DQ1" s="14" t="s">
        <v>97</v>
      </c>
      <c r="DR1" s="14" t="s">
        <v>56</v>
      </c>
      <c r="DS1" s="14" t="s">
        <v>98</v>
      </c>
      <c r="DT1" s="14" t="s">
        <v>99</v>
      </c>
      <c r="DU1" s="14" t="s">
        <v>100</v>
      </c>
      <c r="DV1" s="14" t="s">
        <v>101</v>
      </c>
      <c r="DW1" s="14" t="s">
        <v>102</v>
      </c>
      <c r="DX1" s="14" t="s">
        <v>103</v>
      </c>
      <c r="DY1" s="14" t="s">
        <v>104</v>
      </c>
      <c r="DZ1" s="14" t="s">
        <v>105</v>
      </c>
      <c r="EA1" s="14" t="s">
        <v>106</v>
      </c>
      <c r="EB1" s="14" t="s">
        <v>107</v>
      </c>
      <c r="EC1" s="14" t="s">
        <v>108</v>
      </c>
      <c r="ED1" s="14" t="s">
        <v>109</v>
      </c>
      <c r="EE1" s="15" t="s">
        <v>18</v>
      </c>
      <c r="EF1" s="14" t="s">
        <v>19</v>
      </c>
      <c r="EG1" s="14" t="s">
        <v>20</v>
      </c>
      <c r="EH1" s="14" t="s">
        <v>21</v>
      </c>
      <c r="EI1" s="14" t="s">
        <v>110</v>
      </c>
      <c r="EJ1" s="14" t="s">
        <v>23</v>
      </c>
      <c r="EK1" s="14" t="s">
        <v>111</v>
      </c>
      <c r="EL1" s="14" t="s">
        <v>112</v>
      </c>
      <c r="EM1" s="14" t="s">
        <v>26</v>
      </c>
      <c r="EN1" s="16" t="s">
        <v>27</v>
      </c>
      <c r="EO1" s="16" t="s">
        <v>28</v>
      </c>
      <c r="EP1" s="16" t="s">
        <v>29</v>
      </c>
      <c r="EQ1" s="16" t="s">
        <v>113</v>
      </c>
      <c r="ER1" s="16" t="s">
        <v>31</v>
      </c>
      <c r="ES1" s="16" t="s">
        <v>32</v>
      </c>
      <c r="ET1" s="16" t="s">
        <v>114</v>
      </c>
      <c r="EU1" s="16" t="s">
        <v>34</v>
      </c>
      <c r="EV1" s="16" t="s">
        <v>35</v>
      </c>
      <c r="EW1" s="16" t="s">
        <v>115</v>
      </c>
      <c r="EX1" s="16" t="s">
        <v>37</v>
      </c>
      <c r="EY1" s="16" t="s">
        <v>38</v>
      </c>
      <c r="EZ1" s="16" t="s">
        <v>39</v>
      </c>
      <c r="FA1" s="16" t="s">
        <v>116</v>
      </c>
      <c r="FB1" s="16" t="s">
        <v>117</v>
      </c>
      <c r="FC1" s="16" t="s">
        <v>118</v>
      </c>
      <c r="FD1" s="16" t="s">
        <v>54</v>
      </c>
      <c r="FE1" s="16" t="s">
        <v>119</v>
      </c>
      <c r="FF1" s="16" t="s">
        <v>120</v>
      </c>
      <c r="FG1" s="16" t="s">
        <v>121</v>
      </c>
      <c r="FH1" s="16" t="s">
        <v>122</v>
      </c>
      <c r="FI1" s="16" t="s">
        <v>123</v>
      </c>
      <c r="FJ1" s="16" t="s">
        <v>124</v>
      </c>
      <c r="FK1" s="16" t="s">
        <v>125</v>
      </c>
      <c r="FL1" s="16" t="s">
        <v>126</v>
      </c>
      <c r="FM1" s="16" t="s">
        <v>127</v>
      </c>
      <c r="FN1" s="16" t="s">
        <v>128</v>
      </c>
      <c r="FO1" s="16" t="s">
        <v>129</v>
      </c>
      <c r="FP1" s="16" t="s">
        <v>130</v>
      </c>
      <c r="FQ1" s="16" t="s">
        <v>131</v>
      </c>
      <c r="FR1" s="16" t="s">
        <v>132</v>
      </c>
      <c r="FS1" s="16" t="s">
        <v>133</v>
      </c>
      <c r="FT1" s="16" t="s">
        <v>134</v>
      </c>
      <c r="FU1" s="16" t="s">
        <v>44</v>
      </c>
      <c r="FV1" s="16" t="s">
        <v>135</v>
      </c>
      <c r="FW1" s="16" t="s">
        <v>58</v>
      </c>
      <c r="FX1" s="16" t="s">
        <v>136</v>
      </c>
      <c r="FY1" s="16" t="s">
        <v>137</v>
      </c>
      <c r="FZ1" s="16" t="s">
        <v>138</v>
      </c>
      <c r="GA1" s="16" t="s">
        <v>139</v>
      </c>
      <c r="GB1" s="16" t="s">
        <v>140</v>
      </c>
      <c r="GC1" s="16" t="s">
        <v>141</v>
      </c>
      <c r="GD1" s="16" t="s">
        <v>142</v>
      </c>
      <c r="GE1" s="16" t="s">
        <v>143</v>
      </c>
      <c r="GF1" s="16" t="s">
        <v>144</v>
      </c>
      <c r="GG1" s="16" t="s">
        <v>145</v>
      </c>
      <c r="GH1" s="16" t="s">
        <v>61</v>
      </c>
      <c r="GI1" s="16" t="s">
        <v>62</v>
      </c>
      <c r="GJ1" s="14" t="s">
        <v>146</v>
      </c>
      <c r="GK1" s="14" t="s">
        <v>147</v>
      </c>
      <c r="GL1" s="14" t="s">
        <v>148</v>
      </c>
      <c r="GM1" s="17" t="s">
        <v>149</v>
      </c>
      <c r="GN1" s="26" t="s">
        <v>150</v>
      </c>
      <c r="GO1" s="26" t="s">
        <v>151</v>
      </c>
      <c r="GP1" s="18" t="s">
        <v>41</v>
      </c>
      <c r="GQ1" s="18" t="s">
        <v>42</v>
      </c>
      <c r="GR1" s="18" t="s">
        <v>43</v>
      </c>
      <c r="GS1" s="21"/>
      <c r="GT1" s="27" t="s">
        <v>52</v>
      </c>
      <c r="GU1" s="27"/>
      <c r="GV1" s="27"/>
      <c r="GW1" s="27"/>
      <c r="GX1" s="28"/>
      <c r="GY1" s="28"/>
      <c r="GZ1" s="28"/>
      <c r="HA1" s="28"/>
      <c r="HB1" s="28"/>
      <c r="HC1" s="28"/>
      <c r="HD1" s="29" t="s">
        <v>13</v>
      </c>
      <c r="HE1" s="30" t="s">
        <v>152</v>
      </c>
      <c r="HF1" s="31"/>
      <c r="HG1" s="32"/>
      <c r="HK1" s="32" t="s">
        <v>4</v>
      </c>
      <c r="HP1" s="33" t="s">
        <v>153</v>
      </c>
      <c r="HQ1" s="33" t="s">
        <v>154</v>
      </c>
      <c r="HR1" s="33" t="s">
        <v>155</v>
      </c>
      <c r="HS1" s="33" t="s">
        <v>156</v>
      </c>
      <c r="HT1" s="33" t="s">
        <v>157</v>
      </c>
      <c r="HU1" s="33" t="s">
        <v>158</v>
      </c>
      <c r="HV1" s="33" t="s">
        <v>159</v>
      </c>
      <c r="HW1" s="33" t="s">
        <v>160</v>
      </c>
      <c r="HX1" s="34" t="s">
        <v>161</v>
      </c>
      <c r="IA1" s="14" t="s">
        <v>162</v>
      </c>
      <c r="IB1" s="35" t="s">
        <v>163</v>
      </c>
      <c r="IC1" s="36" t="s">
        <v>153</v>
      </c>
      <c r="ID1" s="36" t="s">
        <v>154</v>
      </c>
      <c r="IE1" s="36" t="s">
        <v>156</v>
      </c>
      <c r="IF1" s="37" t="s">
        <v>161</v>
      </c>
      <c r="IG1" s="36" t="s">
        <v>157</v>
      </c>
      <c r="IH1" s="36" t="s">
        <v>158</v>
      </c>
      <c r="II1" s="36" t="s">
        <v>155</v>
      </c>
      <c r="IJ1" s="36" t="s">
        <v>159</v>
      </c>
      <c r="IK1" s="36" t="s">
        <v>160</v>
      </c>
      <c r="IO1" s="33" t="s">
        <v>153</v>
      </c>
      <c r="IP1" s="33" t="s">
        <v>154</v>
      </c>
      <c r="IQ1" s="33" t="s">
        <v>155</v>
      </c>
      <c r="IR1" s="33" t="s">
        <v>156</v>
      </c>
      <c r="IS1" s="33" t="s">
        <v>157</v>
      </c>
      <c r="IT1" s="33" t="s">
        <v>158</v>
      </c>
      <c r="IU1" s="33" t="s">
        <v>159</v>
      </c>
      <c r="IV1" s="33" t="s">
        <v>160</v>
      </c>
      <c r="IW1" s="34" t="s">
        <v>161</v>
      </c>
      <c r="IY1" s="5" t="s">
        <v>164</v>
      </c>
    </row>
    <row r="2" spans="1:259" s="44" customFormat="1" ht="38.4" customHeight="1" thickBot="1" x14ac:dyDescent="0.35">
      <c r="A2" s="77" t="s">
        <v>273</v>
      </c>
      <c r="B2" s="78" t="e" vm="64">
        <v>#VALUE!</v>
      </c>
      <c r="C2" s="39">
        <v>1</v>
      </c>
      <c r="D2" s="70" t="s">
        <v>274</v>
      </c>
      <c r="E2" s="40" t="s">
        <v>275</v>
      </c>
      <c r="F2" s="41" t="s">
        <v>165</v>
      </c>
      <c r="G2" s="42">
        <f>COUNTIF($A$1:$A$8250,A2)</f>
        <v>1</v>
      </c>
      <c r="H2" s="43"/>
      <c r="I2" s="59" t="s">
        <v>276</v>
      </c>
      <c r="J2" s="44" t="str">
        <f>""</f>
        <v/>
      </c>
      <c r="K2" s="45">
        <v>1620</v>
      </c>
      <c r="L2" s="46">
        <v>10000</v>
      </c>
      <c r="M2" s="46" t="s">
        <v>1165</v>
      </c>
      <c r="N2" s="47" t="s">
        <v>177</v>
      </c>
      <c r="O2" s="74" t="s">
        <v>179</v>
      </c>
      <c r="P2" s="48" t="s">
        <v>277</v>
      </c>
      <c r="Q2" s="73">
        <v>1</v>
      </c>
      <c r="R2" s="49" t="s">
        <v>177</v>
      </c>
      <c r="S2" s="50">
        <v>0</v>
      </c>
      <c r="T2" s="51" t="s">
        <v>166</v>
      </c>
      <c r="U2" s="52" t="s">
        <v>167</v>
      </c>
      <c r="V2" s="52" t="s">
        <v>166</v>
      </c>
      <c r="W2" s="52" t="s">
        <v>166</v>
      </c>
      <c r="X2" s="52" t="s">
        <v>167</v>
      </c>
      <c r="Y2" s="52" t="s">
        <v>166</v>
      </c>
      <c r="Z2" s="52" t="s">
        <v>166</v>
      </c>
      <c r="AA2" s="52" t="s">
        <v>166</v>
      </c>
      <c r="AB2" s="52" t="s">
        <v>166</v>
      </c>
      <c r="AC2" s="52" t="s">
        <v>166</v>
      </c>
      <c r="AD2" s="52" t="s">
        <v>166</v>
      </c>
      <c r="AE2" s="52" t="s">
        <v>166</v>
      </c>
      <c r="AF2" s="53" t="s">
        <v>166</v>
      </c>
      <c r="AG2" s="53" t="s">
        <v>166</v>
      </c>
      <c r="AH2" s="53" t="s">
        <v>166</v>
      </c>
      <c r="AI2" s="53" t="s">
        <v>167</v>
      </c>
      <c r="AJ2" s="53" t="s">
        <v>166</v>
      </c>
      <c r="AK2" s="53" t="s">
        <v>166</v>
      </c>
      <c r="AL2" s="53" t="s">
        <v>166</v>
      </c>
      <c r="AM2" s="53" t="s">
        <v>166</v>
      </c>
      <c r="AN2" s="53" t="s">
        <v>166</v>
      </c>
      <c r="AO2" s="53" t="s">
        <v>166</v>
      </c>
      <c r="AP2" s="53" t="s">
        <v>166</v>
      </c>
      <c r="AQ2" s="53" t="s">
        <v>166</v>
      </c>
      <c r="AR2" s="53" t="s">
        <v>166</v>
      </c>
      <c r="AS2" s="53" t="s">
        <v>166</v>
      </c>
      <c r="AT2" s="54">
        <v>5</v>
      </c>
      <c r="AU2" s="53"/>
      <c r="AV2" s="53" t="str">
        <f>IF(LEFT(A2,1)="[",LEFT(A2,5)&amp;AU2&amp;A2,"")</f>
        <v/>
      </c>
      <c r="AW2" s="53" t="str">
        <f>C2&amp;H2&amp;A2</f>
        <v>1Niue</v>
      </c>
      <c r="AX2" s="55"/>
      <c r="AY2" s="55" t="s">
        <v>167</v>
      </c>
      <c r="AZ2" s="56" t="s">
        <v>157</v>
      </c>
      <c r="BA2" s="56"/>
      <c r="BB2" s="56"/>
      <c r="BC2" s="57"/>
      <c r="BD2" s="58" t="s">
        <v>157</v>
      </c>
      <c r="BE2" s="59"/>
      <c r="BF2" s="58"/>
      <c r="BG2" s="58"/>
      <c r="BH2" s="58"/>
      <c r="BI2" s="58"/>
      <c r="BJ2" s="58"/>
      <c r="BK2" s="59"/>
      <c r="BL2" s="58" t="s">
        <v>157</v>
      </c>
      <c r="BM2" s="58" t="s">
        <v>156</v>
      </c>
      <c r="BN2" s="58" t="s">
        <v>154</v>
      </c>
      <c r="BO2" s="58" t="s">
        <v>161</v>
      </c>
      <c r="BP2" s="58"/>
      <c r="BQ2" s="58"/>
      <c r="BR2" s="58"/>
      <c r="BS2" s="58"/>
      <c r="BT2" s="58"/>
      <c r="BU2" s="60" t="s">
        <v>167</v>
      </c>
      <c r="BV2" s="61" t="s">
        <v>166</v>
      </c>
      <c r="BW2" s="61" t="s">
        <v>170</v>
      </c>
      <c r="BX2" s="59"/>
      <c r="CB2" s="5" t="s">
        <v>278</v>
      </c>
      <c r="CC2" s="5"/>
      <c r="CD2" s="62">
        <v>1</v>
      </c>
      <c r="CE2" s="62">
        <v>0</v>
      </c>
      <c r="CF2" s="62" t="e">
        <v>#REF!</v>
      </c>
      <c r="CG2" s="75" cm="1">
        <f t="array" ref="CG2">SUMPRODUCT(--(LEN(TRIM(BL2:BT2))&gt;0))</f>
        <v>4</v>
      </c>
      <c r="CH2" s="53" t="str">
        <f>IF(CG2=2,"y","n")</f>
        <v>n</v>
      </c>
      <c r="CI2" s="53" t="str">
        <f>IF(CG2=3,"y","n")</f>
        <v>n</v>
      </c>
      <c r="CJ2" s="53" t="str">
        <f>IF(CG2=4,"y","n")</f>
        <v>y</v>
      </c>
      <c r="CK2" s="53" t="str">
        <f>IF(CG2&gt;4,"y","n")</f>
        <v>n</v>
      </c>
      <c r="CL2" s="53" t="str">
        <f>IF(S2=0,"y","n")</f>
        <v>y</v>
      </c>
      <c r="CM2" s="53" t="str">
        <f>IF(S2=2,"y","n")</f>
        <v>n</v>
      </c>
      <c r="CN2" s="53" t="str">
        <f>IF(S2=3,"y","n")</f>
        <v>n</v>
      </c>
      <c r="CO2" s="53" t="str">
        <f>IF(S2&gt;=4,"y","n")</f>
        <v>n</v>
      </c>
      <c r="CP2" s="53" t="str">
        <f>IF(AT2=0,"y","n")</f>
        <v>n</v>
      </c>
      <c r="CQ2" s="53" t="str">
        <f>IF(AT2=1,"y","n")</f>
        <v>n</v>
      </c>
      <c r="CR2" s="53" t="str">
        <f>IF(AT2=2,"y","n")</f>
        <v>n</v>
      </c>
      <c r="CS2" s="53" t="str">
        <f>IF(AT2&gt;=3,"y","n")</f>
        <v>y</v>
      </c>
      <c r="CT2" s="38" t="str">
        <f>CHAR(34)&amp;A2&amp;CHAR(34)</f>
        <v>"Niue"</v>
      </c>
      <c r="CU2" s="63" t="str">
        <f>CHAR(34)&amp;"rgn_"&amp;R2&amp;CHAR(34)</f>
        <v>"rgn_Oceania"</v>
      </c>
      <c r="CV2" s="44" t="str">
        <f>CHAR(34)&amp;D2&amp;CHAR(34)</f>
        <v>"https://upload.wikimedia.org/wikipedia/commons/thumb/0/01/Flag_of_Niue.svg/300px-Flag_of_Niue.svg.png"</v>
      </c>
      <c r="CW2" s="44" t="str">
        <f t="shared" ref="CW2:CZ4" si="0">IF(CH2="y",CHAR(34)&amp;CH$1&amp;CHAR(34)&amp;",","")</f>
        <v/>
      </c>
      <c r="CX2" s="44" t="str">
        <f t="shared" si="0"/>
        <v/>
      </c>
      <c r="CY2" s="44" t="str">
        <f t="shared" si="0"/>
        <v>"4Color",</v>
      </c>
      <c r="CZ2" s="44" t="str">
        <f t="shared" si="0"/>
        <v/>
      </c>
      <c r="DA2" s="44" t="str">
        <f>IF(Q2&gt;1,CHAR(34)&amp;"words2"&amp;CHAR(34)&amp;",","")</f>
        <v/>
      </c>
      <c r="DB2" s="44" t="str">
        <f>IF(Q2&gt;2,CHAR(34)&amp;"words3"&amp;CHAR(34)&amp;",","")</f>
        <v/>
      </c>
      <c r="DC2" s="44" t="str">
        <f>IF(Q2=2,CHAR(34)&amp;"exact2"&amp;CHAR(34)&amp;",","")</f>
        <v/>
      </c>
      <c r="DD2" s="44"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"lets04",</v>
      </c>
      <c r="DE2" s="44"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"startN",</v>
      </c>
      <c r="DF2" s="44" t="str">
        <f>IFERROR(IF(SEARCH("tan",A2)&gt;0,CHAR(34)&amp;"withtn"&amp;CHAR(34)&amp;",",""),"")</f>
        <v/>
      </c>
      <c r="DG2" s="44" t="str">
        <f>IFERROR(IF(SEARCH("q",A2)&gt;0,CHAR(34)&amp;"with_q"&amp;CHAR(34)&amp;",",""),"")</f>
        <v/>
      </c>
      <c r="DH2" s="44" t="str">
        <f>IFERROR(IF(SEARCH("v",A2)&gt;0,CHAR(34)&amp;"with_v"&amp;CHAR(34)&amp;",",""),"")</f>
        <v/>
      </c>
      <c r="DI2" s="44" t="str">
        <f>IFERROR(IF(SEARCH("w",A2)&gt;0,CHAR(34)&amp;"with_w"&amp;CHAR(34)&amp;",",""),"")</f>
        <v/>
      </c>
      <c r="DJ2" s="44" t="str">
        <f>IFERROR(IF(SEARCH("y",A2)&gt;0,CHAR(34)&amp;"with_y"&amp;CHAR(34)&amp;",",""),"")</f>
        <v/>
      </c>
      <c r="DK2" s="44" t="str">
        <f>IFERROR(IF(SEARCH("z",A2)&gt;0,CHAR(34)&amp;"with_z"&amp;CHAR(34)&amp;",",""),"")</f>
        <v/>
      </c>
      <c r="DL2" s="44" t="str">
        <f>IF(CG2=2, CHAR(34) &amp; _xlfn.TEXTJOIN("", TRUE, _xlfn._xlws.SORT(HP2:HX2)) &amp; CHAR(34) &amp; ",", "")</f>
        <v/>
      </c>
      <c r="DM2" s="44" t="str" cm="1">
        <f t="array" ref="DM2">IF(CG2=3,CHAR(34) &amp; _xlfn.TEXTJOIN("", TRUE, RIGHT(HP2:HX2, 2)) &amp; CHAR(34) &amp; ",", "")</f>
        <v/>
      </c>
      <c r="DN2" s="44" t="str">
        <f>IF(AND(ISNUMBER(SEARCH("18", O2)), ISERROR(SEARCH("1918", O2)), ISERROR(SEARCH("2018", O2))), CHAR(34) &amp; "year18" &amp; CHAR(34) &amp; ",", "")</f>
        <v/>
      </c>
      <c r="DO2" s="44" t="str">
        <f>IF(AND(ISNUMBER(SEARCH("19", O2)), ISERROR(SEARCH("1819", O2)),  ISERROR(SEARCH("1219", O2)),ISERROR(SEARCH("1119", O2)),ISERROR(SEARCH("1190", O2)),ISERROR(SEARCH("2019", O2))), CHAR(34) &amp; "year19" &amp; CHAR(34) &amp; ",", "")</f>
        <v>"year19",</v>
      </c>
      <c r="DP2" s="5" t="str">
        <f>IF(AND(ISNUMBER(SEARCH("20", O2)), ISERROR(SEARCH("1920", O2))), CHAR(34)&amp;"year00"&amp;CHAR(34)&amp;",", "")</f>
        <v/>
      </c>
      <c r="DQ2" s="5" t="str">
        <f>IF(CC2="y",CHAR(34)&amp;"soviet"&amp;CHAR(34)&amp;",","")</f>
        <v/>
      </c>
      <c r="DR2" s="5" t="str">
        <f>IF(BY2="y",CHAR(34)&amp;"dgband"&amp;CHAR(34)&amp;",","")</f>
        <v/>
      </c>
      <c r="DS2" s="5" t="str">
        <f>IF(W2="y",IF(AND(V2="n",BY2&lt;&gt;"y"),CHAR(34)&amp;"allver"&amp;CHAR(34)&amp;",",""),"")</f>
        <v/>
      </c>
      <c r="DT2" s="5" t="str">
        <f>IF(V2="y",IF(AND(W2="n",BY2&lt;&gt;"y"),CHAR(34)&amp;"allhor"&amp;CHAR(34)&amp;",",""),"")</f>
        <v/>
      </c>
      <c r="DU2" s="5" t="str">
        <f>IF(BY2="y",IF(AND(W2="n",V2="n"),CHAR(34)&amp;"alldia"&amp;CHAR(34)&amp;",",""),"")</f>
        <v/>
      </c>
      <c r="DV2" s="44" t="str">
        <f>IF(IA2&lt;&gt;"",(IF(IA2="y",CHAR(34)&amp;"largec"&amp;CHAR(34)&amp;",",CHAR(34)&amp;"smallc"&amp;CHAR(34)&amp;",")),"")</f>
        <v>"smallc",</v>
      </c>
      <c r="DW2" s="44" t="str">
        <f t="shared" ref="DW2:DZ4" si="1">IF(CL2="y",CHAR(34)&amp;CL$1&amp;CHAR(34)&amp;",","")</f>
        <v>"NoBand",</v>
      </c>
      <c r="DX2" s="44" t="str">
        <f t="shared" si="1"/>
        <v/>
      </c>
      <c r="DY2" s="44" t="str">
        <f t="shared" si="1"/>
        <v/>
      </c>
      <c r="DZ2" s="44" t="str">
        <f t="shared" si="1"/>
        <v/>
      </c>
      <c r="EA2" s="44" t="str">
        <f t="shared" ref="EA2:EE4" si="2">IF(T2="y",CHAR(34)&amp;T$1&amp;CHAR(34)&amp;",","")</f>
        <v/>
      </c>
      <c r="EB2" s="44" t="str">
        <f t="shared" si="2"/>
        <v>"Crosse",</v>
      </c>
      <c r="EC2" s="44" t="str">
        <f t="shared" si="2"/>
        <v/>
      </c>
      <c r="ED2" s="44" t="str">
        <f t="shared" si="2"/>
        <v/>
      </c>
      <c r="EE2" s="44" t="str">
        <f t="shared" si="2"/>
        <v>"Circle",</v>
      </c>
      <c r="EF2" s="44" t="str">
        <f>IF(AND(Y2&lt;&gt;"n",Y2&lt;&gt;""),CHAR(34)&amp;Y$1&amp;CHAR(34)&amp;",","")</f>
        <v/>
      </c>
      <c r="EG2" s="44" t="str">
        <f t="shared" ref="EG2:EP4" si="3">IF(Z2="y",CHAR(34)&amp;Z$1&amp;CHAR(34)&amp;",","")</f>
        <v/>
      </c>
      <c r="EH2" s="44" t="str">
        <f t="shared" si="3"/>
        <v/>
      </c>
      <c r="EI2" s="44" t="str">
        <f t="shared" si="3"/>
        <v/>
      </c>
      <c r="EJ2" s="44" t="str">
        <f t="shared" si="3"/>
        <v/>
      </c>
      <c r="EK2" s="44" t="str">
        <f t="shared" si="3"/>
        <v/>
      </c>
      <c r="EL2" s="44" t="str">
        <f t="shared" si="3"/>
        <v/>
      </c>
      <c r="EM2" s="44" t="str">
        <f t="shared" si="3"/>
        <v/>
      </c>
      <c r="EN2" s="44" t="str">
        <f t="shared" si="3"/>
        <v/>
      </c>
      <c r="EO2" s="44" t="str">
        <f t="shared" si="3"/>
        <v/>
      </c>
      <c r="EP2" s="44" t="str">
        <f t="shared" si="3"/>
        <v>"Canton",</v>
      </c>
      <c r="EQ2" s="44" t="str">
        <f t="shared" ref="EQ2:EZ4" si="4">IF(AJ2="y",CHAR(34)&amp;AJ$1&amp;CHAR(34)&amp;",","")</f>
        <v/>
      </c>
      <c r="ER2" s="44" t="str">
        <f t="shared" si="4"/>
        <v/>
      </c>
      <c r="ES2" s="44" t="str">
        <f t="shared" si="4"/>
        <v/>
      </c>
      <c r="ET2" s="44" t="str">
        <f t="shared" si="4"/>
        <v/>
      </c>
      <c r="EU2" s="44" t="str">
        <f t="shared" si="4"/>
        <v/>
      </c>
      <c r="EV2" s="44" t="str">
        <f t="shared" si="4"/>
        <v/>
      </c>
      <c r="EW2" s="44" t="str">
        <f t="shared" si="4"/>
        <v/>
      </c>
      <c r="EX2" s="44" t="str">
        <f t="shared" si="4"/>
        <v/>
      </c>
      <c r="EY2" s="44" t="str">
        <f t="shared" si="4"/>
        <v/>
      </c>
      <c r="EZ2" s="44" t="str">
        <f t="shared" si="4"/>
        <v/>
      </c>
      <c r="FA2" s="44" t="str">
        <f>IF(AT2&gt;0,CHAR(34)&amp;"sta"&amp;AZ2&amp;CHAR(34)&amp;",","")</f>
        <v>"staYEL",</v>
      </c>
      <c r="FB2" s="44" t="str">
        <f>IF(AND(AT2&gt;0,BA2&lt;&gt;""),CHAR(34)&amp;"sta"&amp;BA2&amp;CHAR(34)&amp;",","")</f>
        <v/>
      </c>
      <c r="FC2" s="44" t="str">
        <f>IF(AND(AT2&gt;0,BB2&lt;&gt;""),CHAR(34)&amp;"sta"&amp;BB2&amp;CHAR(34)&amp;",","")</f>
        <v/>
      </c>
      <c r="FD2" s="44" t="str">
        <f>IF(BV2="n",CHAR(34)&amp;"tcWHYE"&amp;CHAR(34)&amp;",",IF(BV2="y",CHAR(34)&amp;FD$1&amp;CHAR(34)&amp;",",""))</f>
        <v>"tcWHYE",</v>
      </c>
      <c r="FE2" s="44" t="str">
        <f>IF(COUNTIF(BL2:BT2,"BLU")=0,CHAR(34)&amp;"NO_BLU"&amp;CHAR(34)&amp;",", "")</f>
        <v/>
      </c>
      <c r="FF2" s="44" t="str">
        <f>IF(COUNTIF(BL2:BT2,"WHI")=0,CHAR(34)&amp;"NO_WHI"&amp;CHAR(34)&amp;",", "")</f>
        <v/>
      </c>
      <c r="FG2" s="44" t="str">
        <f>IF(COUNTIF(BL2:BT2,"RED")=0,CHAR(34)&amp;"NO_RED"&amp;CHAR(34)&amp;",", "")</f>
        <v/>
      </c>
      <c r="FH2" s="44" t="str">
        <f>IF(COUNTIF(BL2:BS2,"GRE")=0,CHAR(34)&amp;"NO_GRE"&amp;CHAR(34)&amp;",", "")</f>
        <v>"NO_GRE",</v>
      </c>
      <c r="FI2" s="44" t="str">
        <f>IF(COUNTIF(BL2:BT2,"YEL")=0,CHAR(34)&amp;"NO_YEL"&amp;CHAR(34)&amp;",", "")</f>
        <v/>
      </c>
      <c r="FJ2" s="44" t="str">
        <f>IF(COUNTIF(BL2:BT2,"BLA")=0,CHAR(34)&amp;"NO_BLA"&amp;CHAR(34)&amp;",", "")</f>
        <v>"NO_BLA",</v>
      </c>
      <c r="FK2" s="44" t="str">
        <f>IF(AND(FH2&lt;&gt;"",FF2&lt;&gt;""),CHAR(34)&amp;"WHGRNO"&amp;CHAR(34)&amp;",","")</f>
        <v/>
      </c>
      <c r="FL2" s="44" t="str">
        <f>IF(AND(FI2&lt;&gt;"",FF2&lt;&gt;""),CHAR(34)&amp;"WHYENO"&amp;CHAR(34)&amp;",","")</f>
        <v/>
      </c>
      <c r="FM2" s="44" t="str">
        <f>IF(AND(FJ2&lt;&gt;"",FF2&lt;&gt;""),CHAR(34)&amp;"BAWHNO"&amp;CHAR(34)&amp;",","")</f>
        <v/>
      </c>
      <c r="FN2" s="44" t="str">
        <f>IF(AND(FE2&lt;&gt;"",FF2&lt;&gt;""),CHAR(34)&amp;"BLWHNO"&amp;CHAR(34)&amp;",","")</f>
        <v/>
      </c>
      <c r="FO2" s="44" t="str">
        <f>IF(AND(FE2&lt;&gt;"",FG2&lt;&gt;""),CHAR(34)&amp;"BLRENO"&amp;CHAR(34)&amp;",","")</f>
        <v/>
      </c>
      <c r="FP2" s="44" t="str">
        <f>IF(AND(FF2&lt;&gt;"",FF2&lt;&gt;""),CHAR(34)&amp;"WHRENO"&amp;CHAR(34)&amp;",","")</f>
        <v/>
      </c>
      <c r="FQ2" s="44" t="str">
        <f>IF(LEN(BF2)=3,CHAR(34)&amp;"001"&amp;BF2&amp;CHAR(34)&amp;",","")</f>
        <v/>
      </c>
      <c r="FR2" s="44" t="str">
        <f>IF(LEN(BG2)=3,CHAR(34)&amp;"002"&amp;BG2&amp;CHAR(34)&amp;",","")</f>
        <v/>
      </c>
      <c r="FS2" s="44" t="str">
        <f>IF(LEN(BH2)=3,CHAR(34)&amp;"003"&amp;BH2&amp;CHAR(34)&amp;",","")</f>
        <v/>
      </c>
      <c r="FT2" s="44" t="str">
        <f>CHAR(34)&amp;"myr"&amp;BD2&amp;CHAR(34)&amp;","</f>
        <v>"myrYEL",</v>
      </c>
      <c r="FU2" s="44" t="str">
        <f>IF(AY2="y",CHAR(34)&amp;"island"&amp;CHAR(34)&amp;",","")</f>
        <v>"island",</v>
      </c>
      <c r="FV2" s="44" t="str">
        <f>IF(BZ2="y",CHAR(34)&amp;"landlo"&amp;CHAR(34)&amp;",","")</f>
        <v/>
      </c>
      <c r="FW2" s="44" t="str">
        <f>IF(CA2="y",CHAR(34)&amp;"eunion"&amp;CHAR(34)&amp;",","")</f>
        <v/>
      </c>
      <c r="FX2" s="44" t="str">
        <f>SUBSTITUTE(IFERROR(SEARCH("[",A2),IFERROR(IF(AND(CA2&lt;&gt;"y",SEARCH("Europe",R2)&gt;0),CHAR(34)&amp;"noeuni"&amp;CHAR(34)&amp;",",""),"")),"1","")</f>
        <v/>
      </c>
      <c r="FY2" s="44" t="str">
        <f>IFERROR(IF(SEARCH("Arabic",CB2)&gt;0,CHAR(34)&amp;"arabic"&amp;CHAR(34)&amp;",",""),"")</f>
        <v/>
      </c>
      <c r="FZ2" s="44" t="str">
        <f>IFERROR(IF(SEARCH("English",CB2)&gt;0,CHAR(34)&amp;"englis"&amp;CHAR(34)&amp;",",""),"")</f>
        <v>"englis",</v>
      </c>
      <c r="GA2" s="44" t="str">
        <f>IFERROR(IF(SEARCH("French",CB2)&gt;0,CHAR(34)&amp;"french"&amp;CHAR(34)&amp;",",""),"")</f>
        <v/>
      </c>
      <c r="GB2" s="44" t="str">
        <f>IFERROR(IF(SEARCH("Spanish",CB2)&gt;0,CHAR(34)&amp;"spanis"&amp;CHAR(34)&amp;",",""),"")</f>
        <v/>
      </c>
      <c r="GC2" s="44" t="str">
        <f>IFERROR(IF(SEARCH("Portuguese",CB2)&gt;0,CHAR(34)&amp;"portug"&amp;CHAR(34)&amp;",",""),"")</f>
        <v/>
      </c>
      <c r="GD2" s="44" t="str">
        <f>IFERROR(IF(SEARCH("German",CB2)&gt;0,CHAR(34)&amp;"german"&amp;CHAR(34)&amp;",",""),"")</f>
        <v/>
      </c>
      <c r="GE2" s="44" t="str">
        <f>IFERROR(IF(SEARCH("Dutch",CB2)&gt;0,CHAR(34)&amp;"dutchs"&amp;CHAR(34)&amp;",",""),"")</f>
        <v/>
      </c>
      <c r="GF2" s="44" t="str">
        <f>IFERROR(IF(SEARCH("Histor",AU2)&gt;0,CHAR(34)&amp;"histor"&amp;CHAR(34)&amp;",",""),"")</f>
        <v/>
      </c>
      <c r="GG2" s="44" t="str">
        <f>IF(BU2="y",CHAR(34)&amp;"unjack"&amp;CHAR(34)&amp;",","")</f>
        <v>"unjack",</v>
      </c>
      <c r="GH2" s="44" t="str">
        <f>IF(CD2=1,CHAR(34)&amp;"southc"&amp;CHAR(34)&amp;",","")</f>
        <v>"southc",</v>
      </c>
      <c r="GI2" s="44" t="str">
        <f>IF(CE2=1,CHAR(34)&amp;"hasmap"&amp;CHAR(34)&amp;",","")</f>
        <v/>
      </c>
      <c r="GJ2" s="44" t="str">
        <f>IF(CP2="y",CHAR(34)&amp;CP$1&amp;CHAR(34)&amp;",","")</f>
        <v/>
      </c>
      <c r="GK2" s="44" t="str">
        <f>IF(GJ2="",CHAR(34)&amp;"HasSta"&amp;CHAR(34)&amp;",","")</f>
        <v>"HasSta",</v>
      </c>
      <c r="GL2" s="44" t="str">
        <f t="shared" ref="GL2:GN4" si="5">IF(CQ2="y",CHAR(34)&amp;CQ$1&amp;CHAR(34)&amp;",","")</f>
        <v/>
      </c>
      <c r="GM2" s="44" t="str">
        <f t="shared" si="5"/>
        <v/>
      </c>
      <c r="GN2" s="44" t="str">
        <f t="shared" si="5"/>
        <v>"3+Star",</v>
      </c>
      <c r="GP2" s="44" t="str">
        <f>CHAR(34)&amp;AU2&amp;CHAR(34)</f>
        <v>""</v>
      </c>
      <c r="GS2" s="44" t="str">
        <f>SUBSTITUTE("["&amp;_xlfn.CONCAT(CW2:GN2)&amp;"]",",]","]")</f>
        <v>["4Color","lets04","startN","year19","smallc","NoBand","Crosse","Circle","Canton","staYEL","tcWHYE","NO_GRE","NO_BLA","myrYEL","island","englis","unjack","southc","HasSta","3+Star"]</v>
      </c>
      <c r="GT2" s="44" t="str">
        <f t="shared" ref="GT2:HB4" si="6">IF(BL2&lt;&gt;"",CHAR(34)&amp;"cl_"&amp;BL2&amp;CHAR(34)&amp;",","")</f>
        <v>"cl_YEL",</v>
      </c>
      <c r="GU2" s="44" t="str">
        <f t="shared" si="6"/>
        <v>"cl_RED",</v>
      </c>
      <c r="GV2" s="44" t="str">
        <f t="shared" si="6"/>
        <v>"cl_BLU",</v>
      </c>
      <c r="GW2" s="44" t="str">
        <f t="shared" si="6"/>
        <v>"cl_WHI",</v>
      </c>
      <c r="GX2" s="44" t="str">
        <f t="shared" si="6"/>
        <v/>
      </c>
      <c r="GY2" s="44" t="str">
        <f t="shared" si="6"/>
        <v/>
      </c>
      <c r="GZ2" s="44" t="str">
        <f t="shared" si="6"/>
        <v/>
      </c>
      <c r="HA2" s="44" t="str">
        <f t="shared" si="6"/>
        <v/>
      </c>
      <c r="HB2" s="44" t="str">
        <f t="shared" si="6"/>
        <v/>
      </c>
      <c r="HC2" s="44" t="str">
        <f>SUBSTITUTE("["&amp;_xlfn.CONCAT(GT2:HB2)&amp;"]",",]","]")</f>
        <v>["cl_YEL","cl_RED","cl_BLU","cl_WHI"]</v>
      </c>
      <c r="HE2" s="64"/>
      <c r="HF2" s="65" t="str">
        <f>"{couname:"&amp;CT2&amp;(IF(HK2&lt;&gt;"",",subtype:"&amp;CHAR(34)&amp;HK2&amp;CHAR(34),""))&amp;",year:"&amp;HJ2&amp;",region:"&amp;CU2&amp;",Colors:"&amp;HC2&amp;",Items:"&amp;GS2&amp;",Flag:"&amp;CV2&amp;",HDFlag:"&amp;CHAR(34)&amp;E2&amp;CHAR(34)&amp;",type:"&amp;GP2&amp;", describe: "&amp;HH2&amp;", isnew:"&amp;CHAR(34)&amp;F2&amp;CHAR(34)&amp;", links: "&amp;HL2&amp;"},"</f>
        <v>{couname:"Niue",year:"1975 ",region:"rgn_Oceania",Colors:["cl_YEL","cl_RED","cl_BLU","cl_WHI"],Items:["4Color","lets04","startN","year19","smallc","NoBand","Crosse","Circle","Canton","staYEL","tcWHYE","NO_GRE","NO_BLA","myrYEL","island","englis","unjack","southc","HasSta","3+Star"],Flag:"https://upload.wikimedia.org/wikipedia/commons/thumb/0/01/Flag_of_Niue.svg/300px-Flag_of_Niue.svg.png",HDFlag:"https://upload.wikimedia.org/wikipedia/commons/thumb/0/01/Flag_of_Niue.svg/2560px-Flag_of_Niue.svg.png",type:"", describe: "\nThe yellow field symbolises the bright sunshine of Niue and the warm feelings of the Niuean people towards New Zealand and her people. The association with New Zealand, which took over responsibility and administration of Niue in 1901, is also represented by the four small stars that depict the Southern Cross. Finally, the blue disc containing a larger star represents the deep blue sea surrounding the self-governing island of Niue.", isnew:".", links: "https://en.wikipedia.org/wiki/Flag_of_Niue"},</v>
      </c>
      <c r="HG2" s="66" t="str">
        <f>"{couname:"&amp;CT2&amp;(IF(HK2&lt;&gt;"",",subtype:"&amp;CHAR(34)&amp;HK2&amp;CHAR(34),""))&amp;",year:"&amp;HJ2&amp;",region:"&amp;CU2&amp;",Colors:"&amp;HC2&amp;",Items:"&amp;GS2&amp;",Flag:"&amp;CV2&amp;",HDFlag:"&amp;CHAR(34)&amp;E2&amp;CHAR(34)&amp;",type:"&amp;GP2&amp;", describe: "&amp;HI2&amp;", links: "&amp;HL2&amp;"},"</f>
        <v>{couname:"Niue",year:"1975 ",region:"rgn_Oceania",Colors:["cl_YEL","cl_RED","cl_BLU","cl_WHI"],Items:["4Color","lets04","startN","year19","smallc","NoBand","Crosse","Circle","Canton","staYEL","tcWHYE","NO_GRE","NO_BLA","myrYEL","island","englis","unjack","southc","HasSta","3+Star"],Flag:"https://upload.wikimedia.org/wikipedia/commons/thumb/0/01/Flag_of_Niue.svg/300px-Flag_of_Niue.svg.png",HDFlag:"https://upload.wikimedia.org/wikipedia/commons/thumb/0/01/Flag_of_Niue.svg/2560px-Flag_of_Niue.svg.png",type:"", describe: "\nThe yellow field symbolises the bright sunshine of Niue and the warm feelings of the Niuean people towards New Zealand and her people. The association with New Zealand, which took over responsibility and administration of Niue in 1901, is also represented by the four small stars that depict the Southern Cross. Finally, the blue disc containing a larger star represents the deep blue sea surrounding the self-governing island of Niue.", links: "https://en.wikipedia.org/wiki/Flag_of_Niue"},</v>
      </c>
      <c r="HH2" s="44" t="str">
        <f>IF(P2&lt;&gt;"",CHAR(34)&amp;"\n"&amp;P2&amp;CHAR(34),CHAR(34)&amp;CHAR(34))</f>
        <v>"\nThe yellow field symbolises the bright sunshine of Niue and the warm feelings of the Niuean people towards New Zealand and her people. The association with New Zealand, which took over responsibility and administration of Niue in 1901, is also represented by the four small stars that depict the Southern Cross. Finally, the blue disc containing a larger star represents the deep blue sea surrounding the self-governing island of Niue."</v>
      </c>
      <c r="HI2" s="44" t="str">
        <f>IF(J2=0,CHAR(34)&amp;CHAR(34),HH2)</f>
        <v>"\nThe yellow field symbolises the bright sunshine of Niue and the warm feelings of the Niuean people towards New Zealand and her people. The association with New Zealand, which took over responsibility and administration of Niue in 1901, is also represented by the four small stars that depict the Southern Cross. Finally, the blue disc containing a larger star represents the deep blue sea surrounding the self-governing island of Niue."</v>
      </c>
      <c r="HJ2" s="44" t="str">
        <f>CHAR(34)&amp;O2&amp;CHAR(34)</f>
        <v>"1975 "</v>
      </c>
      <c r="HL2" s="44" t="str">
        <f>CHAR(34)&amp;I2&amp;CHAR(34)</f>
        <v>"https://en.wikipedia.org/wiki/Flag_of_Niue"</v>
      </c>
      <c r="HM2" s="65"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{"couname":"Niue","year":"1975 ","region":"rgn_Oceania","Colors":["cl_YEL","cl_RED","cl_BLU","cl_WHI"],"Items":["4Color","lets04","startN","year19","smallc","NoBand","Crosse","Circle","Canton","staYEL","tcWHYE","NO_GRE","NO_BLA","myrYEL","island","englis","unjack","southc","HasSta","3+Star"],"Flag":"https://upload.wikimedia.org/wikipedia/commons/thumb/0/01/Flag_of_Niue.svg/300px-Flag_of_Niue.svg.png","HDFlag":"https://upload.wikimedia.org/wikipedia/commons/thumb/0/01/Flag_of_Niue.svg/2560px-Flag_of_Niue.svg.png","type":"", "describe": "\nThe yellow field symbolises the bright sunshine of Niue and the warm feelings of the Niuean people towards New Zealand and her people. The association with New Zealand, which took over responsibility and administration of Niue in 1901, is also represented by the four small stars that depict the Southern Cross. Finally, the blue disc containing a larger star represents the deep blue sea surrounding the self-governing island of Niue.", "isnew": ".", "links": "https://en.wikipedia.org/wiki/Flag_of_Niue"},</v>
      </c>
      <c r="HN2" s="67"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{"couname":"Niue","year":"1975 ","region":"rgn_Oceania","Colors":["cl_YEL","cl_RED","cl_BLU","cl_WHI"],"Items":["4Color","lets04","startN","year19","smallc","NoBand","Crosse","Circle","Canton","staYEL","tcWHYE","NO_GRE","NO_BLA","myrYEL","island","englis","unjack","southc","HasSta","3+Star"],"Flag":"https://upload.wikimedia.org/wikipedia/commons/thumb/0/01/Flag_of_Niue.svg/300px-Flag_of_Niue.svg.png","HDFlag":"https://upload.wikimedia.org/wikipedia/commons/thumb/0/01/Flag_of_Niue.svg/2560px-Flag_of_Niue.svg.png","type":"", "describe": "\nThe yellow field symbolises the bright sunshine of Niue and the warm feelings of the Niuean people towards New Zealand and her people. The association with New Zealand, which took over responsibility and administration of Niue in 1901, is also represented by the four small stars that depict the Southern Cross. Finally, the blue disc containing a larger star represents the deep blue sea surrounding the self-governing island of Niue.", "isnew": ".", "links": "https://en.wikipedia.org/wiki/Flag_of_Niue"},</v>
      </c>
      <c r="HO2" s="71"/>
      <c r="HP2" s="44" t="str" cm="1">
        <f t="array" ref="HP2">IF(_xlfn.TEXTJOIN(", ", TRUE, IF(ISNUMBER(SEARCH("BLA", BL2:BT2)), COLUMN(BL2:BT2) - COLUMN(BL2) + 1, ""))&lt;&gt;"","BLA","")</f>
        <v/>
      </c>
      <c r="HQ2" s="44" t="str" cm="1">
        <f t="array" ref="HQ2">IF(_xlfn.TEXTJOIN(", ", TRUE, IF(ISNUMBER(SEARCH("BLU", BL2:BT2)), COLUMN(BL2:BT2) - COLUMN(BL2) + 1, ""))&lt;&gt;"","BLU","")</f>
        <v>BLU</v>
      </c>
      <c r="HR2" s="44" t="str" cm="1">
        <f t="array" ref="HR2">IF(_xlfn.TEXTJOIN(", ", TRUE, IF(ISNUMBER(SEARCH("GRE", BL2:BT2)), COLUMN(BL2:BT2) - COLUMN(BL2) + 1, ""))&lt;&gt;"","GRE","")</f>
        <v/>
      </c>
      <c r="HS2" s="44" t="str" cm="1">
        <f t="array" ref="HS2">IF(_xlfn.TEXTJOIN(", ", TRUE, IF(ISNUMBER(SEARCH("RED", BL2:BT2)), COLUMN(BL2:BT2) - COLUMN(BL2) + 1, ""))&lt;&gt;"","RED","")</f>
        <v>RED</v>
      </c>
      <c r="HT2" s="44" t="str" cm="1">
        <f t="array" ref="HT2">IF(_xlfn.TEXTJOIN(", ", TRUE, IF(ISNUMBER(SEARCH("YEL", BL2:BT2)), COLUMN(BL2:BT2) - COLUMN(BL2) + 1, ""))&lt;&gt;"","YEL","")</f>
        <v>YEL</v>
      </c>
      <c r="HU2" s="44" t="str" cm="1">
        <f t="array" ref="HU2">IF(_xlfn.TEXTJOIN(", ", TRUE, IF(ISNUMBER(SEARCH("ORA", BL2:BT2)), COLUMN(BL2:BT2) - COLUMN(BL2) + 1, ""))&lt;&gt;"","ORA","")</f>
        <v/>
      </c>
      <c r="HV2" s="44" t="str" cm="1">
        <f t="array" ref="HV2">IF(_xlfn.TEXTJOIN(", ", TRUE, IF(ISNUMBER(SEARCH("BRO", BL2:BT2)), COLUMN(BL2:BT2) - COLUMN(BL2) + 1, ""))&lt;&gt;"","BRO","")</f>
        <v/>
      </c>
      <c r="HW2" s="44" t="str" cm="1">
        <f t="array" ref="HW2">IF(_xlfn.TEXTJOIN(", ", TRUE, IF(ISNUMBER(SEARCH("PUR", BL2:BT2)), COLUMN(BL2:BT2) - COLUMN(BL2) + 1, ""))&lt;&gt;"","PUR","")</f>
        <v/>
      </c>
      <c r="HX2" s="44" t="str" cm="1">
        <f t="array" ref="HX2">IF(_xlfn.TEXTJOIN(", ", TRUE, IF(ISNUMBER(SEARCH("WHI", BL2:BT2)), COLUMN(BL2:BT2) - COLUMN(BL2) + 1, ""))&lt;&gt;"","WHI","")</f>
        <v>WHI</v>
      </c>
      <c r="HY2" s="72"/>
      <c r="HZ2" s="72"/>
      <c r="IA2" s="5" t="s">
        <v>166</v>
      </c>
      <c r="IB2" s="5" t="s">
        <v>166</v>
      </c>
      <c r="IC2" s="68"/>
      <c r="ID2" s="68"/>
      <c r="IE2" s="68"/>
      <c r="IF2" s="68"/>
      <c r="IG2" s="68"/>
      <c r="IH2" s="68"/>
      <c r="II2" s="68"/>
      <c r="IJ2" s="68"/>
      <c r="IK2" s="68"/>
      <c r="IL2" s="44">
        <f>SUM(IC2:IK2)</f>
        <v>0</v>
      </c>
      <c r="IM2" s="42">
        <f>COUNTIF(IC2:IK2,"&gt;0")-CG2</f>
        <v>-4</v>
      </c>
      <c r="IN2" s="69" t="str">
        <f>"http://mkweb.bcgsc.ca/color-summarizer/?url="&amp;D2&amp;"&amp;precision=low&amp;num_clusters="&amp;CG2&amp;"&amp;text=1"</f>
        <v>http://mkweb.bcgsc.ca/color-summarizer/?url=https://upload.wikimedia.org/wikipedia/commons/thumb/0/01/Flag_of_Niue.svg/300px-Flag_of_Niue.svg.png&amp;precision=low&amp;num_clusters=4&amp;text=1</v>
      </c>
      <c r="IO2" s="44" t="str">
        <f>IF(HP2&lt;&gt;"",CHAR(34)&amp;"black"&amp;CHAR(34),"")</f>
        <v/>
      </c>
      <c r="IP2" s="44" t="str">
        <f>IF(HQ2&lt;&gt;"",CHAR(34)&amp;"blue"&amp;CHAR(34),"")</f>
        <v>"blue"</v>
      </c>
      <c r="IQ2" s="44" t="str">
        <f>IF(HR2&lt;&gt;"",CHAR(34)&amp;"green"&amp;CHAR(34),"")</f>
        <v/>
      </c>
      <c r="IR2" s="44" t="str">
        <f>IF(HS2&lt;&gt;"",CHAR(34)&amp;"red"&amp;CHAR(34),"")</f>
        <v>"red"</v>
      </c>
      <c r="IS2" s="44" t="str">
        <f>IF(HT2&lt;&gt;"",CHAR(34)&amp;"yellow"&amp;CHAR(34),"")</f>
        <v>"yellow"</v>
      </c>
      <c r="IT2" s="44" t="str">
        <f>IF(HU2&lt;&gt;"",CHAR(34)&amp;"orange"&amp;CHAR(34),"")</f>
        <v/>
      </c>
      <c r="IU2" s="44" t="str">
        <f>IF(HV2&lt;&gt;"",CHAR(34)&amp;"brown"&amp;CHAR(34),"")</f>
        <v/>
      </c>
      <c r="IV2" s="44" t="str">
        <f>IF(HW2&lt;&gt;"",CHAR(34)&amp;"purple"&amp;CHAR(34),"")</f>
        <v/>
      </c>
      <c r="IW2" s="44" t="str">
        <f>IF(HX2&lt;&gt;"",CHAR(34)&amp;"white"&amp;CHAR(34),"")</f>
        <v>"white"</v>
      </c>
      <c r="IX2" s="44" t="str">
        <f>"{"&amp;CHAR(34)&amp;"url"&amp;CHAR(34)&amp;":"&amp;CHAR(34)&amp;IN2&amp;CHAR(34)&amp;","&amp;CHAR(34)&amp;"name"&amp;CHAR(34)&amp;":"&amp;CHAR(34)&amp;A2&amp;CHAR(34)&amp;"},"</f>
        <v>{"url":"http://mkweb.bcgsc.ca/color-summarizer/?url=https://upload.wikimedia.org/wikipedia/commons/thumb/0/01/Flag_of_Niue.svg/300px-Flag_of_Niue.svg.png&amp;precision=low&amp;num_clusters=4&amp;text=1","name":"Niue"},</v>
      </c>
      <c r="IY2" s="44">
        <v>157</v>
      </c>
    </row>
    <row r="3" spans="1:259" s="44" customFormat="1" ht="38.4" customHeight="1" thickBot="1" x14ac:dyDescent="0.35">
      <c r="A3" s="80" t="s">
        <v>719</v>
      </c>
      <c r="B3" s="78" t="e" vm="65">
        <v>#VALUE!</v>
      </c>
      <c r="C3" s="39">
        <v>2</v>
      </c>
      <c r="D3" s="70" t="s">
        <v>720</v>
      </c>
      <c r="E3" s="40" t="s">
        <v>721</v>
      </c>
      <c r="F3" s="41" t="s">
        <v>647</v>
      </c>
      <c r="G3" s="42">
        <f>COUNTIF($A$1:$A$8250,A3)</f>
        <v>1</v>
      </c>
      <c r="H3" s="43"/>
      <c r="I3" s="59" t="s">
        <v>722</v>
      </c>
      <c r="J3" s="44" t="str">
        <f>""</f>
        <v/>
      </c>
      <c r="K3" s="45"/>
      <c r="L3" s="46"/>
      <c r="M3" s="46"/>
      <c r="N3" s="47" t="s">
        <v>177</v>
      </c>
      <c r="O3" s="74" t="s">
        <v>230</v>
      </c>
      <c r="P3" s="48" t="s">
        <v>723</v>
      </c>
      <c r="Q3" s="73">
        <v>1</v>
      </c>
      <c r="R3" s="49" t="s">
        <v>177</v>
      </c>
      <c r="S3" s="50">
        <v>3</v>
      </c>
      <c r="T3" s="51" t="s">
        <v>166</v>
      </c>
      <c r="U3" s="52" t="s">
        <v>166</v>
      </c>
      <c r="V3" s="52" t="s">
        <v>167</v>
      </c>
      <c r="W3" s="52" t="s">
        <v>166</v>
      </c>
      <c r="X3" s="52" t="s">
        <v>167</v>
      </c>
      <c r="Y3" s="52" t="s">
        <v>166</v>
      </c>
      <c r="Z3" s="52" t="s">
        <v>166</v>
      </c>
      <c r="AA3" s="52" t="s">
        <v>166</v>
      </c>
      <c r="AB3" s="52" t="s">
        <v>166</v>
      </c>
      <c r="AC3" s="52" t="s">
        <v>166</v>
      </c>
      <c r="AD3" s="52" t="s">
        <v>166</v>
      </c>
      <c r="AE3" s="52" t="s">
        <v>166</v>
      </c>
      <c r="AF3" s="53" t="s">
        <v>166</v>
      </c>
      <c r="AG3" s="53" t="s">
        <v>166</v>
      </c>
      <c r="AH3" s="53" t="s">
        <v>167</v>
      </c>
      <c r="AI3" s="53" t="s">
        <v>166</v>
      </c>
      <c r="AJ3" s="53" t="s">
        <v>166</v>
      </c>
      <c r="AK3" s="53" t="s">
        <v>166</v>
      </c>
      <c r="AL3" s="53" t="s">
        <v>166</v>
      </c>
      <c r="AM3" s="53" t="s">
        <v>166</v>
      </c>
      <c r="AN3" s="53" t="s">
        <v>166</v>
      </c>
      <c r="AO3" s="53" t="s">
        <v>166</v>
      </c>
      <c r="AP3" s="53" t="s">
        <v>166</v>
      </c>
      <c r="AQ3" s="53" t="s">
        <v>166</v>
      </c>
      <c r="AR3" s="53" t="s">
        <v>166</v>
      </c>
      <c r="AS3" s="53" t="s">
        <v>166</v>
      </c>
      <c r="AT3" s="54">
        <v>3</v>
      </c>
      <c r="AU3" s="53" t="s">
        <v>724</v>
      </c>
      <c r="AV3" s="53" t="str">
        <f>IF(LEFT(A3,1)="[",LEFT(A3,5)&amp;AU3&amp;A3,"")</f>
        <v>[NIU]Village[NIU] Hakupu</v>
      </c>
      <c r="AW3" s="53" t="str">
        <f>C3&amp;H3&amp;A3</f>
        <v>2[NIU] Hakupu</v>
      </c>
      <c r="AX3" s="55"/>
      <c r="AY3" s="55"/>
      <c r="AZ3" s="56" t="s">
        <v>153</v>
      </c>
      <c r="BA3" s="56"/>
      <c r="BB3" s="56"/>
      <c r="BC3" s="57"/>
      <c r="BD3" s="58" t="s">
        <v>161</v>
      </c>
      <c r="BE3" s="59"/>
      <c r="BF3" s="58" t="s">
        <v>161</v>
      </c>
      <c r="BG3" s="58" t="s">
        <v>153</v>
      </c>
      <c r="BH3" s="58" t="s">
        <v>161</v>
      </c>
      <c r="BI3" s="58"/>
      <c r="BJ3" s="58"/>
      <c r="BK3" s="59"/>
      <c r="BL3" s="58" t="s">
        <v>161</v>
      </c>
      <c r="BM3" s="58" t="s">
        <v>153</v>
      </c>
      <c r="BN3" s="58"/>
      <c r="BO3" s="58"/>
      <c r="BP3" s="58"/>
      <c r="BQ3" s="58"/>
      <c r="BR3" s="58"/>
      <c r="BS3" s="58"/>
      <c r="BT3" s="58"/>
      <c r="BU3" s="60"/>
      <c r="BV3" s="61"/>
      <c r="BW3" s="61">
        <v>0</v>
      </c>
      <c r="BX3" s="59"/>
      <c r="CB3" s="5"/>
      <c r="CC3" s="5"/>
      <c r="CD3" s="62">
        <v>0</v>
      </c>
      <c r="CE3" s="62">
        <v>0</v>
      </c>
      <c r="CF3" s="62" t="e">
        <v>#REF!</v>
      </c>
      <c r="CG3" s="75" cm="1">
        <f t="array" ref="CG3">SUMPRODUCT(--(LEN(TRIM(BL3:BT3))&gt;0))</f>
        <v>2</v>
      </c>
      <c r="CH3" s="53" t="str">
        <f>IF(CG3=2,"y","n")</f>
        <v>y</v>
      </c>
      <c r="CI3" s="53" t="str">
        <f>IF(CG3=3,"y","n")</f>
        <v>n</v>
      </c>
      <c r="CJ3" s="53" t="str">
        <f>IF(CG3=4,"y","n")</f>
        <v>n</v>
      </c>
      <c r="CK3" s="53" t="str">
        <f>IF(CG3&gt;4,"y","n")</f>
        <v>n</v>
      </c>
      <c r="CL3" s="53" t="str">
        <f>IF(S3=0,"y","n")</f>
        <v>n</v>
      </c>
      <c r="CM3" s="53" t="str">
        <f>IF(S3=2,"y","n")</f>
        <v>n</v>
      </c>
      <c r="CN3" s="53" t="str">
        <f>IF(S3=3,"y","n")</f>
        <v>y</v>
      </c>
      <c r="CO3" s="53" t="str">
        <f>IF(S3&gt;=4,"y","n")</f>
        <v>n</v>
      </c>
      <c r="CP3" s="53" t="str">
        <f>IF(AT3=0,"y","n")</f>
        <v>n</v>
      </c>
      <c r="CQ3" s="53" t="str">
        <f>IF(AT3=1,"y","n")</f>
        <v>n</v>
      </c>
      <c r="CR3" s="53" t="str">
        <f>IF(AT3=2,"y","n")</f>
        <v>n</v>
      </c>
      <c r="CS3" s="53" t="str">
        <f>IF(AT3&gt;=3,"y","n")</f>
        <v>y</v>
      </c>
      <c r="CT3" s="38" t="str">
        <f>CHAR(34)&amp;A3&amp;CHAR(34)</f>
        <v>"[NIU] Hakupu"</v>
      </c>
      <c r="CU3" s="63" t="str">
        <f>CHAR(34)&amp;"rgn_"&amp;R3&amp;CHAR(34)</f>
        <v>"rgn_Oceania"</v>
      </c>
      <c r="CV3" s="44" t="str">
        <f>CHAR(34)&amp;D3&amp;CHAR(34)</f>
        <v>"https://upload.wikimedia.org/wikipedia/commons/thumb/4/42/Flag_of_Hakupu%2C_Niue.svg/640px-Flag_of_Hakupu%2C_Niue.svg.png"</v>
      </c>
      <c r="CW3" s="44" t="str">
        <f t="shared" si="0"/>
        <v>"2Color",</v>
      </c>
      <c r="CX3" s="44" t="str">
        <f t="shared" si="0"/>
        <v/>
      </c>
      <c r="CY3" s="44" t="str">
        <f t="shared" si="0"/>
        <v/>
      </c>
      <c r="CZ3" s="44" t="str">
        <f t="shared" si="0"/>
        <v/>
      </c>
      <c r="DA3" s="44" t="str">
        <f>IF(Q3&gt;1,CHAR(34)&amp;"words2"&amp;CHAR(34)&amp;",","")</f>
        <v/>
      </c>
      <c r="DB3" s="44" t="str">
        <f>IF(Q3&gt;2,CHAR(34)&amp;"words3"&amp;CHAR(34)&amp;",","")</f>
        <v/>
      </c>
      <c r="DD3" s="44"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"lets06",</v>
      </c>
      <c r="DE3" s="44" t="str">
        <f>CHAR(34)&amp;"start"&amp;IFERROR(LEFT(SUBSTITUTE(A3,"["&amp;MID(A3,FIND("[",A3)+1,FIND("]",A3)-FIND("[",A3)-1)&amp;"] ",""),1),LEFT(A3,1))&amp;CHAR(34)&amp;","</f>
        <v>"startH",</v>
      </c>
      <c r="DF3" s="44" t="str">
        <f>IFERROR(IF(SEARCH("tan",A3)&gt;0,CHAR(34)&amp;"withtn"&amp;CHAR(34)&amp;",",""),"")</f>
        <v/>
      </c>
      <c r="DG3" s="44" t="str">
        <f>IFERROR(IF(SEARCH("q",A3)&gt;0,CHAR(34)&amp;"with_q"&amp;CHAR(34)&amp;",",""),"")</f>
        <v/>
      </c>
      <c r="DH3" s="44" t="str">
        <f>IFERROR(IF(SEARCH("v",A3)&gt;0,CHAR(34)&amp;"with_v"&amp;CHAR(34)&amp;",",""),"")</f>
        <v/>
      </c>
      <c r="DI3" s="44" t="str">
        <f>IFERROR(IF(SEARCH("w",A3)&gt;0,CHAR(34)&amp;"with_w"&amp;CHAR(34)&amp;",",""),"")</f>
        <v/>
      </c>
      <c r="DJ3" s="44" t="str">
        <f>IFERROR(IF(SEARCH("y",A3)&gt;0,CHAR(34)&amp;"with_y"&amp;CHAR(34)&amp;",",""),"")</f>
        <v/>
      </c>
      <c r="DK3" s="44" t="str">
        <f>IFERROR(IF(SEARCH("z",A3)&gt;0,CHAR(34)&amp;"with_z"&amp;CHAR(34)&amp;",",""),"")</f>
        <v/>
      </c>
      <c r="DL3" s="44" t="str">
        <f>IF(CG3=2, CHAR(34) &amp; _xlfn.TEXTJOIN("", TRUE, _xlfn._xlws.SORT(HP3:HX3)) &amp; CHAR(34) &amp; ",", "")</f>
        <v>"BLAWHI",</v>
      </c>
      <c r="DM3" s="44" t="str" cm="1">
        <f t="array" ref="DM3">IF(CG3=3,CHAR(34) &amp; _xlfn.TEXTJOIN("", TRUE, RIGHT(HP3:HX3, 2)) &amp; CHAR(34) &amp; ",", "")</f>
        <v/>
      </c>
      <c r="DN3" s="44" t="str">
        <f>IF(AND(ISNUMBER(SEARCH("18", O3)), ISERROR(SEARCH("1918", O3)), ISERROR(SEARCH("2018", O3))), CHAR(34) &amp; "year18" &amp; CHAR(34) &amp; ",", "")</f>
        <v/>
      </c>
      <c r="DO3" s="44" t="str">
        <f>IF(AND(ISNUMBER(SEARCH("19", O3)), ISERROR(SEARCH("1819", O3)),  ISERROR(SEARCH("1219", O3)),ISERROR(SEARCH("1119", O3)),ISERROR(SEARCH("1190", O3)),ISERROR(SEARCH("2019", O3))), CHAR(34) &amp; "year19" &amp; CHAR(34) &amp; ",", "")</f>
        <v/>
      </c>
      <c r="DP3" s="5" t="str">
        <f>IF(AND(ISNUMBER(SEARCH("20", O3)), ISERROR(SEARCH("1920", O3))), CHAR(34)&amp;"year00"&amp;CHAR(34)&amp;",", "")</f>
        <v/>
      </c>
      <c r="DQ3" s="5" t="str">
        <f>IF(CC3="y",CHAR(34)&amp;"soviet"&amp;CHAR(34)&amp;",","")</f>
        <v/>
      </c>
      <c r="DR3" s="5" t="str">
        <f>IF(BY3="y",CHAR(34)&amp;"dgband"&amp;CHAR(34)&amp;",","")</f>
        <v/>
      </c>
      <c r="DS3" s="5" t="str">
        <f>IF(W3="y",IF(AND(V3="n",BY3&lt;&gt;"y"),CHAR(34)&amp;"allver"&amp;CHAR(34)&amp;",",""),"")</f>
        <v/>
      </c>
      <c r="DT3" s="5" t="str">
        <f>IF(V3="y",IF(AND(W3="n",BY3&lt;&gt;"y"),CHAR(34)&amp;"allhor"&amp;CHAR(34)&amp;",",""),"")</f>
        <v>"allhor",</v>
      </c>
      <c r="DU3" s="5" t="str">
        <f>IF(BY3="y",IF(AND(W3="n",V3="n"),CHAR(34)&amp;"alldia"&amp;CHAR(34)&amp;",",""),"")</f>
        <v/>
      </c>
      <c r="DW3" s="44" t="str">
        <f t="shared" si="1"/>
        <v/>
      </c>
      <c r="DX3" s="44" t="str">
        <f t="shared" si="1"/>
        <v/>
      </c>
      <c r="DY3" s="44" t="str">
        <f t="shared" si="1"/>
        <v>"3Bands",</v>
      </c>
      <c r="DZ3" s="44" t="str">
        <f t="shared" si="1"/>
        <v/>
      </c>
      <c r="EA3" s="44" t="str">
        <f t="shared" si="2"/>
        <v/>
      </c>
      <c r="EB3" s="44" t="str">
        <f t="shared" si="2"/>
        <v/>
      </c>
      <c r="EC3" s="44" t="str">
        <f t="shared" si="2"/>
        <v>"Horizo",</v>
      </c>
      <c r="ED3" s="44" t="str">
        <f t="shared" si="2"/>
        <v/>
      </c>
      <c r="EE3" s="44" t="str">
        <f t="shared" si="2"/>
        <v>"Circle",</v>
      </c>
      <c r="EF3" s="44" t="str">
        <f>IF(AND(Y3&lt;&gt;"n",Y3&lt;&gt;""),CHAR(34)&amp;Y$1&amp;CHAR(34)&amp;",","")</f>
        <v/>
      </c>
      <c r="EG3" s="44" t="str">
        <f t="shared" si="3"/>
        <v/>
      </c>
      <c r="EH3" s="44" t="str">
        <f t="shared" si="3"/>
        <v/>
      </c>
      <c r="EI3" s="44" t="str">
        <f t="shared" si="3"/>
        <v/>
      </c>
      <c r="EJ3" s="44" t="str">
        <f t="shared" si="3"/>
        <v/>
      </c>
      <c r="EK3" s="44" t="str">
        <f t="shared" si="3"/>
        <v/>
      </c>
      <c r="EL3" s="44" t="str">
        <f t="shared" si="3"/>
        <v/>
      </c>
      <c r="EM3" s="44" t="str">
        <f t="shared" si="3"/>
        <v/>
      </c>
      <c r="EN3" s="44" t="str">
        <f t="shared" si="3"/>
        <v/>
      </c>
      <c r="EO3" s="44" t="str">
        <f t="shared" si="3"/>
        <v>"Center",</v>
      </c>
      <c r="EP3" s="44" t="str">
        <f t="shared" si="3"/>
        <v/>
      </c>
      <c r="EQ3" s="44" t="str">
        <f t="shared" si="4"/>
        <v/>
      </c>
      <c r="ER3" s="44" t="str">
        <f t="shared" si="4"/>
        <v/>
      </c>
      <c r="ES3" s="44" t="str">
        <f t="shared" si="4"/>
        <v/>
      </c>
      <c r="ET3" s="44" t="str">
        <f t="shared" si="4"/>
        <v/>
      </c>
      <c r="EU3" s="44" t="str">
        <f t="shared" si="4"/>
        <v/>
      </c>
      <c r="EV3" s="44" t="str">
        <f t="shared" si="4"/>
        <v/>
      </c>
      <c r="EW3" s="44" t="str">
        <f t="shared" si="4"/>
        <v/>
      </c>
      <c r="EX3" s="44" t="str">
        <f t="shared" si="4"/>
        <v/>
      </c>
      <c r="EY3" s="44" t="str">
        <f t="shared" si="4"/>
        <v/>
      </c>
      <c r="EZ3" s="44" t="str">
        <f t="shared" si="4"/>
        <v/>
      </c>
      <c r="FA3" s="44" t="str">
        <f>IF(AT3&gt;0,CHAR(34)&amp;"sta"&amp;AZ3&amp;CHAR(34)&amp;",","")</f>
        <v>"staBLA",</v>
      </c>
      <c r="FB3" s="44" t="str">
        <f>IF(AND(AT3&gt;0,BA3&lt;&gt;""),CHAR(34)&amp;"sta"&amp;BA3&amp;CHAR(34)&amp;",","")</f>
        <v/>
      </c>
      <c r="FD3" s="44" t="str">
        <f>IF(BV3="n",CHAR(34)&amp;"tcWHYE"&amp;CHAR(34)&amp;",",IF(BV3="y",CHAR(34)&amp;FD$1&amp;CHAR(34)&amp;",",""))</f>
        <v/>
      </c>
      <c r="FE3" s="44" t="str">
        <f>IF(COUNTIF(BL3:BT3,"BLU")=0,CHAR(34)&amp;"NO_BLU"&amp;CHAR(34)&amp;",", "")</f>
        <v>"NO_BLU",</v>
      </c>
      <c r="FF3" s="44" t="str">
        <f>IF(COUNTIF(BL3:BT3,"WHI")=0,CHAR(34)&amp;"NO_WHI"&amp;CHAR(34)&amp;",", "")</f>
        <v/>
      </c>
      <c r="FG3" s="44" t="str">
        <f>IF(COUNTIF(BL3:BT3,"RED")=0,CHAR(34)&amp;"NO_RED"&amp;CHAR(34)&amp;",", "")</f>
        <v>"NO_RED",</v>
      </c>
      <c r="FH3" s="44" t="str">
        <f>IF(COUNTIF(BL3:BS3,"GRE")=0,CHAR(34)&amp;"NO_GRE"&amp;CHAR(34)&amp;",", "")</f>
        <v>"NO_GRE",</v>
      </c>
      <c r="FI3" s="44" t="str">
        <f>IF(COUNTIF(BL3:BT3,"YEL")=0,CHAR(34)&amp;"NO_YEL"&amp;CHAR(34)&amp;",", "")</f>
        <v>"NO_YEL",</v>
      </c>
      <c r="FJ3" s="44" t="str">
        <f>IF(COUNTIF(BL3:BT3,"BLA")=0,CHAR(34)&amp;"NO_BLA"&amp;CHAR(34)&amp;",", "")</f>
        <v/>
      </c>
      <c r="FK3" s="44" t="str">
        <f>IF(AND(FH3&lt;&gt;"",FF3&lt;&gt;""),CHAR(34)&amp;"WHGRNO"&amp;CHAR(34)&amp;",","")</f>
        <v/>
      </c>
      <c r="FL3" s="44" t="str">
        <f>IF(AND(FI3&lt;&gt;"",FF3&lt;&gt;""),CHAR(34)&amp;"WHYENO"&amp;CHAR(34)&amp;",","")</f>
        <v/>
      </c>
      <c r="FM3" s="44" t="str">
        <f>IF(AND(FJ3&lt;&gt;"",FF3&lt;&gt;""),CHAR(34)&amp;"BAWHNO"&amp;CHAR(34)&amp;",","")</f>
        <v/>
      </c>
      <c r="FN3" s="44" t="str">
        <f>IF(AND(FE3&lt;&gt;"",FF3&lt;&gt;""),CHAR(34)&amp;"BLWHNO"&amp;CHAR(34)&amp;",","")</f>
        <v/>
      </c>
      <c r="FO3" s="44" t="str">
        <f>IF(AND(FE3&lt;&gt;"",FG3&lt;&gt;""),CHAR(34)&amp;"BLRENO"&amp;CHAR(34)&amp;",","")</f>
        <v>"BLRENO",</v>
      </c>
      <c r="FP3" s="44" t="str">
        <f>IF(AND(FF3&lt;&gt;"",FF3&lt;&gt;""),CHAR(34)&amp;"WHRENO"&amp;CHAR(34)&amp;",","")</f>
        <v/>
      </c>
      <c r="FQ3" s="44" t="str">
        <f>IF(LEN(BF3)=3,CHAR(34)&amp;"001"&amp;BF3&amp;CHAR(34)&amp;",","")</f>
        <v>"001WHI",</v>
      </c>
      <c r="FR3" s="44" t="str">
        <f>IF(LEN(BG3)=3,CHAR(34)&amp;"002"&amp;BG3&amp;CHAR(34)&amp;",","")</f>
        <v>"002BLA",</v>
      </c>
      <c r="FS3" s="44" t="str">
        <f>IF(LEN(BH3)=3,CHAR(34)&amp;"003"&amp;BH3&amp;CHAR(34)&amp;",","")</f>
        <v>"003WHI",</v>
      </c>
      <c r="FT3" s="44" t="str">
        <f>CHAR(34)&amp;"myr"&amp;BD3&amp;CHAR(34)&amp;","</f>
        <v>"myrWHI",</v>
      </c>
      <c r="FU3" s="44" t="str">
        <f>IF(AY3="y",CHAR(34)&amp;"island"&amp;CHAR(34)&amp;",","")</f>
        <v/>
      </c>
      <c r="FV3" s="44" t="str">
        <f>IF(BZ3="y",CHAR(34)&amp;"landlo"&amp;CHAR(34)&amp;",","")</f>
        <v/>
      </c>
      <c r="FW3" s="44" t="str">
        <f>IF(CA3="y",CHAR(34)&amp;"eunion"&amp;CHAR(34)&amp;",","")</f>
        <v/>
      </c>
      <c r="FY3" s="44" t="str">
        <f>IFERROR(IF(SEARCH("Arabic",CB3)&gt;0,CHAR(34)&amp;"arabic"&amp;CHAR(34)&amp;",",""),"")</f>
        <v/>
      </c>
      <c r="FZ3" s="44" t="str">
        <f>IFERROR(IF(SEARCH("English",CB3)&gt;0,CHAR(34)&amp;"englis"&amp;CHAR(34)&amp;",",""),"")</f>
        <v/>
      </c>
      <c r="GA3" s="44" t="str">
        <f>IFERROR(IF(SEARCH("French",CB3)&gt;0,CHAR(34)&amp;"french"&amp;CHAR(34)&amp;",",""),"")</f>
        <v/>
      </c>
      <c r="GB3" s="44" t="str">
        <f>IFERROR(IF(SEARCH("Spanish",CB3)&gt;0,CHAR(34)&amp;"spanis"&amp;CHAR(34)&amp;",",""),"")</f>
        <v/>
      </c>
      <c r="GE3" s="44" t="str">
        <f>IFERROR(IF(SEARCH("Dutch",CB3)&gt;0,CHAR(34)&amp;"dutchs"&amp;CHAR(34)&amp;",",""),"")</f>
        <v/>
      </c>
      <c r="GF3" s="44" t="str">
        <f>IFERROR(IF(SEARCH("Historical",AU3)&gt;0,CHAR(34)&amp;"histor"&amp;CHAR(34)&amp;",",""),"")</f>
        <v/>
      </c>
      <c r="GG3" s="44" t="str">
        <f>IF(BU3="y",CHAR(34)&amp;"unjack"&amp;CHAR(34)&amp;",","")</f>
        <v/>
      </c>
      <c r="GH3" s="44" t="str">
        <f>IF(CD3=1,CHAR(34)&amp;"southc"&amp;CHAR(34)&amp;",","")</f>
        <v/>
      </c>
      <c r="GI3" s="44" t="str">
        <f>IF(CE3=1,CHAR(34)&amp;"hasmap"&amp;CHAR(34)&amp;",","")</f>
        <v/>
      </c>
      <c r="GJ3" s="44" t="str">
        <f>IF(CP3="y",CHAR(34)&amp;CP$1&amp;CHAR(34)&amp;",","")</f>
        <v/>
      </c>
      <c r="GK3" s="44" t="str">
        <f>IF(GJ3="",CHAR(34)&amp;"HasSta"&amp;CHAR(34)&amp;",","")</f>
        <v>"HasSta",</v>
      </c>
      <c r="GL3" s="44" t="str">
        <f t="shared" si="5"/>
        <v/>
      </c>
      <c r="GM3" s="44" t="str">
        <f t="shared" si="5"/>
        <v/>
      </c>
      <c r="GN3" s="44" t="str">
        <f t="shared" si="5"/>
        <v>"3+Star",</v>
      </c>
      <c r="GP3" s="44" t="str">
        <f>CHAR(34)&amp;AU3&amp;CHAR(34)</f>
        <v>"Village"</v>
      </c>
      <c r="GS3" s="44" t="str">
        <f>SUBSTITUTE("["&amp;_xlfn.CONCAT(CW3:GN3)&amp;"]",",]","]")</f>
        <v>["2Color","lets06","startH","BLAWHI","allhor","3Bands","Horizo","Circle","Center","staBLA","NO_BLU","NO_RED","NO_GRE","NO_YEL","BLRENO","001WHI","002BLA","003WHI","myrWHI","HasSta","3+Star"]</v>
      </c>
      <c r="GT3" s="44" t="str">
        <f t="shared" si="6"/>
        <v>"cl_WHI",</v>
      </c>
      <c r="GU3" s="44" t="str">
        <f t="shared" si="6"/>
        <v>"cl_BLA",</v>
      </c>
      <c r="GV3" s="44" t="str">
        <f t="shared" si="6"/>
        <v/>
      </c>
      <c r="GW3" s="44" t="str">
        <f t="shared" si="6"/>
        <v/>
      </c>
      <c r="GX3" s="44" t="str">
        <f t="shared" si="6"/>
        <v/>
      </c>
      <c r="GY3" s="44" t="str">
        <f t="shared" si="6"/>
        <v/>
      </c>
      <c r="GZ3" s="44" t="str">
        <f t="shared" si="6"/>
        <v/>
      </c>
      <c r="HA3" s="44" t="str">
        <f t="shared" si="6"/>
        <v/>
      </c>
      <c r="HB3" s="44" t="str">
        <f t="shared" si="6"/>
        <v/>
      </c>
      <c r="HC3" s="44" t="str">
        <f>SUBSTITUTE("["&amp;_xlfn.CONCAT(GT3:HB3)&amp;"]",",]","]")</f>
        <v>["cl_WHI","cl_BLA"]</v>
      </c>
      <c r="HE3" s="64"/>
      <c r="HF3" s="65" t="str">
        <f>"{couname:"&amp;CT3&amp;(IF(HK3&lt;&gt;"",",subtype:"&amp;CHAR(34)&amp;HK3&amp;CHAR(34),""))&amp;",year:"&amp;HJ3&amp;",region:"&amp;CU3&amp;",Colors:"&amp;HC3&amp;",Items:"&amp;GS3&amp;",Flag:"&amp;CV3&amp;",HDFlag:"&amp;CHAR(34)&amp;E3&amp;CHAR(34)&amp;",type:"&amp;GP3&amp;", describe: "&amp;HH3&amp;", isnew:"&amp;CHAR(34)&amp;F3&amp;CHAR(34)&amp;", links: "&amp;HL3&amp;"},"</f>
        <v>{couname:"[NIU] Hakupu",year:"???",region:"rgn_Oceania",Colors:["cl_WHI","cl_BLA"],Items:["2Color","lets06","startH","BLAWHI","allhor","3Bands","Horizo","Circle","Center","staBLA","NO_BLU","NO_RED","NO_GRE","NO_YEL","BLRENO","001WHI","002BLA","003WHI","myrWHI","HasSta","3+Star"],Flag:"https://upload.wikimedia.org/wikipedia/commons/thumb/4/42/Flag_of_Hakupu%2C_Niue.svg/640px-Flag_of_Hakupu%2C_Niue.svg.png",HDFlag:"https://upload.wikimedia.org/wikipedia/commons/thumb/4/42/Flag_of_Hakupu%2C_Niue.svg/2560px-Flag_of_Hakupu%2C_Niue.svg.png",type:"Village", describe: "\nThe flag design consist of a black stripe running through a circle with 3 black stars inside of it. The Circle symbolizes the unity of the Hakupu village people and also coincides with the tradition village song “KA HOKO MAI A KOE KI FUAI” in which the verse sounds …kua fakaveliveli, tuga ni e mahina… The 3 stars represents the people of Hakupu by the Past, Present and the Future. The 3 stars also corresponds to the 3 main entrances to the village namely: Malakava, Manunu and Mati. The white stripes in which the black stripe runs through signifies how the village is bounded spiritually in their everyday lives and everything they stand for.", isnew:"www", links: "https://www.fotw.info/flags/nu-hak.html"},</v>
      </c>
      <c r="HG3" s="66" t="str">
        <f>"{couname:"&amp;CT3&amp;(IF(HK3&lt;&gt;"",",subtype:"&amp;CHAR(34)&amp;HK3&amp;CHAR(34),""))&amp;",year:"&amp;HJ3&amp;",region:"&amp;CU3&amp;",Colors:"&amp;HC3&amp;",Items:"&amp;GS3&amp;",Flag:"&amp;CV3&amp;",HDFlag:"&amp;CHAR(34)&amp;E3&amp;CHAR(34)&amp;",type:"&amp;GP3&amp;", describe: "&amp;HI3&amp;", links: "&amp;HL3&amp;"},"</f>
        <v>{couname:"[NIU] Hakupu",year:"???",region:"rgn_Oceania",Colors:["cl_WHI","cl_BLA"],Items:["2Color","lets06","startH","BLAWHI","allhor","3Bands","Horizo","Circle","Center","staBLA","NO_BLU","NO_RED","NO_GRE","NO_YEL","BLRENO","001WHI","002BLA","003WHI","myrWHI","HasSta","3+Star"],Flag:"https://upload.wikimedia.org/wikipedia/commons/thumb/4/42/Flag_of_Hakupu%2C_Niue.svg/640px-Flag_of_Hakupu%2C_Niue.svg.png",HDFlag:"https://upload.wikimedia.org/wikipedia/commons/thumb/4/42/Flag_of_Hakupu%2C_Niue.svg/2560px-Flag_of_Hakupu%2C_Niue.svg.png",type:"Village", describe: "\nThe flag design consist of a black stripe running through a circle with 3 black stars inside of it. The Circle symbolizes the unity of the Hakupu village people and also coincides with the tradition village song “KA HOKO MAI A KOE KI FUAI” in which the verse sounds …kua fakaveliveli, tuga ni e mahina… The 3 stars represents the people of Hakupu by the Past, Present and the Future. The 3 stars also corresponds to the 3 main entrances to the village namely: Malakava, Manunu and Mati. The white stripes in which the black stripe runs through signifies how the village is bounded spiritually in their everyday lives and everything they stand for.", links: "https://www.fotw.info/flags/nu-hak.html"},</v>
      </c>
      <c r="HH3" s="44" t="str">
        <f>IF(P3&lt;&gt;"",CHAR(34)&amp;"\n"&amp;P3&amp;CHAR(34),CHAR(34)&amp;CHAR(34))</f>
        <v>"\nThe flag design consist of a black stripe running through a circle with 3 black stars inside of it. The Circle symbolizes the unity of the Hakupu village people and also coincides with the tradition village song “KA HOKO MAI A KOE KI FUAI” in which the verse sounds …kua fakaveliveli, tuga ni e mahina… The 3 stars represents the people of Hakupu by the Past, Present and the Future. The 3 stars also corresponds to the 3 main entrances to the village namely: Malakava, Manunu and Mati. The white stripes in which the black stripe runs through signifies how the village is bounded spiritually in their everyday lives and everything they stand for."</v>
      </c>
      <c r="HI3" s="44" t="str">
        <f>IF(J3=0,CHAR(34)&amp;CHAR(34),HH3)</f>
        <v>"\nThe flag design consist of a black stripe running through a circle with 3 black stars inside of it. The Circle symbolizes the unity of the Hakupu village people and also coincides with the tradition village song “KA HOKO MAI A KOE KI FUAI” in which the verse sounds …kua fakaveliveli, tuga ni e mahina… The 3 stars represents the people of Hakupu by the Past, Present and the Future. The 3 stars also corresponds to the 3 main entrances to the village namely: Malakava, Manunu and Mati. The white stripes in which the black stripe runs through signifies how the village is bounded spiritually in their everyday lives and everything they stand for."</v>
      </c>
      <c r="HJ3" s="44" t="str">
        <f>CHAR(34)&amp;O3&amp;CHAR(34)</f>
        <v>"???"</v>
      </c>
      <c r="HL3" s="44" t="str">
        <f>CHAR(34)&amp;I3&amp;CHAR(34)</f>
        <v>"https://www.fotw.info/flags/nu-hak.html"</v>
      </c>
      <c r="HM3" s="65"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{"couname":"[NIU] Hakupu","year":"???","region":"rgn_Oceania","Colors":["cl_WHI","cl_BLA"],"Items":["2Color","lets06","startH","BLAWHI","allhor","3Bands","Horizo","Circle","Center","staBLA","NO_BLU","NO_RED","NO_GRE","NO_YEL","BLRENO","001WHI","002BLA","003WHI","myrWHI","HasSta","3+Star"],"Flag":"https://upload.wikimedia.org/wikipedia/commons/thumb/4/42/Flag_of_Hakupu%2C_Niue.svg/640px-Flag_of_Hakupu%2C_Niue.svg.png","HDFlag":"https://upload.wikimedia.org/wikipedia/commons/thumb/4/42/Flag_of_Hakupu%2C_Niue.svg/2560px-Flag_of_Hakupu%2C_Niue.svg.png","type":"Village", "describe": "\nThe flag design consist of a black stripe running through a circle with 3 black stars inside of it. The Circle symbolizes the unity of the Hakupu village people and also coincides with the tradition village song “KA HOKO MAI A KOE KI FUAI” in which the verse sounds …kua fakaveliveli, tuga ni e mahina… The 3 stars represents the people of Hakupu by the Past, Present and the Future. The 3 stars also corresponds to the 3 main entrances to the village namely: Malakava, Manunu and Mati. The white stripes in which the black stripe runs through signifies how the village is bounded spiritually in their everyday lives and everything they stand for.", "isnew": "www", "links": "https://www.fotw.info/flags/nu-hak.html"},</v>
      </c>
      <c r="HN3" s="67"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{"couname":"[NIU] Hakupu","year":"???","region":"rgn_Oceania","Colors":["cl_WHI","cl_BLA"],"Items":["2Color","lets06","startH","BLAWHI","allhor","3Bands","Horizo","Circle","Center","staBLA","NO_BLU","NO_RED","NO_GRE","NO_YEL","BLRENO","001WHI","002BLA","003WHI","myrWHI","HasSta","3+Star"],"Flag":"https://upload.wikimedia.org/wikipedia/commons/thumb/4/42/Flag_of_Hakupu%2C_Niue.svg/640px-Flag_of_Hakupu%2C_Niue.svg.png","HDFlag":"https://upload.wikimedia.org/wikipedia/commons/thumb/4/42/Flag_of_Hakupu%2C_Niue.svg/2560px-Flag_of_Hakupu%2C_Niue.svg.png","type":"Village", "describe": "\nThe flag design consist of a black stripe running through a circle with 3 black stars inside of it. The Circle symbolizes the unity of the Hakupu village people and also coincides with the tradition village song “KA HOKO MAI A KOE KI FUAI” in which the verse sounds …kua fakaveliveli, tuga ni e mahina… The 3 stars represents the people of Hakupu by the Past, Present and the Future. The 3 stars also corresponds to the 3 main entrances to the village namely: Malakava, Manunu and Mati. The white stripes in which the black stripe runs through signifies how the village is bounded spiritually in their everyday lives and everything they stand for.", "isnew": "www", "links": "https://www.fotw.info/flags/nu-hak.html"},</v>
      </c>
      <c r="HO3" s="71">
        <v>45653</v>
      </c>
      <c r="HP3" s="44" t="str" cm="1">
        <f t="array" ref="HP3">IF(_xlfn.TEXTJOIN(", ", TRUE, IF(ISNUMBER(SEARCH("BLA", BL3:BT3)), COLUMN(BL3:BT3) - COLUMN(BL3) + 1, ""))&lt;&gt;"","BLA","")</f>
        <v>BLA</v>
      </c>
      <c r="HQ3" s="44" t="str" cm="1">
        <f t="array" ref="HQ3">IF(_xlfn.TEXTJOIN(", ", TRUE, IF(ISNUMBER(SEARCH("BLU", BL3:BT3)), COLUMN(BL3:BT3) - COLUMN(BL3) + 1, ""))&lt;&gt;"","BLU","")</f>
        <v/>
      </c>
      <c r="HR3" s="44" t="str" cm="1">
        <f t="array" ref="HR3">IF(_xlfn.TEXTJOIN(", ", TRUE, IF(ISNUMBER(SEARCH("GRE", BL3:BT3)), COLUMN(BL3:BT3) - COLUMN(BL3) + 1, ""))&lt;&gt;"","GRE","")</f>
        <v/>
      </c>
      <c r="HS3" s="44" t="str" cm="1">
        <f t="array" ref="HS3">IF(_xlfn.TEXTJOIN(", ", TRUE, IF(ISNUMBER(SEARCH("RED", BL3:BT3)), COLUMN(BL3:BT3) - COLUMN(BL3) + 1, ""))&lt;&gt;"","RED","")</f>
        <v/>
      </c>
      <c r="HT3" s="44" t="str" cm="1">
        <f t="array" ref="HT3">IF(_xlfn.TEXTJOIN(", ", TRUE, IF(ISNUMBER(SEARCH("YEL", BL3:BT3)), COLUMN(BL3:BT3) - COLUMN(BL3) + 1, ""))&lt;&gt;"","YEL","")</f>
        <v/>
      </c>
      <c r="HU3" s="44" t="str" cm="1">
        <f t="array" ref="HU3">IF(_xlfn.TEXTJOIN(", ", TRUE, IF(ISNUMBER(SEARCH("ORA", BL3:BT3)), COLUMN(BL3:BT3) - COLUMN(BL3) + 1, ""))&lt;&gt;"","ORA","")</f>
        <v/>
      </c>
      <c r="HV3" s="44" t="str" cm="1">
        <f t="array" ref="HV3">IF(_xlfn.TEXTJOIN(", ", TRUE, IF(ISNUMBER(SEARCH("BRO", BL3:BT3)), COLUMN(BL3:BT3) - COLUMN(BL3) + 1, ""))&lt;&gt;"","BRO","")</f>
        <v/>
      </c>
      <c r="HW3" s="44" t="str" cm="1">
        <f t="array" ref="HW3">IF(_xlfn.TEXTJOIN(", ", TRUE, IF(ISNUMBER(SEARCH("PUR", BL3:BT3)), COLUMN(BL3:BT3) - COLUMN(BL3) + 1, ""))&lt;&gt;"","PUR","")</f>
        <v/>
      </c>
      <c r="HX3" s="44" t="str" cm="1">
        <f t="array" ref="HX3">IF(_xlfn.TEXTJOIN(", ", TRUE, IF(ISNUMBER(SEARCH("WHI", BL3:BT3)), COLUMN(BL3:BT3) - COLUMN(BL3) + 1, ""))&lt;&gt;"","WHI","")</f>
        <v>WHI</v>
      </c>
      <c r="HY3" s="72"/>
      <c r="HZ3" s="72"/>
      <c r="IA3" s="5"/>
      <c r="IB3" s="5"/>
      <c r="IC3" s="68"/>
      <c r="ID3" s="68"/>
      <c r="IE3" s="68"/>
      <c r="IF3" s="68"/>
      <c r="IG3" s="68"/>
      <c r="IH3" s="68"/>
      <c r="II3" s="68"/>
      <c r="IJ3" s="68"/>
      <c r="IK3" s="68"/>
      <c r="IM3" s="42">
        <f>COUNTIF(IC3:IK3,"&gt;0")-CG3</f>
        <v>-2</v>
      </c>
      <c r="IN3" s="69" t="str">
        <f>"http://mkweb.bcgsc.ca/color-summarizer/?url="&amp;D3&amp;"&amp;precision=low&amp;num_clusters="&amp;CG3&amp;"&amp;text=1"</f>
        <v>http://mkweb.bcgsc.ca/color-summarizer/?url=https://upload.wikimedia.org/wikipedia/commons/thumb/4/42/Flag_of_Hakupu%2C_Niue.svg/640px-Flag_of_Hakupu%2C_Niue.svg.png&amp;precision=low&amp;num_clusters=2&amp;text=1</v>
      </c>
      <c r="IO3" s="44" t="str">
        <f>IF(HP3&lt;&gt;"",CHAR(34)&amp;"black"&amp;CHAR(34),"")</f>
        <v>"black"</v>
      </c>
      <c r="IP3" s="44" t="str">
        <f>IF(HQ3&lt;&gt;"",CHAR(34)&amp;"blue"&amp;CHAR(34),"")</f>
        <v/>
      </c>
      <c r="IQ3" s="44" t="str">
        <f>IF(HR3&lt;&gt;"",CHAR(34)&amp;"green"&amp;CHAR(34),"")</f>
        <v/>
      </c>
      <c r="IR3" s="44" t="str">
        <f>IF(HS3&lt;&gt;"",CHAR(34)&amp;"red"&amp;CHAR(34),"")</f>
        <v/>
      </c>
      <c r="IS3" s="44" t="str">
        <f>IF(HT3&lt;&gt;"",CHAR(34)&amp;"yellow"&amp;CHAR(34),"")</f>
        <v/>
      </c>
      <c r="IT3" s="44" t="str">
        <f>IF(HU3&lt;&gt;"",CHAR(34)&amp;"orange"&amp;CHAR(34),"")</f>
        <v/>
      </c>
      <c r="IU3" s="44" t="str">
        <f>IF(HV3&lt;&gt;"",CHAR(34)&amp;"brown"&amp;CHAR(34),"")</f>
        <v/>
      </c>
      <c r="IV3" s="44" t="str">
        <f>IF(HW3&lt;&gt;"",CHAR(34)&amp;"purple"&amp;CHAR(34),"")</f>
        <v/>
      </c>
      <c r="IW3" s="44" t="str">
        <f>IF(HX3&lt;&gt;"",CHAR(34)&amp;"white"&amp;CHAR(34),"")</f>
        <v>"white"</v>
      </c>
      <c r="IX3" s="44" t="str">
        <f>"{"&amp;CHAR(34)&amp;"url"&amp;CHAR(34)&amp;":"&amp;CHAR(34)&amp;IN3&amp;CHAR(34)&amp;","&amp;CHAR(34)&amp;"name"&amp;CHAR(34)&amp;":"&amp;CHAR(34)&amp;A3&amp;CHAR(34)&amp;"},"</f>
        <v>{"url":"http://mkweb.bcgsc.ca/color-summarizer/?url=https://upload.wikimedia.org/wikipedia/commons/thumb/4/42/Flag_of_Hakupu%2C_Niue.svg/640px-Flag_of_Hakupu%2C_Niue.svg.png&amp;precision=low&amp;num_clusters=2&amp;text=1","name":"[NIU] Hakupu"},</v>
      </c>
      <c r="IY3" s="44">
        <v>1503</v>
      </c>
    </row>
    <row r="4" spans="1:259" s="44" customFormat="1" ht="38.4" customHeight="1" thickBot="1" x14ac:dyDescent="0.35">
      <c r="A4" s="80" t="s">
        <v>725</v>
      </c>
      <c r="B4" s="78" t="e" vm="66">
        <v>#VALUE!</v>
      </c>
      <c r="C4" s="39">
        <v>2</v>
      </c>
      <c r="D4" s="70" t="s">
        <v>726</v>
      </c>
      <c r="E4" s="40" t="s">
        <v>726</v>
      </c>
      <c r="F4" s="41" t="s">
        <v>647</v>
      </c>
      <c r="G4" s="42">
        <f>COUNTIF($A$1:$A$8250,A4)</f>
        <v>1</v>
      </c>
      <c r="H4" s="43"/>
      <c r="I4" s="59" t="s">
        <v>727</v>
      </c>
      <c r="J4" s="44" t="str">
        <f>""</f>
        <v/>
      </c>
      <c r="K4" s="45"/>
      <c r="L4" s="46"/>
      <c r="M4" s="46"/>
      <c r="N4" s="47" t="s">
        <v>177</v>
      </c>
      <c r="O4" s="74" t="s">
        <v>230</v>
      </c>
      <c r="P4" s="48" t="s">
        <v>728</v>
      </c>
      <c r="Q4" s="73">
        <v>1</v>
      </c>
      <c r="R4" s="49" t="s">
        <v>177</v>
      </c>
      <c r="S4" s="50">
        <v>0</v>
      </c>
      <c r="T4" s="51" t="s">
        <v>166</v>
      </c>
      <c r="U4" s="52" t="s">
        <v>166</v>
      </c>
      <c r="V4" s="52" t="s">
        <v>166</v>
      </c>
      <c r="W4" s="52" t="s">
        <v>166</v>
      </c>
      <c r="X4" s="52" t="s">
        <v>166</v>
      </c>
      <c r="Y4" s="52" t="s">
        <v>167</v>
      </c>
      <c r="Z4" s="52" t="s">
        <v>167</v>
      </c>
      <c r="AA4" s="52" t="s">
        <v>167</v>
      </c>
      <c r="AB4" s="52" t="s">
        <v>167</v>
      </c>
      <c r="AC4" s="52" t="s">
        <v>166</v>
      </c>
      <c r="AD4" s="52" t="s">
        <v>166</v>
      </c>
      <c r="AE4" s="52" t="s">
        <v>166</v>
      </c>
      <c r="AF4" s="53" t="s">
        <v>166</v>
      </c>
      <c r="AG4" s="53" t="s">
        <v>166</v>
      </c>
      <c r="AH4" s="53" t="s">
        <v>166</v>
      </c>
      <c r="AI4" s="53" t="s">
        <v>166</v>
      </c>
      <c r="AJ4" s="53" t="s">
        <v>166</v>
      </c>
      <c r="AK4" s="53" t="s">
        <v>166</v>
      </c>
      <c r="AL4" s="53" t="s">
        <v>166</v>
      </c>
      <c r="AM4" s="53" t="s">
        <v>166</v>
      </c>
      <c r="AN4" s="53" t="s">
        <v>166</v>
      </c>
      <c r="AO4" s="53" t="s">
        <v>166</v>
      </c>
      <c r="AP4" s="53" t="s">
        <v>166</v>
      </c>
      <c r="AQ4" s="53" t="s">
        <v>166</v>
      </c>
      <c r="AR4" s="53" t="s">
        <v>166</v>
      </c>
      <c r="AS4" s="53" t="s">
        <v>166</v>
      </c>
      <c r="AT4" s="54">
        <v>5</v>
      </c>
      <c r="AU4" s="53" t="s">
        <v>724</v>
      </c>
      <c r="AV4" s="53" t="str">
        <f>IF(LEFT(A4,1)="[",LEFT(A4,5)&amp;AU4&amp;A4,"")</f>
        <v>[NIU]Village[NIU] Mutalau</v>
      </c>
      <c r="AW4" s="53" t="str">
        <f>C4&amp;H4&amp;A4</f>
        <v>2[NIU] Mutalau</v>
      </c>
      <c r="AX4" s="55"/>
      <c r="AY4" s="55"/>
      <c r="AZ4" s="56" t="s">
        <v>156</v>
      </c>
      <c r="BA4" s="56" t="s">
        <v>157</v>
      </c>
      <c r="BB4" s="56"/>
      <c r="BC4" s="57"/>
      <c r="BD4" s="58" t="s">
        <v>154</v>
      </c>
      <c r="BE4" s="59"/>
      <c r="BF4" s="58"/>
      <c r="BG4" s="58"/>
      <c r="BH4" s="58"/>
      <c r="BI4" s="58"/>
      <c r="BJ4" s="58"/>
      <c r="BK4" s="59"/>
      <c r="BL4" s="58" t="s">
        <v>154</v>
      </c>
      <c r="BM4" s="58" t="s">
        <v>157</v>
      </c>
      <c r="BN4" s="58" t="s">
        <v>161</v>
      </c>
      <c r="BO4" s="58" t="s">
        <v>156</v>
      </c>
      <c r="BP4" s="58" t="s">
        <v>159</v>
      </c>
      <c r="BQ4" s="58"/>
      <c r="BR4" s="58"/>
      <c r="BS4" s="58"/>
      <c r="BT4" s="58"/>
      <c r="BU4" s="60"/>
      <c r="BV4" s="61"/>
      <c r="BW4" s="61">
        <v>0</v>
      </c>
      <c r="BX4" s="59"/>
      <c r="CB4" s="5"/>
      <c r="CC4" s="5"/>
      <c r="CD4" s="62">
        <v>0</v>
      </c>
      <c r="CE4" s="62">
        <v>0</v>
      </c>
      <c r="CF4" s="62" t="e">
        <v>#REF!</v>
      </c>
      <c r="CG4" s="75" cm="1">
        <f t="array" ref="CG4">SUMPRODUCT(--(LEN(TRIM(BL4:BT4))&gt;0))</f>
        <v>5</v>
      </c>
      <c r="CH4" s="53" t="str">
        <f>IF(CG4=2,"y","n")</f>
        <v>n</v>
      </c>
      <c r="CI4" s="53" t="str">
        <f>IF(CG4=3,"y","n")</f>
        <v>n</v>
      </c>
      <c r="CJ4" s="53" t="str">
        <f>IF(CG4=4,"y","n")</f>
        <v>n</v>
      </c>
      <c r="CK4" s="53" t="str">
        <f>IF(CG4&gt;4,"y","n")</f>
        <v>y</v>
      </c>
      <c r="CL4" s="53" t="str">
        <f>IF(S4=0,"y","n")</f>
        <v>y</v>
      </c>
      <c r="CM4" s="53" t="str">
        <f>IF(S4=2,"y","n")</f>
        <v>n</v>
      </c>
      <c r="CN4" s="53" t="str">
        <f>IF(S4=3,"y","n")</f>
        <v>n</v>
      </c>
      <c r="CO4" s="53" t="str">
        <f>IF(S4&gt;=4,"y","n")</f>
        <v>n</v>
      </c>
      <c r="CP4" s="53" t="str">
        <f>IF(AT4=0,"y","n")</f>
        <v>n</v>
      </c>
      <c r="CQ4" s="53" t="str">
        <f>IF(AT4=1,"y","n")</f>
        <v>n</v>
      </c>
      <c r="CR4" s="53" t="str">
        <f>IF(AT4=2,"y","n")</f>
        <v>n</v>
      </c>
      <c r="CS4" s="53" t="str">
        <f>IF(AT4&gt;=3,"y","n")</f>
        <v>y</v>
      </c>
      <c r="CT4" s="38" t="str">
        <f>CHAR(34)&amp;A4&amp;CHAR(34)</f>
        <v>"[NIU] Mutalau"</v>
      </c>
      <c r="CU4" s="63" t="str">
        <f>CHAR(34)&amp;"rgn_"&amp;R4&amp;CHAR(34)</f>
        <v>"rgn_Oceania"</v>
      </c>
      <c r="CV4" s="44" t="str">
        <f>CHAR(34)&amp;D4&amp;CHAR(34)</f>
        <v>"https://www.fotw.info/images/n/nu_mutalau.jpg"</v>
      </c>
      <c r="CW4" s="44" t="str">
        <f t="shared" si="0"/>
        <v/>
      </c>
      <c r="CX4" s="44" t="str">
        <f t="shared" si="0"/>
        <v/>
      </c>
      <c r="CY4" s="44" t="str">
        <f t="shared" si="0"/>
        <v/>
      </c>
      <c r="CZ4" s="44" t="str">
        <f t="shared" si="0"/>
        <v>"5+Colo",</v>
      </c>
      <c r="DA4" s="44" t="str">
        <f>IF(Q4&gt;1,CHAR(34)&amp;"words2"&amp;CHAR(34)&amp;",","")</f>
        <v/>
      </c>
      <c r="DB4" s="44" t="str">
        <f>IF(Q4&gt;2,CHAR(34)&amp;"words3"&amp;CHAR(34)&amp;",","")</f>
        <v/>
      </c>
      <c r="DD4" s="44" t="str">
        <f>IF(LEN(CHAR(34)&amp;"lets"&amp;LEN(SUBSTITUTE(SUBSTITUTE(IFERROR(TRIM(SUBSTITUTE(A4,MID(A4,FIND("[",A4),FIND("]",A4)-FIND("[",A4)+1),"")),A4)," ",""),"-",""))&amp;CHAR(34)&amp;",")=9,CHAR(34)&amp;"lets"&amp;LEN(SUBSTITUTE(SUBSTITUTE(IFERROR(TRIM(SUBSTITUTE(A4,MID(A4,FIND("[",A4),FIND("]",A4)-FIND("[",A4)+1),"")),A4)," ",""),"-",""))&amp;CHAR(34)&amp;",",CHAR(34)&amp;"lets0"&amp;LEN(SUBSTITUTE(SUBSTITUTE(IFERROR(TRIM(SUBSTITUTE(A4,MID(A4,FIND("[",A4),FIND("]",A4)-FIND("[",A4)+1),"")),A4)," ",""),"-",""))&amp;CHAR(34)&amp;",")</f>
        <v>"lets07",</v>
      </c>
      <c r="DE4" s="44" t="str">
        <f>CHAR(34)&amp;"start"&amp;IFERROR(LEFT(SUBSTITUTE(A4,"["&amp;MID(A4,FIND("[",A4)+1,FIND("]",A4)-FIND("[",A4)-1)&amp;"] ",""),1),LEFT(A4,1))&amp;CHAR(34)&amp;","</f>
        <v>"startM",</v>
      </c>
      <c r="DF4" s="44" t="str">
        <f>IFERROR(IF(SEARCH("tan",A4)&gt;0,CHAR(34)&amp;"withtn"&amp;CHAR(34)&amp;",",""),"")</f>
        <v/>
      </c>
      <c r="DG4" s="44" t="str">
        <f>IFERROR(IF(SEARCH("q",A4)&gt;0,CHAR(34)&amp;"with_q"&amp;CHAR(34)&amp;",",""),"")</f>
        <v/>
      </c>
      <c r="DH4" s="44" t="str">
        <f>IFERROR(IF(SEARCH("v",A4)&gt;0,CHAR(34)&amp;"with_v"&amp;CHAR(34)&amp;",",""),"")</f>
        <v/>
      </c>
      <c r="DI4" s="44" t="str">
        <f>IFERROR(IF(SEARCH("w",A4)&gt;0,CHAR(34)&amp;"with_w"&amp;CHAR(34)&amp;",",""),"")</f>
        <v/>
      </c>
      <c r="DJ4" s="44" t="str">
        <f>IFERROR(IF(SEARCH("y",A4)&gt;0,CHAR(34)&amp;"with_y"&amp;CHAR(34)&amp;",",""),"")</f>
        <v/>
      </c>
      <c r="DK4" s="44" t="str">
        <f>IFERROR(IF(SEARCH("z",A4)&gt;0,CHAR(34)&amp;"with_z"&amp;CHAR(34)&amp;",",""),"")</f>
        <v/>
      </c>
      <c r="DL4" s="44" t="str">
        <f>IF(CG4=2, CHAR(34) &amp; _xlfn.TEXTJOIN("", TRUE, _xlfn._xlws.SORT(HP4:HX4)) &amp; CHAR(34) &amp; ",", "")</f>
        <v/>
      </c>
      <c r="DM4" s="44" t="str" cm="1">
        <f t="array" ref="DM4">IF(CG4=3,CHAR(34) &amp; _xlfn.TEXTJOIN("", TRUE, RIGHT(HP4:HX4, 2)) &amp; CHAR(34) &amp; ",", "")</f>
        <v/>
      </c>
      <c r="DN4" s="44" t="str">
        <f>IF(AND(ISNUMBER(SEARCH("18", O4)), ISERROR(SEARCH("1918", O4)), ISERROR(SEARCH("2018", O4))), CHAR(34) &amp; "year18" &amp; CHAR(34) &amp; ",", "")</f>
        <v/>
      </c>
      <c r="DO4" s="44" t="str">
        <f>IF(AND(ISNUMBER(SEARCH("19", O4)), ISERROR(SEARCH("1819", O4)),  ISERROR(SEARCH("1219", O4)),ISERROR(SEARCH("1119", O4)),ISERROR(SEARCH("1190", O4)),ISERROR(SEARCH("2019", O4))), CHAR(34) &amp; "year19" &amp; CHAR(34) &amp; ",", "")</f>
        <v/>
      </c>
      <c r="DP4" s="5" t="str">
        <f>IF(AND(ISNUMBER(SEARCH("20", O4)), ISERROR(SEARCH("1920", O4))), CHAR(34)&amp;"year00"&amp;CHAR(34)&amp;",", "")</f>
        <v/>
      </c>
      <c r="DQ4" s="5" t="str">
        <f>IF(CC4="y",CHAR(34)&amp;"soviet"&amp;CHAR(34)&amp;",","")</f>
        <v/>
      </c>
      <c r="DR4" s="5" t="str">
        <f>IF(BY4="y",CHAR(34)&amp;"dgband"&amp;CHAR(34)&amp;",","")</f>
        <v/>
      </c>
      <c r="DS4" s="5" t="str">
        <f>IF(W4="y",IF(AND(V4="n",BY4&lt;&gt;"y"),CHAR(34)&amp;"allver"&amp;CHAR(34)&amp;",",""),"")</f>
        <v/>
      </c>
      <c r="DT4" s="5" t="str">
        <f>IF(V4="y",IF(AND(W4="n",BY4&lt;&gt;"y"),CHAR(34)&amp;"allhor"&amp;CHAR(34)&amp;",",""),"")</f>
        <v/>
      </c>
      <c r="DU4" s="5" t="str">
        <f>IF(BY4="y",IF(AND(W4="n",V4="n"),CHAR(34)&amp;"alldia"&amp;CHAR(34)&amp;",",""),"")</f>
        <v/>
      </c>
      <c r="DW4" s="44" t="str">
        <f t="shared" si="1"/>
        <v>"NoBand",</v>
      </c>
      <c r="DX4" s="44" t="str">
        <f t="shared" si="1"/>
        <v/>
      </c>
      <c r="DY4" s="44" t="str">
        <f t="shared" si="1"/>
        <v/>
      </c>
      <c r="DZ4" s="44" t="str">
        <f t="shared" si="1"/>
        <v/>
      </c>
      <c r="EA4" s="44" t="str">
        <f t="shared" si="2"/>
        <v/>
      </c>
      <c r="EB4" s="44" t="str">
        <f t="shared" si="2"/>
        <v/>
      </c>
      <c r="EC4" s="44" t="str">
        <f t="shared" si="2"/>
        <v/>
      </c>
      <c r="ED4" s="44" t="str">
        <f t="shared" si="2"/>
        <v/>
      </c>
      <c r="EE4" s="44" t="str">
        <f t="shared" si="2"/>
        <v/>
      </c>
      <c r="EF4" s="44" t="str">
        <f>IF(AND(Y4&lt;&gt;"n",Y4&lt;&gt;""),CHAR(34)&amp;Y$1&amp;CHAR(34)&amp;",","")</f>
        <v>"Animal",</v>
      </c>
      <c r="EG4" s="44" t="str">
        <f t="shared" si="3"/>
        <v>"Bird",</v>
      </c>
      <c r="EH4" s="44" t="str">
        <f t="shared" si="3"/>
        <v>"Plants",</v>
      </c>
      <c r="EI4" s="44" t="str">
        <f t="shared" si="3"/>
        <v>"Texted",</v>
      </c>
      <c r="EJ4" s="44" t="str">
        <f t="shared" si="3"/>
        <v/>
      </c>
      <c r="EK4" s="44" t="str">
        <f t="shared" si="3"/>
        <v/>
      </c>
      <c r="EL4" s="44" t="str">
        <f t="shared" si="3"/>
        <v/>
      </c>
      <c r="EM4" s="44" t="str">
        <f t="shared" si="3"/>
        <v/>
      </c>
      <c r="EN4" s="44" t="str">
        <f t="shared" si="3"/>
        <v/>
      </c>
      <c r="EO4" s="44" t="str">
        <f t="shared" si="3"/>
        <v/>
      </c>
      <c r="EP4" s="44" t="str">
        <f t="shared" si="3"/>
        <v/>
      </c>
      <c r="EQ4" s="44" t="str">
        <f t="shared" si="4"/>
        <v/>
      </c>
      <c r="ER4" s="44" t="str">
        <f t="shared" si="4"/>
        <v/>
      </c>
      <c r="ES4" s="44" t="str">
        <f t="shared" si="4"/>
        <v/>
      </c>
      <c r="ET4" s="44" t="str">
        <f t="shared" si="4"/>
        <v/>
      </c>
      <c r="EU4" s="44" t="str">
        <f t="shared" si="4"/>
        <v/>
      </c>
      <c r="EV4" s="44" t="str">
        <f t="shared" si="4"/>
        <v/>
      </c>
      <c r="EW4" s="44" t="str">
        <f t="shared" si="4"/>
        <v/>
      </c>
      <c r="EX4" s="44" t="str">
        <f t="shared" si="4"/>
        <v/>
      </c>
      <c r="EY4" s="44" t="str">
        <f t="shared" si="4"/>
        <v/>
      </c>
      <c r="EZ4" s="44" t="str">
        <f t="shared" si="4"/>
        <v/>
      </c>
      <c r="FA4" s="44" t="str">
        <f>IF(AT4&gt;0,CHAR(34)&amp;"sta"&amp;AZ4&amp;CHAR(34)&amp;",","")</f>
        <v>"staRED",</v>
      </c>
      <c r="FB4" s="44" t="str">
        <f>IF(AND(AT4&gt;0,BA4&lt;&gt;""),CHAR(34)&amp;"sta"&amp;BA4&amp;CHAR(34)&amp;",","")</f>
        <v>"staYEL",</v>
      </c>
      <c r="FD4" s="44" t="str">
        <f>IF(BV4="n",CHAR(34)&amp;"tcWHYE"&amp;CHAR(34)&amp;",",IF(BV4="y",CHAR(34)&amp;FD$1&amp;CHAR(34)&amp;",",""))</f>
        <v/>
      </c>
      <c r="FE4" s="44" t="str">
        <f>IF(COUNTIF(BL4:BT4,"BLU")=0,CHAR(34)&amp;"NO_BLU"&amp;CHAR(34)&amp;",", "")</f>
        <v/>
      </c>
      <c r="FF4" s="44" t="str">
        <f>IF(COUNTIF(BL4:BT4,"WHI")=0,CHAR(34)&amp;"NO_WHI"&amp;CHAR(34)&amp;",", "")</f>
        <v/>
      </c>
      <c r="FG4" s="44" t="str">
        <f>IF(COUNTIF(BL4:BT4,"RED")=0,CHAR(34)&amp;"NO_RED"&amp;CHAR(34)&amp;",", "")</f>
        <v/>
      </c>
      <c r="FH4" s="44" t="str">
        <f>IF(COUNTIF(BL4:BS4,"GRE")=0,CHAR(34)&amp;"NO_GRE"&amp;CHAR(34)&amp;",", "")</f>
        <v>"NO_GRE",</v>
      </c>
      <c r="FI4" s="44" t="str">
        <f>IF(COUNTIF(BL4:BT4,"YEL")=0,CHAR(34)&amp;"NO_YEL"&amp;CHAR(34)&amp;",", "")</f>
        <v/>
      </c>
      <c r="FJ4" s="44" t="str">
        <f>IF(COUNTIF(BL4:BT4,"BLA")=0,CHAR(34)&amp;"NO_BLA"&amp;CHAR(34)&amp;",", "")</f>
        <v>"NO_BLA",</v>
      </c>
      <c r="FK4" s="44" t="str">
        <f>IF(AND(FH4&lt;&gt;"",FF4&lt;&gt;""),CHAR(34)&amp;"WHGRNO"&amp;CHAR(34)&amp;",","")</f>
        <v/>
      </c>
      <c r="FL4" s="44" t="str">
        <f>IF(AND(FI4&lt;&gt;"",FF4&lt;&gt;""),CHAR(34)&amp;"WHYENO"&amp;CHAR(34)&amp;",","")</f>
        <v/>
      </c>
      <c r="FM4" s="44" t="str">
        <f>IF(AND(FJ4&lt;&gt;"",FF4&lt;&gt;""),CHAR(34)&amp;"BAWHNO"&amp;CHAR(34)&amp;",","")</f>
        <v/>
      </c>
      <c r="FN4" s="44" t="str">
        <f>IF(AND(FE4&lt;&gt;"",FF4&lt;&gt;""),CHAR(34)&amp;"BLWHNO"&amp;CHAR(34)&amp;",","")</f>
        <v/>
      </c>
      <c r="FO4" s="44" t="str">
        <f>IF(AND(FE4&lt;&gt;"",FG4&lt;&gt;""),CHAR(34)&amp;"BLRENO"&amp;CHAR(34)&amp;",","")</f>
        <v/>
      </c>
      <c r="FP4" s="44" t="str">
        <f>IF(AND(FF4&lt;&gt;"",FF4&lt;&gt;""),CHAR(34)&amp;"WHRENO"&amp;CHAR(34)&amp;",","")</f>
        <v/>
      </c>
      <c r="FQ4" s="44" t="str">
        <f>IF(LEN(BF4)=3,CHAR(34)&amp;"001"&amp;BF4&amp;CHAR(34)&amp;",","")</f>
        <v/>
      </c>
      <c r="FR4" s="44" t="str">
        <f>IF(LEN(BG4)=3,CHAR(34)&amp;"002"&amp;BG4&amp;CHAR(34)&amp;",","")</f>
        <v/>
      </c>
      <c r="FS4" s="44" t="str">
        <f>IF(LEN(BH4)=3,CHAR(34)&amp;"003"&amp;BH4&amp;CHAR(34)&amp;",","")</f>
        <v/>
      </c>
      <c r="FT4" s="44" t="str">
        <f>CHAR(34)&amp;"myr"&amp;BD4&amp;CHAR(34)&amp;","</f>
        <v>"myrBLU",</v>
      </c>
      <c r="FU4" s="44" t="str">
        <f>IF(AY4="y",CHAR(34)&amp;"island"&amp;CHAR(34)&amp;",","")</f>
        <v/>
      </c>
      <c r="FV4" s="44" t="str">
        <f>IF(BZ4="y",CHAR(34)&amp;"landlo"&amp;CHAR(34)&amp;",","")</f>
        <v/>
      </c>
      <c r="FW4" s="44" t="str">
        <f>IF(CA4="y",CHAR(34)&amp;"eunion"&amp;CHAR(34)&amp;",","")</f>
        <v/>
      </c>
      <c r="FY4" s="44" t="str">
        <f>IFERROR(IF(SEARCH("Arabic",CB4)&gt;0,CHAR(34)&amp;"arabic"&amp;CHAR(34)&amp;",",""),"")</f>
        <v/>
      </c>
      <c r="FZ4" s="44" t="str">
        <f>IFERROR(IF(SEARCH("English",CB4)&gt;0,CHAR(34)&amp;"englis"&amp;CHAR(34)&amp;",",""),"")</f>
        <v/>
      </c>
      <c r="GA4" s="44" t="str">
        <f>IFERROR(IF(SEARCH("French",CB4)&gt;0,CHAR(34)&amp;"french"&amp;CHAR(34)&amp;",",""),"")</f>
        <v/>
      </c>
      <c r="GB4" s="44" t="str">
        <f>IFERROR(IF(SEARCH("Spanish",CB4)&gt;0,CHAR(34)&amp;"spanis"&amp;CHAR(34)&amp;",",""),"")</f>
        <v/>
      </c>
      <c r="GE4" s="44" t="str">
        <f>IFERROR(IF(SEARCH("Dutch",CB4)&gt;0,CHAR(34)&amp;"dutchs"&amp;CHAR(34)&amp;",",""),"")</f>
        <v/>
      </c>
      <c r="GF4" s="44" t="str">
        <f>IFERROR(IF(SEARCH("Historical",AU4)&gt;0,CHAR(34)&amp;"histor"&amp;CHAR(34)&amp;",",""),"")</f>
        <v/>
      </c>
      <c r="GG4" s="44" t="str">
        <f>IF(BU4="y",CHAR(34)&amp;"unjack"&amp;CHAR(34)&amp;",","")</f>
        <v/>
      </c>
      <c r="GH4" s="44" t="str">
        <f>IF(CD4=1,CHAR(34)&amp;"southc"&amp;CHAR(34)&amp;",","")</f>
        <v/>
      </c>
      <c r="GI4" s="44" t="str">
        <f>IF(CE4=1,CHAR(34)&amp;"hasmap"&amp;CHAR(34)&amp;",","")</f>
        <v/>
      </c>
      <c r="GJ4" s="44" t="str">
        <f>IF(CP4="y",CHAR(34)&amp;CP$1&amp;CHAR(34)&amp;",","")</f>
        <v/>
      </c>
      <c r="GK4" s="44" t="str">
        <f>IF(GJ4="",CHAR(34)&amp;"HasSta"&amp;CHAR(34)&amp;",","")</f>
        <v>"HasSta",</v>
      </c>
      <c r="GL4" s="44" t="str">
        <f t="shared" si="5"/>
        <v/>
      </c>
      <c r="GM4" s="44" t="str">
        <f t="shared" si="5"/>
        <v/>
      </c>
      <c r="GN4" s="44" t="str">
        <f t="shared" si="5"/>
        <v>"3+Star",</v>
      </c>
      <c r="GP4" s="44" t="str">
        <f>CHAR(34)&amp;AU4&amp;CHAR(34)</f>
        <v>"Village"</v>
      </c>
      <c r="GS4" s="44" t="str">
        <f>SUBSTITUTE("["&amp;_xlfn.CONCAT(CW4:GN4)&amp;"]",",]","]")</f>
        <v>["5+Colo","lets07","startM","NoBand","Animal","Bird","Plants","Texted","staRED","staYEL","NO_GRE","NO_BLA","myrBLU","HasSta","3+Star"]</v>
      </c>
      <c r="GT4" s="44" t="str">
        <f t="shared" si="6"/>
        <v>"cl_BLU",</v>
      </c>
      <c r="GU4" s="44" t="str">
        <f t="shared" si="6"/>
        <v>"cl_YEL",</v>
      </c>
      <c r="GV4" s="44" t="str">
        <f t="shared" si="6"/>
        <v>"cl_WHI",</v>
      </c>
      <c r="GW4" s="44" t="str">
        <f t="shared" si="6"/>
        <v>"cl_RED",</v>
      </c>
      <c r="GX4" s="44" t="str">
        <f t="shared" si="6"/>
        <v>"cl_BRO",</v>
      </c>
      <c r="GY4" s="44" t="str">
        <f t="shared" si="6"/>
        <v/>
      </c>
      <c r="GZ4" s="44" t="str">
        <f t="shared" si="6"/>
        <v/>
      </c>
      <c r="HA4" s="44" t="str">
        <f t="shared" si="6"/>
        <v/>
      </c>
      <c r="HB4" s="44" t="str">
        <f t="shared" si="6"/>
        <v/>
      </c>
      <c r="HC4" s="44" t="str">
        <f>SUBSTITUTE("["&amp;_xlfn.CONCAT(GT4:HB4)&amp;"]",",]","]")</f>
        <v>["cl_BLU","cl_YEL","cl_WHI","cl_RED","cl_BRO"]</v>
      </c>
      <c r="HE4" s="64"/>
      <c r="HF4" s="65" t="str">
        <f>"{couname:"&amp;CT4&amp;(IF(HK4&lt;&gt;"",",subtype:"&amp;CHAR(34)&amp;HK4&amp;CHAR(34),""))&amp;",year:"&amp;HJ4&amp;",region:"&amp;CU4&amp;",Colors:"&amp;HC4&amp;",Items:"&amp;GS4&amp;",Flag:"&amp;CV4&amp;",HDFlag:"&amp;CHAR(34)&amp;E4&amp;CHAR(34)&amp;",type:"&amp;GP4&amp;", describe: "&amp;HH4&amp;", isnew:"&amp;CHAR(34)&amp;F4&amp;CHAR(34)&amp;", links: "&amp;HL4&amp;"},"</f>
        <v>{couname:"[NIU] Mutalau",year:"???",region:"rgn_Oceania",Colors:["cl_BLU","cl_YEL","cl_WHI","cl_RED","cl_BRO"],Items:["5+Colo","lets07","startM","NoBand","Animal","Bird","Plants","Texted","staRED","staYEL","NO_GRE","NO_BLA","myrBLU","HasSta","3+Star"],Flag:"https://www.fotw.info/images/n/nu_mutalau.jpg",HDFlag:"https://www.fotw.info/images/n/nu_mutalau.jpg",type:"Village", describe: "\nMutalau is one of the fourteen villages of Niue./n/nThe name 'Mutalau Ululauta Matahefonua' is adopted by the Mutalau people in Auckland, New Zealand as the name for their trust called the Mutalau Ululauta Matahefonua Trust (MUMT)/n/nThe central big star represents Niue as stand alone nation in the wide Pacific ocean. The five stars represent the Southern Cross on the Niue flag which signifies its link to the Commonwealth. The torch and dove go hand in hand and both represent Mutalau as being the first village of Niue to receive the gospel. Navy blue is the official Mutalau colour.", isnew:"www", links: "https://www.crwflags.com/fotw/flags/nu.html"},</v>
      </c>
      <c r="HG4" s="66" t="str">
        <f>"{couname:"&amp;CT4&amp;(IF(HK4&lt;&gt;"",",subtype:"&amp;CHAR(34)&amp;HK4&amp;CHAR(34),""))&amp;",year:"&amp;HJ4&amp;",region:"&amp;CU4&amp;",Colors:"&amp;HC4&amp;",Items:"&amp;GS4&amp;",Flag:"&amp;CV4&amp;",HDFlag:"&amp;CHAR(34)&amp;E4&amp;CHAR(34)&amp;",type:"&amp;GP4&amp;", describe: "&amp;HI4&amp;", links: "&amp;HL4&amp;"},"</f>
        <v>{couname:"[NIU] Mutalau",year:"???",region:"rgn_Oceania",Colors:["cl_BLU","cl_YEL","cl_WHI","cl_RED","cl_BRO"],Items:["5+Colo","lets07","startM","NoBand","Animal","Bird","Plants","Texted","staRED","staYEL","NO_GRE","NO_BLA","myrBLU","HasSta","3+Star"],Flag:"https://www.fotw.info/images/n/nu_mutalau.jpg",HDFlag:"https://www.fotw.info/images/n/nu_mutalau.jpg",type:"Village", describe: "\nMutalau is one of the fourteen villages of Niue./n/nThe name 'Mutalau Ululauta Matahefonua' is adopted by the Mutalau people in Auckland, New Zealand as the name for their trust called the Mutalau Ululauta Matahefonua Trust (MUMT)/n/nThe central big star represents Niue as stand alone nation in the wide Pacific ocean. The five stars represent the Southern Cross on the Niue flag which signifies its link to the Commonwealth. The torch and dove go hand in hand and both represent Mutalau as being the first village of Niue to receive the gospel. Navy blue is the official Mutalau colour.", links: "https://www.crwflags.com/fotw/flags/nu.html"},</v>
      </c>
      <c r="HH4" s="44" t="str">
        <f>IF(P4&lt;&gt;"",CHAR(34)&amp;"\n"&amp;P4&amp;CHAR(34),CHAR(34)&amp;CHAR(34))</f>
        <v>"\nMutalau is one of the fourteen villages of Niue./n/nThe name 'Mutalau Ululauta Matahefonua' is adopted by the Mutalau people in Auckland, New Zealand as the name for their trust called the Mutalau Ululauta Matahefonua Trust (MUMT)/n/nThe central big star represents Niue as stand alone nation in the wide Pacific ocean. The five stars represent the Southern Cross on the Niue flag which signifies its link to the Commonwealth. The torch and dove go hand in hand and both represent Mutalau as being the first village of Niue to receive the gospel. Navy blue is the official Mutalau colour."</v>
      </c>
      <c r="HI4" s="44" t="str">
        <f>IF(J4=0,CHAR(34)&amp;CHAR(34),HH4)</f>
        <v>"\nMutalau is one of the fourteen villages of Niue./n/nThe name 'Mutalau Ululauta Matahefonua' is adopted by the Mutalau people in Auckland, New Zealand as the name for their trust called the Mutalau Ululauta Matahefonua Trust (MUMT)/n/nThe central big star represents Niue as stand alone nation in the wide Pacific ocean. The five stars represent the Southern Cross on the Niue flag which signifies its link to the Commonwealth. The torch and dove go hand in hand and both represent Mutalau as being the first village of Niue to receive the gospel. Navy blue is the official Mutalau colour."</v>
      </c>
      <c r="HJ4" s="44" t="str">
        <f>CHAR(34)&amp;O4&amp;CHAR(34)</f>
        <v>"???"</v>
      </c>
      <c r="HL4" s="44" t="str">
        <f>CHAR(34)&amp;I4&amp;CHAR(34)</f>
        <v>"https://www.crwflags.com/fotw/flags/nu.html"</v>
      </c>
      <c r="HM4" s="65"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"&amp;HH4&amp;", "&amp;CHAR(34)&amp;"isnew"&amp;CHAR(34)&amp;": "&amp;CHAR(34)&amp;F4&amp;CHAR(34)&amp;", "&amp;CHAR(34)&amp;"links"&amp;CHAR(34)&amp;": "&amp;HL4&amp;"},"</f>
        <v>{"couname":"[NIU] Mutalau","year":"???","region":"rgn_Oceania","Colors":["cl_BLU","cl_YEL","cl_WHI","cl_RED","cl_BRO"],"Items":["5+Colo","lets07","startM","NoBand","Animal","Bird","Plants","Texted","staRED","staYEL","NO_GRE","NO_BLA","myrBLU","HasSta","3+Star"],"Flag":"https://www.fotw.info/images/n/nu_mutalau.jpg","HDFlag":"https://www.fotw.info/images/n/nu_mutalau.jpg","type":"Village", "describe": "\nMutalau is one of the fourteen villages of Niue./n/nThe name 'Mutalau Ululauta Matahefonua' is adopted by the Mutalau people in Auckland, New Zealand as the name for their trust called the Mutalau Ululauta Matahefonua Trust (MUMT)/n/nThe central big star represents Niue as stand alone nation in the wide Pacific ocean. The five stars represent the Southern Cross on the Niue flag which signifies its link to the Commonwealth. The torch and dove go hand in hand and both represent Mutalau as being the first village of Niue to receive the gospel. Navy blue is the official Mutalau colour.", "isnew": "www", "links": "https://www.crwflags.com/fotw/flags/nu.html"},</v>
      </c>
      <c r="HN4" s="67"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"&amp;HI4&amp;", "&amp;CHAR(34)&amp;"isnew"&amp;CHAR(34)&amp;": "&amp;CHAR(34)&amp;F4&amp;CHAR(34)&amp;", "&amp;CHAR(34)&amp;"links"&amp;CHAR(34)&amp;": "&amp;HL4&amp;"},"</f>
        <v>{"couname":"[NIU] Mutalau","year":"???","region":"rgn_Oceania","Colors":["cl_BLU","cl_YEL","cl_WHI","cl_RED","cl_BRO"],"Items":["5+Colo","lets07","startM","NoBand","Animal","Bird","Plants","Texted","staRED","staYEL","NO_GRE","NO_BLA","myrBLU","HasSta","3+Star"],"Flag":"https://www.fotw.info/images/n/nu_mutalau.jpg","HDFlag":"https://www.fotw.info/images/n/nu_mutalau.jpg","type":"Village", "describe": "\nMutalau is one of the fourteen villages of Niue./n/nThe name 'Mutalau Ululauta Matahefonua' is adopted by the Mutalau people in Auckland, New Zealand as the name for their trust called the Mutalau Ululauta Matahefonua Trust (MUMT)/n/nThe central big star represents Niue as stand alone nation in the wide Pacific ocean. The five stars represent the Southern Cross on the Niue flag which signifies its link to the Commonwealth. The torch and dove go hand in hand and both represent Mutalau as being the first village of Niue to receive the gospel. Navy blue is the official Mutalau colour.", "isnew": "www", "links": "https://www.crwflags.com/fotw/flags/nu.html"},</v>
      </c>
      <c r="HO4" s="71">
        <v>45653</v>
      </c>
      <c r="HP4" s="44" t="str" cm="1">
        <f t="array" ref="HP4">IF(_xlfn.TEXTJOIN(", ", TRUE, IF(ISNUMBER(SEARCH("BLA", BL4:BT4)), COLUMN(BL4:BT4) - COLUMN(BL4) + 1, ""))&lt;&gt;"","BLA","")</f>
        <v/>
      </c>
      <c r="HQ4" s="44" t="str" cm="1">
        <f t="array" ref="HQ4">IF(_xlfn.TEXTJOIN(", ", TRUE, IF(ISNUMBER(SEARCH("BLU", BL4:BT4)), COLUMN(BL4:BT4) - COLUMN(BL4) + 1, ""))&lt;&gt;"","BLU","")</f>
        <v>BLU</v>
      </c>
      <c r="HR4" s="44" t="str" cm="1">
        <f t="array" ref="HR4">IF(_xlfn.TEXTJOIN(", ", TRUE, IF(ISNUMBER(SEARCH("GRE", BL4:BT4)), COLUMN(BL4:BT4) - COLUMN(BL4) + 1, ""))&lt;&gt;"","GRE","")</f>
        <v/>
      </c>
      <c r="HS4" s="44" t="str" cm="1">
        <f t="array" ref="HS4">IF(_xlfn.TEXTJOIN(", ", TRUE, IF(ISNUMBER(SEARCH("RED", BL4:BT4)), COLUMN(BL4:BT4) - COLUMN(BL4) + 1, ""))&lt;&gt;"","RED","")</f>
        <v>RED</v>
      </c>
      <c r="HT4" s="44" t="str" cm="1">
        <f t="array" ref="HT4">IF(_xlfn.TEXTJOIN(", ", TRUE, IF(ISNUMBER(SEARCH("YEL", BL4:BT4)), COLUMN(BL4:BT4) - COLUMN(BL4) + 1, ""))&lt;&gt;"","YEL","")</f>
        <v>YEL</v>
      </c>
      <c r="HU4" s="44" t="str" cm="1">
        <f t="array" ref="HU4">IF(_xlfn.TEXTJOIN(", ", TRUE, IF(ISNUMBER(SEARCH("ORA", BL4:BT4)), COLUMN(BL4:BT4) - COLUMN(BL4) + 1, ""))&lt;&gt;"","ORA","")</f>
        <v/>
      </c>
      <c r="HV4" s="44" t="str" cm="1">
        <f t="array" ref="HV4">IF(_xlfn.TEXTJOIN(", ", TRUE, IF(ISNUMBER(SEARCH("BRO", BL4:BT4)), COLUMN(BL4:BT4) - COLUMN(BL4) + 1, ""))&lt;&gt;"","BRO","")</f>
        <v>BRO</v>
      </c>
      <c r="HW4" s="44" t="str" cm="1">
        <f t="array" ref="HW4">IF(_xlfn.TEXTJOIN(", ", TRUE, IF(ISNUMBER(SEARCH("PUR", BL4:BT4)), COLUMN(BL4:BT4) - COLUMN(BL4) + 1, ""))&lt;&gt;"","PUR","")</f>
        <v/>
      </c>
      <c r="HX4" s="44" t="str" cm="1">
        <f t="array" ref="HX4">IF(_xlfn.TEXTJOIN(", ", TRUE, IF(ISNUMBER(SEARCH("WHI", BL4:BT4)), COLUMN(BL4:BT4) - COLUMN(BL4) + 1, ""))&lt;&gt;"","WHI","")</f>
        <v>WHI</v>
      </c>
      <c r="HY4" s="72"/>
      <c r="HZ4" s="72"/>
      <c r="IA4" s="5"/>
      <c r="IB4" s="5"/>
      <c r="IC4" s="68"/>
      <c r="ID4" s="68"/>
      <c r="IE4" s="68"/>
      <c r="IF4" s="68"/>
      <c r="IG4" s="68"/>
      <c r="IH4" s="68"/>
      <c r="II4" s="68"/>
      <c r="IJ4" s="68"/>
      <c r="IK4" s="68"/>
      <c r="IM4" s="42">
        <f>COUNTIF(IC4:IK4,"&gt;0")-CG4</f>
        <v>-5</v>
      </c>
      <c r="IN4" s="69" t="str">
        <f>"http://mkweb.bcgsc.ca/color-summarizer/?url="&amp;D4&amp;"&amp;precision=low&amp;num_clusters="&amp;CG4&amp;"&amp;text=1"</f>
        <v>http://mkweb.bcgsc.ca/color-summarizer/?url=https://www.fotw.info/images/n/nu_mutalau.jpg&amp;precision=low&amp;num_clusters=5&amp;text=1</v>
      </c>
      <c r="IO4" s="44" t="str">
        <f>IF(HP4&lt;&gt;"",CHAR(34)&amp;"black"&amp;CHAR(34),"")</f>
        <v/>
      </c>
      <c r="IP4" s="44" t="str">
        <f>IF(HQ4&lt;&gt;"",CHAR(34)&amp;"blue"&amp;CHAR(34),"")</f>
        <v>"blue"</v>
      </c>
      <c r="IQ4" s="44" t="str">
        <f>IF(HR4&lt;&gt;"",CHAR(34)&amp;"green"&amp;CHAR(34),"")</f>
        <v/>
      </c>
      <c r="IR4" s="44" t="str">
        <f>IF(HS4&lt;&gt;"",CHAR(34)&amp;"red"&amp;CHAR(34),"")</f>
        <v>"red"</v>
      </c>
      <c r="IS4" s="44" t="str">
        <f>IF(HT4&lt;&gt;"",CHAR(34)&amp;"yellow"&amp;CHAR(34),"")</f>
        <v>"yellow"</v>
      </c>
      <c r="IT4" s="44" t="str">
        <f>IF(HU4&lt;&gt;"",CHAR(34)&amp;"orange"&amp;CHAR(34),"")</f>
        <v/>
      </c>
      <c r="IU4" s="44" t="str">
        <f>IF(HV4&lt;&gt;"",CHAR(34)&amp;"brown"&amp;CHAR(34),"")</f>
        <v>"brown"</v>
      </c>
      <c r="IV4" s="44" t="str">
        <f>IF(HW4&lt;&gt;"",CHAR(34)&amp;"purple"&amp;CHAR(34),"")</f>
        <v/>
      </c>
      <c r="IW4" s="44" t="str">
        <f>IF(HX4&lt;&gt;"",CHAR(34)&amp;"white"&amp;CHAR(34),"")</f>
        <v>"white"</v>
      </c>
      <c r="IX4" s="44" t="str">
        <f>"{"&amp;CHAR(34)&amp;"url"&amp;CHAR(34)&amp;":"&amp;CHAR(34)&amp;IN4&amp;CHAR(34)&amp;","&amp;CHAR(34)&amp;"name"&amp;CHAR(34)&amp;":"&amp;CHAR(34)&amp;A4&amp;CHAR(34)&amp;"},"</f>
        <v>{"url":"http://mkweb.bcgsc.ca/color-summarizer/?url=https://www.fotw.info/images/n/nu_mutalau.jpg&amp;precision=low&amp;num_clusters=5&amp;text=1","name":"[NIU] Mutalau"},</v>
      </c>
      <c r="IY4" s="44">
        <v>1503</v>
      </c>
    </row>
  </sheetData>
  <autoFilter ref="A1:IY4" xr:uid="{A1051193-A95B-4CFB-A73C-F0184620C81F}">
    <sortState xmlns:xlrd2="http://schemas.microsoft.com/office/spreadsheetml/2017/richdata2" ref="A2:IY4">
      <sortCondition ref="AW1:AW4"/>
    </sortState>
  </autoFilter>
  <conditionalFormatting sqref="H1 CW1:GS1 IA1:IB1">
    <cfRule type="cellIs" dxfId="925" priority="66" operator="greaterThan">
      <formula>0</formula>
    </cfRule>
  </conditionalFormatting>
  <conditionalFormatting sqref="H1:H1048576">
    <cfRule type="cellIs" dxfId="924" priority="6" stopIfTrue="1" operator="notEqual">
      <formula>""</formula>
    </cfRule>
  </conditionalFormatting>
  <conditionalFormatting sqref="R2:R4 CU2:CU4">
    <cfRule type="cellIs" dxfId="923" priority="8" operator="greaterThan">
      <formula>0</formula>
    </cfRule>
  </conditionalFormatting>
  <conditionalFormatting sqref="T2:AS4 CH2:CS4">
    <cfRule type="cellIs" dxfId="922" priority="3" stopIfTrue="1" operator="equal">
      <formula>"n"</formula>
    </cfRule>
    <cfRule type="cellIs" dxfId="921" priority="4" stopIfTrue="1" operator="equal">
      <formula>"y"</formula>
    </cfRule>
    <cfRule type="cellIs" dxfId="920" priority="5" operator="greaterThan">
      <formula>0</formula>
    </cfRule>
  </conditionalFormatting>
  <conditionalFormatting sqref="T1:BK1">
    <cfRule type="cellIs" dxfId="919" priority="69" operator="greaterThan">
      <formula>0</formula>
    </cfRule>
  </conditionalFormatting>
  <conditionalFormatting sqref="AZ2:BB4">
    <cfRule type="expression" dxfId="918" priority="2">
      <formula>$AT2=0</formula>
    </cfRule>
  </conditionalFormatting>
  <conditionalFormatting sqref="AZ2:BU4">
    <cfRule type="cellIs" dxfId="917" priority="44" operator="equal">
      <formula>"PIN"</formula>
    </cfRule>
    <cfRule type="cellIs" dxfId="916" priority="45" operator="equal">
      <formula>"ORA"</formula>
    </cfRule>
    <cfRule type="cellIs" dxfId="915" priority="46" operator="equal">
      <formula>"GRA"</formula>
    </cfRule>
    <cfRule type="cellIs" dxfId="914" priority="47" operator="equal">
      <formula>"PUR"</formula>
    </cfRule>
    <cfRule type="cellIs" dxfId="913" priority="48" operator="equal">
      <formula>"BRO"</formula>
    </cfRule>
    <cfRule type="cellIs" dxfId="912" priority="49" operator="equal">
      <formula>"YEL"</formula>
    </cfRule>
    <cfRule type="cellIs" dxfId="911" priority="50" operator="equal">
      <formula>"BLU"</formula>
    </cfRule>
    <cfRule type="cellIs" dxfId="910" priority="51" operator="equal">
      <formula>"WHI"</formula>
    </cfRule>
    <cfRule type="cellIs" dxfId="909" priority="52" operator="equal">
      <formula>"GRE"</formula>
    </cfRule>
    <cfRule type="cellIs" dxfId="908" priority="53" operator="equal">
      <formula>"RED"</formula>
    </cfRule>
    <cfRule type="cellIs" dxfId="907" priority="54" operator="equal">
      <formula>"BLA"</formula>
    </cfRule>
  </conditionalFormatting>
  <conditionalFormatting sqref="BV1:BW1048576">
    <cfRule type="cellIs" dxfId="906" priority="68" operator="equal">
      <formula>"nc"</formula>
    </cfRule>
  </conditionalFormatting>
  <conditionalFormatting sqref="BX2:CA4 CD2:CF4">
    <cfRule type="cellIs" dxfId="905" priority="7" operator="equal">
      <formula>"y"</formula>
    </cfRule>
    <cfRule type="cellIs" dxfId="904" priority="55" operator="equal">
      <formula>"PIN"</formula>
    </cfRule>
    <cfRule type="cellIs" dxfId="903" priority="56" operator="equal">
      <formula>"ORA"</formula>
    </cfRule>
    <cfRule type="cellIs" dxfId="902" priority="57" operator="equal">
      <formula>"GRA"</formula>
    </cfRule>
    <cfRule type="cellIs" dxfId="901" priority="58" operator="equal">
      <formula>"PUR"</formula>
    </cfRule>
    <cfRule type="cellIs" dxfId="900" priority="59" operator="equal">
      <formula>"BRO"</formula>
    </cfRule>
    <cfRule type="cellIs" dxfId="899" priority="60" operator="equal">
      <formula>"YEL"</formula>
    </cfRule>
    <cfRule type="cellIs" dxfId="898" priority="61" operator="equal">
      <formula>"BLU"</formula>
    </cfRule>
    <cfRule type="cellIs" dxfId="897" priority="62" operator="equal">
      <formula>"WHI"</formula>
    </cfRule>
    <cfRule type="cellIs" dxfId="896" priority="63" operator="equal">
      <formula>"GRE"</formula>
    </cfRule>
    <cfRule type="cellIs" dxfId="895" priority="64" operator="equal">
      <formula>"RED"</formula>
    </cfRule>
    <cfRule type="cellIs" dxfId="894" priority="65" operator="equal">
      <formula>"BLA"</formula>
    </cfRule>
  </conditionalFormatting>
  <conditionalFormatting sqref="BZ2:CA4 CD2:CF4">
    <cfRule type="cellIs" dxfId="893" priority="9" operator="greaterThan">
      <formula>0</formula>
    </cfRule>
  </conditionalFormatting>
  <conditionalFormatting sqref="HF1:HG1">
    <cfRule type="cellIs" dxfId="892" priority="70" operator="greaterThan">
      <formula>0</formula>
    </cfRule>
  </conditionalFormatting>
  <conditionalFormatting sqref="HK1">
    <cfRule type="cellIs" dxfId="891" priority="67" operator="greaterThan">
      <formula>0</formula>
    </cfRule>
  </conditionalFormatting>
  <conditionalFormatting sqref="HP1:HX1">
    <cfRule type="cellIs" dxfId="890" priority="21" operator="equal">
      <formula>"PIN"</formula>
    </cfRule>
    <cfRule type="cellIs" dxfId="889" priority="22" operator="equal">
      <formula>"ORA"</formula>
    </cfRule>
    <cfRule type="cellIs" dxfId="888" priority="23" operator="equal">
      <formula>"GRA"</formula>
    </cfRule>
    <cfRule type="cellIs" dxfId="887" priority="24" operator="equal">
      <formula>"PUR"</formula>
    </cfRule>
    <cfRule type="cellIs" dxfId="886" priority="25" operator="equal">
      <formula>"BRO"</formula>
    </cfRule>
    <cfRule type="cellIs" dxfId="885" priority="26" operator="equal">
      <formula>"YEL"</formula>
    </cfRule>
    <cfRule type="cellIs" dxfId="884" priority="27" operator="equal">
      <formula>"BLU"</formula>
    </cfRule>
    <cfRule type="cellIs" dxfId="883" priority="28" operator="equal">
      <formula>"WHI"</formula>
    </cfRule>
    <cfRule type="cellIs" dxfId="882" priority="29" operator="equal">
      <formula>"GRE"</formula>
    </cfRule>
    <cfRule type="cellIs" dxfId="881" priority="30" operator="equal">
      <formula>"RED"</formula>
    </cfRule>
    <cfRule type="cellIs" dxfId="880" priority="31" operator="equal">
      <formula>"BLA"</formula>
    </cfRule>
  </conditionalFormatting>
  <conditionalFormatting sqref="IC1:IK1">
    <cfRule type="cellIs" dxfId="879" priority="33" operator="equal">
      <formula>"PIN"</formula>
    </cfRule>
    <cfRule type="cellIs" dxfId="878" priority="34" operator="equal">
      <formula>"ORA"</formula>
    </cfRule>
    <cfRule type="cellIs" dxfId="877" priority="35" operator="equal">
      <formula>"GRA"</formula>
    </cfRule>
    <cfRule type="cellIs" dxfId="876" priority="36" operator="equal">
      <formula>"PUR"</formula>
    </cfRule>
    <cfRule type="cellIs" dxfId="875" priority="37" operator="equal">
      <formula>"BRO"</formula>
    </cfRule>
    <cfRule type="cellIs" dxfId="874" priority="38" operator="equal">
      <formula>"YEL"</formula>
    </cfRule>
    <cfRule type="cellIs" dxfId="873" priority="39" operator="equal">
      <formula>"BLU"</formula>
    </cfRule>
    <cfRule type="cellIs" dxfId="872" priority="40" operator="equal">
      <formula>"WHI"</formula>
    </cfRule>
    <cfRule type="cellIs" dxfId="871" priority="41" operator="equal">
      <formula>"GRE"</formula>
    </cfRule>
    <cfRule type="cellIs" dxfId="870" priority="42" operator="equal">
      <formula>"RED"</formula>
    </cfRule>
    <cfRule type="cellIs" dxfId="869" priority="43" operator="equal">
      <formula>"BLA"</formula>
    </cfRule>
  </conditionalFormatting>
  <conditionalFormatting sqref="IC2:IK4">
    <cfRule type="expression" dxfId="868" priority="32">
      <formula>$IL2&gt;0</formula>
    </cfRule>
  </conditionalFormatting>
  <conditionalFormatting sqref="IO1:IW1">
    <cfRule type="cellIs" dxfId="867" priority="10" operator="equal">
      <formula>"PIN"</formula>
    </cfRule>
    <cfRule type="cellIs" dxfId="866" priority="11" operator="equal">
      <formula>"ORA"</formula>
    </cfRule>
    <cfRule type="cellIs" dxfId="865" priority="12" operator="equal">
      <formula>"GRA"</formula>
    </cfRule>
    <cfRule type="cellIs" dxfId="864" priority="13" operator="equal">
      <formula>"PUR"</formula>
    </cfRule>
    <cfRule type="cellIs" dxfId="863" priority="14" operator="equal">
      <formula>"BRO"</formula>
    </cfRule>
    <cfRule type="cellIs" dxfId="862" priority="15" operator="equal">
      <formula>"YEL"</formula>
    </cfRule>
    <cfRule type="cellIs" dxfId="861" priority="16" operator="equal">
      <formula>"BLU"</formula>
    </cfRule>
    <cfRule type="cellIs" dxfId="860" priority="17" operator="equal">
      <formula>"WHI"</formula>
    </cfRule>
    <cfRule type="cellIs" dxfId="859" priority="18" operator="equal">
      <formula>"GRE"</formula>
    </cfRule>
    <cfRule type="cellIs" dxfId="858" priority="19" operator="equal">
      <formula>"RED"</formula>
    </cfRule>
    <cfRule type="cellIs" dxfId="857" priority="20" operator="equal">
      <formula>"BLA"</formula>
    </cfRule>
  </conditionalFormatting>
  <conditionalFormatting sqref="S2:S4">
    <cfRule type="colorScale" priority="3159">
      <colorScale>
        <cfvo type="min"/>
        <cfvo type="max"/>
        <color rgb="FFFCFCFF"/>
        <color rgb="FF754BFB"/>
      </colorScale>
    </cfRule>
  </conditionalFormatting>
  <conditionalFormatting sqref="AT2:AT4">
    <cfRule type="colorScale" priority="3160">
      <colorScale>
        <cfvo type="min"/>
        <cfvo type="max"/>
        <color rgb="FFFCFCFF"/>
        <color theme="8" tint="0.39997558519241921"/>
      </colorScale>
    </cfRule>
  </conditionalFormatting>
  <conditionalFormatting sqref="CG2:CG4">
    <cfRule type="colorScale" priority="3161">
      <colorScale>
        <cfvo type="min"/>
        <cfvo type="max"/>
        <color rgb="FFFCFCFF"/>
        <color rgb="FF63BE7B"/>
      </colorScale>
    </cfRule>
  </conditionalFormatting>
  <conditionalFormatting sqref="J2:J4">
    <cfRule type="colorScale" priority="1">
      <colorScale>
        <cfvo type="min"/>
        <cfvo type="percentile" val="50"/>
        <cfvo type="max"/>
        <color rgb="FFF8696B"/>
        <color rgb="FFFFEB84"/>
        <color rgb="FF63BE7B"/>
      </colorScale>
    </cfRule>
  </conditionalFormatting>
  <hyperlinks>
    <hyperlink ref="I2" r:id="rId1" xr:uid="{141DE5BB-9F4E-4FC5-AE91-379A20F1E29D}"/>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1505" r:id="rId5" name="Button 1">
              <controlPr defaultSize="0" print="0" autoFill="0" autoPict="0" macro="[0]!InsertImagesFromSelectedRange">
                <anchor moveWithCells="1" sizeWithCells="1">
                  <from>
                    <xdr:col>1</xdr:col>
                    <xdr:colOff>76200</xdr:colOff>
                    <xdr:row>0</xdr:row>
                    <xdr:rowOff>7620</xdr:rowOff>
                  </from>
                  <to>
                    <xdr:col>2</xdr:col>
                    <xdr:colOff>0</xdr:colOff>
                    <xdr:row>0</xdr:row>
                    <xdr:rowOff>487680</xdr:rowOff>
                  </to>
                </anchor>
              </controlPr>
            </control>
          </mc:Choice>
        </mc:AlternateContent>
        <mc:AlternateContent xmlns:mc="http://schemas.openxmlformats.org/markup-compatibility/2006">
          <mc:Choice Requires="x14">
            <control shapeId="21506" r:id="rId6" name="Button 2">
              <controlPr defaultSize="0" print="0" autoFill="0" autoPict="0" macro="[0]!ReplaceLineBreaksWithNewLineManualRange">
                <anchor moveWithCells="1" sizeWithCells="1">
                  <from>
                    <xdr:col>7</xdr:col>
                    <xdr:colOff>15240</xdr:colOff>
                    <xdr:row>0</xdr:row>
                    <xdr:rowOff>45720</xdr:rowOff>
                  </from>
                  <to>
                    <xdr:col>7</xdr:col>
                    <xdr:colOff>685800</xdr:colOff>
                    <xdr:row>0</xdr:row>
                    <xdr:rowOff>403860</xdr:rowOff>
                  </to>
                </anchor>
              </controlPr>
            </control>
          </mc:Choice>
        </mc:AlternateContent>
        <mc:AlternateContent xmlns:mc="http://schemas.openxmlformats.org/markup-compatibility/2006">
          <mc:Choice Requires="x14">
            <control shapeId="21507" r:id="rId7" name="Button 3">
              <controlPr defaultSize="0" print="0" autoFill="0" autoPict="0" macro="[0]!GoToSheet">
                <anchor moveWithCells="1" sizeWithCells="1">
                  <from>
                    <xdr:col>0</xdr:col>
                    <xdr:colOff>137160</xdr:colOff>
                    <xdr:row>0</xdr:row>
                    <xdr:rowOff>114300</xdr:rowOff>
                  </from>
                  <to>
                    <xdr:col>0</xdr:col>
                    <xdr:colOff>762000</xdr:colOff>
                    <xdr:row>0</xdr:row>
                    <xdr:rowOff>419100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187EDB-465D-4399-A61A-590806AEC318}">
  <sheetPr codeName="Sheet19"/>
  <dimension ref="A1:IY5"/>
  <sheetViews>
    <sheetView zoomScale="70" zoomScaleNormal="70" workbookViewId="0">
      <pane xSplit="5" ySplit="1" topLeftCell="F2" activePane="bottomRight" state="frozen"/>
      <selection activeCell="A2" sqref="A2"/>
      <selection pane="topRight" activeCell="A2" sqref="A2"/>
      <selection pane="bottomLeft" activeCell="A2" sqref="A2"/>
      <selection pane="bottomRight" activeCell="B2" sqref="B2"/>
    </sheetView>
  </sheetViews>
  <sheetFormatPr defaultRowHeight="38.4" customHeight="1" x14ac:dyDescent="0.3"/>
  <cols>
    <col min="1" max="1" width="52.44140625" style="82" bestFit="1" customWidth="1"/>
    <col min="2" max="2" width="10.109375" style="82" customWidth="1"/>
    <col min="3" max="3" width="7.44140625" style="83" customWidth="1"/>
    <col min="4" max="4" width="4.77734375" style="84" customWidth="1"/>
    <col min="5" max="5" width="4.5546875" style="84" customWidth="1"/>
    <col min="6" max="6" width="5.77734375" style="84" customWidth="1"/>
    <col min="7" max="7" width="7.44140625" style="82" customWidth="1"/>
    <col min="8" max="8" width="11.44140625" style="82" customWidth="1"/>
    <col min="9" max="9" width="10" style="82" customWidth="1"/>
    <col min="10" max="10" width="4.21875" style="82" customWidth="1"/>
    <col min="11" max="11" width="5.6640625" style="84" customWidth="1"/>
    <col min="12" max="12" width="2.88671875" style="84" customWidth="1"/>
    <col min="13" max="13" width="6.44140625" style="84" customWidth="1"/>
    <col min="14" max="14" width="4.5546875" style="84" customWidth="1"/>
    <col min="15" max="15" width="10.5546875" style="85" customWidth="1"/>
    <col min="16" max="16" width="6.88671875" style="84" customWidth="1"/>
    <col min="17" max="17" width="4.77734375" style="84" customWidth="1"/>
    <col min="18" max="18" width="13.109375" style="83" customWidth="1"/>
    <col min="19" max="19" width="6.77734375" style="83" customWidth="1"/>
    <col min="20" max="46" width="8.44140625" style="82" customWidth="1"/>
    <col min="47" max="47" width="24.5546875" style="82" customWidth="1"/>
    <col min="48" max="51" width="16.6640625" style="82" customWidth="1"/>
    <col min="52" max="52" width="6.5546875" style="82" customWidth="1"/>
    <col min="53" max="54" width="5.88671875" style="82" customWidth="1"/>
    <col min="55" max="55" width="1.33203125" style="82" customWidth="1"/>
    <col min="56" max="56" width="7.44140625" style="82" customWidth="1"/>
    <col min="57" max="57" width="2.33203125" style="82" customWidth="1"/>
    <col min="58" max="62" width="6.109375" style="82" customWidth="1"/>
    <col min="63" max="63" width="2.33203125" style="82" customWidth="1"/>
    <col min="64" max="64" width="7" style="82" bestFit="1" customWidth="1"/>
    <col min="65" max="65" width="6.44140625" style="82" bestFit="1" customWidth="1"/>
    <col min="66" max="66" width="7.109375" style="82" bestFit="1" customWidth="1"/>
    <col min="67" max="71" width="6.44140625" style="82" bestFit="1" customWidth="1"/>
    <col min="72" max="73" width="6.44140625" style="82" customWidth="1"/>
    <col min="74" max="75" width="13.44140625" style="82" customWidth="1"/>
    <col min="76" max="84" width="14.6640625" style="82" customWidth="1"/>
    <col min="85" max="85" width="6.44140625" style="82" customWidth="1"/>
    <col min="86" max="87" width="11.6640625" style="82" bestFit="1" customWidth="1"/>
    <col min="88" max="88" width="11.6640625" style="82" customWidth="1"/>
    <col min="89" max="89" width="12.77734375" style="82" bestFit="1" customWidth="1"/>
    <col min="90" max="90" width="16.44140625" style="83" bestFit="1" customWidth="1"/>
    <col min="91" max="92" width="14.88671875" style="83" bestFit="1" customWidth="1"/>
    <col min="93" max="93" width="16" style="83" bestFit="1" customWidth="1"/>
    <col min="94" max="97" width="7.77734375" style="82" customWidth="1"/>
    <col min="98" max="98" width="33.21875" style="82" customWidth="1"/>
    <col min="99" max="99" width="18" style="82" customWidth="1"/>
    <col min="100" max="100" width="75.6640625" style="82" customWidth="1"/>
    <col min="101" max="125" width="33" style="82" customWidth="1"/>
    <col min="126" max="126" width="8.88671875" style="82"/>
    <col min="127" max="128" width="9.44140625" style="82" bestFit="1" customWidth="1"/>
    <col min="129" max="129" width="10.77734375" style="82" bestFit="1" customWidth="1"/>
    <col min="130" max="134" width="10.77734375" style="82" customWidth="1"/>
    <col min="135" max="135" width="10.109375" style="82" bestFit="1" customWidth="1"/>
    <col min="136" max="136" width="7.77734375" style="82" bestFit="1" customWidth="1"/>
    <col min="137" max="137" width="7.77734375" style="82" customWidth="1"/>
    <col min="138" max="138" width="9" style="82" bestFit="1" customWidth="1"/>
    <col min="139" max="139" width="11.33203125" style="82" bestFit="1" customWidth="1"/>
    <col min="140" max="140" width="9.109375" style="82" bestFit="1" customWidth="1"/>
    <col min="141" max="141" width="9" style="82" bestFit="1" customWidth="1"/>
    <col min="142" max="142" width="12" style="82" bestFit="1" customWidth="1"/>
    <col min="143" max="166" width="12" style="82" customWidth="1"/>
    <col min="167" max="167" width="17.21875" style="82" customWidth="1"/>
    <col min="168" max="191" width="12" style="82" customWidth="1"/>
    <col min="192" max="192" width="8.5546875" style="82" bestFit="1" customWidth="1"/>
    <col min="193" max="193" width="8.5546875" style="82" customWidth="1"/>
    <col min="194" max="194" width="7.109375" style="82" bestFit="1" customWidth="1"/>
    <col min="195" max="195" width="7.5546875" style="82" bestFit="1" customWidth="1"/>
    <col min="196" max="196" width="8.5546875" style="82" bestFit="1" customWidth="1"/>
    <col min="197" max="200" width="8.5546875" style="82" customWidth="1"/>
    <col min="201" max="201" width="188.88671875" style="82" customWidth="1"/>
    <col min="202" max="202" width="9.5546875" style="82" bestFit="1" customWidth="1"/>
    <col min="203" max="203" width="10.44140625" style="82" bestFit="1" customWidth="1"/>
    <col min="204" max="204" width="11.109375" style="82" bestFit="1" customWidth="1"/>
    <col min="205" max="205" width="10.44140625" style="82" bestFit="1" customWidth="1"/>
    <col min="206" max="210" width="10.44140625" style="82" customWidth="1"/>
    <col min="211" max="211" width="45.44140625" style="82" customWidth="1"/>
    <col min="212" max="212" width="47.5546875" style="82" bestFit="1" customWidth="1"/>
    <col min="213" max="213" width="9.33203125" style="86" customWidth="1"/>
    <col min="214" max="214" width="119.5546875" style="82" customWidth="1"/>
    <col min="215" max="215" width="69.6640625" style="82" customWidth="1"/>
    <col min="216" max="218" width="8.88671875" style="82"/>
    <col min="219" max="219" width="37.109375" style="82" customWidth="1"/>
    <col min="220" max="220" width="16.33203125" style="82" customWidth="1"/>
    <col min="221" max="222" width="8.88671875" style="82"/>
    <col min="223" max="223" width="10.109375" style="82" bestFit="1" customWidth="1"/>
    <col min="224" max="232" width="10.88671875" style="82" customWidth="1"/>
    <col min="233" max="234" width="30.77734375" style="82" customWidth="1"/>
    <col min="235" max="235" width="5.109375" style="82" customWidth="1"/>
    <col min="236" max="236" width="3" style="82" customWidth="1"/>
    <col min="237" max="245" width="6.77734375" style="76" customWidth="1"/>
    <col min="246" max="247" width="8.88671875" style="82"/>
    <col min="248" max="248" width="61.5546875" style="82" customWidth="1"/>
    <col min="249" max="253" width="8.88671875" style="82"/>
    <col min="254" max="254" width="9" style="82" customWidth="1"/>
    <col min="255" max="16384" width="8.88671875" style="82"/>
  </cols>
  <sheetData>
    <row r="1" spans="1:259" s="5" customFormat="1" ht="38.4" customHeight="1" thickBot="1" x14ac:dyDescent="0.35">
      <c r="A1" s="1" t="s">
        <v>0</v>
      </c>
      <c r="B1" s="79" t="s">
        <v>1</v>
      </c>
      <c r="C1" s="2" t="s">
        <v>2</v>
      </c>
      <c r="D1" s="3"/>
      <c r="E1" s="3" t="s">
        <v>3</v>
      </c>
      <c r="F1" s="4"/>
      <c r="H1" s="6" t="s">
        <v>4</v>
      </c>
      <c r="J1" s="5" t="s">
        <v>5</v>
      </c>
      <c r="K1" s="7" t="s">
        <v>6</v>
      </c>
      <c r="L1" s="8" t="s">
        <v>7</v>
      </c>
      <c r="M1" s="8" t="s">
        <v>8</v>
      </c>
      <c r="N1" s="9" t="s">
        <v>9</v>
      </c>
      <c r="O1" s="10" t="s">
        <v>10</v>
      </c>
      <c r="P1" s="11" t="s">
        <v>11</v>
      </c>
      <c r="Q1" s="11" t="s">
        <v>12</v>
      </c>
      <c r="R1" s="12" t="s">
        <v>0</v>
      </c>
      <c r="S1" s="13" t="s">
        <v>13</v>
      </c>
      <c r="T1" s="14" t="s">
        <v>14</v>
      </c>
      <c r="U1" s="14" t="s">
        <v>15</v>
      </c>
      <c r="V1" s="15" t="s">
        <v>16</v>
      </c>
      <c r="W1" s="14" t="s">
        <v>17</v>
      </c>
      <c r="X1" s="14" t="s">
        <v>18</v>
      </c>
      <c r="Y1" s="14" t="s">
        <v>19</v>
      </c>
      <c r="Z1" s="14" t="s">
        <v>20</v>
      </c>
      <c r="AA1" s="14" t="s">
        <v>21</v>
      </c>
      <c r="AB1" s="14" t="s">
        <v>22</v>
      </c>
      <c r="AC1" s="14" t="s">
        <v>23</v>
      </c>
      <c r="AD1" s="14" t="s">
        <v>24</v>
      </c>
      <c r="AE1" s="14" t="s">
        <v>25</v>
      </c>
      <c r="AF1" s="16" t="s">
        <v>26</v>
      </c>
      <c r="AG1" s="16" t="s">
        <v>27</v>
      </c>
      <c r="AH1" s="16" t="s">
        <v>28</v>
      </c>
      <c r="AI1" s="16" t="s">
        <v>29</v>
      </c>
      <c r="AJ1" s="16" t="s">
        <v>30</v>
      </c>
      <c r="AK1" s="16" t="s">
        <v>31</v>
      </c>
      <c r="AL1" s="16" t="s">
        <v>32</v>
      </c>
      <c r="AM1" s="16" t="s">
        <v>33</v>
      </c>
      <c r="AN1" s="16" t="s">
        <v>34</v>
      </c>
      <c r="AO1" s="16" t="s">
        <v>35</v>
      </c>
      <c r="AP1" s="16" t="s">
        <v>36</v>
      </c>
      <c r="AQ1" s="16" t="s">
        <v>37</v>
      </c>
      <c r="AR1" s="16" t="s">
        <v>38</v>
      </c>
      <c r="AS1" s="16" t="s">
        <v>39</v>
      </c>
      <c r="AT1" s="17" t="s">
        <v>40</v>
      </c>
      <c r="AU1" s="18" t="s">
        <v>41</v>
      </c>
      <c r="AV1" s="18" t="s">
        <v>42</v>
      </c>
      <c r="AW1" s="18" t="s">
        <v>43</v>
      </c>
      <c r="AX1" s="19"/>
      <c r="AY1" s="20" t="s">
        <v>44</v>
      </c>
      <c r="AZ1" s="19" t="s">
        <v>45</v>
      </c>
      <c r="BA1" s="19"/>
      <c r="BB1" s="19"/>
      <c r="BC1" s="21"/>
      <c r="BD1" s="19" t="s">
        <v>46</v>
      </c>
      <c r="BE1" s="21"/>
      <c r="BF1" s="19" t="s">
        <v>47</v>
      </c>
      <c r="BG1" s="19" t="s">
        <v>48</v>
      </c>
      <c r="BH1" s="19" t="s">
        <v>49</v>
      </c>
      <c r="BI1" s="19" t="s">
        <v>50</v>
      </c>
      <c r="BJ1" s="19" t="s">
        <v>51</v>
      </c>
      <c r="BK1" s="21"/>
      <c r="BL1" s="22" t="s">
        <v>52</v>
      </c>
      <c r="BM1" s="22"/>
      <c r="BN1" s="22"/>
      <c r="BO1" s="22"/>
      <c r="BP1" s="22"/>
      <c r="BQ1" s="22"/>
      <c r="BR1" s="22"/>
      <c r="BS1" s="22"/>
      <c r="BT1" s="23"/>
      <c r="BU1" s="23" t="s">
        <v>53</v>
      </c>
      <c r="BV1" s="23" t="s">
        <v>54</v>
      </c>
      <c r="BW1" s="23" t="s">
        <v>55</v>
      </c>
      <c r="BX1" s="23"/>
      <c r="BY1" s="23" t="s">
        <v>56</v>
      </c>
      <c r="BZ1" s="23" t="s">
        <v>57</v>
      </c>
      <c r="CA1" s="23" t="s">
        <v>58</v>
      </c>
      <c r="CB1" s="23" t="s">
        <v>59</v>
      </c>
      <c r="CC1" s="23" t="s">
        <v>60</v>
      </c>
      <c r="CD1" s="23" t="s">
        <v>61</v>
      </c>
      <c r="CE1" s="23" t="s">
        <v>62</v>
      </c>
      <c r="CF1" s="23" t="s">
        <v>63</v>
      </c>
      <c r="CG1" s="23"/>
      <c r="CH1" s="23" t="s">
        <v>64</v>
      </c>
      <c r="CI1" s="23" t="s">
        <v>65</v>
      </c>
      <c r="CJ1" s="23" t="s">
        <v>66</v>
      </c>
      <c r="CK1" s="23" t="s">
        <v>67</v>
      </c>
      <c r="CL1" s="24" t="s">
        <v>68</v>
      </c>
      <c r="CM1" s="24" t="s">
        <v>69</v>
      </c>
      <c r="CN1" s="24" t="s">
        <v>70</v>
      </c>
      <c r="CO1" s="24" t="s">
        <v>71</v>
      </c>
      <c r="CP1" s="24" t="s">
        <v>72</v>
      </c>
      <c r="CQ1" s="24" t="s">
        <v>73</v>
      </c>
      <c r="CR1" s="24" t="s">
        <v>74</v>
      </c>
      <c r="CS1" s="24" t="s">
        <v>75</v>
      </c>
      <c r="CT1" s="1" t="s">
        <v>76</v>
      </c>
      <c r="CU1" s="25" t="s">
        <v>0</v>
      </c>
      <c r="CV1" s="5" t="s">
        <v>77</v>
      </c>
      <c r="CW1" s="14" t="s">
        <v>78</v>
      </c>
      <c r="CX1" s="14" t="s">
        <v>79</v>
      </c>
      <c r="CY1" s="14" t="s">
        <v>66</v>
      </c>
      <c r="CZ1" s="14" t="s">
        <v>80</v>
      </c>
      <c r="DA1" s="14" t="s">
        <v>81</v>
      </c>
      <c r="DB1" s="14" t="s">
        <v>82</v>
      </c>
      <c r="DC1" s="14" t="s">
        <v>83</v>
      </c>
      <c r="DD1" s="14" t="s">
        <v>84</v>
      </c>
      <c r="DE1" s="14" t="s">
        <v>85</v>
      </c>
      <c r="DF1" s="14" t="s">
        <v>86</v>
      </c>
      <c r="DG1" s="14" t="s">
        <v>87</v>
      </c>
      <c r="DH1" s="14" t="s">
        <v>88</v>
      </c>
      <c r="DI1" s="14" t="s">
        <v>89</v>
      </c>
      <c r="DJ1" s="14" t="s">
        <v>90</v>
      </c>
      <c r="DK1" s="14" t="s">
        <v>91</v>
      </c>
      <c r="DL1" s="14" t="s">
        <v>92</v>
      </c>
      <c r="DM1" s="14" t="s">
        <v>93</v>
      </c>
      <c r="DN1" s="14" t="s">
        <v>94</v>
      </c>
      <c r="DO1" s="14" t="s">
        <v>95</v>
      </c>
      <c r="DP1" s="14" t="s">
        <v>96</v>
      </c>
      <c r="DQ1" s="14" t="s">
        <v>97</v>
      </c>
      <c r="DR1" s="14" t="s">
        <v>56</v>
      </c>
      <c r="DS1" s="14" t="s">
        <v>98</v>
      </c>
      <c r="DT1" s="14" t="s">
        <v>99</v>
      </c>
      <c r="DU1" s="14" t="s">
        <v>100</v>
      </c>
      <c r="DV1" s="14" t="s">
        <v>101</v>
      </c>
      <c r="DW1" s="14" t="s">
        <v>102</v>
      </c>
      <c r="DX1" s="14" t="s">
        <v>103</v>
      </c>
      <c r="DY1" s="14" t="s">
        <v>104</v>
      </c>
      <c r="DZ1" s="14" t="s">
        <v>105</v>
      </c>
      <c r="EA1" s="14" t="s">
        <v>106</v>
      </c>
      <c r="EB1" s="14" t="s">
        <v>107</v>
      </c>
      <c r="EC1" s="14" t="s">
        <v>108</v>
      </c>
      <c r="ED1" s="14" t="s">
        <v>109</v>
      </c>
      <c r="EE1" s="15" t="s">
        <v>18</v>
      </c>
      <c r="EF1" s="14" t="s">
        <v>19</v>
      </c>
      <c r="EG1" s="14" t="s">
        <v>20</v>
      </c>
      <c r="EH1" s="14" t="s">
        <v>21</v>
      </c>
      <c r="EI1" s="14" t="s">
        <v>110</v>
      </c>
      <c r="EJ1" s="14" t="s">
        <v>23</v>
      </c>
      <c r="EK1" s="14" t="s">
        <v>111</v>
      </c>
      <c r="EL1" s="14" t="s">
        <v>112</v>
      </c>
      <c r="EM1" s="14" t="s">
        <v>26</v>
      </c>
      <c r="EN1" s="16" t="s">
        <v>27</v>
      </c>
      <c r="EO1" s="16" t="s">
        <v>28</v>
      </c>
      <c r="EP1" s="16" t="s">
        <v>29</v>
      </c>
      <c r="EQ1" s="16" t="s">
        <v>113</v>
      </c>
      <c r="ER1" s="16" t="s">
        <v>31</v>
      </c>
      <c r="ES1" s="16" t="s">
        <v>32</v>
      </c>
      <c r="ET1" s="16" t="s">
        <v>114</v>
      </c>
      <c r="EU1" s="16" t="s">
        <v>34</v>
      </c>
      <c r="EV1" s="16" t="s">
        <v>35</v>
      </c>
      <c r="EW1" s="16" t="s">
        <v>115</v>
      </c>
      <c r="EX1" s="16" t="s">
        <v>37</v>
      </c>
      <c r="EY1" s="16" t="s">
        <v>38</v>
      </c>
      <c r="EZ1" s="16" t="s">
        <v>39</v>
      </c>
      <c r="FA1" s="16" t="s">
        <v>116</v>
      </c>
      <c r="FB1" s="16" t="s">
        <v>117</v>
      </c>
      <c r="FC1" s="16" t="s">
        <v>118</v>
      </c>
      <c r="FD1" s="16" t="s">
        <v>54</v>
      </c>
      <c r="FE1" s="16" t="s">
        <v>119</v>
      </c>
      <c r="FF1" s="16" t="s">
        <v>120</v>
      </c>
      <c r="FG1" s="16" t="s">
        <v>121</v>
      </c>
      <c r="FH1" s="16" t="s">
        <v>122</v>
      </c>
      <c r="FI1" s="16" t="s">
        <v>123</v>
      </c>
      <c r="FJ1" s="16" t="s">
        <v>124</v>
      </c>
      <c r="FK1" s="16" t="s">
        <v>125</v>
      </c>
      <c r="FL1" s="16" t="s">
        <v>126</v>
      </c>
      <c r="FM1" s="16" t="s">
        <v>127</v>
      </c>
      <c r="FN1" s="16" t="s">
        <v>128</v>
      </c>
      <c r="FO1" s="16" t="s">
        <v>129</v>
      </c>
      <c r="FP1" s="16" t="s">
        <v>130</v>
      </c>
      <c r="FQ1" s="16" t="s">
        <v>131</v>
      </c>
      <c r="FR1" s="16" t="s">
        <v>132</v>
      </c>
      <c r="FS1" s="16" t="s">
        <v>133</v>
      </c>
      <c r="FT1" s="16" t="s">
        <v>134</v>
      </c>
      <c r="FU1" s="16" t="s">
        <v>44</v>
      </c>
      <c r="FV1" s="16" t="s">
        <v>135</v>
      </c>
      <c r="FW1" s="16" t="s">
        <v>58</v>
      </c>
      <c r="FX1" s="16" t="s">
        <v>136</v>
      </c>
      <c r="FY1" s="16" t="s">
        <v>137</v>
      </c>
      <c r="FZ1" s="16" t="s">
        <v>138</v>
      </c>
      <c r="GA1" s="16" t="s">
        <v>139</v>
      </c>
      <c r="GB1" s="16" t="s">
        <v>140</v>
      </c>
      <c r="GC1" s="16" t="s">
        <v>141</v>
      </c>
      <c r="GD1" s="16" t="s">
        <v>142</v>
      </c>
      <c r="GE1" s="16" t="s">
        <v>143</v>
      </c>
      <c r="GF1" s="16" t="s">
        <v>144</v>
      </c>
      <c r="GG1" s="16" t="s">
        <v>145</v>
      </c>
      <c r="GH1" s="16" t="s">
        <v>61</v>
      </c>
      <c r="GI1" s="16" t="s">
        <v>62</v>
      </c>
      <c r="GJ1" s="14" t="s">
        <v>146</v>
      </c>
      <c r="GK1" s="14" t="s">
        <v>147</v>
      </c>
      <c r="GL1" s="14" t="s">
        <v>148</v>
      </c>
      <c r="GM1" s="17" t="s">
        <v>149</v>
      </c>
      <c r="GN1" s="26" t="s">
        <v>150</v>
      </c>
      <c r="GO1" s="26" t="s">
        <v>151</v>
      </c>
      <c r="GP1" s="18" t="s">
        <v>41</v>
      </c>
      <c r="GQ1" s="18" t="s">
        <v>42</v>
      </c>
      <c r="GR1" s="18" t="s">
        <v>43</v>
      </c>
      <c r="GS1" s="21"/>
      <c r="GT1" s="27" t="s">
        <v>52</v>
      </c>
      <c r="GU1" s="27"/>
      <c r="GV1" s="27"/>
      <c r="GW1" s="27"/>
      <c r="GX1" s="28"/>
      <c r="GY1" s="28"/>
      <c r="GZ1" s="28"/>
      <c r="HA1" s="28"/>
      <c r="HB1" s="28"/>
      <c r="HC1" s="28"/>
      <c r="HD1" s="29" t="s">
        <v>13</v>
      </c>
      <c r="HE1" s="30" t="s">
        <v>152</v>
      </c>
      <c r="HF1" s="31"/>
      <c r="HG1" s="32"/>
      <c r="HK1" s="32" t="s">
        <v>4</v>
      </c>
      <c r="HP1" s="33" t="s">
        <v>153</v>
      </c>
      <c r="HQ1" s="33" t="s">
        <v>154</v>
      </c>
      <c r="HR1" s="33" t="s">
        <v>155</v>
      </c>
      <c r="HS1" s="33" t="s">
        <v>156</v>
      </c>
      <c r="HT1" s="33" t="s">
        <v>157</v>
      </c>
      <c r="HU1" s="33" t="s">
        <v>158</v>
      </c>
      <c r="HV1" s="33" t="s">
        <v>159</v>
      </c>
      <c r="HW1" s="33" t="s">
        <v>160</v>
      </c>
      <c r="HX1" s="34" t="s">
        <v>161</v>
      </c>
      <c r="IA1" s="14" t="s">
        <v>162</v>
      </c>
      <c r="IB1" s="35" t="s">
        <v>163</v>
      </c>
      <c r="IC1" s="36" t="s">
        <v>153</v>
      </c>
      <c r="ID1" s="36" t="s">
        <v>154</v>
      </c>
      <c r="IE1" s="36" t="s">
        <v>156</v>
      </c>
      <c r="IF1" s="37" t="s">
        <v>161</v>
      </c>
      <c r="IG1" s="36" t="s">
        <v>157</v>
      </c>
      <c r="IH1" s="36" t="s">
        <v>158</v>
      </c>
      <c r="II1" s="36" t="s">
        <v>155</v>
      </c>
      <c r="IJ1" s="36" t="s">
        <v>159</v>
      </c>
      <c r="IK1" s="36" t="s">
        <v>160</v>
      </c>
      <c r="IO1" s="33" t="s">
        <v>153</v>
      </c>
      <c r="IP1" s="33" t="s">
        <v>154</v>
      </c>
      <c r="IQ1" s="33" t="s">
        <v>155</v>
      </c>
      <c r="IR1" s="33" t="s">
        <v>156</v>
      </c>
      <c r="IS1" s="33" t="s">
        <v>157</v>
      </c>
      <c r="IT1" s="33" t="s">
        <v>158</v>
      </c>
      <c r="IU1" s="33" t="s">
        <v>159</v>
      </c>
      <c r="IV1" s="33" t="s">
        <v>160</v>
      </c>
      <c r="IW1" s="34" t="s">
        <v>161</v>
      </c>
      <c r="IY1" s="5" t="s">
        <v>164</v>
      </c>
    </row>
    <row r="2" spans="1:259" s="44" customFormat="1" ht="38.4" customHeight="1" thickBot="1" x14ac:dyDescent="0.35">
      <c r="A2" s="77" t="s">
        <v>257</v>
      </c>
      <c r="B2" s="78" t="e" vm="67">
        <v>#VALUE!</v>
      </c>
      <c r="C2" s="39">
        <v>1</v>
      </c>
      <c r="D2" s="70" t="s">
        <v>258</v>
      </c>
      <c r="E2" s="40" t="s">
        <v>259</v>
      </c>
      <c r="F2" s="41" t="s">
        <v>165</v>
      </c>
      <c r="G2" s="42">
        <f>COUNTIF($A$1:$A$8256,A2)</f>
        <v>1</v>
      </c>
      <c r="H2" s="43"/>
      <c r="I2" s="59" t="s">
        <v>260</v>
      </c>
      <c r="J2" s="44" t="str">
        <f>""</f>
        <v/>
      </c>
      <c r="K2" s="45">
        <v>12780</v>
      </c>
      <c r="L2" s="46">
        <v>200</v>
      </c>
      <c r="M2" s="46" t="s">
        <v>1164</v>
      </c>
      <c r="N2" s="47" t="s">
        <v>177</v>
      </c>
      <c r="O2" s="74" t="s">
        <v>251</v>
      </c>
      <c r="P2" s="48" t="s">
        <v>261</v>
      </c>
      <c r="Q2" s="73">
        <v>1</v>
      </c>
      <c r="R2" s="49" t="s">
        <v>177</v>
      </c>
      <c r="S2" s="50">
        <v>3</v>
      </c>
      <c r="T2" s="51" t="s">
        <v>166</v>
      </c>
      <c r="U2" s="52" t="s">
        <v>166</v>
      </c>
      <c r="V2" s="52" t="s">
        <v>167</v>
      </c>
      <c r="W2" s="52" t="s">
        <v>166</v>
      </c>
      <c r="X2" s="52" t="s">
        <v>166</v>
      </c>
      <c r="Y2" s="52" t="s">
        <v>166</v>
      </c>
      <c r="Z2" s="52" t="s">
        <v>166</v>
      </c>
      <c r="AA2" s="52" t="s">
        <v>166</v>
      </c>
      <c r="AB2" s="52" t="s">
        <v>166</v>
      </c>
      <c r="AC2" s="52" t="s">
        <v>166</v>
      </c>
      <c r="AD2" s="52" t="s">
        <v>166</v>
      </c>
      <c r="AE2" s="52" t="s">
        <v>166</v>
      </c>
      <c r="AF2" s="53" t="s">
        <v>166</v>
      </c>
      <c r="AG2" s="53" t="s">
        <v>167</v>
      </c>
      <c r="AH2" s="53" t="s">
        <v>166</v>
      </c>
      <c r="AI2" s="53" t="s">
        <v>166</v>
      </c>
      <c r="AJ2" s="53" t="s">
        <v>166</v>
      </c>
      <c r="AK2" s="53" t="s">
        <v>166</v>
      </c>
      <c r="AL2" s="53" t="s">
        <v>166</v>
      </c>
      <c r="AM2" s="53" t="s">
        <v>166</v>
      </c>
      <c r="AN2" s="53" t="s">
        <v>166</v>
      </c>
      <c r="AO2" s="53" t="s">
        <v>166</v>
      </c>
      <c r="AP2" s="53" t="s">
        <v>166</v>
      </c>
      <c r="AQ2" s="53" t="s">
        <v>166</v>
      </c>
      <c r="AR2" s="53" t="s">
        <v>166</v>
      </c>
      <c r="AS2" s="53" t="s">
        <v>166</v>
      </c>
      <c r="AT2" s="54">
        <v>1</v>
      </c>
      <c r="AU2" s="53"/>
      <c r="AV2" s="53" t="str">
        <f>IF(LEFT(A2,1)="[",LEFT(A2,5)&amp;AU2&amp;A2,"")</f>
        <v/>
      </c>
      <c r="AW2" s="53" t="str">
        <f>C2&amp;H2&amp;A2</f>
        <v>1Nauru</v>
      </c>
      <c r="AX2" s="55" t="str">
        <f>_xlfn.TEXTJOIN(";",TRUE,AU2:AW2)</f>
        <v>1Nauru</v>
      </c>
      <c r="AY2" s="55" t="s">
        <v>167</v>
      </c>
      <c r="AZ2" s="56" t="s">
        <v>161</v>
      </c>
      <c r="BA2" s="56"/>
      <c r="BB2" s="56"/>
      <c r="BC2" s="57"/>
      <c r="BD2" s="58" t="s">
        <v>154</v>
      </c>
      <c r="BE2" s="59"/>
      <c r="BF2" s="58" t="s">
        <v>154</v>
      </c>
      <c r="BG2" s="58" t="s">
        <v>157</v>
      </c>
      <c r="BH2" s="58" t="s">
        <v>154</v>
      </c>
      <c r="BI2" s="58"/>
      <c r="BJ2" s="58"/>
      <c r="BK2" s="59"/>
      <c r="BL2" s="58" t="s">
        <v>154</v>
      </c>
      <c r="BM2" s="58" t="s">
        <v>157</v>
      </c>
      <c r="BN2" s="58" t="s">
        <v>161</v>
      </c>
      <c r="BO2" s="58"/>
      <c r="BP2" s="58"/>
      <c r="BQ2" s="58"/>
      <c r="BR2" s="58"/>
      <c r="BS2" s="58"/>
      <c r="BT2" s="58"/>
      <c r="BU2" s="60"/>
      <c r="BV2" s="61" t="s">
        <v>167</v>
      </c>
      <c r="BW2" s="61">
        <v>0</v>
      </c>
      <c r="BX2" s="59"/>
      <c r="CB2" s="5" t="s">
        <v>262</v>
      </c>
      <c r="CC2" s="5"/>
      <c r="CD2" s="62">
        <v>0</v>
      </c>
      <c r="CE2" s="62">
        <v>0</v>
      </c>
      <c r="CF2" s="62" t="e">
        <v>#REF!</v>
      </c>
      <c r="CG2" s="75" cm="1">
        <f t="array" ref="CG2">SUMPRODUCT(--(LEN(TRIM(BL2:BT2))&gt;0))</f>
        <v>3</v>
      </c>
      <c r="CH2" s="53" t="str">
        <f>IF(CG2=2,"y","n")</f>
        <v>n</v>
      </c>
      <c r="CI2" s="53" t="str">
        <f>IF(CG2=3,"y","n")</f>
        <v>y</v>
      </c>
      <c r="CJ2" s="53" t="str">
        <f>IF(CG2=4,"y","n")</f>
        <v>n</v>
      </c>
      <c r="CK2" s="53" t="str">
        <f>IF(CG2&gt;4,"y","n")</f>
        <v>n</v>
      </c>
      <c r="CL2" s="53" t="str">
        <f>IF(S2=0,"y","n")</f>
        <v>n</v>
      </c>
      <c r="CM2" s="53" t="str">
        <f>IF(S2=2,"y","n")</f>
        <v>n</v>
      </c>
      <c r="CN2" s="53" t="str">
        <f>IF(S2=3,"y","n")</f>
        <v>y</v>
      </c>
      <c r="CO2" s="53" t="str">
        <f>IF(S2&gt;=4,"y","n")</f>
        <v>n</v>
      </c>
      <c r="CP2" s="53" t="str">
        <f>IF(AT2=0,"y","n")</f>
        <v>n</v>
      </c>
      <c r="CQ2" s="53" t="str">
        <f>IF(AT2=1,"y","n")</f>
        <v>y</v>
      </c>
      <c r="CR2" s="53" t="str">
        <f>IF(AT2=2,"y","n")</f>
        <v>n</v>
      </c>
      <c r="CS2" s="53" t="str">
        <f>IF(AT2&gt;=3,"y","n")</f>
        <v>n</v>
      </c>
      <c r="CT2" s="38" t="str">
        <f>CHAR(34)&amp;A2&amp;CHAR(34)</f>
        <v>"Nauru"</v>
      </c>
      <c r="CU2" s="63" t="str">
        <f>CHAR(34)&amp;"rgn_"&amp;R2&amp;CHAR(34)</f>
        <v>"rgn_Oceania"</v>
      </c>
      <c r="CV2" s="44" t="str">
        <f>CHAR(34)&amp;D2&amp;CHAR(34)</f>
        <v>"https://i.ibb.co/Sm3L855/Nauru-Flag.png"</v>
      </c>
      <c r="CW2" s="44" t="str">
        <f t="shared" ref="CW2:CZ3" si="0">IF(CH2="y",CHAR(34)&amp;CH$1&amp;CHAR(34)&amp;",","")</f>
        <v/>
      </c>
      <c r="CX2" s="44" t="str">
        <f t="shared" si="0"/>
        <v>"3Color",</v>
      </c>
      <c r="CY2" s="44" t="str">
        <f t="shared" si="0"/>
        <v/>
      </c>
      <c r="CZ2" s="44" t="str">
        <f t="shared" si="0"/>
        <v/>
      </c>
      <c r="DA2" s="44" t="str">
        <f>IF(Q2&gt;1,CHAR(34)&amp;"words2"&amp;CHAR(34)&amp;",","")</f>
        <v/>
      </c>
      <c r="DB2" s="44" t="str">
        <f>IF(Q2&gt;2,CHAR(34)&amp;"words3"&amp;CHAR(34)&amp;",","")</f>
        <v/>
      </c>
      <c r="DC2" s="44" t="str">
        <f>IF(Q2=2,CHAR(34)&amp;"exact2"&amp;CHAR(34)&amp;",","")</f>
        <v/>
      </c>
      <c r="DD2" s="44"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"lets05",</v>
      </c>
      <c r="DE2" s="44"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"startN",</v>
      </c>
      <c r="DF2" s="44" t="str">
        <f>IFERROR(IF(SEARCH("tan",A2)&gt;0,CHAR(34)&amp;"withtn"&amp;CHAR(34)&amp;",",""),"")</f>
        <v/>
      </c>
      <c r="DG2" s="44" t="str">
        <f>IFERROR(IF(SEARCH("q",A2)&gt;0,CHAR(34)&amp;"with_q"&amp;CHAR(34)&amp;",",""),"")</f>
        <v/>
      </c>
      <c r="DH2" s="44" t="str">
        <f>IFERROR(IF(SEARCH("v",A2)&gt;0,CHAR(34)&amp;"with_v"&amp;CHAR(34)&amp;",",""),"")</f>
        <v/>
      </c>
      <c r="DI2" s="44" t="str">
        <f>IFERROR(IF(SEARCH("w",A2)&gt;0,CHAR(34)&amp;"with_w"&amp;CHAR(34)&amp;",",""),"")</f>
        <v/>
      </c>
      <c r="DJ2" s="44" t="str">
        <f>IFERROR(IF(SEARCH("y",A2)&gt;0,CHAR(34)&amp;"with_y"&amp;CHAR(34)&amp;",",""),"")</f>
        <v/>
      </c>
      <c r="DK2" s="44" t="str">
        <f>IFERROR(IF(SEARCH("z",A2)&gt;0,CHAR(34)&amp;"with_z"&amp;CHAR(34)&amp;",",""),"")</f>
        <v/>
      </c>
      <c r="DL2" s="44" t="str">
        <f>IF(CG2=2, CHAR(34) &amp; _xlfn.TEXTJOIN("", TRUE, _xlfn._xlws.SORT(HP2:HX2)) &amp; CHAR(34) &amp; ",", "")</f>
        <v/>
      </c>
      <c r="DM2" s="44" t="str" cm="1">
        <f t="array" ref="DM2">IF(CG2=3,CHAR(34) &amp; _xlfn.TEXTJOIN("", TRUE, RIGHT(HP2:HX2, 2)) &amp; CHAR(34) &amp; ",", "")</f>
        <v>"LUELHI",</v>
      </c>
      <c r="DN2" s="44" t="str">
        <f>IF(AND(ISNUMBER(SEARCH("18", O2)), ISERROR(SEARCH("1918", O2)), ISERROR(SEARCH("2018", O2))), CHAR(34) &amp; "year18" &amp; CHAR(34) &amp; ",", "")</f>
        <v/>
      </c>
      <c r="DO2" s="44" t="str">
        <f>IF(AND(ISNUMBER(SEARCH("19", O2)), ISERROR(SEARCH("1819", O2)),  ISERROR(SEARCH("1219", O2)),ISERROR(SEARCH("1119", O2)),ISERROR(SEARCH("1190", O2)),ISERROR(SEARCH("2019", O2))), CHAR(34) &amp; "year19" &amp; CHAR(34) &amp; ",", "")</f>
        <v>"year19",</v>
      </c>
      <c r="DP2" s="5" t="str">
        <f>IF(AND(ISNUMBER(SEARCH("20", O2)), ISERROR(SEARCH("1920", O2))), CHAR(34)&amp;"year00"&amp;CHAR(34)&amp;",", "")</f>
        <v/>
      </c>
      <c r="DQ2" s="5" t="str">
        <f>IF(CC2="y",CHAR(34)&amp;"soviet"&amp;CHAR(34)&amp;",","")</f>
        <v/>
      </c>
      <c r="DR2" s="5" t="str">
        <f>IF(BY2="y",CHAR(34)&amp;"dgband"&amp;CHAR(34)&amp;",","")</f>
        <v/>
      </c>
      <c r="DS2" s="5" t="str">
        <f>IF(W2="y",IF(AND(V2="n",BY2&lt;&gt;"y"),CHAR(34)&amp;"allver"&amp;CHAR(34)&amp;",",""),"")</f>
        <v/>
      </c>
      <c r="DT2" s="5" t="str">
        <f>IF(V2="y",IF(AND(W2="n",BY2&lt;&gt;"y"),CHAR(34)&amp;"allhor"&amp;CHAR(34)&amp;",",""),"")</f>
        <v>"allhor",</v>
      </c>
      <c r="DU2" s="5" t="str">
        <f>IF(BY2="y",IF(AND(W2="n",V2="n"),CHAR(34)&amp;"alldia"&amp;CHAR(34)&amp;",",""),"")</f>
        <v/>
      </c>
      <c r="DV2" s="44" t="str">
        <f>IF(IA2&lt;&gt;"",(IF(IA2="y",CHAR(34)&amp;"largec"&amp;CHAR(34)&amp;",",CHAR(34)&amp;"smallc"&amp;CHAR(34)&amp;",")),"")</f>
        <v/>
      </c>
      <c r="DW2" s="44" t="str">
        <f t="shared" ref="DW2:DZ3" si="1">IF(CL2="y",CHAR(34)&amp;CL$1&amp;CHAR(34)&amp;",","")</f>
        <v/>
      </c>
      <c r="DX2" s="44" t="str">
        <f t="shared" si="1"/>
        <v/>
      </c>
      <c r="DY2" s="44" t="str">
        <f t="shared" si="1"/>
        <v>"3Bands",</v>
      </c>
      <c r="DZ2" s="44" t="str">
        <f t="shared" si="1"/>
        <v/>
      </c>
      <c r="EA2" s="44" t="str">
        <f t="shared" ref="EA2:EE3" si="2">IF(T2="y",CHAR(34)&amp;T$1&amp;CHAR(34)&amp;",","")</f>
        <v/>
      </c>
      <c r="EB2" s="44" t="str">
        <f t="shared" si="2"/>
        <v/>
      </c>
      <c r="EC2" s="44" t="str">
        <f t="shared" si="2"/>
        <v>"Horizo",</v>
      </c>
      <c r="ED2" s="44" t="str">
        <f t="shared" si="2"/>
        <v/>
      </c>
      <c r="EE2" s="44" t="str">
        <f t="shared" si="2"/>
        <v/>
      </c>
      <c r="EF2" s="44" t="str">
        <f>IF(AND(Y2&lt;&gt;"n",Y2&lt;&gt;""),CHAR(34)&amp;Y$1&amp;CHAR(34)&amp;",","")</f>
        <v/>
      </c>
      <c r="EG2" s="44" t="str">
        <f t="shared" ref="EG2:EP3" si="3">IF(Z2="y",CHAR(34)&amp;Z$1&amp;CHAR(34)&amp;",","")</f>
        <v/>
      </c>
      <c r="EH2" s="44" t="str">
        <f t="shared" si="3"/>
        <v/>
      </c>
      <c r="EI2" s="44" t="str">
        <f t="shared" si="3"/>
        <v/>
      </c>
      <c r="EJ2" s="44" t="str">
        <f t="shared" si="3"/>
        <v/>
      </c>
      <c r="EK2" s="44" t="str">
        <f t="shared" si="3"/>
        <v/>
      </c>
      <c r="EL2" s="44" t="str">
        <f t="shared" si="3"/>
        <v/>
      </c>
      <c r="EM2" s="44" t="str">
        <f t="shared" si="3"/>
        <v/>
      </c>
      <c r="EN2" s="44" t="str">
        <f t="shared" si="3"/>
        <v>"Unequa",</v>
      </c>
      <c r="EO2" s="44" t="str">
        <f t="shared" si="3"/>
        <v/>
      </c>
      <c r="EP2" s="44" t="str">
        <f t="shared" si="3"/>
        <v/>
      </c>
      <c r="EQ2" s="44" t="str">
        <f t="shared" ref="EQ2:EZ3" si="4">IF(AJ2="y",CHAR(34)&amp;AJ$1&amp;CHAR(34)&amp;",","")</f>
        <v/>
      </c>
      <c r="ER2" s="44" t="str">
        <f t="shared" si="4"/>
        <v/>
      </c>
      <c r="ES2" s="44" t="str">
        <f t="shared" si="4"/>
        <v/>
      </c>
      <c r="ET2" s="44" t="str">
        <f t="shared" si="4"/>
        <v/>
      </c>
      <c r="EU2" s="44" t="str">
        <f t="shared" si="4"/>
        <v/>
      </c>
      <c r="EV2" s="44" t="str">
        <f t="shared" si="4"/>
        <v/>
      </c>
      <c r="EW2" s="44" t="str">
        <f t="shared" si="4"/>
        <v/>
      </c>
      <c r="EX2" s="44" t="str">
        <f t="shared" si="4"/>
        <v/>
      </c>
      <c r="EY2" s="44" t="str">
        <f t="shared" si="4"/>
        <v/>
      </c>
      <c r="EZ2" s="44" t="str">
        <f t="shared" si="4"/>
        <v/>
      </c>
      <c r="FA2" s="44" t="str">
        <f>IF(AT2&gt;0,CHAR(34)&amp;"sta"&amp;AZ2&amp;CHAR(34)&amp;",","")</f>
        <v>"staWHI",</v>
      </c>
      <c r="FB2" s="44" t="str">
        <f>IF(AND(AT2&gt;0,BA2&lt;&gt;""),CHAR(34)&amp;"sta"&amp;BA2&amp;CHAR(34)&amp;",","")</f>
        <v/>
      </c>
      <c r="FC2" s="44" t="str">
        <f>IF(AND(AT2&gt;0,BB2&lt;&gt;""),CHAR(34)&amp;"sta"&amp;BB2&amp;CHAR(34)&amp;",","")</f>
        <v/>
      </c>
      <c r="FD2" s="44" t="str">
        <f>IF(BV2="n",CHAR(34)&amp;"tcWHYE"&amp;CHAR(34)&amp;",",IF(BV2="y",CHAR(34)&amp;FD$1&amp;CHAR(34)&amp;",",""))</f>
        <v>"ntWHYE",</v>
      </c>
      <c r="FE2" s="44" t="str">
        <f>IF(COUNTIF(BL2:BT2,"BLU")=0,CHAR(34)&amp;"NO_BLU"&amp;CHAR(34)&amp;",", "")</f>
        <v/>
      </c>
      <c r="FF2" s="44" t="str">
        <f>IF(COUNTIF(BL2:BT2,"WHI")=0,CHAR(34)&amp;"NO_WHI"&amp;CHAR(34)&amp;",", "")</f>
        <v/>
      </c>
      <c r="FG2" s="44" t="str">
        <f>IF(COUNTIF(BL2:BT2,"RED")=0,CHAR(34)&amp;"NO_RED"&amp;CHAR(34)&amp;",", "")</f>
        <v>"NO_RED",</v>
      </c>
      <c r="FH2" s="44" t="str">
        <f>IF(COUNTIF(BL2:BS2,"GRE")=0,CHAR(34)&amp;"NO_GRE"&amp;CHAR(34)&amp;",", "")</f>
        <v>"NO_GRE",</v>
      </c>
      <c r="FI2" s="44" t="str">
        <f>IF(COUNTIF(BL2:BT2,"YEL")=0,CHAR(34)&amp;"NO_YEL"&amp;CHAR(34)&amp;",", "")</f>
        <v/>
      </c>
      <c r="FJ2" s="44" t="str">
        <f>IF(COUNTIF(BL2:BT2,"BLA")=0,CHAR(34)&amp;"NO_BLA"&amp;CHAR(34)&amp;",", "")</f>
        <v>"NO_BLA",</v>
      </c>
      <c r="FK2" s="44" t="str">
        <f>IF(AND(FH2&lt;&gt;"",FF2&lt;&gt;""),CHAR(34)&amp;"WHGRNO"&amp;CHAR(34)&amp;",","")</f>
        <v/>
      </c>
      <c r="FL2" s="44" t="str">
        <f>IF(AND(FI2&lt;&gt;"",FF2&lt;&gt;""),CHAR(34)&amp;"WHYENO"&amp;CHAR(34)&amp;",","")</f>
        <v/>
      </c>
      <c r="FM2" s="44" t="str">
        <f>IF(AND(FJ2&lt;&gt;"",FF2&lt;&gt;""),CHAR(34)&amp;"BAWHNO"&amp;CHAR(34)&amp;",","")</f>
        <v/>
      </c>
      <c r="FN2" s="44" t="str">
        <f>IF(AND(FE2&lt;&gt;"",FF2&lt;&gt;""),CHAR(34)&amp;"BLWHNO"&amp;CHAR(34)&amp;",","")</f>
        <v/>
      </c>
      <c r="FO2" s="44" t="str">
        <f>IF(AND(FE2&lt;&gt;"",FG2&lt;&gt;""),CHAR(34)&amp;"BLRENO"&amp;CHAR(34)&amp;",","")</f>
        <v/>
      </c>
      <c r="FP2" s="44" t="str">
        <f>IF(AND(FF2&lt;&gt;"",FF2&lt;&gt;""),CHAR(34)&amp;"WHRENO"&amp;CHAR(34)&amp;",","")</f>
        <v/>
      </c>
      <c r="FQ2" s="44" t="str">
        <f>IF(LEN(BF2)=3,CHAR(34)&amp;"001"&amp;BF2&amp;CHAR(34)&amp;",","")</f>
        <v>"001BLU",</v>
      </c>
      <c r="FR2" s="44" t="str">
        <f>IF(LEN(BG2)=3,CHAR(34)&amp;"002"&amp;BG2&amp;CHAR(34)&amp;",","")</f>
        <v>"002YEL",</v>
      </c>
      <c r="FS2" s="44" t="str">
        <f>IF(LEN(BH2)=3,CHAR(34)&amp;"003"&amp;BH2&amp;CHAR(34)&amp;",","")</f>
        <v>"003BLU",</v>
      </c>
      <c r="FT2" s="44" t="str">
        <f>CHAR(34)&amp;"myr"&amp;BD2&amp;CHAR(34)&amp;","</f>
        <v>"myrBLU",</v>
      </c>
      <c r="FU2" s="44" t="str">
        <f>IF(AY2="y",CHAR(34)&amp;"island"&amp;CHAR(34)&amp;",","")</f>
        <v>"island",</v>
      </c>
      <c r="FV2" s="44" t="str">
        <f>IF(BZ2="y",CHAR(34)&amp;"landlo"&amp;CHAR(34)&amp;",","")</f>
        <v/>
      </c>
      <c r="FW2" s="44" t="str">
        <f>IF(CA2="y",CHAR(34)&amp;"eunion"&amp;CHAR(34)&amp;",","")</f>
        <v/>
      </c>
      <c r="FX2" s="44" t="str">
        <f>SUBSTITUTE(IFERROR(SEARCH("[",A2),IFERROR(IF(AND(CA2&lt;&gt;"y",SEARCH("Europe",R2)&gt;0),CHAR(34)&amp;"noeuni"&amp;CHAR(34)&amp;",",""),"")),"1","")</f>
        <v/>
      </c>
      <c r="FY2" s="44" t="str">
        <f>IFERROR(IF(SEARCH("Arabic",CB2)&gt;0,CHAR(34)&amp;"arabic"&amp;CHAR(34)&amp;",",""),"")</f>
        <v/>
      </c>
      <c r="FZ2" s="44" t="str">
        <f>IFERROR(IF(SEARCH("English",CB2)&gt;0,CHAR(34)&amp;"englis"&amp;CHAR(34)&amp;",",""),"")</f>
        <v>"englis",</v>
      </c>
      <c r="GA2" s="44" t="str">
        <f>IFERROR(IF(SEARCH("French",CB2)&gt;0,CHAR(34)&amp;"french"&amp;CHAR(34)&amp;",",""),"")</f>
        <v/>
      </c>
      <c r="GB2" s="44" t="str">
        <f>IFERROR(IF(SEARCH("Spanish",CB2)&gt;0,CHAR(34)&amp;"spanis"&amp;CHAR(34)&amp;",",""),"")</f>
        <v/>
      </c>
      <c r="GC2" s="44" t="str">
        <f>IFERROR(IF(SEARCH("Portuguese",CB2)&gt;0,CHAR(34)&amp;"portug"&amp;CHAR(34)&amp;",",""),"")</f>
        <v/>
      </c>
      <c r="GD2" s="44" t="str">
        <f>IFERROR(IF(SEARCH("German",CB2)&gt;0,CHAR(34)&amp;"german"&amp;CHAR(34)&amp;",",""),"")</f>
        <v/>
      </c>
      <c r="GE2" s="44" t="str">
        <f>IFERROR(IF(SEARCH("Dutch",CB2)&gt;0,CHAR(34)&amp;"dutchs"&amp;CHAR(34)&amp;",",""),"")</f>
        <v/>
      </c>
      <c r="GF2" s="44" t="str">
        <f>IFERROR(IF(SEARCH("Histor",AU2)&gt;0,CHAR(34)&amp;"histor"&amp;CHAR(34)&amp;",",""),"")</f>
        <v/>
      </c>
      <c r="GG2" s="44" t="str">
        <f>IF(BU2="y",CHAR(34)&amp;"unjack"&amp;CHAR(34)&amp;",","")</f>
        <v/>
      </c>
      <c r="GH2" s="44" t="str">
        <f>IF(CD2=1,CHAR(34)&amp;"southc"&amp;CHAR(34)&amp;",","")</f>
        <v/>
      </c>
      <c r="GI2" s="44" t="str">
        <f>IF(CE2=1,CHAR(34)&amp;"hasmap"&amp;CHAR(34)&amp;",","")</f>
        <v/>
      </c>
      <c r="GJ2" s="44" t="str">
        <f>IF(CP2="y",CHAR(34)&amp;CP$1&amp;CHAR(34)&amp;",","")</f>
        <v/>
      </c>
      <c r="GK2" s="44" t="str">
        <f>IF(GJ2="",CHAR(34)&amp;"HasSta"&amp;CHAR(34)&amp;",","")</f>
        <v>"HasSta",</v>
      </c>
      <c r="GL2" s="44" t="str">
        <f t="shared" ref="GL2:GN3" si="5">IF(CQ2="y",CHAR(34)&amp;CQ$1&amp;CHAR(34)&amp;",","")</f>
        <v>"1Stars",</v>
      </c>
      <c r="GM2" s="44" t="str">
        <f t="shared" si="5"/>
        <v/>
      </c>
      <c r="GN2" s="44" t="str">
        <f t="shared" si="5"/>
        <v/>
      </c>
      <c r="GP2" s="44" t="str">
        <f>CHAR(34)&amp;AU2&amp;CHAR(34)</f>
        <v>""</v>
      </c>
      <c r="GS2" s="44" t="str">
        <f>SUBSTITUTE("["&amp;_xlfn.CONCAT(CW2:GN2)&amp;"]",",]","]")</f>
        <v>["3Color","lets05","startN","LUELHI","year19","allhor","3Bands","Horizo","Unequa","staWHI","ntWHYE","NO_RED","NO_GRE","NO_BLA","001BLU","002YEL","003BLU","myrBLU","island","englis","HasSta","1Stars"]</v>
      </c>
      <c r="GT2" s="44" t="str">
        <f t="shared" ref="GT2:HB3" si="6">IF(BL2&lt;&gt;"",CHAR(34)&amp;"cl_"&amp;BL2&amp;CHAR(34)&amp;",","")</f>
        <v>"cl_BLU",</v>
      </c>
      <c r="GU2" s="44" t="str">
        <f t="shared" si="6"/>
        <v>"cl_YEL",</v>
      </c>
      <c r="GV2" s="44" t="str">
        <f t="shared" si="6"/>
        <v>"cl_WHI",</v>
      </c>
      <c r="GW2" s="44" t="str">
        <f t="shared" si="6"/>
        <v/>
      </c>
      <c r="GX2" s="44" t="str">
        <f t="shared" si="6"/>
        <v/>
      </c>
      <c r="GY2" s="44" t="str">
        <f t="shared" si="6"/>
        <v/>
      </c>
      <c r="GZ2" s="44" t="str">
        <f t="shared" si="6"/>
        <v/>
      </c>
      <c r="HA2" s="44" t="str">
        <f t="shared" si="6"/>
        <v/>
      </c>
      <c r="HB2" s="44" t="str">
        <f t="shared" si="6"/>
        <v/>
      </c>
      <c r="HC2" s="44" t="str">
        <f>SUBSTITUTE("["&amp;_xlfn.CONCAT(GT2:HB2)&amp;"]",",]","]")</f>
        <v>["cl_BLU","cl_YEL","cl_WHI"]</v>
      </c>
      <c r="HE2" s="64"/>
      <c r="HF2" s="65" t="str">
        <f>"{couname:"&amp;CT2&amp;(IF(HK2&lt;&gt;"",",subtype:"&amp;CHAR(34)&amp;HK2&amp;CHAR(34),""))&amp;",year:"&amp;HJ2&amp;",region:"&amp;CU2&amp;",Colors:"&amp;HC2&amp;",Items:"&amp;GS2&amp;",Flag:"&amp;CV2&amp;",HDFlag:"&amp;CHAR(34)&amp;E2&amp;CHAR(34)&amp;",type:"&amp;GP2&amp;", describe: "&amp;HH2&amp;", isnew:"&amp;CHAR(34)&amp;F2&amp;CHAR(34)&amp;", links: "&amp;HL2&amp;"},"</f>
        <v>{couname:"Nauru",year:"1968 ",region:"rgn_Oceania",Colors:["cl_BLU","cl_YEL","cl_WHI"],Items:["3Color","lets05","startN","LUELHI","year19","allhor","3Bands","Horizo","Unequa","staWHI","ntWHYE","NO_RED","NO_GRE","NO_BLA","001BLU","002YEL","003BLU","myrBLU","island","englis","HasSta","1Stars"],Flag:"https://i.ibb.co/Sm3L855/Nauru-Flag.png",HDFlag:"https://upload.wikimedia.org/wikipedia/commons/thumb/3/30/Flag_of_Nauru.svg/2560px-Flag_of_Nauru.svg.png",type:"", describe: "\nThe narrow gold stripe with a width of 1⁄12 of the length of the flag represents the Equator. The stripe along with the star signifies the location of the island in the Pacific Ocean one degree south of the Equator. The separation of the blue flag cloth into two equal parts recalls the saga, that the first inhabitants were to have been brought to Earth from two boulders.\n\nNauru itself is symbolised by a white 12-pointed star. The twelve points on the star represent the island's twelve original tribes", isnew:".", links: "https://en.wikipedia.org/wiki/Flag_of_Nauru"},</v>
      </c>
      <c r="HG2" s="66" t="str">
        <f>"{couname:"&amp;CT2&amp;(IF(HK2&lt;&gt;"",",subtype:"&amp;CHAR(34)&amp;HK2&amp;CHAR(34),""))&amp;",year:"&amp;HJ2&amp;",region:"&amp;CU2&amp;",Colors:"&amp;HC2&amp;",Items:"&amp;GS2&amp;",Flag:"&amp;CV2&amp;",HDFlag:"&amp;CHAR(34)&amp;E2&amp;CHAR(34)&amp;",type:"&amp;GP2&amp;", describe: "&amp;HI2&amp;", links: "&amp;HL2&amp;"},"</f>
        <v>{couname:"Nauru",year:"1968 ",region:"rgn_Oceania",Colors:["cl_BLU","cl_YEL","cl_WHI"],Items:["3Color","lets05","startN","LUELHI","year19","allhor","3Bands","Horizo","Unequa","staWHI","ntWHYE","NO_RED","NO_GRE","NO_BLA","001BLU","002YEL","003BLU","myrBLU","island","englis","HasSta","1Stars"],Flag:"https://i.ibb.co/Sm3L855/Nauru-Flag.png",HDFlag:"https://upload.wikimedia.org/wikipedia/commons/thumb/3/30/Flag_of_Nauru.svg/2560px-Flag_of_Nauru.svg.png",type:"", describe: "\nThe narrow gold stripe with a width of 1⁄12 of the length of the flag represents the Equator. The stripe along with the star signifies the location of the island in the Pacific Ocean one degree south of the Equator. The separation of the blue flag cloth into two equal parts recalls the saga, that the first inhabitants were to have been brought to Earth from two boulders.\n\nNauru itself is symbolised by a white 12-pointed star. The twelve points on the star represent the island's twelve original tribes", links: "https://en.wikipedia.org/wiki/Flag_of_Nauru"},</v>
      </c>
      <c r="HH2" s="44" t="str">
        <f>IF(P2&lt;&gt;"",CHAR(34)&amp;"\n"&amp;P2&amp;CHAR(34),CHAR(34)&amp;CHAR(34))</f>
        <v>"\nThe narrow gold stripe with a width of 1⁄12 of the length of the flag represents the Equator. The stripe along with the star signifies the location of the island in the Pacific Ocean one degree south of the Equator. The separation of the blue flag cloth into two equal parts recalls the saga, that the first inhabitants were to have been brought to Earth from two boulders.\n\nNauru itself is symbolised by a white 12-pointed star. The twelve points on the star represent the island's twelve original tribes"</v>
      </c>
      <c r="HI2" s="44" t="str">
        <f>IF(J2=0,CHAR(34)&amp;CHAR(34),HH2)</f>
        <v>"\nThe narrow gold stripe with a width of 1⁄12 of the length of the flag represents the Equator. The stripe along with the star signifies the location of the island in the Pacific Ocean one degree south of the Equator. The separation of the blue flag cloth into two equal parts recalls the saga, that the first inhabitants were to have been brought to Earth from two boulders.\n\nNauru itself is symbolised by a white 12-pointed star. The twelve points on the star represent the island's twelve original tribes"</v>
      </c>
      <c r="HJ2" s="44" t="str">
        <f>CHAR(34)&amp;O2&amp;CHAR(34)</f>
        <v>"1968 "</v>
      </c>
      <c r="HL2" s="44" t="str">
        <f>CHAR(34)&amp;I2&amp;CHAR(34)</f>
        <v>"https://en.wikipedia.org/wiki/Flag_of_Nauru"</v>
      </c>
      <c r="HM2" s="65"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{"couname":"Nauru","year":"1968 ","region":"rgn_Oceania","Colors":["cl_BLU","cl_YEL","cl_WHI"],"Items":["3Color","lets05","startN","LUELHI","year19","allhor","3Bands","Horizo","Unequa","staWHI","ntWHYE","NO_RED","NO_GRE","NO_BLA","001BLU","002YEL","003BLU","myrBLU","island","englis","HasSta","1Stars"],"Flag":"https://i.ibb.co/Sm3L855/Nauru-Flag.png","HDFlag":"https://upload.wikimedia.org/wikipedia/commons/thumb/3/30/Flag_of_Nauru.svg/2560px-Flag_of_Nauru.svg.png","type":"", "describe": "\nThe narrow gold stripe with a width of 1⁄12 of the length of the flag represents the Equator. The stripe along with the star signifies the location of the island in the Pacific Ocean one degree south of the Equator. The separation of the blue flag cloth into two equal parts recalls the saga, that the first inhabitants were to have been brought to Earth from two boulders.\n\nNauru itself is symbolised by a white 12-pointed star. The twelve points on the star represent the island's twelve original tribes", "isnew": ".", "links": "https://en.wikipedia.org/wiki/Flag_of_Nauru"},</v>
      </c>
      <c r="HN2" s="67"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{"couname":"Nauru","year":"1968 ","region":"rgn_Oceania","Colors":["cl_BLU","cl_YEL","cl_WHI"],"Items":["3Color","lets05","startN","LUELHI","year19","allhor","3Bands","Horizo","Unequa","staWHI","ntWHYE","NO_RED","NO_GRE","NO_BLA","001BLU","002YEL","003BLU","myrBLU","island","englis","HasSta","1Stars"],"Flag":"https://i.ibb.co/Sm3L855/Nauru-Flag.png","HDFlag":"https://upload.wikimedia.org/wikipedia/commons/thumb/3/30/Flag_of_Nauru.svg/2560px-Flag_of_Nauru.svg.png","type":"", "describe": "\nThe narrow gold stripe with a width of 1⁄12 of the length of the flag represents the Equator. The stripe along with the star signifies the location of the island in the Pacific Ocean one degree south of the Equator. The separation of the blue flag cloth into two equal parts recalls the saga, that the first inhabitants were to have been brought to Earth from two boulders.\n\nNauru itself is symbolised by a white 12-pointed star. The twelve points on the star represent the island's twelve original tribes", "isnew": ".", "links": "https://en.wikipedia.org/wiki/Flag_of_Nauru"},</v>
      </c>
      <c r="HO2" s="71"/>
      <c r="HP2" s="44" t="str" cm="1">
        <f t="array" ref="HP2">IF(_xlfn.TEXTJOIN(", ", TRUE, IF(ISNUMBER(SEARCH("BLA", BL2:BT2)), COLUMN(BL2:BT2) - COLUMN(BL2) + 1, ""))&lt;&gt;"","BLA","")</f>
        <v/>
      </c>
      <c r="HQ2" s="44" t="str" cm="1">
        <f t="array" ref="HQ2">IF(_xlfn.TEXTJOIN(", ", TRUE, IF(ISNUMBER(SEARCH("BLU", BL2:BT2)), COLUMN(BL2:BT2) - COLUMN(BL2) + 1, ""))&lt;&gt;"","BLU","")</f>
        <v>BLU</v>
      </c>
      <c r="HR2" s="44" t="str" cm="1">
        <f t="array" ref="HR2">IF(_xlfn.TEXTJOIN(", ", TRUE, IF(ISNUMBER(SEARCH("GRE", BL2:BT2)), COLUMN(BL2:BT2) - COLUMN(BL2) + 1, ""))&lt;&gt;"","GRE","")</f>
        <v/>
      </c>
      <c r="HS2" s="44" t="str" cm="1">
        <f t="array" ref="HS2">IF(_xlfn.TEXTJOIN(", ", TRUE, IF(ISNUMBER(SEARCH("RED", BL2:BT2)), COLUMN(BL2:BT2) - COLUMN(BL2) + 1, ""))&lt;&gt;"","RED","")</f>
        <v/>
      </c>
      <c r="HT2" s="44" t="str" cm="1">
        <f t="array" ref="HT2">IF(_xlfn.TEXTJOIN(", ", TRUE, IF(ISNUMBER(SEARCH("YEL", BL2:BT2)), COLUMN(BL2:BT2) - COLUMN(BL2) + 1, ""))&lt;&gt;"","YEL","")</f>
        <v>YEL</v>
      </c>
      <c r="HU2" s="44" t="str" cm="1">
        <f t="array" ref="HU2">IF(_xlfn.TEXTJOIN(", ", TRUE, IF(ISNUMBER(SEARCH("ORA", BL2:BT2)), COLUMN(BL2:BT2) - COLUMN(BL2) + 1, ""))&lt;&gt;"","ORA","")</f>
        <v/>
      </c>
      <c r="HV2" s="44" t="str" cm="1">
        <f t="array" ref="HV2">IF(_xlfn.TEXTJOIN(", ", TRUE, IF(ISNUMBER(SEARCH("BRO", BL2:BT2)), COLUMN(BL2:BT2) - COLUMN(BL2) + 1, ""))&lt;&gt;"","BRO","")</f>
        <v/>
      </c>
      <c r="HW2" s="44" t="str" cm="1">
        <f t="array" ref="HW2">IF(_xlfn.TEXTJOIN(", ", TRUE, IF(ISNUMBER(SEARCH("PUR", BL2:BT2)), COLUMN(BL2:BT2) - COLUMN(BL2) + 1, ""))&lt;&gt;"","PUR","")</f>
        <v/>
      </c>
      <c r="HX2" s="44" t="str" cm="1">
        <f t="array" ref="HX2">IF(_xlfn.TEXTJOIN(", ", TRUE, IF(ISNUMBER(SEARCH("WHI", BL2:BT2)), COLUMN(BL2:BT2) - COLUMN(BL2) + 1, ""))&lt;&gt;"","WHI","")</f>
        <v>WHI</v>
      </c>
      <c r="HY2" s="72"/>
      <c r="HZ2" s="72"/>
      <c r="IA2" s="5"/>
      <c r="IB2" s="5"/>
      <c r="IC2" s="68"/>
      <c r="ID2" s="68"/>
      <c r="IE2" s="68"/>
      <c r="IF2" s="68"/>
      <c r="IG2" s="68"/>
      <c r="IH2" s="68"/>
      <c r="II2" s="68"/>
      <c r="IJ2" s="68"/>
      <c r="IK2" s="68"/>
      <c r="IL2" s="44">
        <f>SUM(IC2:IK2)</f>
        <v>0</v>
      </c>
      <c r="IM2" s="42">
        <f>COUNTIF(IC2:IK2,"&gt;0")-CG2</f>
        <v>-3</v>
      </c>
      <c r="IN2" s="69" t="str">
        <f>"http://mkweb.bcgsc.ca/color-summarizer/?url="&amp;D2&amp;"&amp;precision=low&amp;num_clusters="&amp;CG2&amp;"&amp;text=1"</f>
        <v>http://mkweb.bcgsc.ca/color-summarizer/?url=https://i.ibb.co/Sm3L855/Nauru-Flag.png&amp;precision=low&amp;num_clusters=3&amp;text=1</v>
      </c>
      <c r="IO2" s="44" t="str">
        <f>IF(HP2&lt;&gt;"",CHAR(34)&amp;"black"&amp;CHAR(34),"")</f>
        <v/>
      </c>
      <c r="IP2" s="44" t="str">
        <f>IF(HQ2&lt;&gt;"",CHAR(34)&amp;"blue"&amp;CHAR(34),"")</f>
        <v>"blue"</v>
      </c>
      <c r="IQ2" s="44" t="str">
        <f>IF(HR2&lt;&gt;"",CHAR(34)&amp;"green"&amp;CHAR(34),"")</f>
        <v/>
      </c>
      <c r="IR2" s="44" t="str">
        <f>IF(HS2&lt;&gt;"",CHAR(34)&amp;"red"&amp;CHAR(34),"")</f>
        <v/>
      </c>
      <c r="IS2" s="44" t="str">
        <f>IF(HT2&lt;&gt;"",CHAR(34)&amp;"yellow"&amp;CHAR(34),"")</f>
        <v>"yellow"</v>
      </c>
      <c r="IT2" s="44" t="str">
        <f>IF(HU2&lt;&gt;"",CHAR(34)&amp;"orange"&amp;CHAR(34),"")</f>
        <v/>
      </c>
      <c r="IU2" s="44" t="str">
        <f>IF(HV2&lt;&gt;"",CHAR(34)&amp;"brown"&amp;CHAR(34),"")</f>
        <v/>
      </c>
      <c r="IV2" s="44" t="str">
        <f>IF(HW2&lt;&gt;"",CHAR(34)&amp;"purple"&amp;CHAR(34),"")</f>
        <v/>
      </c>
      <c r="IW2" s="44" t="str">
        <f>IF(HX2&lt;&gt;"",CHAR(34)&amp;"white"&amp;CHAR(34),"")</f>
        <v>"white"</v>
      </c>
      <c r="IX2" s="44" t="str">
        <f>"{"&amp;CHAR(34)&amp;"url"&amp;CHAR(34)&amp;":"&amp;CHAR(34)&amp;IN2&amp;CHAR(34)&amp;","&amp;CHAR(34)&amp;"name"&amp;CHAR(34)&amp;":"&amp;CHAR(34)&amp;A2&amp;CHAR(34)&amp;"},"</f>
        <v>{"url":"http://mkweb.bcgsc.ca/color-summarizer/?url=https://i.ibb.co/Sm3L855/Nauru-Flag.png&amp;precision=low&amp;num_clusters=3&amp;text=1","name":"Nauru"},</v>
      </c>
      <c r="IY2" s="44">
        <v>149</v>
      </c>
    </row>
    <row r="3" spans="1:259" s="44" customFormat="1" ht="38.4" customHeight="1" thickBot="1" x14ac:dyDescent="0.35">
      <c r="A3" s="81" t="s">
        <v>729</v>
      </c>
      <c r="B3" s="78" t="e" vm="68">
        <v>#VALUE!</v>
      </c>
      <c r="C3" s="39">
        <v>3</v>
      </c>
      <c r="D3" s="70" t="s">
        <v>730</v>
      </c>
      <c r="E3" s="40" t="s">
        <v>731</v>
      </c>
      <c r="F3" s="41" t="s">
        <v>165</v>
      </c>
      <c r="G3" s="42">
        <f>COUNTIF($A$1:$A$8256,A3)</f>
        <v>1</v>
      </c>
      <c r="H3" s="43" t="s">
        <v>1109</v>
      </c>
      <c r="I3" s="59" t="s">
        <v>732</v>
      </c>
      <c r="J3" s="44" t="str">
        <f>""</f>
        <v/>
      </c>
      <c r="K3" s="45"/>
      <c r="L3" s="46"/>
      <c r="M3" s="46"/>
      <c r="N3" s="47" t="s">
        <v>177</v>
      </c>
      <c r="O3" s="74" t="s">
        <v>351</v>
      </c>
      <c r="P3" s="48" t="s">
        <v>733</v>
      </c>
      <c r="Q3" s="73">
        <v>3</v>
      </c>
      <c r="R3" s="49" t="s">
        <v>177</v>
      </c>
      <c r="S3" s="50">
        <v>0</v>
      </c>
      <c r="T3" s="51" t="s">
        <v>166</v>
      </c>
      <c r="U3" s="52" t="s">
        <v>166</v>
      </c>
      <c r="V3" s="52" t="s">
        <v>166</v>
      </c>
      <c r="W3" s="52" t="s">
        <v>166</v>
      </c>
      <c r="X3" s="52" t="s">
        <v>166</v>
      </c>
      <c r="Y3" s="52" t="s">
        <v>166</v>
      </c>
      <c r="Z3" s="52" t="s">
        <v>166</v>
      </c>
      <c r="AA3" s="52" t="s">
        <v>166</v>
      </c>
      <c r="AB3" s="52" t="s">
        <v>166</v>
      </c>
      <c r="AC3" s="52" t="s">
        <v>166</v>
      </c>
      <c r="AD3" s="52" t="s">
        <v>166</v>
      </c>
      <c r="AE3" s="52" t="s">
        <v>166</v>
      </c>
      <c r="AF3" s="53" t="s">
        <v>166</v>
      </c>
      <c r="AG3" s="53" t="s">
        <v>166</v>
      </c>
      <c r="AH3" s="53" t="s">
        <v>167</v>
      </c>
      <c r="AI3" s="53" t="s">
        <v>166</v>
      </c>
      <c r="AJ3" s="53" t="s">
        <v>166</v>
      </c>
      <c r="AK3" s="53" t="s">
        <v>166</v>
      </c>
      <c r="AL3" s="53" t="s">
        <v>166</v>
      </c>
      <c r="AM3" s="53" t="s">
        <v>166</v>
      </c>
      <c r="AN3" s="53" t="s">
        <v>166</v>
      </c>
      <c r="AO3" s="53" t="s">
        <v>166</v>
      </c>
      <c r="AP3" s="53" t="s">
        <v>166</v>
      </c>
      <c r="AQ3" s="53" t="s">
        <v>166</v>
      </c>
      <c r="AR3" s="53" t="s">
        <v>166</v>
      </c>
      <c r="AS3" s="53" t="s">
        <v>166</v>
      </c>
      <c r="AT3" s="54">
        <v>1</v>
      </c>
      <c r="AU3" s="53" t="s">
        <v>734</v>
      </c>
      <c r="AV3" s="53" t="str">
        <f>IF(LEFT(A3,1)="[",LEFT(A3,5)&amp;AU3&amp;A3,"")</f>
        <v>[NRU]Maritime[NRU] Nauru Pacific Line</v>
      </c>
      <c r="AW3" s="53" t="str">
        <f>C3&amp;H3&amp;A3</f>
        <v>3[NRU] Other[NRU] Nauru Pacific Line</v>
      </c>
      <c r="AX3" s="55"/>
      <c r="AY3" s="55"/>
      <c r="AZ3" s="56" t="s">
        <v>161</v>
      </c>
      <c r="BA3" s="56"/>
      <c r="BB3" s="56"/>
      <c r="BC3" s="57"/>
      <c r="BD3" s="58" t="s">
        <v>154</v>
      </c>
      <c r="BE3" s="59"/>
      <c r="BF3" s="58"/>
      <c r="BG3" s="58"/>
      <c r="BH3" s="58"/>
      <c r="BI3" s="58"/>
      <c r="BJ3" s="58"/>
      <c r="BK3" s="59"/>
      <c r="BL3" s="58" t="s">
        <v>154</v>
      </c>
      <c r="BM3" s="58" t="s">
        <v>161</v>
      </c>
      <c r="BN3" s="58" t="s">
        <v>153</v>
      </c>
      <c r="BO3" s="58"/>
      <c r="BP3" s="58"/>
      <c r="BQ3" s="58"/>
      <c r="BR3" s="58"/>
      <c r="BS3" s="58"/>
      <c r="BT3" s="58"/>
      <c r="BU3" s="60"/>
      <c r="BV3" s="61"/>
      <c r="BW3" s="61">
        <v>0</v>
      </c>
      <c r="BX3" s="59"/>
      <c r="CB3" s="5"/>
      <c r="CC3" s="5"/>
      <c r="CD3" s="62">
        <v>0</v>
      </c>
      <c r="CE3" s="62">
        <v>0</v>
      </c>
      <c r="CF3" s="62" t="e">
        <v>#REF!</v>
      </c>
      <c r="CG3" s="75" cm="1">
        <f t="array" ref="CG3">SUMPRODUCT(--(LEN(TRIM(BL3:BT3))&gt;0))</f>
        <v>3</v>
      </c>
      <c r="CH3" s="53" t="str">
        <f>IF(CG3=2,"y","n")</f>
        <v>n</v>
      </c>
      <c r="CI3" s="53" t="str">
        <f>IF(CG3=3,"y","n")</f>
        <v>y</v>
      </c>
      <c r="CJ3" s="53" t="str">
        <f>IF(CG3=4,"y","n")</f>
        <v>n</v>
      </c>
      <c r="CK3" s="53" t="str">
        <f>IF(CG3&gt;4,"y","n")</f>
        <v>n</v>
      </c>
      <c r="CL3" s="53" t="str">
        <f>IF(S3=0,"y","n")</f>
        <v>y</v>
      </c>
      <c r="CM3" s="53" t="str">
        <f>IF(S3=2,"y","n")</f>
        <v>n</v>
      </c>
      <c r="CN3" s="53" t="str">
        <f>IF(S3=3,"y","n")</f>
        <v>n</v>
      </c>
      <c r="CO3" s="53" t="str">
        <f>IF(S3&gt;=4,"y","n")</f>
        <v>n</v>
      </c>
      <c r="CP3" s="53" t="str">
        <f>IF(AT3=0,"y","n")</f>
        <v>n</v>
      </c>
      <c r="CQ3" s="53" t="str">
        <f>IF(AT3=1,"y","n")</f>
        <v>y</v>
      </c>
      <c r="CR3" s="53" t="str">
        <f>IF(AT3=2,"y","n")</f>
        <v>n</v>
      </c>
      <c r="CS3" s="53" t="str">
        <f>IF(AT3&gt;=3,"y","n")</f>
        <v>n</v>
      </c>
      <c r="CT3" s="38" t="str">
        <f>CHAR(34)&amp;A3&amp;CHAR(34)</f>
        <v>"[NRU] Nauru Pacific Line"</v>
      </c>
      <c r="CU3" s="63" t="str">
        <f>CHAR(34)&amp;"rgn_"&amp;R3&amp;CHAR(34)</f>
        <v>"rgn_Oceania"</v>
      </c>
      <c r="CV3" s="44" t="str">
        <f>CHAR(34)&amp;D3&amp;CHAR(34)</f>
        <v>"https://upload.wikimedia.org/wikipedia/commons/thumb/6/62/Flag_of_the_Nauru_Pacific_Line.svg/640px-Flag_of_the_Nauru_Pacific_Line.svg.png"</v>
      </c>
      <c r="CW3" s="44" t="str">
        <f t="shared" si="0"/>
        <v/>
      </c>
      <c r="CX3" s="44" t="str">
        <f t="shared" si="0"/>
        <v>"3Color",</v>
      </c>
      <c r="CY3" s="44" t="str">
        <f t="shared" si="0"/>
        <v/>
      </c>
      <c r="CZ3" s="44" t="str">
        <f t="shared" si="0"/>
        <v/>
      </c>
      <c r="DA3" s="44" t="str">
        <f>IF(Q3&gt;1,CHAR(34)&amp;"words2"&amp;CHAR(34)&amp;",","")</f>
        <v>"words2",</v>
      </c>
      <c r="DB3" s="44" t="str">
        <f>IF(Q3&gt;2,CHAR(34)&amp;"words3"&amp;CHAR(34)&amp;",","")</f>
        <v>"words3",</v>
      </c>
      <c r="DD3" s="44"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"lets16",</v>
      </c>
      <c r="DE3" s="44" t="str">
        <f>CHAR(34)&amp;"start"&amp;IFERROR(LEFT(SUBSTITUTE(A3,"["&amp;MID(A3,FIND("[",A3)+1,FIND("]",A3)-FIND("[",A3)-1)&amp;"] ",""),1),LEFT(A3,1))&amp;CHAR(34)&amp;","</f>
        <v>"startN",</v>
      </c>
      <c r="DF3" s="44" t="str">
        <f>IFERROR(IF(SEARCH("tan",A3)&gt;0,CHAR(34)&amp;"withtn"&amp;CHAR(34)&amp;",",""),"")</f>
        <v/>
      </c>
      <c r="DG3" s="44" t="str">
        <f>IFERROR(IF(SEARCH("q",A3)&gt;0,CHAR(34)&amp;"with_q"&amp;CHAR(34)&amp;",",""),"")</f>
        <v/>
      </c>
      <c r="DH3" s="44" t="str">
        <f>IFERROR(IF(SEARCH("v",A3)&gt;0,CHAR(34)&amp;"with_v"&amp;CHAR(34)&amp;",",""),"")</f>
        <v/>
      </c>
      <c r="DI3" s="44" t="str">
        <f>IFERROR(IF(SEARCH("w",A3)&gt;0,CHAR(34)&amp;"with_w"&amp;CHAR(34)&amp;",",""),"")</f>
        <v/>
      </c>
      <c r="DJ3" s="44" t="str">
        <f>IFERROR(IF(SEARCH("y",A3)&gt;0,CHAR(34)&amp;"with_y"&amp;CHAR(34)&amp;",",""),"")</f>
        <v/>
      </c>
      <c r="DK3" s="44" t="str">
        <f>IFERROR(IF(SEARCH("z",A3)&gt;0,CHAR(34)&amp;"with_z"&amp;CHAR(34)&amp;",",""),"")</f>
        <v/>
      </c>
      <c r="DL3" s="44" t="str">
        <f>IF(CG3=2, CHAR(34) &amp; _xlfn.TEXTJOIN("", TRUE, _xlfn._xlws.SORT(HP3:HX3)) &amp; CHAR(34) &amp; ",", "")</f>
        <v/>
      </c>
      <c r="DM3" s="44" t="str" cm="1">
        <f t="array" ref="DM3">IF(CG3=3,CHAR(34) &amp; _xlfn.TEXTJOIN("", TRUE, RIGHT(HP3:HX3, 2)) &amp; CHAR(34) &amp; ",", "")</f>
        <v>"LALUHI",</v>
      </c>
      <c r="DN3" s="44" t="str">
        <f>IF(AND(ISNUMBER(SEARCH("18", O3)), ISERROR(SEARCH("1918", O3)), ISERROR(SEARCH("2018", O3))), CHAR(34) &amp; "year18" &amp; CHAR(34) &amp; ",", "")</f>
        <v/>
      </c>
      <c r="DO3" s="44" t="str">
        <f>IF(AND(ISNUMBER(SEARCH("19", O3)), ISERROR(SEARCH("1819", O3)),  ISERROR(SEARCH("1219", O3)),ISERROR(SEARCH("1119", O3)),ISERROR(SEARCH("1190", O3)),ISERROR(SEARCH("2019", O3))), CHAR(34) &amp; "year19" &amp; CHAR(34) &amp; ",", "")</f>
        <v>"year19",</v>
      </c>
      <c r="DP3" s="5" t="str">
        <f>IF(AND(ISNUMBER(SEARCH("20", O3)), ISERROR(SEARCH("1920", O3))), CHAR(34)&amp;"year00"&amp;CHAR(34)&amp;",", "")</f>
        <v/>
      </c>
      <c r="DQ3" s="5" t="str">
        <f>IF(CC3="y",CHAR(34)&amp;"soviet"&amp;CHAR(34)&amp;",","")</f>
        <v/>
      </c>
      <c r="DR3" s="5" t="str">
        <f>IF(BY3="y",CHAR(34)&amp;"dgband"&amp;CHAR(34)&amp;",","")</f>
        <v/>
      </c>
      <c r="DS3" s="5" t="str">
        <f>IF(W3="y",IF(AND(V3="n",BY3&lt;&gt;"y"),CHAR(34)&amp;"allver"&amp;CHAR(34)&amp;",",""),"")</f>
        <v/>
      </c>
      <c r="DT3" s="5" t="str">
        <f>IF(V3="y",IF(AND(W3="n",BY3&lt;&gt;"y"),CHAR(34)&amp;"allhor"&amp;CHAR(34)&amp;",",""),"")</f>
        <v/>
      </c>
      <c r="DU3" s="5" t="str">
        <f>IF(BY3="y",IF(AND(W3="n",V3="n"),CHAR(34)&amp;"alldia"&amp;CHAR(34)&amp;",",""),"")</f>
        <v/>
      </c>
      <c r="DW3" s="44" t="str">
        <f t="shared" si="1"/>
        <v>"NoBand",</v>
      </c>
      <c r="DX3" s="44" t="str">
        <f t="shared" si="1"/>
        <v/>
      </c>
      <c r="DY3" s="44" t="str">
        <f t="shared" si="1"/>
        <v/>
      </c>
      <c r="DZ3" s="44" t="str">
        <f t="shared" si="1"/>
        <v/>
      </c>
      <c r="EA3" s="44" t="str">
        <f t="shared" si="2"/>
        <v/>
      </c>
      <c r="EB3" s="44" t="str">
        <f t="shared" si="2"/>
        <v/>
      </c>
      <c r="EC3" s="44" t="str">
        <f t="shared" si="2"/>
        <v/>
      </c>
      <c r="ED3" s="44" t="str">
        <f t="shared" si="2"/>
        <v/>
      </c>
      <c r="EE3" s="44" t="str">
        <f t="shared" si="2"/>
        <v/>
      </c>
      <c r="EF3" s="44" t="str">
        <f>IF(AND(Y3&lt;&gt;"n",Y3&lt;&gt;""),CHAR(34)&amp;Y$1&amp;CHAR(34)&amp;",","")</f>
        <v/>
      </c>
      <c r="EG3" s="44" t="str">
        <f t="shared" si="3"/>
        <v/>
      </c>
      <c r="EH3" s="44" t="str">
        <f t="shared" si="3"/>
        <v/>
      </c>
      <c r="EI3" s="44" t="str">
        <f t="shared" si="3"/>
        <v/>
      </c>
      <c r="EJ3" s="44" t="str">
        <f t="shared" si="3"/>
        <v/>
      </c>
      <c r="EK3" s="44" t="str">
        <f t="shared" si="3"/>
        <v/>
      </c>
      <c r="EL3" s="44" t="str">
        <f t="shared" si="3"/>
        <v/>
      </c>
      <c r="EM3" s="44" t="str">
        <f t="shared" si="3"/>
        <v/>
      </c>
      <c r="EN3" s="44" t="str">
        <f t="shared" si="3"/>
        <v/>
      </c>
      <c r="EO3" s="44" t="str">
        <f t="shared" si="3"/>
        <v>"Center",</v>
      </c>
      <c r="EP3" s="44" t="str">
        <f t="shared" si="3"/>
        <v/>
      </c>
      <c r="EQ3" s="44" t="str">
        <f t="shared" si="4"/>
        <v/>
      </c>
      <c r="ER3" s="44" t="str">
        <f t="shared" si="4"/>
        <v/>
      </c>
      <c r="ES3" s="44" t="str">
        <f t="shared" si="4"/>
        <v/>
      </c>
      <c r="ET3" s="44" t="str">
        <f t="shared" si="4"/>
        <v/>
      </c>
      <c r="EU3" s="44" t="str">
        <f t="shared" si="4"/>
        <v/>
      </c>
      <c r="EV3" s="44" t="str">
        <f t="shared" si="4"/>
        <v/>
      </c>
      <c r="EW3" s="44" t="str">
        <f t="shared" si="4"/>
        <v/>
      </c>
      <c r="EX3" s="44" t="str">
        <f t="shared" si="4"/>
        <v/>
      </c>
      <c r="EY3" s="44" t="str">
        <f t="shared" si="4"/>
        <v/>
      </c>
      <c r="EZ3" s="44" t="str">
        <f t="shared" si="4"/>
        <v/>
      </c>
      <c r="FA3" s="44" t="str">
        <f>IF(AT3&gt;0,CHAR(34)&amp;"sta"&amp;AZ3&amp;CHAR(34)&amp;",","")</f>
        <v>"staWHI",</v>
      </c>
      <c r="FB3" s="44" t="str">
        <f>IF(AND(AT3&gt;0,BA3&lt;&gt;""),CHAR(34)&amp;"sta"&amp;BA3&amp;CHAR(34)&amp;",","")</f>
        <v/>
      </c>
      <c r="FD3" s="44" t="str">
        <f>IF(BV3="n",CHAR(34)&amp;"tcWHYE"&amp;CHAR(34)&amp;",",IF(BV3="y",CHAR(34)&amp;FD$1&amp;CHAR(34)&amp;",",""))</f>
        <v/>
      </c>
      <c r="FE3" s="44" t="str">
        <f>IF(COUNTIF(BL3:BT3,"BLU")=0,CHAR(34)&amp;"NO_BLU"&amp;CHAR(34)&amp;",", "")</f>
        <v/>
      </c>
      <c r="FF3" s="44" t="str">
        <f>IF(COUNTIF(BL3:BT3,"WHI")=0,CHAR(34)&amp;"NO_WHI"&amp;CHAR(34)&amp;",", "")</f>
        <v/>
      </c>
      <c r="FG3" s="44" t="str">
        <f>IF(COUNTIF(BL3:BT3,"RED")=0,CHAR(34)&amp;"NO_RED"&amp;CHAR(34)&amp;",", "")</f>
        <v>"NO_RED",</v>
      </c>
      <c r="FH3" s="44" t="str">
        <f>IF(COUNTIF(BL3:BS3,"GRE")=0,CHAR(34)&amp;"NO_GRE"&amp;CHAR(34)&amp;",", "")</f>
        <v>"NO_GRE",</v>
      </c>
      <c r="FI3" s="44" t="str">
        <f>IF(COUNTIF(BL3:BT3,"YEL")=0,CHAR(34)&amp;"NO_YEL"&amp;CHAR(34)&amp;",", "")</f>
        <v>"NO_YEL",</v>
      </c>
      <c r="FJ3" s="44" t="str">
        <f>IF(COUNTIF(BL3:BT3,"BLA")=0,CHAR(34)&amp;"NO_BLA"&amp;CHAR(34)&amp;",", "")</f>
        <v/>
      </c>
      <c r="FK3" s="44" t="str">
        <f>IF(AND(FH3&lt;&gt;"",FF3&lt;&gt;""),CHAR(34)&amp;"WHGRNO"&amp;CHAR(34)&amp;",","")</f>
        <v/>
      </c>
      <c r="FL3" s="44" t="str">
        <f>IF(AND(FI3&lt;&gt;"",FF3&lt;&gt;""),CHAR(34)&amp;"WHYENO"&amp;CHAR(34)&amp;",","")</f>
        <v/>
      </c>
      <c r="FM3" s="44" t="str">
        <f>IF(AND(FJ3&lt;&gt;"",FF3&lt;&gt;""),CHAR(34)&amp;"BAWHNO"&amp;CHAR(34)&amp;",","")</f>
        <v/>
      </c>
      <c r="FN3" s="44" t="str">
        <f>IF(AND(FE3&lt;&gt;"",FF3&lt;&gt;""),CHAR(34)&amp;"BLWHNO"&amp;CHAR(34)&amp;",","")</f>
        <v/>
      </c>
      <c r="FO3" s="44" t="str">
        <f>IF(AND(FE3&lt;&gt;"",FG3&lt;&gt;""),CHAR(34)&amp;"BLRENO"&amp;CHAR(34)&amp;",","")</f>
        <v/>
      </c>
      <c r="FP3" s="44" t="str">
        <f>IF(AND(FF3&lt;&gt;"",FF3&lt;&gt;""),CHAR(34)&amp;"WHRENO"&amp;CHAR(34)&amp;",","")</f>
        <v/>
      </c>
      <c r="FQ3" s="44" t="str">
        <f>IF(LEN(BF3)=3,CHAR(34)&amp;"001"&amp;BF3&amp;CHAR(34)&amp;",","")</f>
        <v/>
      </c>
      <c r="FR3" s="44" t="str">
        <f>IF(LEN(BG3)=3,CHAR(34)&amp;"002"&amp;BG3&amp;CHAR(34)&amp;",","")</f>
        <v/>
      </c>
      <c r="FS3" s="44" t="str">
        <f>IF(LEN(BH3)=3,CHAR(34)&amp;"003"&amp;BH3&amp;CHAR(34)&amp;",","")</f>
        <v/>
      </c>
      <c r="FT3" s="44" t="str">
        <f>CHAR(34)&amp;"myr"&amp;BD3&amp;CHAR(34)&amp;","</f>
        <v>"myrBLU",</v>
      </c>
      <c r="FU3" s="44" t="str">
        <f>IF(AY3="y",CHAR(34)&amp;"island"&amp;CHAR(34)&amp;",","")</f>
        <v/>
      </c>
      <c r="FV3" s="44" t="str">
        <f>IF(BZ3="y",CHAR(34)&amp;"landlo"&amp;CHAR(34)&amp;",","")</f>
        <v/>
      </c>
      <c r="FW3" s="44" t="str">
        <f>IF(CA3="y",CHAR(34)&amp;"eunion"&amp;CHAR(34)&amp;",","")</f>
        <v/>
      </c>
      <c r="FY3" s="44" t="str">
        <f>IFERROR(IF(SEARCH("Arabic",CB3)&gt;0,CHAR(34)&amp;"arabic"&amp;CHAR(34)&amp;",",""),"")</f>
        <v/>
      </c>
      <c r="FZ3" s="44" t="str">
        <f>IFERROR(IF(SEARCH("English",CB3)&gt;0,CHAR(34)&amp;"englis"&amp;CHAR(34)&amp;",",""),"")</f>
        <v/>
      </c>
      <c r="GA3" s="44" t="str">
        <f>IFERROR(IF(SEARCH("French",CB3)&gt;0,CHAR(34)&amp;"french"&amp;CHAR(34)&amp;",",""),"")</f>
        <v/>
      </c>
      <c r="GB3" s="44" t="str">
        <f>IFERROR(IF(SEARCH("Spanish",CB3)&gt;0,CHAR(34)&amp;"spanis"&amp;CHAR(34)&amp;",",""),"")</f>
        <v/>
      </c>
      <c r="GE3" s="44" t="str">
        <f>IFERROR(IF(SEARCH("Dutch",CB3)&gt;0,CHAR(34)&amp;"dutchs"&amp;CHAR(34)&amp;",",""),"")</f>
        <v/>
      </c>
      <c r="GF3" s="44" t="str">
        <f>IFERROR(IF(SEARCH("Historical",AU3)&gt;0,CHAR(34)&amp;"histor"&amp;CHAR(34)&amp;",",""),"")</f>
        <v/>
      </c>
      <c r="GG3" s="44" t="str">
        <f>IF(BU3="y",CHAR(34)&amp;"unjack"&amp;CHAR(34)&amp;",","")</f>
        <v/>
      </c>
      <c r="GH3" s="44" t="str">
        <f>IF(CD3=1,CHAR(34)&amp;"southc"&amp;CHAR(34)&amp;",","")</f>
        <v/>
      </c>
      <c r="GI3" s="44" t="str">
        <f>IF(CE3=1,CHAR(34)&amp;"hasmap"&amp;CHAR(34)&amp;",","")</f>
        <v/>
      </c>
      <c r="GJ3" s="44" t="str">
        <f>IF(CP3="y",CHAR(34)&amp;CP$1&amp;CHAR(34)&amp;",","")</f>
        <v/>
      </c>
      <c r="GK3" s="44" t="str">
        <f>IF(GJ3="",CHAR(34)&amp;"HasSta"&amp;CHAR(34)&amp;",","")</f>
        <v>"HasSta",</v>
      </c>
      <c r="GL3" s="44" t="str">
        <f t="shared" si="5"/>
        <v>"1Stars",</v>
      </c>
      <c r="GM3" s="44" t="str">
        <f t="shared" si="5"/>
        <v/>
      </c>
      <c r="GN3" s="44" t="str">
        <f t="shared" si="5"/>
        <v/>
      </c>
      <c r="GP3" s="44" t="str">
        <f>CHAR(34)&amp;AU3&amp;CHAR(34)</f>
        <v>"Maritime"</v>
      </c>
      <c r="GS3" s="44" t="str">
        <f>SUBSTITUTE("["&amp;_xlfn.CONCAT(CW3:GN3)&amp;"]",",]","]")</f>
        <v>["3Color","words2","words3","lets16","startN","LALUHI","year19","NoBand","Center","staWHI","NO_RED","NO_GRE","NO_YEL","myrBLU","HasSta","1Stars"]</v>
      </c>
      <c r="GT3" s="44" t="str">
        <f t="shared" si="6"/>
        <v>"cl_BLU",</v>
      </c>
      <c r="GU3" s="44" t="str">
        <f t="shared" si="6"/>
        <v>"cl_WHI",</v>
      </c>
      <c r="GV3" s="44" t="str">
        <f t="shared" si="6"/>
        <v>"cl_BLA",</v>
      </c>
      <c r="GW3" s="44" t="str">
        <f t="shared" si="6"/>
        <v/>
      </c>
      <c r="GX3" s="44" t="str">
        <f t="shared" si="6"/>
        <v/>
      </c>
      <c r="GY3" s="44" t="str">
        <f t="shared" si="6"/>
        <v/>
      </c>
      <c r="GZ3" s="44" t="str">
        <f t="shared" si="6"/>
        <v/>
      </c>
      <c r="HA3" s="44" t="str">
        <f t="shared" si="6"/>
        <v/>
      </c>
      <c r="HB3" s="44" t="str">
        <f t="shared" si="6"/>
        <v/>
      </c>
      <c r="HC3" s="44" t="str">
        <f>SUBSTITUTE("["&amp;_xlfn.CONCAT(GT3:HB3)&amp;"]",",]","]")</f>
        <v>["cl_BLU","cl_WHI","cl_BLA"]</v>
      </c>
      <c r="HE3" s="64"/>
      <c r="HF3" s="65" t="str">
        <f>"{couname:"&amp;CT3&amp;(IF(HK3&lt;&gt;"",",subtype:"&amp;CHAR(34)&amp;HK3&amp;CHAR(34),""))&amp;",year:"&amp;HJ3&amp;",region:"&amp;CU3&amp;",Colors:"&amp;HC3&amp;",Items:"&amp;GS3&amp;",Flag:"&amp;CV3&amp;",HDFlag:"&amp;CHAR(34)&amp;E3&amp;CHAR(34)&amp;",type:"&amp;GP3&amp;", describe: "&amp;HH3&amp;", isnew:"&amp;CHAR(34)&amp;F3&amp;CHAR(34)&amp;", links: "&amp;HL3&amp;"},"</f>
        <v>{couname:"[NRU] Nauru Pacific Line",year:"1969",region:"rgn_Oceania",Colors:["cl_BLU","cl_WHI","cl_BLA"],Items:["3Color","words2","words3","lets16","startN","LALUHI","year19","NoBand","Center","staWHI","NO_RED","NO_GRE","NO_YEL","myrBLU","HasSta","1Stars"],Flag:"https://upload.wikimedia.org/wikipedia/commons/thumb/6/62/Flag_of_the_Nauru_Pacific_Line.svg/640px-Flag_of_the_Nauru_Pacific_Line.svg.png",HDFlag:"https://upload.wikimedia.org/wikipedia/commons/thumb/6/62/Flag_of_the_Nauru_Pacific_Line.svg/2560px-Flag_of_the_Nauru_Pacific_Line.svg.png",type:"Maritime", describe: "\nThe Nauru Pacific Line (NPL) is the national shipping line of the Republic of Nauru", isnew:".", links: "https://en.wikipedia.org/wiki/Nauru_Pacific_Line"},</v>
      </c>
      <c r="HG3" s="66" t="str">
        <f>"{couname:"&amp;CT3&amp;(IF(HK3&lt;&gt;"",",subtype:"&amp;CHAR(34)&amp;HK3&amp;CHAR(34),""))&amp;",year:"&amp;HJ3&amp;",region:"&amp;CU3&amp;",Colors:"&amp;HC3&amp;",Items:"&amp;GS3&amp;",Flag:"&amp;CV3&amp;",HDFlag:"&amp;CHAR(34)&amp;E3&amp;CHAR(34)&amp;",type:"&amp;GP3&amp;", describe: "&amp;HI3&amp;", links: "&amp;HL3&amp;"},"</f>
        <v>{couname:"[NRU] Nauru Pacific Line",year:"1969",region:"rgn_Oceania",Colors:["cl_BLU","cl_WHI","cl_BLA"],Items:["3Color","words2","words3","lets16","startN","LALUHI","year19","NoBand","Center","staWHI","NO_RED","NO_GRE","NO_YEL","myrBLU","HasSta","1Stars"],Flag:"https://upload.wikimedia.org/wikipedia/commons/thumb/6/62/Flag_of_the_Nauru_Pacific_Line.svg/640px-Flag_of_the_Nauru_Pacific_Line.svg.png",HDFlag:"https://upload.wikimedia.org/wikipedia/commons/thumb/6/62/Flag_of_the_Nauru_Pacific_Line.svg/2560px-Flag_of_the_Nauru_Pacific_Line.svg.png",type:"Maritime", describe: "\nThe Nauru Pacific Line (NPL) is the national shipping line of the Republic of Nauru", links: "https://en.wikipedia.org/wiki/Nauru_Pacific_Line"},</v>
      </c>
      <c r="HH3" s="44" t="str">
        <f>IF(P3&lt;&gt;"",CHAR(34)&amp;"\n"&amp;P3&amp;CHAR(34),CHAR(34)&amp;CHAR(34))</f>
        <v>"\nThe Nauru Pacific Line (NPL) is the national shipping line of the Republic of Nauru"</v>
      </c>
      <c r="HI3" s="44" t="str">
        <f>IF(J3=0,CHAR(34)&amp;CHAR(34),HH3)</f>
        <v>"\nThe Nauru Pacific Line (NPL) is the national shipping line of the Republic of Nauru"</v>
      </c>
      <c r="HJ3" s="44" t="str">
        <f>CHAR(34)&amp;O3&amp;CHAR(34)</f>
        <v>"1969"</v>
      </c>
      <c r="HL3" s="44" t="str">
        <f>CHAR(34)&amp;I3&amp;CHAR(34)</f>
        <v>"https://en.wikipedia.org/wiki/Nauru_Pacific_Line"</v>
      </c>
      <c r="HM3" s="65"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{"couname":"[NRU] Nauru Pacific Line","subtype":"[NRU] Other","year":"1969","region":"rgn_Oceania","Colors":["cl_BLU","cl_WHI","cl_BLA"],"Items":["3Color","words2","words3","lets16","startN","LALUHI","year19","NoBand","Center","staWHI","NO_RED","NO_GRE","NO_YEL","myrBLU","HasSta","1Stars"],"Flag":"https://upload.wikimedia.org/wikipedia/commons/thumb/6/62/Flag_of_the_Nauru_Pacific_Line.svg/640px-Flag_of_the_Nauru_Pacific_Line.svg.png","HDFlag":"https://upload.wikimedia.org/wikipedia/commons/thumb/6/62/Flag_of_the_Nauru_Pacific_Line.svg/2560px-Flag_of_the_Nauru_Pacific_Line.svg.png","type":"Maritime", "describe": "\nThe Nauru Pacific Line (NPL) is the national shipping line of the Republic of Nauru", "isnew": ".", "links": "https://en.wikipedia.org/wiki/Nauru_Pacific_Line"},</v>
      </c>
      <c r="HN3" s="67"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{"couname":"[NRU] Nauru Pacific Line","subtype":"[NRU] Other","year":"1969","region":"rgn_Oceania","Colors":["cl_BLU","cl_WHI","cl_BLA"],"Items":["3Color","words2","words3","lets16","startN","LALUHI","year19","NoBand","Center","staWHI","NO_RED","NO_GRE","NO_YEL","myrBLU","HasSta","1Stars"],"Flag":"https://upload.wikimedia.org/wikipedia/commons/thumb/6/62/Flag_of_the_Nauru_Pacific_Line.svg/640px-Flag_of_the_Nauru_Pacific_Line.svg.png","HDFlag":"https://upload.wikimedia.org/wikipedia/commons/thumb/6/62/Flag_of_the_Nauru_Pacific_Line.svg/2560px-Flag_of_the_Nauru_Pacific_Line.svg.png","type":"Maritime", "describe": "\nThe Nauru Pacific Line (NPL) is the national shipping line of the Republic of Nauru", "isnew": ".", "links": "https://en.wikipedia.org/wiki/Nauru_Pacific_Line"},</v>
      </c>
      <c r="HO3" s="71">
        <v>45644</v>
      </c>
      <c r="HP3" s="44" t="str" cm="1">
        <f t="array" ref="HP3">IF(_xlfn.TEXTJOIN(", ", TRUE, IF(ISNUMBER(SEARCH("BLA", BL3:BT3)), COLUMN(BL3:BT3) - COLUMN(BL3) + 1, ""))&lt;&gt;"","BLA","")</f>
        <v>BLA</v>
      </c>
      <c r="HQ3" s="44" t="str" cm="1">
        <f t="array" ref="HQ3">IF(_xlfn.TEXTJOIN(", ", TRUE, IF(ISNUMBER(SEARCH("BLU", BL3:BT3)), COLUMN(BL3:BT3) - COLUMN(BL3) + 1, ""))&lt;&gt;"","BLU","")</f>
        <v>BLU</v>
      </c>
      <c r="HR3" s="44" t="str" cm="1">
        <f t="array" ref="HR3">IF(_xlfn.TEXTJOIN(", ", TRUE, IF(ISNUMBER(SEARCH("GRE", BL3:BT3)), COLUMN(BL3:BT3) - COLUMN(BL3) + 1, ""))&lt;&gt;"","GRE","")</f>
        <v/>
      </c>
      <c r="HS3" s="44" t="str" cm="1">
        <f t="array" ref="HS3">IF(_xlfn.TEXTJOIN(", ", TRUE, IF(ISNUMBER(SEARCH("RED", BL3:BT3)), COLUMN(BL3:BT3) - COLUMN(BL3) + 1, ""))&lt;&gt;"","RED","")</f>
        <v/>
      </c>
      <c r="HT3" s="44" t="str" cm="1">
        <f t="array" ref="HT3">IF(_xlfn.TEXTJOIN(", ", TRUE, IF(ISNUMBER(SEARCH("YEL", BL3:BT3)), COLUMN(BL3:BT3) - COLUMN(BL3) + 1, ""))&lt;&gt;"","YEL","")</f>
        <v/>
      </c>
      <c r="HU3" s="44" t="str" cm="1">
        <f t="array" ref="HU3">IF(_xlfn.TEXTJOIN(", ", TRUE, IF(ISNUMBER(SEARCH("ORA", BL3:BT3)), COLUMN(BL3:BT3) - COLUMN(BL3) + 1, ""))&lt;&gt;"","ORA","")</f>
        <v/>
      </c>
      <c r="HV3" s="44" t="str" cm="1">
        <f t="array" ref="HV3">IF(_xlfn.TEXTJOIN(", ", TRUE, IF(ISNUMBER(SEARCH("BRO", BL3:BT3)), COLUMN(BL3:BT3) - COLUMN(BL3) + 1, ""))&lt;&gt;"","BRO","")</f>
        <v/>
      </c>
      <c r="HW3" s="44" t="str" cm="1">
        <f t="array" ref="HW3">IF(_xlfn.TEXTJOIN(", ", TRUE, IF(ISNUMBER(SEARCH("PUR", BL3:BT3)), COLUMN(BL3:BT3) - COLUMN(BL3) + 1, ""))&lt;&gt;"","PUR","")</f>
        <v/>
      </c>
      <c r="HX3" s="44" t="str" cm="1">
        <f t="array" ref="HX3">IF(_xlfn.TEXTJOIN(", ", TRUE, IF(ISNUMBER(SEARCH("WHI", BL3:BT3)), COLUMN(BL3:BT3) - COLUMN(BL3) + 1, ""))&lt;&gt;"","WHI","")</f>
        <v>WHI</v>
      </c>
      <c r="HY3" s="72"/>
      <c r="HZ3" s="72"/>
      <c r="IA3" s="5"/>
      <c r="IB3" s="5"/>
      <c r="IC3" s="68"/>
      <c r="ID3" s="68"/>
      <c r="IE3" s="68"/>
      <c r="IF3" s="68"/>
      <c r="IG3" s="68"/>
      <c r="IH3" s="68"/>
      <c r="II3" s="68"/>
      <c r="IJ3" s="68"/>
      <c r="IK3" s="68"/>
      <c r="IM3" s="42">
        <f>COUNTIF(IC3:IK3,"&gt;0")-CG3</f>
        <v>-3</v>
      </c>
      <c r="IN3" s="69" t="str">
        <f>"http://mkweb.bcgsc.ca/color-summarizer/?url="&amp;D3&amp;"&amp;precision=low&amp;num_clusters="&amp;CG3&amp;"&amp;text=1"</f>
        <v>http://mkweb.bcgsc.ca/color-summarizer/?url=https://upload.wikimedia.org/wikipedia/commons/thumb/6/62/Flag_of_the_Nauru_Pacific_Line.svg/640px-Flag_of_the_Nauru_Pacific_Line.svg.png&amp;precision=low&amp;num_clusters=3&amp;text=1</v>
      </c>
      <c r="IO3" s="44" t="str">
        <f>IF(HP3&lt;&gt;"",CHAR(34)&amp;"black"&amp;CHAR(34),"")</f>
        <v>"black"</v>
      </c>
      <c r="IP3" s="44" t="str">
        <f>IF(HQ3&lt;&gt;"",CHAR(34)&amp;"blue"&amp;CHAR(34),"")</f>
        <v>"blue"</v>
      </c>
      <c r="IQ3" s="44" t="str">
        <f>IF(HR3&lt;&gt;"",CHAR(34)&amp;"green"&amp;CHAR(34),"")</f>
        <v/>
      </c>
      <c r="IR3" s="44" t="str">
        <f>IF(HS3&lt;&gt;"",CHAR(34)&amp;"red"&amp;CHAR(34),"")</f>
        <v/>
      </c>
      <c r="IS3" s="44" t="str">
        <f>IF(HT3&lt;&gt;"",CHAR(34)&amp;"yellow"&amp;CHAR(34),"")</f>
        <v/>
      </c>
      <c r="IT3" s="44" t="str">
        <f>IF(HU3&lt;&gt;"",CHAR(34)&amp;"orange"&amp;CHAR(34),"")</f>
        <v/>
      </c>
      <c r="IU3" s="44" t="str">
        <f>IF(HV3&lt;&gt;"",CHAR(34)&amp;"brown"&amp;CHAR(34),"")</f>
        <v/>
      </c>
      <c r="IV3" s="44" t="str">
        <f>IF(HW3&lt;&gt;"",CHAR(34)&amp;"purple"&amp;CHAR(34),"")</f>
        <v/>
      </c>
      <c r="IW3" s="44" t="str">
        <f>IF(HX3&lt;&gt;"",CHAR(34)&amp;"white"&amp;CHAR(34),"")</f>
        <v>"white"</v>
      </c>
      <c r="IX3" s="44" t="str">
        <f>"{"&amp;CHAR(34)&amp;"url"&amp;CHAR(34)&amp;":"&amp;CHAR(34)&amp;IN3&amp;CHAR(34)&amp;","&amp;CHAR(34)&amp;"name"&amp;CHAR(34)&amp;":"&amp;CHAR(34)&amp;A3&amp;CHAR(34)&amp;"},"</f>
        <v>{"url":"http://mkweb.bcgsc.ca/color-summarizer/?url=https://upload.wikimedia.org/wikipedia/commons/thumb/6/62/Flag_of_the_Nauru_Pacific_Line.svg/640px-Flag_of_the_Nauru_Pacific_Line.svg.png&amp;precision=low&amp;num_clusters=3&amp;text=1","name":"[NRU] Nauru Pacific Line"},</v>
      </c>
      <c r="IY3" s="44">
        <v>1503</v>
      </c>
    </row>
    <row r="4" spans="1:259" ht="38.4" customHeight="1" x14ac:dyDescent="0.3">
      <c r="J4" s="44" t="str">
        <f>""</f>
        <v/>
      </c>
    </row>
    <row r="5" spans="1:259" ht="38.4" customHeight="1" x14ac:dyDescent="0.3">
      <c r="J5" s="44" t="str">
        <f>""</f>
        <v/>
      </c>
    </row>
  </sheetData>
  <autoFilter ref="A1:IY3" xr:uid="{A1051193-A95B-4CFB-A73C-F0184620C81F}">
    <sortState xmlns:xlrd2="http://schemas.microsoft.com/office/spreadsheetml/2017/richdata2" ref="A2:IY3">
      <sortCondition ref="AW1:AW3"/>
    </sortState>
  </autoFilter>
  <conditionalFormatting sqref="H1 CW1:GS1 IA1:IB1">
    <cfRule type="cellIs" dxfId="856" priority="66" operator="greaterThan">
      <formula>0</formula>
    </cfRule>
  </conditionalFormatting>
  <conditionalFormatting sqref="H1:H1048576">
    <cfRule type="cellIs" dxfId="855" priority="6" stopIfTrue="1" operator="notEqual">
      <formula>""</formula>
    </cfRule>
  </conditionalFormatting>
  <conditionalFormatting sqref="R2:R3 CU2:CU3">
    <cfRule type="cellIs" dxfId="854" priority="8" operator="greaterThan">
      <formula>0</formula>
    </cfRule>
  </conditionalFormatting>
  <conditionalFormatting sqref="T2:AS3 CH2:CS3">
    <cfRule type="cellIs" dxfId="853" priority="3" stopIfTrue="1" operator="equal">
      <formula>"n"</formula>
    </cfRule>
    <cfRule type="cellIs" dxfId="852" priority="4" stopIfTrue="1" operator="equal">
      <formula>"y"</formula>
    </cfRule>
    <cfRule type="cellIs" dxfId="851" priority="5" operator="greaterThan">
      <formula>0</formula>
    </cfRule>
  </conditionalFormatting>
  <conditionalFormatting sqref="T1:BK1">
    <cfRule type="cellIs" dxfId="850" priority="69" operator="greaterThan">
      <formula>0</formula>
    </cfRule>
  </conditionalFormatting>
  <conditionalFormatting sqref="AZ2:BB3">
    <cfRule type="expression" dxfId="849" priority="2">
      <formula>$AT2=0</formula>
    </cfRule>
  </conditionalFormatting>
  <conditionalFormatting sqref="AZ2:BU3">
    <cfRule type="cellIs" dxfId="848" priority="44" operator="equal">
      <formula>"PIN"</formula>
    </cfRule>
    <cfRule type="cellIs" dxfId="847" priority="45" operator="equal">
      <formula>"ORA"</formula>
    </cfRule>
    <cfRule type="cellIs" dxfId="846" priority="46" operator="equal">
      <formula>"GRA"</formula>
    </cfRule>
    <cfRule type="cellIs" dxfId="845" priority="47" operator="equal">
      <formula>"PUR"</formula>
    </cfRule>
    <cfRule type="cellIs" dxfId="844" priority="48" operator="equal">
      <formula>"BRO"</formula>
    </cfRule>
    <cfRule type="cellIs" dxfId="843" priority="49" operator="equal">
      <formula>"YEL"</formula>
    </cfRule>
    <cfRule type="cellIs" dxfId="842" priority="50" operator="equal">
      <formula>"BLU"</formula>
    </cfRule>
    <cfRule type="cellIs" dxfId="841" priority="51" operator="equal">
      <formula>"WHI"</formula>
    </cfRule>
    <cfRule type="cellIs" dxfId="840" priority="52" operator="equal">
      <formula>"GRE"</formula>
    </cfRule>
    <cfRule type="cellIs" dxfId="839" priority="53" operator="equal">
      <formula>"RED"</formula>
    </cfRule>
    <cfRule type="cellIs" dxfId="838" priority="54" operator="equal">
      <formula>"BLA"</formula>
    </cfRule>
  </conditionalFormatting>
  <conditionalFormatting sqref="BV1:BW1048576">
    <cfRule type="cellIs" dxfId="837" priority="68" operator="equal">
      <formula>"nc"</formula>
    </cfRule>
  </conditionalFormatting>
  <conditionalFormatting sqref="BX2:CA3 CD2:CF3">
    <cfRule type="cellIs" dxfId="836" priority="7" operator="equal">
      <formula>"y"</formula>
    </cfRule>
    <cfRule type="cellIs" dxfId="835" priority="55" operator="equal">
      <formula>"PIN"</formula>
    </cfRule>
    <cfRule type="cellIs" dxfId="834" priority="56" operator="equal">
      <formula>"ORA"</formula>
    </cfRule>
    <cfRule type="cellIs" dxfId="833" priority="57" operator="equal">
      <formula>"GRA"</formula>
    </cfRule>
    <cfRule type="cellIs" dxfId="832" priority="58" operator="equal">
      <formula>"PUR"</formula>
    </cfRule>
    <cfRule type="cellIs" dxfId="831" priority="59" operator="equal">
      <formula>"BRO"</formula>
    </cfRule>
    <cfRule type="cellIs" dxfId="830" priority="60" operator="equal">
      <formula>"YEL"</formula>
    </cfRule>
    <cfRule type="cellIs" dxfId="829" priority="61" operator="equal">
      <formula>"BLU"</formula>
    </cfRule>
    <cfRule type="cellIs" dxfId="828" priority="62" operator="equal">
      <formula>"WHI"</formula>
    </cfRule>
    <cfRule type="cellIs" dxfId="827" priority="63" operator="equal">
      <formula>"GRE"</formula>
    </cfRule>
    <cfRule type="cellIs" dxfId="826" priority="64" operator="equal">
      <formula>"RED"</formula>
    </cfRule>
    <cfRule type="cellIs" dxfId="825" priority="65" operator="equal">
      <formula>"BLA"</formula>
    </cfRule>
  </conditionalFormatting>
  <conditionalFormatting sqref="BZ2:CA3 CD2:CF3">
    <cfRule type="cellIs" dxfId="824" priority="9" operator="greaterThan">
      <formula>0</formula>
    </cfRule>
  </conditionalFormatting>
  <conditionalFormatting sqref="HF1:HG1">
    <cfRule type="cellIs" dxfId="823" priority="70" operator="greaterThan">
      <formula>0</formula>
    </cfRule>
  </conditionalFormatting>
  <conditionalFormatting sqref="HK1">
    <cfRule type="cellIs" dxfId="822" priority="67" operator="greaterThan">
      <formula>0</formula>
    </cfRule>
  </conditionalFormatting>
  <conditionalFormatting sqref="HP1:HX1">
    <cfRule type="cellIs" dxfId="821" priority="21" operator="equal">
      <formula>"PIN"</formula>
    </cfRule>
    <cfRule type="cellIs" dxfId="820" priority="22" operator="equal">
      <formula>"ORA"</formula>
    </cfRule>
    <cfRule type="cellIs" dxfId="819" priority="23" operator="equal">
      <formula>"GRA"</formula>
    </cfRule>
    <cfRule type="cellIs" dxfId="818" priority="24" operator="equal">
      <formula>"PUR"</formula>
    </cfRule>
    <cfRule type="cellIs" dxfId="817" priority="25" operator="equal">
      <formula>"BRO"</formula>
    </cfRule>
    <cfRule type="cellIs" dxfId="816" priority="26" operator="equal">
      <formula>"YEL"</formula>
    </cfRule>
    <cfRule type="cellIs" dxfId="815" priority="27" operator="equal">
      <formula>"BLU"</formula>
    </cfRule>
    <cfRule type="cellIs" dxfId="814" priority="28" operator="equal">
      <formula>"WHI"</formula>
    </cfRule>
    <cfRule type="cellIs" dxfId="813" priority="29" operator="equal">
      <formula>"GRE"</formula>
    </cfRule>
    <cfRule type="cellIs" dxfId="812" priority="30" operator="equal">
      <formula>"RED"</formula>
    </cfRule>
    <cfRule type="cellIs" dxfId="811" priority="31" operator="equal">
      <formula>"BLA"</formula>
    </cfRule>
  </conditionalFormatting>
  <conditionalFormatting sqref="IC1:IK1">
    <cfRule type="cellIs" dxfId="810" priority="33" operator="equal">
      <formula>"PIN"</formula>
    </cfRule>
    <cfRule type="cellIs" dxfId="809" priority="34" operator="equal">
      <formula>"ORA"</formula>
    </cfRule>
    <cfRule type="cellIs" dxfId="808" priority="35" operator="equal">
      <formula>"GRA"</formula>
    </cfRule>
    <cfRule type="cellIs" dxfId="807" priority="36" operator="equal">
      <formula>"PUR"</formula>
    </cfRule>
    <cfRule type="cellIs" dxfId="806" priority="37" operator="equal">
      <formula>"BRO"</formula>
    </cfRule>
    <cfRule type="cellIs" dxfId="805" priority="38" operator="equal">
      <formula>"YEL"</formula>
    </cfRule>
    <cfRule type="cellIs" dxfId="804" priority="39" operator="equal">
      <formula>"BLU"</formula>
    </cfRule>
    <cfRule type="cellIs" dxfId="803" priority="40" operator="equal">
      <formula>"WHI"</formula>
    </cfRule>
    <cfRule type="cellIs" dxfId="802" priority="41" operator="equal">
      <formula>"GRE"</formula>
    </cfRule>
    <cfRule type="cellIs" dxfId="801" priority="42" operator="equal">
      <formula>"RED"</formula>
    </cfRule>
    <cfRule type="cellIs" dxfId="800" priority="43" operator="equal">
      <formula>"BLA"</formula>
    </cfRule>
  </conditionalFormatting>
  <conditionalFormatting sqref="IC2:IK3">
    <cfRule type="expression" dxfId="799" priority="32">
      <formula>$IL2&gt;0</formula>
    </cfRule>
  </conditionalFormatting>
  <conditionalFormatting sqref="IO1:IW1">
    <cfRule type="cellIs" dxfId="798" priority="10" operator="equal">
      <formula>"PIN"</formula>
    </cfRule>
    <cfRule type="cellIs" dxfId="797" priority="11" operator="equal">
      <formula>"ORA"</formula>
    </cfRule>
    <cfRule type="cellIs" dxfId="796" priority="12" operator="equal">
      <formula>"GRA"</formula>
    </cfRule>
    <cfRule type="cellIs" dxfId="795" priority="13" operator="equal">
      <formula>"PUR"</formula>
    </cfRule>
    <cfRule type="cellIs" dxfId="794" priority="14" operator="equal">
      <formula>"BRO"</formula>
    </cfRule>
    <cfRule type="cellIs" dxfId="793" priority="15" operator="equal">
      <formula>"YEL"</formula>
    </cfRule>
    <cfRule type="cellIs" dxfId="792" priority="16" operator="equal">
      <formula>"BLU"</formula>
    </cfRule>
    <cfRule type="cellIs" dxfId="791" priority="17" operator="equal">
      <formula>"WHI"</formula>
    </cfRule>
    <cfRule type="cellIs" dxfId="790" priority="18" operator="equal">
      <formula>"GRE"</formula>
    </cfRule>
    <cfRule type="cellIs" dxfId="789" priority="19" operator="equal">
      <formula>"RED"</formula>
    </cfRule>
    <cfRule type="cellIs" dxfId="788" priority="20" operator="equal">
      <formula>"BLA"</formula>
    </cfRule>
  </conditionalFormatting>
  <conditionalFormatting sqref="S2:S3">
    <cfRule type="colorScale" priority="3334">
      <colorScale>
        <cfvo type="min"/>
        <cfvo type="max"/>
        <color rgb="FFFCFCFF"/>
        <color rgb="FF754BFB"/>
      </colorScale>
    </cfRule>
  </conditionalFormatting>
  <conditionalFormatting sqref="AT2:AT3">
    <cfRule type="colorScale" priority="3335">
      <colorScale>
        <cfvo type="min"/>
        <cfvo type="max"/>
        <color rgb="FFFCFCFF"/>
        <color theme="8" tint="0.39997558519241921"/>
      </colorScale>
    </cfRule>
  </conditionalFormatting>
  <conditionalFormatting sqref="CG2:CG3">
    <cfRule type="colorScale" priority="3336">
      <colorScale>
        <cfvo type="min"/>
        <cfvo type="max"/>
        <color rgb="FFFCFCFF"/>
        <color rgb="FF63BE7B"/>
      </colorScale>
    </cfRule>
  </conditionalFormatting>
  <conditionalFormatting sqref="J2:J5">
    <cfRule type="colorScale" priority="1">
      <colorScale>
        <cfvo type="min"/>
        <cfvo type="percentile" val="50"/>
        <cfvo type="max"/>
        <color rgb="FFF8696B"/>
        <color rgb="FFFFEB84"/>
        <color rgb="FF63BE7B"/>
      </colorScale>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InsertImagesFromSelectedRange">
                <anchor moveWithCells="1" sizeWithCells="1">
                  <from>
                    <xdr:col>1</xdr:col>
                    <xdr:colOff>76200</xdr:colOff>
                    <xdr:row>0</xdr:row>
                    <xdr:rowOff>7620</xdr:rowOff>
                  </from>
                  <to>
                    <xdr:col>2</xdr:col>
                    <xdr:colOff>0</xdr:colOff>
                    <xdr:row>0</xdr:row>
                    <xdr:rowOff>487680</xdr:rowOff>
                  </to>
                </anchor>
              </controlPr>
            </control>
          </mc:Choice>
        </mc:AlternateContent>
        <mc:AlternateContent xmlns:mc="http://schemas.openxmlformats.org/markup-compatibility/2006">
          <mc:Choice Requires="x14">
            <control shapeId="22530" r:id="rId5" name="Button 2">
              <controlPr defaultSize="0" print="0" autoFill="0" autoPict="0" macro="[0]!ReplaceLineBreaksWithNewLineManualRange">
                <anchor moveWithCells="1" sizeWithCells="1">
                  <from>
                    <xdr:col>7</xdr:col>
                    <xdr:colOff>15240</xdr:colOff>
                    <xdr:row>0</xdr:row>
                    <xdr:rowOff>45720</xdr:rowOff>
                  </from>
                  <to>
                    <xdr:col>7</xdr:col>
                    <xdr:colOff>685800</xdr:colOff>
                    <xdr:row>0</xdr:row>
                    <xdr:rowOff>403860</xdr:rowOff>
                  </to>
                </anchor>
              </controlPr>
            </control>
          </mc:Choice>
        </mc:AlternateContent>
        <mc:AlternateContent xmlns:mc="http://schemas.openxmlformats.org/markup-compatibility/2006">
          <mc:Choice Requires="x14">
            <control shapeId="22531" r:id="rId6" name="Button 3">
              <controlPr defaultSize="0" print="0" autoFill="0" autoPict="0" macro="[0]!GoToSheet">
                <anchor moveWithCells="1" sizeWithCells="1">
                  <from>
                    <xdr:col>0</xdr:col>
                    <xdr:colOff>137160</xdr:colOff>
                    <xdr:row>0</xdr:row>
                    <xdr:rowOff>114300</xdr:rowOff>
                  </from>
                  <to>
                    <xdr:col>0</xdr:col>
                    <xdr:colOff>762000</xdr:colOff>
                    <xdr:row>0</xdr:row>
                    <xdr:rowOff>419100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E795B-43A5-47B7-92A1-45CBE818AD2F}">
  <sheetPr codeName="Sheet29"/>
  <dimension ref="A1:IY17"/>
  <sheetViews>
    <sheetView zoomScale="70" zoomScaleNormal="70" workbookViewId="0">
      <pane xSplit="5" ySplit="1" topLeftCell="F2" activePane="bottomRight" state="frozen"/>
      <selection activeCell="A2" sqref="A2"/>
      <selection pane="topRight" activeCell="A2" sqref="A2"/>
      <selection pane="bottomLeft" activeCell="A2" sqref="A2"/>
      <selection pane="bottomRight" activeCell="B6" sqref="B6"/>
    </sheetView>
  </sheetViews>
  <sheetFormatPr defaultRowHeight="38.4" customHeight="1" x14ac:dyDescent="0.3"/>
  <cols>
    <col min="1" max="1" width="52.44140625" style="82" bestFit="1" customWidth="1"/>
    <col min="2" max="2" width="10.109375" style="82" customWidth="1"/>
    <col min="3" max="3" width="7.44140625" style="83" customWidth="1"/>
    <col min="4" max="4" width="4.77734375" style="84" customWidth="1"/>
    <col min="5" max="5" width="4.5546875" style="84" customWidth="1"/>
    <col min="6" max="6" width="5.77734375" style="84" customWidth="1"/>
    <col min="7" max="7" width="7.44140625" style="82" customWidth="1"/>
    <col min="8" max="8" width="11.44140625" style="82" customWidth="1"/>
    <col min="9" max="9" width="10" style="82" customWidth="1"/>
    <col min="10" max="10" width="4.21875" style="82" customWidth="1"/>
    <col min="11" max="11" width="5.6640625" style="84" customWidth="1"/>
    <col min="12" max="12" width="2.88671875" style="84" customWidth="1"/>
    <col min="13" max="13" width="6.44140625" style="84" customWidth="1"/>
    <col min="14" max="14" width="4.5546875" style="84" customWidth="1"/>
    <col min="15" max="15" width="10.5546875" style="85" customWidth="1"/>
    <col min="16" max="16" width="6.88671875" style="84" customWidth="1"/>
    <col min="17" max="17" width="4.77734375" style="84" customWidth="1"/>
    <col min="18" max="18" width="13.109375" style="83" customWidth="1"/>
    <col min="19" max="19" width="6.77734375" style="83" customWidth="1"/>
    <col min="20" max="46" width="8.44140625" style="82" customWidth="1"/>
    <col min="47" max="47" width="24.5546875" style="82" customWidth="1"/>
    <col min="48" max="51" width="16.6640625" style="82" customWidth="1"/>
    <col min="52" max="52" width="6.5546875" style="82" customWidth="1"/>
    <col min="53" max="54" width="5.88671875" style="82" customWidth="1"/>
    <col min="55" max="55" width="1.33203125" style="82" customWidth="1"/>
    <col min="56" max="56" width="7.44140625" style="82" customWidth="1"/>
    <col min="57" max="57" width="2.33203125" style="82" customWidth="1"/>
    <col min="58" max="62" width="6.109375" style="82" customWidth="1"/>
    <col min="63" max="63" width="2.33203125" style="82" customWidth="1"/>
    <col min="64" max="64" width="7" style="82" bestFit="1" customWidth="1"/>
    <col min="65" max="65" width="6.44140625" style="82" bestFit="1" customWidth="1"/>
    <col min="66" max="66" width="7.109375" style="82" bestFit="1" customWidth="1"/>
    <col min="67" max="71" width="6.44140625" style="82" bestFit="1" customWidth="1"/>
    <col min="72" max="73" width="6.44140625" style="82" customWidth="1"/>
    <col min="74" max="75" width="13.44140625" style="82" customWidth="1"/>
    <col min="76" max="84" width="14.6640625" style="82" customWidth="1"/>
    <col min="85" max="85" width="6.44140625" style="82" customWidth="1"/>
    <col min="86" max="87" width="11.6640625" style="82" bestFit="1" customWidth="1"/>
    <col min="88" max="88" width="11.6640625" style="82" customWidth="1"/>
    <col min="89" max="89" width="12.77734375" style="82" bestFit="1" customWidth="1"/>
    <col min="90" max="90" width="16.44140625" style="83" bestFit="1" customWidth="1"/>
    <col min="91" max="92" width="14.88671875" style="83" bestFit="1" customWidth="1"/>
    <col min="93" max="93" width="16" style="83" bestFit="1" customWidth="1"/>
    <col min="94" max="97" width="7.77734375" style="82" customWidth="1"/>
    <col min="98" max="98" width="33.21875" style="82" customWidth="1"/>
    <col min="99" max="99" width="18" style="82" customWidth="1"/>
    <col min="100" max="100" width="75.6640625" style="82" customWidth="1"/>
    <col min="101" max="125" width="33" style="82" customWidth="1"/>
    <col min="126" max="126" width="8.88671875" style="82"/>
    <col min="127" max="128" width="9.44140625" style="82" bestFit="1" customWidth="1"/>
    <col min="129" max="129" width="10.77734375" style="82" bestFit="1" customWidth="1"/>
    <col min="130" max="134" width="10.77734375" style="82" customWidth="1"/>
    <col min="135" max="135" width="10.109375" style="82" bestFit="1" customWidth="1"/>
    <col min="136" max="136" width="7.77734375" style="82" bestFit="1" customWidth="1"/>
    <col min="137" max="137" width="7.77734375" style="82" customWidth="1"/>
    <col min="138" max="138" width="9" style="82" bestFit="1" customWidth="1"/>
    <col min="139" max="139" width="11.33203125" style="82" bestFit="1" customWidth="1"/>
    <col min="140" max="140" width="9.109375" style="82" bestFit="1" customWidth="1"/>
    <col min="141" max="141" width="9" style="82" bestFit="1" customWidth="1"/>
    <col min="142" max="142" width="12" style="82" bestFit="1" customWidth="1"/>
    <col min="143" max="166" width="12" style="82" customWidth="1"/>
    <col min="167" max="167" width="17.21875" style="82" customWidth="1"/>
    <col min="168" max="191" width="12" style="82" customWidth="1"/>
    <col min="192" max="192" width="8.5546875" style="82" bestFit="1" customWidth="1"/>
    <col min="193" max="193" width="8.5546875" style="82" customWidth="1"/>
    <col min="194" max="194" width="7.109375" style="82" bestFit="1" customWidth="1"/>
    <col min="195" max="195" width="7.5546875" style="82" bestFit="1" customWidth="1"/>
    <col min="196" max="196" width="8.5546875" style="82" bestFit="1" customWidth="1"/>
    <col min="197" max="200" width="8.5546875" style="82" customWidth="1"/>
    <col min="201" max="201" width="188.88671875" style="82" customWidth="1"/>
    <col min="202" max="202" width="9.5546875" style="82" bestFit="1" customWidth="1"/>
    <col min="203" max="203" width="10.44140625" style="82" bestFit="1" customWidth="1"/>
    <col min="204" max="204" width="11.109375" style="82" bestFit="1" customWidth="1"/>
    <col min="205" max="205" width="10.44140625" style="82" bestFit="1" customWidth="1"/>
    <col min="206" max="210" width="10.44140625" style="82" customWidth="1"/>
    <col min="211" max="211" width="45.44140625" style="82" customWidth="1"/>
    <col min="212" max="212" width="47.5546875" style="82" bestFit="1" customWidth="1"/>
    <col min="213" max="213" width="9.33203125" style="86" customWidth="1"/>
    <col min="214" max="214" width="119.5546875" style="82" customWidth="1"/>
    <col min="215" max="215" width="69.6640625" style="82" customWidth="1"/>
    <col min="216" max="218" width="8.88671875" style="82"/>
    <col min="219" max="219" width="37.109375" style="82" customWidth="1"/>
    <col min="220" max="220" width="16.33203125" style="82" customWidth="1"/>
    <col min="221" max="222" width="8.88671875" style="82"/>
    <col min="223" max="223" width="10.109375" style="82" bestFit="1" customWidth="1"/>
    <col min="224" max="232" width="10.88671875" style="82" customWidth="1"/>
    <col min="233" max="234" width="30.77734375" style="82" customWidth="1"/>
    <col min="235" max="235" width="5.109375" style="82" customWidth="1"/>
    <col min="236" max="236" width="3" style="82" customWidth="1"/>
    <col min="237" max="245" width="6.77734375" style="76" customWidth="1"/>
    <col min="246" max="247" width="8.88671875" style="82"/>
    <col min="248" max="248" width="61.5546875" style="82" customWidth="1"/>
    <col min="249" max="253" width="8.88671875" style="82"/>
    <col min="254" max="254" width="9" style="82" customWidth="1"/>
    <col min="255" max="16384" width="8.88671875" style="82"/>
  </cols>
  <sheetData>
    <row r="1" spans="1:259" s="5" customFormat="1" ht="38.4" customHeight="1" thickBot="1" x14ac:dyDescent="0.35">
      <c r="A1" s="1" t="s">
        <v>0</v>
      </c>
      <c r="B1" s="79" t="s">
        <v>1</v>
      </c>
      <c r="C1" s="2" t="s">
        <v>2</v>
      </c>
      <c r="D1" s="3"/>
      <c r="E1" s="3" t="s">
        <v>3</v>
      </c>
      <c r="F1" s="4"/>
      <c r="H1" s="6" t="s">
        <v>4</v>
      </c>
      <c r="J1" s="5" t="s">
        <v>5</v>
      </c>
      <c r="K1" s="7" t="s">
        <v>6</v>
      </c>
      <c r="L1" s="8" t="s">
        <v>7</v>
      </c>
      <c r="M1" s="8" t="s">
        <v>8</v>
      </c>
      <c r="N1" s="9" t="s">
        <v>9</v>
      </c>
      <c r="O1" s="10" t="s">
        <v>10</v>
      </c>
      <c r="P1" s="11" t="s">
        <v>11</v>
      </c>
      <c r="Q1" s="11" t="s">
        <v>12</v>
      </c>
      <c r="R1" s="12" t="s">
        <v>0</v>
      </c>
      <c r="S1" s="13" t="s">
        <v>13</v>
      </c>
      <c r="T1" s="14" t="s">
        <v>14</v>
      </c>
      <c r="U1" s="14" t="s">
        <v>15</v>
      </c>
      <c r="V1" s="15" t="s">
        <v>16</v>
      </c>
      <c r="W1" s="14" t="s">
        <v>17</v>
      </c>
      <c r="X1" s="14" t="s">
        <v>18</v>
      </c>
      <c r="Y1" s="14" t="s">
        <v>19</v>
      </c>
      <c r="Z1" s="14" t="s">
        <v>20</v>
      </c>
      <c r="AA1" s="14" t="s">
        <v>21</v>
      </c>
      <c r="AB1" s="14" t="s">
        <v>22</v>
      </c>
      <c r="AC1" s="14" t="s">
        <v>23</v>
      </c>
      <c r="AD1" s="14" t="s">
        <v>24</v>
      </c>
      <c r="AE1" s="14" t="s">
        <v>25</v>
      </c>
      <c r="AF1" s="16" t="s">
        <v>26</v>
      </c>
      <c r="AG1" s="16" t="s">
        <v>27</v>
      </c>
      <c r="AH1" s="16" t="s">
        <v>28</v>
      </c>
      <c r="AI1" s="16" t="s">
        <v>29</v>
      </c>
      <c r="AJ1" s="16" t="s">
        <v>30</v>
      </c>
      <c r="AK1" s="16" t="s">
        <v>31</v>
      </c>
      <c r="AL1" s="16" t="s">
        <v>32</v>
      </c>
      <c r="AM1" s="16" t="s">
        <v>33</v>
      </c>
      <c r="AN1" s="16" t="s">
        <v>34</v>
      </c>
      <c r="AO1" s="16" t="s">
        <v>35</v>
      </c>
      <c r="AP1" s="16" t="s">
        <v>36</v>
      </c>
      <c r="AQ1" s="16" t="s">
        <v>37</v>
      </c>
      <c r="AR1" s="16" t="s">
        <v>38</v>
      </c>
      <c r="AS1" s="16" t="s">
        <v>39</v>
      </c>
      <c r="AT1" s="17" t="s">
        <v>40</v>
      </c>
      <c r="AU1" s="18" t="s">
        <v>41</v>
      </c>
      <c r="AV1" s="18" t="s">
        <v>42</v>
      </c>
      <c r="AW1" s="18" t="s">
        <v>43</v>
      </c>
      <c r="AX1" s="19"/>
      <c r="AY1" s="20" t="s">
        <v>44</v>
      </c>
      <c r="AZ1" s="19" t="s">
        <v>45</v>
      </c>
      <c r="BA1" s="19"/>
      <c r="BB1" s="19"/>
      <c r="BC1" s="21"/>
      <c r="BD1" s="19" t="s">
        <v>46</v>
      </c>
      <c r="BE1" s="21"/>
      <c r="BF1" s="19" t="s">
        <v>47</v>
      </c>
      <c r="BG1" s="19" t="s">
        <v>48</v>
      </c>
      <c r="BH1" s="19" t="s">
        <v>49</v>
      </c>
      <c r="BI1" s="19" t="s">
        <v>50</v>
      </c>
      <c r="BJ1" s="19" t="s">
        <v>51</v>
      </c>
      <c r="BK1" s="21"/>
      <c r="BL1" s="22" t="s">
        <v>52</v>
      </c>
      <c r="BM1" s="22"/>
      <c r="BN1" s="22"/>
      <c r="BO1" s="22"/>
      <c r="BP1" s="22"/>
      <c r="BQ1" s="22"/>
      <c r="BR1" s="22"/>
      <c r="BS1" s="22"/>
      <c r="BT1" s="23"/>
      <c r="BU1" s="23" t="s">
        <v>53</v>
      </c>
      <c r="BV1" s="23" t="s">
        <v>54</v>
      </c>
      <c r="BW1" s="23" t="s">
        <v>55</v>
      </c>
      <c r="BX1" s="23"/>
      <c r="BY1" s="23" t="s">
        <v>56</v>
      </c>
      <c r="BZ1" s="23" t="s">
        <v>57</v>
      </c>
      <c r="CA1" s="23" t="s">
        <v>58</v>
      </c>
      <c r="CB1" s="23" t="s">
        <v>59</v>
      </c>
      <c r="CC1" s="23" t="s">
        <v>60</v>
      </c>
      <c r="CD1" s="23" t="s">
        <v>61</v>
      </c>
      <c r="CE1" s="23" t="s">
        <v>62</v>
      </c>
      <c r="CF1" s="23" t="s">
        <v>63</v>
      </c>
      <c r="CG1" s="23"/>
      <c r="CH1" s="23" t="s">
        <v>64</v>
      </c>
      <c r="CI1" s="23" t="s">
        <v>65</v>
      </c>
      <c r="CJ1" s="23" t="s">
        <v>66</v>
      </c>
      <c r="CK1" s="23" t="s">
        <v>67</v>
      </c>
      <c r="CL1" s="24" t="s">
        <v>68</v>
      </c>
      <c r="CM1" s="24" t="s">
        <v>69</v>
      </c>
      <c r="CN1" s="24" t="s">
        <v>70</v>
      </c>
      <c r="CO1" s="24" t="s">
        <v>71</v>
      </c>
      <c r="CP1" s="24" t="s">
        <v>72</v>
      </c>
      <c r="CQ1" s="24" t="s">
        <v>73</v>
      </c>
      <c r="CR1" s="24" t="s">
        <v>74</v>
      </c>
      <c r="CS1" s="24" t="s">
        <v>75</v>
      </c>
      <c r="CT1" s="1" t="s">
        <v>76</v>
      </c>
      <c r="CU1" s="25" t="s">
        <v>0</v>
      </c>
      <c r="CV1" s="5" t="s">
        <v>77</v>
      </c>
      <c r="CW1" s="14" t="s">
        <v>78</v>
      </c>
      <c r="CX1" s="14" t="s">
        <v>79</v>
      </c>
      <c r="CY1" s="14" t="s">
        <v>66</v>
      </c>
      <c r="CZ1" s="14" t="s">
        <v>80</v>
      </c>
      <c r="DA1" s="14" t="s">
        <v>81</v>
      </c>
      <c r="DB1" s="14" t="s">
        <v>82</v>
      </c>
      <c r="DC1" s="14" t="s">
        <v>83</v>
      </c>
      <c r="DD1" s="14" t="s">
        <v>84</v>
      </c>
      <c r="DE1" s="14" t="s">
        <v>85</v>
      </c>
      <c r="DF1" s="14" t="s">
        <v>86</v>
      </c>
      <c r="DG1" s="14" t="s">
        <v>87</v>
      </c>
      <c r="DH1" s="14" t="s">
        <v>88</v>
      </c>
      <c r="DI1" s="14" t="s">
        <v>89</v>
      </c>
      <c r="DJ1" s="14" t="s">
        <v>90</v>
      </c>
      <c r="DK1" s="14" t="s">
        <v>91</v>
      </c>
      <c r="DL1" s="14" t="s">
        <v>92</v>
      </c>
      <c r="DM1" s="14" t="s">
        <v>93</v>
      </c>
      <c r="DN1" s="14" t="s">
        <v>94</v>
      </c>
      <c r="DO1" s="14" t="s">
        <v>95</v>
      </c>
      <c r="DP1" s="14" t="s">
        <v>96</v>
      </c>
      <c r="DQ1" s="14" t="s">
        <v>97</v>
      </c>
      <c r="DR1" s="14" t="s">
        <v>56</v>
      </c>
      <c r="DS1" s="14" t="s">
        <v>98</v>
      </c>
      <c r="DT1" s="14" t="s">
        <v>99</v>
      </c>
      <c r="DU1" s="14" t="s">
        <v>100</v>
      </c>
      <c r="DV1" s="14" t="s">
        <v>101</v>
      </c>
      <c r="DW1" s="14" t="s">
        <v>102</v>
      </c>
      <c r="DX1" s="14" t="s">
        <v>103</v>
      </c>
      <c r="DY1" s="14" t="s">
        <v>104</v>
      </c>
      <c r="DZ1" s="14" t="s">
        <v>105</v>
      </c>
      <c r="EA1" s="14" t="s">
        <v>106</v>
      </c>
      <c r="EB1" s="14" t="s">
        <v>107</v>
      </c>
      <c r="EC1" s="14" t="s">
        <v>108</v>
      </c>
      <c r="ED1" s="14" t="s">
        <v>109</v>
      </c>
      <c r="EE1" s="15" t="s">
        <v>18</v>
      </c>
      <c r="EF1" s="14" t="s">
        <v>19</v>
      </c>
      <c r="EG1" s="14" t="s">
        <v>20</v>
      </c>
      <c r="EH1" s="14" t="s">
        <v>21</v>
      </c>
      <c r="EI1" s="14" t="s">
        <v>110</v>
      </c>
      <c r="EJ1" s="14" t="s">
        <v>23</v>
      </c>
      <c r="EK1" s="14" t="s">
        <v>111</v>
      </c>
      <c r="EL1" s="14" t="s">
        <v>112</v>
      </c>
      <c r="EM1" s="14" t="s">
        <v>26</v>
      </c>
      <c r="EN1" s="16" t="s">
        <v>27</v>
      </c>
      <c r="EO1" s="16" t="s">
        <v>28</v>
      </c>
      <c r="EP1" s="16" t="s">
        <v>29</v>
      </c>
      <c r="EQ1" s="16" t="s">
        <v>113</v>
      </c>
      <c r="ER1" s="16" t="s">
        <v>31</v>
      </c>
      <c r="ES1" s="16" t="s">
        <v>32</v>
      </c>
      <c r="ET1" s="16" t="s">
        <v>114</v>
      </c>
      <c r="EU1" s="16" t="s">
        <v>34</v>
      </c>
      <c r="EV1" s="16" t="s">
        <v>35</v>
      </c>
      <c r="EW1" s="16" t="s">
        <v>115</v>
      </c>
      <c r="EX1" s="16" t="s">
        <v>37</v>
      </c>
      <c r="EY1" s="16" t="s">
        <v>38</v>
      </c>
      <c r="EZ1" s="16" t="s">
        <v>39</v>
      </c>
      <c r="FA1" s="16" t="s">
        <v>116</v>
      </c>
      <c r="FB1" s="16" t="s">
        <v>117</v>
      </c>
      <c r="FC1" s="16" t="s">
        <v>118</v>
      </c>
      <c r="FD1" s="16" t="s">
        <v>54</v>
      </c>
      <c r="FE1" s="16" t="s">
        <v>119</v>
      </c>
      <c r="FF1" s="16" t="s">
        <v>120</v>
      </c>
      <c r="FG1" s="16" t="s">
        <v>121</v>
      </c>
      <c r="FH1" s="16" t="s">
        <v>122</v>
      </c>
      <c r="FI1" s="16" t="s">
        <v>123</v>
      </c>
      <c r="FJ1" s="16" t="s">
        <v>124</v>
      </c>
      <c r="FK1" s="16" t="s">
        <v>125</v>
      </c>
      <c r="FL1" s="16" t="s">
        <v>126</v>
      </c>
      <c r="FM1" s="16" t="s">
        <v>127</v>
      </c>
      <c r="FN1" s="16" t="s">
        <v>128</v>
      </c>
      <c r="FO1" s="16" t="s">
        <v>129</v>
      </c>
      <c r="FP1" s="16" t="s">
        <v>130</v>
      </c>
      <c r="FQ1" s="16" t="s">
        <v>131</v>
      </c>
      <c r="FR1" s="16" t="s">
        <v>132</v>
      </c>
      <c r="FS1" s="16" t="s">
        <v>133</v>
      </c>
      <c r="FT1" s="16" t="s">
        <v>134</v>
      </c>
      <c r="FU1" s="16" t="s">
        <v>44</v>
      </c>
      <c r="FV1" s="16" t="s">
        <v>135</v>
      </c>
      <c r="FW1" s="16" t="s">
        <v>58</v>
      </c>
      <c r="FX1" s="16" t="s">
        <v>136</v>
      </c>
      <c r="FY1" s="16" t="s">
        <v>137</v>
      </c>
      <c r="FZ1" s="16" t="s">
        <v>138</v>
      </c>
      <c r="GA1" s="16" t="s">
        <v>139</v>
      </c>
      <c r="GB1" s="16" t="s">
        <v>140</v>
      </c>
      <c r="GC1" s="16" t="s">
        <v>141</v>
      </c>
      <c r="GD1" s="16" t="s">
        <v>142</v>
      </c>
      <c r="GE1" s="16" t="s">
        <v>143</v>
      </c>
      <c r="GF1" s="16" t="s">
        <v>144</v>
      </c>
      <c r="GG1" s="16" t="s">
        <v>145</v>
      </c>
      <c r="GH1" s="16" t="s">
        <v>61</v>
      </c>
      <c r="GI1" s="16" t="s">
        <v>62</v>
      </c>
      <c r="GJ1" s="14" t="s">
        <v>146</v>
      </c>
      <c r="GK1" s="14" t="s">
        <v>147</v>
      </c>
      <c r="GL1" s="14" t="s">
        <v>148</v>
      </c>
      <c r="GM1" s="17" t="s">
        <v>149</v>
      </c>
      <c r="GN1" s="26" t="s">
        <v>150</v>
      </c>
      <c r="GO1" s="26" t="s">
        <v>151</v>
      </c>
      <c r="GP1" s="18" t="s">
        <v>41</v>
      </c>
      <c r="GQ1" s="18" t="s">
        <v>42</v>
      </c>
      <c r="GR1" s="18" t="s">
        <v>43</v>
      </c>
      <c r="GS1" s="21"/>
      <c r="GT1" s="27" t="s">
        <v>52</v>
      </c>
      <c r="GU1" s="27"/>
      <c r="GV1" s="27"/>
      <c r="GW1" s="27"/>
      <c r="GX1" s="28"/>
      <c r="GY1" s="28"/>
      <c r="GZ1" s="28"/>
      <c r="HA1" s="28"/>
      <c r="HB1" s="28"/>
      <c r="HC1" s="28"/>
      <c r="HD1" s="29" t="s">
        <v>13</v>
      </c>
      <c r="HE1" s="30" t="s">
        <v>152</v>
      </c>
      <c r="HF1" s="31"/>
      <c r="HG1" s="32"/>
      <c r="HK1" s="32" t="s">
        <v>4</v>
      </c>
      <c r="HP1" s="33" t="s">
        <v>153</v>
      </c>
      <c r="HQ1" s="33" t="s">
        <v>154</v>
      </c>
      <c r="HR1" s="33" t="s">
        <v>155</v>
      </c>
      <c r="HS1" s="33" t="s">
        <v>156</v>
      </c>
      <c r="HT1" s="33" t="s">
        <v>157</v>
      </c>
      <c r="HU1" s="33" t="s">
        <v>158</v>
      </c>
      <c r="HV1" s="33" t="s">
        <v>159</v>
      </c>
      <c r="HW1" s="33" t="s">
        <v>160</v>
      </c>
      <c r="HX1" s="34" t="s">
        <v>161</v>
      </c>
      <c r="IA1" s="14" t="s">
        <v>162</v>
      </c>
      <c r="IB1" s="35" t="s">
        <v>163</v>
      </c>
      <c r="IC1" s="36" t="s">
        <v>153</v>
      </c>
      <c r="ID1" s="36" t="s">
        <v>154</v>
      </c>
      <c r="IE1" s="36" t="s">
        <v>156</v>
      </c>
      <c r="IF1" s="37" t="s">
        <v>161</v>
      </c>
      <c r="IG1" s="36" t="s">
        <v>157</v>
      </c>
      <c r="IH1" s="36" t="s">
        <v>158</v>
      </c>
      <c r="II1" s="36" t="s">
        <v>155</v>
      </c>
      <c r="IJ1" s="36" t="s">
        <v>159</v>
      </c>
      <c r="IK1" s="36" t="s">
        <v>160</v>
      </c>
      <c r="IO1" s="33" t="s">
        <v>153</v>
      </c>
      <c r="IP1" s="33" t="s">
        <v>154</v>
      </c>
      <c r="IQ1" s="33" t="s">
        <v>155</v>
      </c>
      <c r="IR1" s="33" t="s">
        <v>156</v>
      </c>
      <c r="IS1" s="33" t="s">
        <v>157</v>
      </c>
      <c r="IT1" s="33" t="s">
        <v>158</v>
      </c>
      <c r="IU1" s="33" t="s">
        <v>159</v>
      </c>
      <c r="IV1" s="33" t="s">
        <v>160</v>
      </c>
      <c r="IW1" s="34" t="s">
        <v>161</v>
      </c>
      <c r="IY1" s="5" t="s">
        <v>164</v>
      </c>
    </row>
    <row r="2" spans="1:259" s="44" customFormat="1" ht="38.4" customHeight="1" thickBot="1" x14ac:dyDescent="0.35">
      <c r="A2" s="77" t="s">
        <v>268</v>
      </c>
      <c r="B2" s="78" t="e" vm="69">
        <v>#VALUE!</v>
      </c>
      <c r="C2" s="39">
        <v>1</v>
      </c>
      <c r="D2" s="70" t="s">
        <v>269</v>
      </c>
      <c r="E2" s="40" t="s">
        <v>270</v>
      </c>
      <c r="F2" s="41" t="s">
        <v>165</v>
      </c>
      <c r="G2" s="42">
        <f t="shared" ref="G2:G16" si="0">COUNTIF($A$1:$A$8354,A2)</f>
        <v>1</v>
      </c>
      <c r="H2" s="43"/>
      <c r="I2" s="59" t="s">
        <v>271</v>
      </c>
      <c r="J2" s="44" t="str">
        <f>""</f>
        <v/>
      </c>
      <c r="K2" s="45">
        <v>5305000</v>
      </c>
      <c r="L2" s="46">
        <v>4900000</v>
      </c>
      <c r="M2" s="46" t="s">
        <v>1153</v>
      </c>
      <c r="N2" s="47" t="s">
        <v>177</v>
      </c>
      <c r="O2" s="74" t="s">
        <v>211</v>
      </c>
      <c r="P2" s="48" t="s">
        <v>272</v>
      </c>
      <c r="Q2" s="73">
        <v>2</v>
      </c>
      <c r="R2" s="49" t="s">
        <v>177</v>
      </c>
      <c r="S2" s="50">
        <v>0</v>
      </c>
      <c r="T2" s="51" t="s">
        <v>166</v>
      </c>
      <c r="U2" s="52" t="s">
        <v>167</v>
      </c>
      <c r="V2" s="52" t="s">
        <v>166</v>
      </c>
      <c r="W2" s="52" t="s">
        <v>166</v>
      </c>
      <c r="X2" s="52" t="s">
        <v>166</v>
      </c>
      <c r="Y2" s="52" t="s">
        <v>166</v>
      </c>
      <c r="Z2" s="52" t="s">
        <v>166</v>
      </c>
      <c r="AA2" s="52" t="s">
        <v>166</v>
      </c>
      <c r="AB2" s="52" t="s">
        <v>166</v>
      </c>
      <c r="AC2" s="52" t="s">
        <v>166</v>
      </c>
      <c r="AD2" s="52" t="s">
        <v>166</v>
      </c>
      <c r="AE2" s="52" t="s">
        <v>166</v>
      </c>
      <c r="AF2" s="53" t="s">
        <v>166</v>
      </c>
      <c r="AG2" s="53" t="s">
        <v>166</v>
      </c>
      <c r="AH2" s="53" t="s">
        <v>166</v>
      </c>
      <c r="AI2" s="53" t="s">
        <v>167</v>
      </c>
      <c r="AJ2" s="53" t="s">
        <v>166</v>
      </c>
      <c r="AK2" s="53" t="s">
        <v>166</v>
      </c>
      <c r="AL2" s="53" t="s">
        <v>166</v>
      </c>
      <c r="AM2" s="53" t="s">
        <v>166</v>
      </c>
      <c r="AN2" s="53" t="s">
        <v>166</v>
      </c>
      <c r="AO2" s="53" t="s">
        <v>166</v>
      </c>
      <c r="AP2" s="53" t="s">
        <v>166</v>
      </c>
      <c r="AQ2" s="53" t="s">
        <v>166</v>
      </c>
      <c r="AR2" s="53" t="s">
        <v>166</v>
      </c>
      <c r="AS2" s="53" t="s">
        <v>166</v>
      </c>
      <c r="AT2" s="54">
        <v>4</v>
      </c>
      <c r="AU2" s="53"/>
      <c r="AV2" s="53" t="str">
        <f t="shared" ref="AV2:AV16" si="1">IF(LEFT(A2,1)="[",LEFT(A2,5)&amp;AU2&amp;A2,"")</f>
        <v/>
      </c>
      <c r="AW2" s="53" t="str">
        <f t="shared" ref="AW2:AW16" si="2">C2&amp;H2&amp;A2</f>
        <v>1New Zealand</v>
      </c>
      <c r="AX2" s="55" t="str">
        <f>_xlfn.TEXTJOIN(";",TRUE,AU2:AW2)</f>
        <v>1New Zealand</v>
      </c>
      <c r="AY2" s="55" t="s">
        <v>167</v>
      </c>
      <c r="AZ2" s="56" t="s">
        <v>156</v>
      </c>
      <c r="BA2" s="56" t="s">
        <v>161</v>
      </c>
      <c r="BB2" s="56"/>
      <c r="BC2" s="57"/>
      <c r="BD2" s="58" t="s">
        <v>154</v>
      </c>
      <c r="BE2" s="59"/>
      <c r="BF2" s="58"/>
      <c r="BG2" s="58"/>
      <c r="BH2" s="58"/>
      <c r="BI2" s="58"/>
      <c r="BJ2" s="58"/>
      <c r="BK2" s="59"/>
      <c r="BL2" s="58" t="s">
        <v>156</v>
      </c>
      <c r="BM2" s="58" t="s">
        <v>161</v>
      </c>
      <c r="BN2" s="58" t="s">
        <v>154</v>
      </c>
      <c r="BO2" s="58"/>
      <c r="BP2" s="58"/>
      <c r="BQ2" s="58"/>
      <c r="BR2" s="58"/>
      <c r="BS2" s="58"/>
      <c r="BT2" s="58"/>
      <c r="BU2" s="60" t="s">
        <v>167</v>
      </c>
      <c r="BV2" s="61" t="s">
        <v>168</v>
      </c>
      <c r="BW2" s="61" t="s">
        <v>170</v>
      </c>
      <c r="BX2" s="59"/>
      <c r="CB2" s="5" t="s">
        <v>210</v>
      </c>
      <c r="CC2" s="5"/>
      <c r="CD2" s="62">
        <v>1</v>
      </c>
      <c r="CE2" s="62">
        <v>0</v>
      </c>
      <c r="CF2" s="62" t="e">
        <v>#REF!</v>
      </c>
      <c r="CG2" s="75" cm="1">
        <f t="array" ref="CG2">SUMPRODUCT(--(LEN(TRIM(BL2:BT2))&gt;0))</f>
        <v>3</v>
      </c>
      <c r="CH2" s="53" t="str">
        <f t="shared" ref="CH2:CH16" si="3">IF(CG2=2,"y","n")</f>
        <v>n</v>
      </c>
      <c r="CI2" s="53" t="str">
        <f t="shared" ref="CI2:CI16" si="4">IF(CG2=3,"y","n")</f>
        <v>y</v>
      </c>
      <c r="CJ2" s="53" t="str">
        <f t="shared" ref="CJ2:CJ16" si="5">IF(CG2=4,"y","n")</f>
        <v>n</v>
      </c>
      <c r="CK2" s="53" t="str">
        <f t="shared" ref="CK2:CK16" si="6">IF(CG2&gt;4,"y","n")</f>
        <v>n</v>
      </c>
      <c r="CL2" s="53" t="str">
        <f t="shared" ref="CL2:CL16" si="7">IF(S2=0,"y","n")</f>
        <v>y</v>
      </c>
      <c r="CM2" s="53" t="str">
        <f t="shared" ref="CM2:CM16" si="8">IF(S2=2,"y","n")</f>
        <v>n</v>
      </c>
      <c r="CN2" s="53" t="str">
        <f t="shared" ref="CN2:CN16" si="9">IF(S2=3,"y","n")</f>
        <v>n</v>
      </c>
      <c r="CO2" s="53" t="str">
        <f t="shared" ref="CO2:CO16" si="10">IF(S2&gt;=4,"y","n")</f>
        <v>n</v>
      </c>
      <c r="CP2" s="53" t="str">
        <f t="shared" ref="CP2:CP16" si="11">IF(AT2=0,"y","n")</f>
        <v>n</v>
      </c>
      <c r="CQ2" s="53" t="str">
        <f t="shared" ref="CQ2:CQ16" si="12">IF(AT2=1,"y","n")</f>
        <v>n</v>
      </c>
      <c r="CR2" s="53" t="str">
        <f t="shared" ref="CR2:CR16" si="13">IF(AT2=2,"y","n")</f>
        <v>n</v>
      </c>
      <c r="CS2" s="53" t="str">
        <f t="shared" ref="CS2:CS16" si="14">IF(AT2&gt;=3,"y","n")</f>
        <v>y</v>
      </c>
      <c r="CT2" s="38" t="str">
        <f t="shared" ref="CT2:CT16" si="15">CHAR(34)&amp;A2&amp;CHAR(34)</f>
        <v>"New Zealand"</v>
      </c>
      <c r="CU2" s="63" t="str">
        <f t="shared" ref="CU2:CU16" si="16">CHAR(34)&amp;"rgn_"&amp;R2&amp;CHAR(34)</f>
        <v>"rgn_Oceania"</v>
      </c>
      <c r="CV2" s="44" t="str">
        <f t="shared" ref="CV2:CV16" si="17">CHAR(34)&amp;D2&amp;CHAR(34)</f>
        <v>"https://i.ibb.co/Y8G5GLw/New-Zealand-Flag.png"</v>
      </c>
      <c r="CW2" s="44" t="str">
        <f t="shared" ref="CW2:CZ16" si="18">IF(CH2="y",CHAR(34)&amp;CH$1&amp;CHAR(34)&amp;",","")</f>
        <v/>
      </c>
      <c r="CX2" s="44" t="str">
        <f t="shared" si="18"/>
        <v>"3Color",</v>
      </c>
      <c r="CY2" s="44" t="str">
        <f t="shared" si="18"/>
        <v/>
      </c>
      <c r="CZ2" s="44" t="str">
        <f t="shared" si="18"/>
        <v/>
      </c>
      <c r="DA2" s="44" t="str">
        <f t="shared" ref="DA2:DA16" si="19">IF(Q2&gt;1,CHAR(34)&amp;"words2"&amp;CHAR(34)&amp;",","")</f>
        <v>"words2",</v>
      </c>
      <c r="DB2" s="44" t="str">
        <f t="shared" ref="DB2:DB11" si="20">IF(Q2&gt;2,CHAR(34)&amp;"words3"&amp;CHAR(34)&amp;",","")</f>
        <v/>
      </c>
      <c r="DC2" s="44" t="str">
        <f>IF(Q2=2,CHAR(34)&amp;"exact2"&amp;CHAR(34)&amp;",","")</f>
        <v>"exact2",</v>
      </c>
      <c r="DD2" s="44"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"lets10",</v>
      </c>
      <c r="DE2" s="44"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"startN",</v>
      </c>
      <c r="DF2" s="44" t="str">
        <f t="shared" ref="DF2:DF16" si="21">IFERROR(IF(SEARCH("tan",A2)&gt;0,CHAR(34)&amp;"withtn"&amp;CHAR(34)&amp;",",""),"")</f>
        <v/>
      </c>
      <c r="DG2" s="44" t="str">
        <f t="shared" ref="DG2:DG16" si="22">IFERROR(IF(SEARCH("q",A2)&gt;0,CHAR(34)&amp;"with_q"&amp;CHAR(34)&amp;",",""),"")</f>
        <v/>
      </c>
      <c r="DH2" s="44" t="str">
        <f t="shared" ref="DH2:DH16" si="23">IFERROR(IF(SEARCH("v",A2)&gt;0,CHAR(34)&amp;"with_v"&amp;CHAR(34)&amp;",",""),"")</f>
        <v/>
      </c>
      <c r="DI2" s="44" t="str">
        <f t="shared" ref="DI2:DI16" si="24">IFERROR(IF(SEARCH("w",A2)&gt;0,CHAR(34)&amp;"with_w"&amp;CHAR(34)&amp;",",""),"")</f>
        <v>"with_w",</v>
      </c>
      <c r="DJ2" s="44" t="str">
        <f t="shared" ref="DJ2:DJ16" si="25">IFERROR(IF(SEARCH("y",A2)&gt;0,CHAR(34)&amp;"with_y"&amp;CHAR(34)&amp;",",""),"")</f>
        <v/>
      </c>
      <c r="DK2" s="44" t="str">
        <f t="shared" ref="DK2:DK16" si="26">IFERROR(IF(SEARCH("z",A2)&gt;0,CHAR(34)&amp;"with_z"&amp;CHAR(34)&amp;",",""),"")</f>
        <v>"with_z",</v>
      </c>
      <c r="DL2" s="44" t="str">
        <f t="shared" ref="DL2:DL16" si="27">IF(CG2=2, CHAR(34) &amp; _xlfn.TEXTJOIN("", TRUE, _xlfn._xlws.SORT(HP2:HX2)) &amp; CHAR(34) &amp; ",", "")</f>
        <v/>
      </c>
      <c r="DM2" s="44" t="str" cm="1">
        <f t="array" ref="DM2">IF(CG2=3,CHAR(34) &amp; _xlfn.TEXTJOIN("", TRUE, RIGHT(HP2:HX2, 2)) &amp; CHAR(34) &amp; ",", "")</f>
        <v>"LUEDHI",</v>
      </c>
      <c r="DN2" s="44" t="str">
        <f t="shared" ref="DN2:DN16" si="28">IF(AND(ISNUMBER(SEARCH("18", O2)), ISERROR(SEARCH("1918", O2)), ISERROR(SEARCH("2018", O2))), CHAR(34) &amp; "year18" &amp; CHAR(34) &amp; ",", "")</f>
        <v/>
      </c>
      <c r="DO2" s="44" t="str">
        <f t="shared" ref="DO2:DO16" si="29">IF(AND(ISNUMBER(SEARCH("19", O2)), ISERROR(SEARCH("1819", O2)),  ISERROR(SEARCH("1219", O2)),ISERROR(SEARCH("1119", O2)),ISERROR(SEARCH("1190", O2)),ISERROR(SEARCH("2019", O2))), CHAR(34) &amp; "year19" &amp; CHAR(34) &amp; ",", "")</f>
        <v>"year19",</v>
      </c>
      <c r="DP2" s="5" t="str">
        <f t="shared" ref="DP2:DP16" si="30">IF(AND(ISNUMBER(SEARCH("20", O2)), ISERROR(SEARCH("1920", O2))), CHAR(34)&amp;"year00"&amp;CHAR(34)&amp;",", "")</f>
        <v/>
      </c>
      <c r="DQ2" s="5" t="str">
        <f t="shared" ref="DQ2:DQ16" si="31">IF(CC2="y",CHAR(34)&amp;"soviet"&amp;CHAR(34)&amp;",","")</f>
        <v/>
      </c>
      <c r="DR2" s="5" t="str">
        <f t="shared" ref="DR2:DR16" si="32">IF(BY2="y",CHAR(34)&amp;"dgband"&amp;CHAR(34)&amp;",","")</f>
        <v/>
      </c>
      <c r="DS2" s="5" t="str">
        <f t="shared" ref="DS2:DS16" si="33">IF(W2="y",IF(AND(V2="n",BY2&lt;&gt;"y"),CHAR(34)&amp;"allver"&amp;CHAR(34)&amp;",",""),"")</f>
        <v/>
      </c>
      <c r="DT2" s="5" t="str">
        <f t="shared" ref="DT2:DT16" si="34">IF(V2="y",IF(AND(W2="n",BY2&lt;&gt;"y"),CHAR(34)&amp;"allhor"&amp;CHAR(34)&amp;",",""),"")</f>
        <v/>
      </c>
      <c r="DU2" s="5" t="str">
        <f t="shared" ref="DU2:DU16" si="35">IF(BY2="y",IF(AND(W2="n",V2="n"),CHAR(34)&amp;"alldia"&amp;CHAR(34)&amp;",",""),"")</f>
        <v/>
      </c>
      <c r="DV2" s="44" t="str">
        <f>IF(IA2&lt;&gt;"",(IF(IA2="y",CHAR(34)&amp;"largec"&amp;CHAR(34)&amp;",",CHAR(34)&amp;"smallc"&amp;CHAR(34)&amp;",")),"")</f>
        <v>"smallc",</v>
      </c>
      <c r="DW2" s="44" t="str">
        <f t="shared" ref="DW2:DZ16" si="36">IF(CL2="y",CHAR(34)&amp;CL$1&amp;CHAR(34)&amp;",","")</f>
        <v>"NoBand",</v>
      </c>
      <c r="DX2" s="44" t="str">
        <f t="shared" si="36"/>
        <v/>
      </c>
      <c r="DY2" s="44" t="str">
        <f t="shared" si="36"/>
        <v/>
      </c>
      <c r="DZ2" s="44" t="str">
        <f t="shared" si="36"/>
        <v/>
      </c>
      <c r="EA2" s="44" t="str">
        <f t="shared" ref="EA2:EE16" si="37">IF(T2="y",CHAR(34)&amp;T$1&amp;CHAR(34)&amp;",","")</f>
        <v/>
      </c>
      <c r="EB2" s="44" t="str">
        <f t="shared" si="37"/>
        <v>"Crosse",</v>
      </c>
      <c r="EC2" s="44" t="str">
        <f t="shared" si="37"/>
        <v/>
      </c>
      <c r="ED2" s="44" t="str">
        <f t="shared" si="37"/>
        <v/>
      </c>
      <c r="EE2" s="44" t="str">
        <f t="shared" si="37"/>
        <v/>
      </c>
      <c r="EF2" s="44" t="str">
        <f t="shared" ref="EF2:EF16" si="38">IF(AND(Y2&lt;&gt;"n",Y2&lt;&gt;""),CHAR(34)&amp;Y$1&amp;CHAR(34)&amp;",","")</f>
        <v/>
      </c>
      <c r="EG2" s="44" t="str">
        <f t="shared" ref="EG2:EV16" si="39">IF(Z2="y",CHAR(34)&amp;Z$1&amp;CHAR(34)&amp;",","")</f>
        <v/>
      </c>
      <c r="EH2" s="44" t="str">
        <f t="shared" si="39"/>
        <v/>
      </c>
      <c r="EI2" s="44" t="str">
        <f t="shared" si="39"/>
        <v/>
      </c>
      <c r="EJ2" s="44" t="str">
        <f t="shared" si="39"/>
        <v/>
      </c>
      <c r="EK2" s="44" t="str">
        <f t="shared" si="39"/>
        <v/>
      </c>
      <c r="EL2" s="44" t="str">
        <f t="shared" si="39"/>
        <v/>
      </c>
      <c r="EM2" s="44" t="str">
        <f t="shared" si="39"/>
        <v/>
      </c>
      <c r="EN2" s="44" t="str">
        <f t="shared" si="39"/>
        <v/>
      </c>
      <c r="EO2" s="44" t="str">
        <f t="shared" si="39"/>
        <v/>
      </c>
      <c r="EP2" s="44" t="str">
        <f t="shared" si="39"/>
        <v>"Canton",</v>
      </c>
      <c r="EQ2" s="44" t="str">
        <f t="shared" si="39"/>
        <v/>
      </c>
      <c r="ER2" s="44" t="str">
        <f t="shared" si="39"/>
        <v/>
      </c>
      <c r="ES2" s="44" t="str">
        <f t="shared" si="39"/>
        <v/>
      </c>
      <c r="ET2" s="44" t="str">
        <f t="shared" si="39"/>
        <v/>
      </c>
      <c r="EU2" s="44" t="str">
        <f t="shared" si="39"/>
        <v/>
      </c>
      <c r="EV2" s="44" t="str">
        <f t="shared" si="39"/>
        <v/>
      </c>
      <c r="EW2" s="44" t="str">
        <f t="shared" ref="EW2:EZ16" si="40">IF(AP2="y",CHAR(34)&amp;AP$1&amp;CHAR(34)&amp;",","")</f>
        <v/>
      </c>
      <c r="EX2" s="44" t="str">
        <f t="shared" si="40"/>
        <v/>
      </c>
      <c r="EY2" s="44" t="str">
        <f t="shared" si="40"/>
        <v/>
      </c>
      <c r="EZ2" s="44" t="str">
        <f t="shared" si="40"/>
        <v/>
      </c>
      <c r="FA2" s="44" t="str">
        <f t="shared" ref="FA2:FA16" si="41">IF(AT2&gt;0,CHAR(34)&amp;"sta"&amp;AZ2&amp;CHAR(34)&amp;",","")</f>
        <v>"staRED",</v>
      </c>
      <c r="FB2" s="44" t="str">
        <f t="shared" ref="FB2:FB16" si="42">IF(AND(AT2&gt;0,BA2&lt;&gt;""),CHAR(34)&amp;"sta"&amp;BA2&amp;CHAR(34)&amp;",","")</f>
        <v>"staWHI",</v>
      </c>
      <c r="FC2" s="44" t="str">
        <f>IF(AND(AT2&gt;0,BB2&lt;&gt;""),CHAR(34)&amp;"sta"&amp;BB2&amp;CHAR(34)&amp;",","")</f>
        <v/>
      </c>
      <c r="FD2" s="44" t="str">
        <f t="shared" ref="FD2:FD16" si="43">IF(BV2="n",CHAR(34)&amp;"tcWHYE"&amp;CHAR(34)&amp;",",IF(BV2="y",CHAR(34)&amp;FD$1&amp;CHAR(34)&amp;",",""))</f>
        <v/>
      </c>
      <c r="FE2" s="44" t="str">
        <f t="shared" ref="FE2:FE16" si="44">IF(COUNTIF(BL2:BT2,"BLU")=0,CHAR(34)&amp;"NO_BLU"&amp;CHAR(34)&amp;",", "")</f>
        <v/>
      </c>
      <c r="FF2" s="44" t="str">
        <f t="shared" ref="FF2:FF16" si="45">IF(COUNTIF(BL2:BT2,"WHI")=0,CHAR(34)&amp;"NO_WHI"&amp;CHAR(34)&amp;",", "")</f>
        <v/>
      </c>
      <c r="FG2" s="44" t="str">
        <f t="shared" ref="FG2:FG16" si="46">IF(COUNTIF(BL2:BT2,"RED")=0,CHAR(34)&amp;"NO_RED"&amp;CHAR(34)&amp;",", "")</f>
        <v/>
      </c>
      <c r="FH2" s="44" t="str">
        <f t="shared" ref="FH2:FH16" si="47">IF(COUNTIF(BL2:BS2,"GRE")=0,CHAR(34)&amp;"NO_GRE"&amp;CHAR(34)&amp;",", "")</f>
        <v>"NO_GRE",</v>
      </c>
      <c r="FI2" s="44" t="str">
        <f t="shared" ref="FI2:FI16" si="48">IF(COUNTIF(BL2:BT2,"YEL")=0,CHAR(34)&amp;"NO_YEL"&amp;CHAR(34)&amp;",", "")</f>
        <v>"NO_YEL",</v>
      </c>
      <c r="FJ2" s="44" t="str">
        <f t="shared" ref="FJ2:FJ16" si="49">IF(COUNTIF(BL2:BT2,"BLA")=0,CHAR(34)&amp;"NO_BLA"&amp;CHAR(34)&amp;",", "")</f>
        <v>"NO_BLA",</v>
      </c>
      <c r="FK2" s="44" t="str">
        <f t="shared" ref="FK2:FK16" si="50">IF(AND(FH2&lt;&gt;"",FF2&lt;&gt;""),CHAR(34)&amp;"WHGRNO"&amp;CHAR(34)&amp;",","")</f>
        <v/>
      </c>
      <c r="FL2" s="44" t="str">
        <f t="shared" ref="FL2:FL16" si="51">IF(AND(FI2&lt;&gt;"",FF2&lt;&gt;""),CHAR(34)&amp;"WHYENO"&amp;CHAR(34)&amp;",","")</f>
        <v/>
      </c>
      <c r="FM2" s="44" t="str">
        <f t="shared" ref="FM2:FM16" si="52">IF(AND(FJ2&lt;&gt;"",FF2&lt;&gt;""),CHAR(34)&amp;"BAWHNO"&amp;CHAR(34)&amp;",","")</f>
        <v/>
      </c>
      <c r="FN2" s="44" t="str">
        <f t="shared" ref="FN2:FN16" si="53">IF(AND(FE2&lt;&gt;"",FF2&lt;&gt;""),CHAR(34)&amp;"BLWHNO"&amp;CHAR(34)&amp;",","")</f>
        <v/>
      </c>
      <c r="FO2" s="44" t="str">
        <f t="shared" ref="FO2:FO16" si="54">IF(AND(FE2&lt;&gt;"",FG2&lt;&gt;""),CHAR(34)&amp;"BLRENO"&amp;CHAR(34)&amp;",","")</f>
        <v/>
      </c>
      <c r="FP2" s="44" t="str">
        <f t="shared" ref="FP2:FP16" si="55">IF(AND(FF2&lt;&gt;"",FF2&lt;&gt;""),CHAR(34)&amp;"WHRENO"&amp;CHAR(34)&amp;",","")</f>
        <v/>
      </c>
      <c r="FQ2" s="44" t="str">
        <f t="shared" ref="FQ2:FQ16" si="56">IF(LEN(BF2)=3,CHAR(34)&amp;"001"&amp;BF2&amp;CHAR(34)&amp;",","")</f>
        <v/>
      </c>
      <c r="FR2" s="44" t="str">
        <f t="shared" ref="FR2:FR16" si="57">IF(LEN(BG2)=3,CHAR(34)&amp;"002"&amp;BG2&amp;CHAR(34)&amp;",","")</f>
        <v/>
      </c>
      <c r="FS2" s="44" t="str">
        <f t="shared" ref="FS2:FS16" si="58">IF(LEN(BH2)=3,CHAR(34)&amp;"003"&amp;BH2&amp;CHAR(34)&amp;",","")</f>
        <v/>
      </c>
      <c r="FT2" s="44" t="str">
        <f t="shared" ref="FT2:FT16" si="59">CHAR(34)&amp;"myr"&amp;BD2&amp;CHAR(34)&amp;","</f>
        <v>"myrBLU",</v>
      </c>
      <c r="FU2" s="44" t="str">
        <f t="shared" ref="FU2:FU16" si="60">IF(AY2="y",CHAR(34)&amp;"island"&amp;CHAR(34)&amp;",","")</f>
        <v>"island",</v>
      </c>
      <c r="FV2" s="44" t="str">
        <f t="shared" ref="FV2:FV16" si="61">IF(BZ2="y",CHAR(34)&amp;"landlo"&amp;CHAR(34)&amp;",","")</f>
        <v/>
      </c>
      <c r="FW2" s="44" t="str">
        <f t="shared" ref="FW2:FW16" si="62">IF(CA2="y",CHAR(34)&amp;"eunion"&amp;CHAR(34)&amp;",","")</f>
        <v/>
      </c>
      <c r="FX2" s="44" t="str">
        <f>SUBSTITUTE(IFERROR(SEARCH("[",A2),IFERROR(IF(AND(CA2&lt;&gt;"y",SEARCH("Europe",R2)&gt;0),CHAR(34)&amp;"noeuni"&amp;CHAR(34)&amp;",",""),"")),"1","")</f>
        <v/>
      </c>
      <c r="FY2" s="44" t="str">
        <f t="shared" ref="FY2:FY16" si="63">IFERROR(IF(SEARCH("Arabic",CB2)&gt;0,CHAR(34)&amp;"arabic"&amp;CHAR(34)&amp;",",""),"")</f>
        <v/>
      </c>
      <c r="FZ2" s="44" t="str">
        <f t="shared" ref="FZ2:FZ16" si="64">IFERROR(IF(SEARCH("English",CB2)&gt;0,CHAR(34)&amp;"englis"&amp;CHAR(34)&amp;",",""),"")</f>
        <v>"englis",</v>
      </c>
      <c r="GA2" s="44" t="str">
        <f t="shared" ref="GA2:GA16" si="65">IFERROR(IF(SEARCH("French",CB2)&gt;0,CHAR(34)&amp;"french"&amp;CHAR(34)&amp;",",""),"")</f>
        <v/>
      </c>
      <c r="GB2" s="44" t="str">
        <f t="shared" ref="GB2:GB16" si="66">IFERROR(IF(SEARCH("Spanish",CB2)&gt;0,CHAR(34)&amp;"spanis"&amp;CHAR(34)&amp;",",""),"")</f>
        <v/>
      </c>
      <c r="GC2" s="44" t="str">
        <f>IFERROR(IF(SEARCH("Portuguese",CB2)&gt;0,CHAR(34)&amp;"portug"&amp;CHAR(34)&amp;",",""),"")</f>
        <v/>
      </c>
      <c r="GD2" s="44" t="str">
        <f>IFERROR(IF(SEARCH("German",CB2)&gt;0,CHAR(34)&amp;"german"&amp;CHAR(34)&amp;",",""),"")</f>
        <v/>
      </c>
      <c r="GE2" s="44" t="str">
        <f t="shared" ref="GE2:GE17" si="67">IFERROR(IF(SEARCH("Dutch",CB2)&gt;0,CHAR(34)&amp;"dutchs"&amp;CHAR(34)&amp;",",""),"")</f>
        <v/>
      </c>
      <c r="GF2" s="44" t="str">
        <f>IFERROR(IF(SEARCH("Histor",AU2)&gt;0,CHAR(34)&amp;"histor"&amp;CHAR(34)&amp;",",""),"")</f>
        <v/>
      </c>
      <c r="GG2" s="44" t="str">
        <f t="shared" ref="GG2:GG17" si="68">IF(BU2="y",CHAR(34)&amp;"unjack"&amp;CHAR(34)&amp;",","")</f>
        <v>"unjack",</v>
      </c>
      <c r="GH2" s="44" t="str">
        <f t="shared" ref="GH2:GH17" si="69">IF(CD2=1,CHAR(34)&amp;"southc"&amp;CHAR(34)&amp;",","")</f>
        <v>"southc",</v>
      </c>
      <c r="GI2" s="44" t="str">
        <f t="shared" ref="GI2:GI17" si="70">IF(CE2=1,CHAR(34)&amp;"hasmap"&amp;CHAR(34)&amp;",","")</f>
        <v/>
      </c>
      <c r="GJ2" s="44" t="str">
        <f t="shared" ref="GJ2:GJ16" si="71">IF(CP2="y",CHAR(34)&amp;CP$1&amp;CHAR(34)&amp;",","")</f>
        <v/>
      </c>
      <c r="GK2" s="44" t="str">
        <f t="shared" ref="GK2:GK16" si="72">IF(GJ2="",CHAR(34)&amp;"HasSta"&amp;CHAR(34)&amp;",","")</f>
        <v>"HasSta",</v>
      </c>
      <c r="GL2" s="44" t="str">
        <f t="shared" ref="GL2:GN16" si="73">IF(CQ2="y",CHAR(34)&amp;CQ$1&amp;CHAR(34)&amp;",","")</f>
        <v/>
      </c>
      <c r="GM2" s="44" t="str">
        <f t="shared" si="73"/>
        <v/>
      </c>
      <c r="GN2" s="44" t="str">
        <f t="shared" si="73"/>
        <v>"3+Star",</v>
      </c>
      <c r="GP2" s="44" t="str">
        <f t="shared" ref="GP2:GP16" si="74">CHAR(34)&amp;AU2&amp;CHAR(34)</f>
        <v>""</v>
      </c>
      <c r="GS2" s="44" t="str">
        <f t="shared" ref="GS2:GS16" si="75">SUBSTITUTE("["&amp;_xlfn.CONCAT(CW2:GN2)&amp;"]",",]","]")</f>
        <v>["3Color","words2","exact2","lets10","startN","with_w","with_z","LUEDHI","year19","smallc","NoBand","Crosse","Canton","staRED","staWHI","NO_GRE","NO_YEL","NO_BLA","myrBLU","island","englis","unjack","southc","HasSta","3+Star"]</v>
      </c>
      <c r="GT2" s="44" t="str">
        <f t="shared" ref="GT2:HB16" si="76">IF(BL2&lt;&gt;"",CHAR(34)&amp;"cl_"&amp;BL2&amp;CHAR(34)&amp;",","")</f>
        <v>"cl_RED",</v>
      </c>
      <c r="GU2" s="44" t="str">
        <f t="shared" si="76"/>
        <v>"cl_WHI",</v>
      </c>
      <c r="GV2" s="44" t="str">
        <f t="shared" si="76"/>
        <v>"cl_BLU",</v>
      </c>
      <c r="GW2" s="44" t="str">
        <f t="shared" si="76"/>
        <v/>
      </c>
      <c r="GX2" s="44" t="str">
        <f t="shared" si="76"/>
        <v/>
      </c>
      <c r="GY2" s="44" t="str">
        <f t="shared" si="76"/>
        <v/>
      </c>
      <c r="GZ2" s="44" t="str">
        <f t="shared" si="76"/>
        <v/>
      </c>
      <c r="HA2" s="44" t="str">
        <f t="shared" si="76"/>
        <v/>
      </c>
      <c r="HB2" s="44" t="str">
        <f t="shared" si="76"/>
        <v/>
      </c>
      <c r="HC2" s="44" t="str">
        <f t="shared" ref="HC2:HC16" si="77">SUBSTITUTE("["&amp;_xlfn.CONCAT(GT2:HB2)&amp;"]",",]","]")</f>
        <v>["cl_RED","cl_WHI","cl_BLU"]</v>
      </c>
      <c r="HE2" s="64"/>
      <c r="HF2" s="65" t="str">
        <f t="shared" ref="HF2:HF16" si="78">"{couname:"&amp;CT2&amp;(IF(HK2&lt;&gt;"",",subtype:"&amp;CHAR(34)&amp;HK2&amp;CHAR(34),""))&amp;",year:"&amp;HJ2&amp;",region:"&amp;CU2&amp;",Colors:"&amp;HC2&amp;",Items:"&amp;GS2&amp;",Flag:"&amp;CV2&amp;",HDFlag:"&amp;CHAR(34)&amp;E2&amp;CHAR(34)&amp;",type:"&amp;GP2&amp;", describe: "&amp;HH2&amp;", isnew:"&amp;CHAR(34)&amp;F2&amp;CHAR(34)&amp;", links: "&amp;HL2&amp;"},"</f>
        <v>{couname:"New Zealand",year:"1902 ",region:"rgn_Oceania",Colors:["cl_RED","cl_WHI","cl_BLU"],Items:["3Color","words2","exact2","lets10","startN","with_w","with_z","LUEDHI","year19","smallc","NoBand","Crosse","Canton","staRED","staWHI","NO_GRE","NO_YEL","NO_BLA","myrBLU","island","englis","unjack","southc","HasSta","3+Star"],Flag:"https://i.ibb.co/Y8G5GLw/New-Zealand-Flag.png",HDFlag:"https://upload.wikimedia.org/wikipedia/commons/thumb/3/3e/Flag_of_New_Zealand.svg/2560px-Flag_of_New_Zealand.svg.png",type:"", describe: "\nThe blue of the background is reminiscent of the blue sea and sky surrounding , and the stars of the Southern Cross signify the place in the South Pacific Ocean.", isnew:".", links: "https://en.wikipedia.org/wiki/Flag_of_New_Zealand"},</v>
      </c>
      <c r="HG2" s="66" t="str">
        <f t="shared" ref="HG2:HG16" si="79">"{couname:"&amp;CT2&amp;(IF(HK2&lt;&gt;"",",subtype:"&amp;CHAR(34)&amp;HK2&amp;CHAR(34),""))&amp;",year:"&amp;HJ2&amp;",region:"&amp;CU2&amp;",Colors:"&amp;HC2&amp;",Items:"&amp;GS2&amp;",Flag:"&amp;CV2&amp;",HDFlag:"&amp;CHAR(34)&amp;E2&amp;CHAR(34)&amp;",type:"&amp;GP2&amp;", describe: "&amp;HI2&amp;", links: "&amp;HL2&amp;"},"</f>
        <v>{couname:"New Zealand",year:"1902 ",region:"rgn_Oceania",Colors:["cl_RED","cl_WHI","cl_BLU"],Items:["3Color","words2","exact2","lets10","startN","with_w","with_z","LUEDHI","year19","smallc","NoBand","Crosse","Canton","staRED","staWHI","NO_GRE","NO_YEL","NO_BLA","myrBLU","island","englis","unjack","southc","HasSta","3+Star"],Flag:"https://i.ibb.co/Y8G5GLw/New-Zealand-Flag.png",HDFlag:"https://upload.wikimedia.org/wikipedia/commons/thumb/3/3e/Flag_of_New_Zealand.svg/2560px-Flag_of_New_Zealand.svg.png",type:"", describe: "\nThe blue of the background is reminiscent of the blue sea and sky surrounding , and the stars of the Southern Cross signify the place in the South Pacific Ocean.", links: "https://en.wikipedia.org/wiki/Flag_of_New_Zealand"},</v>
      </c>
      <c r="HH2" s="44" t="str">
        <f t="shared" ref="HH2:HH16" si="80">IF(P2&lt;&gt;"",CHAR(34)&amp;"\n"&amp;P2&amp;CHAR(34),CHAR(34)&amp;CHAR(34))</f>
        <v>"\nThe blue of the background is reminiscent of the blue sea and sky surrounding , and the stars of the Southern Cross signify the place in the South Pacific Ocean."</v>
      </c>
      <c r="HI2" s="44" t="str">
        <f t="shared" ref="HI2:HI16" si="81">IF(J2=0,CHAR(34)&amp;CHAR(34),HH2)</f>
        <v>"\nThe blue of the background is reminiscent of the blue sea and sky surrounding , and the stars of the Southern Cross signify the place in the South Pacific Ocean."</v>
      </c>
      <c r="HJ2" s="44" t="str">
        <f t="shared" ref="HJ2:HJ16" si="82">CHAR(34)&amp;O2&amp;CHAR(34)</f>
        <v>"1902 "</v>
      </c>
      <c r="HL2" s="44" t="str">
        <f t="shared" ref="HL2:HL16" si="83">CHAR(34)&amp;I2&amp;CHAR(34)</f>
        <v>"https://en.wikipedia.org/wiki/Flag_of_New_Zealand"</v>
      </c>
      <c r="HM2" s="65" t="str">
        <f t="shared" ref="HM2:HM16" si="84">"{"&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{"couname":"New Zealand","year":"1902 ","region":"rgn_Oceania","Colors":["cl_RED","cl_WHI","cl_BLU"],"Items":["3Color","words2","exact2","lets10","startN","with_w","with_z","LUEDHI","year19","smallc","NoBand","Crosse","Canton","staRED","staWHI","NO_GRE","NO_YEL","NO_BLA","myrBLU","island","englis","unjack","southc","HasSta","3+Star"],"Flag":"https://i.ibb.co/Y8G5GLw/New-Zealand-Flag.png","HDFlag":"https://upload.wikimedia.org/wikipedia/commons/thumb/3/3e/Flag_of_New_Zealand.svg/2560px-Flag_of_New_Zealand.svg.png","type":"", "describe": "\nThe blue of the background is reminiscent of the blue sea and sky surrounding , and the stars of the Southern Cross signify the place in the South Pacific Ocean.", "isnew": ".", "links": "https://en.wikipedia.org/wiki/Flag_of_New_Zealand"},</v>
      </c>
      <c r="HN2" s="67" t="str">
        <f t="shared" ref="HN2:HN16" si="85">"{"&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{"couname":"New Zealand","year":"1902 ","region":"rgn_Oceania","Colors":["cl_RED","cl_WHI","cl_BLU"],"Items":["3Color","words2","exact2","lets10","startN","with_w","with_z","LUEDHI","year19","smallc","NoBand","Crosse","Canton","staRED","staWHI","NO_GRE","NO_YEL","NO_BLA","myrBLU","island","englis","unjack","southc","HasSta","3+Star"],"Flag":"https://i.ibb.co/Y8G5GLw/New-Zealand-Flag.png","HDFlag":"https://upload.wikimedia.org/wikipedia/commons/thumb/3/3e/Flag_of_New_Zealand.svg/2560px-Flag_of_New_Zealand.svg.png","type":"", "describe": "\nThe blue of the background is reminiscent of the blue sea and sky surrounding , and the stars of the Southern Cross signify the place in the South Pacific Ocean.", "isnew": ".", "links": "https://en.wikipedia.org/wiki/Flag_of_New_Zealand"},</v>
      </c>
      <c r="HO2" s="71"/>
      <c r="HP2" s="44" t="str" cm="1">
        <f t="array" ref="HP2">IF(_xlfn.TEXTJOIN(", ", TRUE, IF(ISNUMBER(SEARCH("BLA", BL2:BT2)), COLUMN(BL2:BT2) - COLUMN(BL2) + 1, ""))&lt;&gt;"","BLA","")</f>
        <v/>
      </c>
      <c r="HQ2" s="44" t="str" cm="1">
        <f t="array" ref="HQ2">IF(_xlfn.TEXTJOIN(", ", TRUE, IF(ISNUMBER(SEARCH("BLU", BL2:BT2)), COLUMN(BL2:BT2) - COLUMN(BL2) + 1, ""))&lt;&gt;"","BLU","")</f>
        <v>BLU</v>
      </c>
      <c r="HR2" s="44" t="str" cm="1">
        <f t="array" ref="HR2">IF(_xlfn.TEXTJOIN(", ", TRUE, IF(ISNUMBER(SEARCH("GRE", BL2:BT2)), COLUMN(BL2:BT2) - COLUMN(BL2) + 1, ""))&lt;&gt;"","GRE","")</f>
        <v/>
      </c>
      <c r="HS2" s="44" t="str" cm="1">
        <f t="array" ref="HS2">IF(_xlfn.TEXTJOIN(", ", TRUE, IF(ISNUMBER(SEARCH("RED", BL2:BT2)), COLUMN(BL2:BT2) - COLUMN(BL2) + 1, ""))&lt;&gt;"","RED","")</f>
        <v>RED</v>
      </c>
      <c r="HT2" s="44" t="str" cm="1">
        <f t="array" ref="HT2">IF(_xlfn.TEXTJOIN(", ", TRUE, IF(ISNUMBER(SEARCH("YEL", BL2:BT2)), COLUMN(BL2:BT2) - COLUMN(BL2) + 1, ""))&lt;&gt;"","YEL","")</f>
        <v/>
      </c>
      <c r="HU2" s="44" t="str" cm="1">
        <f t="array" ref="HU2">IF(_xlfn.TEXTJOIN(", ", TRUE, IF(ISNUMBER(SEARCH("ORA", BL2:BT2)), COLUMN(BL2:BT2) - COLUMN(BL2) + 1, ""))&lt;&gt;"","ORA","")</f>
        <v/>
      </c>
      <c r="HV2" s="44" t="str" cm="1">
        <f t="array" ref="HV2">IF(_xlfn.TEXTJOIN(", ", TRUE, IF(ISNUMBER(SEARCH("BRO", BL2:BT2)), COLUMN(BL2:BT2) - COLUMN(BL2) + 1, ""))&lt;&gt;"","BRO","")</f>
        <v/>
      </c>
      <c r="HW2" s="44" t="str" cm="1">
        <f t="array" ref="HW2">IF(_xlfn.TEXTJOIN(", ", TRUE, IF(ISNUMBER(SEARCH("PUR", BL2:BT2)), COLUMN(BL2:BT2) - COLUMN(BL2) + 1, ""))&lt;&gt;"","PUR","")</f>
        <v/>
      </c>
      <c r="HX2" s="44" t="str" cm="1">
        <f t="array" ref="HX2">IF(_xlfn.TEXTJOIN(", ", TRUE, IF(ISNUMBER(SEARCH("WHI", BL2:BT2)), COLUMN(BL2:BT2) - COLUMN(BL2) + 1, ""))&lt;&gt;"","WHI","")</f>
        <v>WHI</v>
      </c>
      <c r="HY2" s="72"/>
      <c r="HZ2" s="72"/>
      <c r="IA2" s="5" t="s">
        <v>166</v>
      </c>
      <c r="IB2" s="5" t="s">
        <v>166</v>
      </c>
      <c r="IC2" s="68"/>
      <c r="ID2" s="68"/>
      <c r="IE2" s="68"/>
      <c r="IF2" s="68"/>
      <c r="IG2" s="68"/>
      <c r="IH2" s="68"/>
      <c r="II2" s="68"/>
      <c r="IJ2" s="68"/>
      <c r="IK2" s="68"/>
      <c r="IL2" s="44">
        <f>SUM(IC2:IK2)</f>
        <v>0</v>
      </c>
      <c r="IM2" s="42">
        <f t="shared" ref="IM2:IM16" si="86">COUNTIF(IC2:IK2,"&gt;0")-CG2</f>
        <v>-3</v>
      </c>
      <c r="IN2" s="69" t="str">
        <f t="shared" ref="IN2:IN16" si="87">"http://mkweb.bcgsc.ca/color-summarizer/?url="&amp;D2&amp;"&amp;precision=low&amp;num_clusters="&amp;CG2&amp;"&amp;text=1"</f>
        <v>http://mkweb.bcgsc.ca/color-summarizer/?url=https://i.ibb.co/Y8G5GLw/New-Zealand-Flag.png&amp;precision=low&amp;num_clusters=3&amp;text=1</v>
      </c>
      <c r="IO2" s="44" t="str">
        <f t="shared" ref="IO2:IO16" si="88">IF(HP2&lt;&gt;"",CHAR(34)&amp;"black"&amp;CHAR(34),"")</f>
        <v/>
      </c>
      <c r="IP2" s="44" t="str">
        <f t="shared" ref="IP2:IP16" si="89">IF(HQ2&lt;&gt;"",CHAR(34)&amp;"blue"&amp;CHAR(34),"")</f>
        <v>"blue"</v>
      </c>
      <c r="IQ2" s="44" t="str">
        <f t="shared" ref="IQ2:IQ16" si="90">IF(HR2&lt;&gt;"",CHAR(34)&amp;"green"&amp;CHAR(34),"")</f>
        <v/>
      </c>
      <c r="IR2" s="44" t="str">
        <f t="shared" ref="IR2:IR16" si="91">IF(HS2&lt;&gt;"",CHAR(34)&amp;"red"&amp;CHAR(34),"")</f>
        <v>"red"</v>
      </c>
      <c r="IS2" s="44" t="str">
        <f t="shared" ref="IS2:IS16" si="92">IF(HT2&lt;&gt;"",CHAR(34)&amp;"yellow"&amp;CHAR(34),"")</f>
        <v/>
      </c>
      <c r="IT2" s="44" t="str">
        <f t="shared" ref="IT2:IT16" si="93">IF(HU2&lt;&gt;"",CHAR(34)&amp;"orange"&amp;CHAR(34),"")</f>
        <v/>
      </c>
      <c r="IU2" s="44" t="str">
        <f t="shared" ref="IU2:IU16" si="94">IF(HV2&lt;&gt;"",CHAR(34)&amp;"brown"&amp;CHAR(34),"")</f>
        <v/>
      </c>
      <c r="IV2" s="44" t="str">
        <f t="shared" ref="IV2:IV16" si="95">IF(HW2&lt;&gt;"",CHAR(34)&amp;"purple"&amp;CHAR(34),"")</f>
        <v/>
      </c>
      <c r="IW2" s="44" t="str">
        <f t="shared" ref="IW2:IW16" si="96">IF(HX2&lt;&gt;"",CHAR(34)&amp;"white"&amp;CHAR(34),"")</f>
        <v>"white"</v>
      </c>
      <c r="IX2" s="44" t="str">
        <f t="shared" ref="IX2:IX16" si="97">"{"&amp;CHAR(34)&amp;"url"&amp;CHAR(34)&amp;":"&amp;CHAR(34)&amp;IN2&amp;CHAR(34)&amp;","&amp;CHAR(34)&amp;"name"&amp;CHAR(34)&amp;":"&amp;CHAR(34)&amp;A2&amp;CHAR(34)&amp;"},"</f>
        <v>{"url":"http://mkweb.bcgsc.ca/color-summarizer/?url=https://i.ibb.co/Y8G5GLw/New-Zealand-Flag.png&amp;precision=low&amp;num_clusters=3&amp;text=1","name":"New Zealand"},</v>
      </c>
      <c r="IY2" s="44">
        <v>153</v>
      </c>
    </row>
    <row r="3" spans="1:259" s="44" customFormat="1" ht="38.4" customHeight="1" thickBot="1" x14ac:dyDescent="0.35">
      <c r="A3" s="80" t="s">
        <v>735</v>
      </c>
      <c r="B3" s="78" t="e" vm="70">
        <v>#VALUE!</v>
      </c>
      <c r="C3" s="39">
        <v>2</v>
      </c>
      <c r="D3" s="70" t="s">
        <v>736</v>
      </c>
      <c r="E3" s="40" t="s">
        <v>737</v>
      </c>
      <c r="F3" s="41" t="s">
        <v>165</v>
      </c>
      <c r="G3" s="42">
        <f t="shared" si="0"/>
        <v>1</v>
      </c>
      <c r="H3" s="43"/>
      <c r="I3" s="59" t="s">
        <v>738</v>
      </c>
      <c r="J3" s="44" t="str">
        <f>""</f>
        <v/>
      </c>
      <c r="K3" s="45"/>
      <c r="L3" s="46"/>
      <c r="M3" s="46"/>
      <c r="N3" s="47" t="s">
        <v>177</v>
      </c>
      <c r="O3" s="74">
        <v>1980</v>
      </c>
      <c r="P3" s="48" t="s">
        <v>739</v>
      </c>
      <c r="Q3" s="73">
        <v>1</v>
      </c>
      <c r="R3" s="49" t="s">
        <v>177</v>
      </c>
      <c r="S3" s="50">
        <v>0</v>
      </c>
      <c r="T3" s="51" t="s">
        <v>166</v>
      </c>
      <c r="U3" s="52" t="s">
        <v>166</v>
      </c>
      <c r="V3" s="52" t="s">
        <v>167</v>
      </c>
      <c r="W3" s="52" t="s">
        <v>167</v>
      </c>
      <c r="X3" s="52" t="s">
        <v>166</v>
      </c>
      <c r="Y3" s="52" t="s">
        <v>166</v>
      </c>
      <c r="Z3" s="52" t="s">
        <v>166</v>
      </c>
      <c r="AA3" s="52" t="s">
        <v>167</v>
      </c>
      <c r="AB3" s="52" t="s">
        <v>166</v>
      </c>
      <c r="AC3" s="52" t="s">
        <v>167</v>
      </c>
      <c r="AD3" s="52" t="s">
        <v>166</v>
      </c>
      <c r="AE3" s="52" t="s">
        <v>166</v>
      </c>
      <c r="AF3" s="53" t="s">
        <v>166</v>
      </c>
      <c r="AG3" s="53" t="s">
        <v>166</v>
      </c>
      <c r="AH3" s="53" t="s">
        <v>166</v>
      </c>
      <c r="AI3" s="53" t="s">
        <v>166</v>
      </c>
      <c r="AJ3" s="53" t="s">
        <v>166</v>
      </c>
      <c r="AK3" s="53" t="s">
        <v>166</v>
      </c>
      <c r="AL3" s="53" t="s">
        <v>166</v>
      </c>
      <c r="AM3" s="53" t="s">
        <v>166</v>
      </c>
      <c r="AN3" s="53" t="s">
        <v>166</v>
      </c>
      <c r="AO3" s="53" t="s">
        <v>166</v>
      </c>
      <c r="AP3" s="53" t="s">
        <v>167</v>
      </c>
      <c r="AQ3" s="53" t="s">
        <v>166</v>
      </c>
      <c r="AR3" s="53" t="s">
        <v>166</v>
      </c>
      <c r="AS3" s="53" t="s">
        <v>166</v>
      </c>
      <c r="AT3" s="54">
        <v>0</v>
      </c>
      <c r="AU3" s="53" t="s">
        <v>1141</v>
      </c>
      <c r="AV3" s="53" t="str">
        <f t="shared" si="1"/>
        <v>[NZE]Region, City[NZE] Auckland</v>
      </c>
      <c r="AW3" s="53" t="str">
        <f t="shared" si="2"/>
        <v>2[NZE] Auckland</v>
      </c>
      <c r="AX3" s="55"/>
      <c r="AY3" s="55"/>
      <c r="AZ3" s="56" t="s">
        <v>231</v>
      </c>
      <c r="BA3" s="56" t="s">
        <v>231</v>
      </c>
      <c r="BB3" s="56"/>
      <c r="BC3" s="57"/>
      <c r="BD3" s="58" t="s">
        <v>169</v>
      </c>
      <c r="BE3" s="59"/>
      <c r="BF3" s="58" t="s">
        <v>231</v>
      </c>
      <c r="BG3" s="58" t="s">
        <v>231</v>
      </c>
      <c r="BH3" s="58" t="s">
        <v>231</v>
      </c>
      <c r="BI3" s="58"/>
      <c r="BJ3" s="58"/>
      <c r="BK3" s="59"/>
      <c r="BL3" s="58" t="s">
        <v>153</v>
      </c>
      <c r="BM3" s="58" t="s">
        <v>154</v>
      </c>
      <c r="BN3" s="58" t="s">
        <v>231</v>
      </c>
      <c r="BO3" s="58" t="s">
        <v>156</v>
      </c>
      <c r="BP3" s="58" t="s">
        <v>157</v>
      </c>
      <c r="BQ3" s="58" t="s">
        <v>231</v>
      </c>
      <c r="BR3" s="58" t="s">
        <v>159</v>
      </c>
      <c r="BS3" s="58" t="s">
        <v>231</v>
      </c>
      <c r="BT3" s="58" t="s">
        <v>161</v>
      </c>
      <c r="BU3" s="60"/>
      <c r="BV3" s="61"/>
      <c r="BW3" s="61">
        <v>0</v>
      </c>
      <c r="BX3" s="59"/>
      <c r="CB3" s="5"/>
      <c r="CC3" s="5"/>
      <c r="CD3" s="62">
        <v>0</v>
      </c>
      <c r="CE3" s="62">
        <v>0</v>
      </c>
      <c r="CF3" s="62" t="e">
        <v>#REF!</v>
      </c>
      <c r="CG3" s="75" cm="1">
        <f t="array" ref="CG3">SUMPRODUCT(--(LEN(TRIM(BL3:BT3))&gt;0))</f>
        <v>6</v>
      </c>
      <c r="CH3" s="53" t="str">
        <f t="shared" si="3"/>
        <v>n</v>
      </c>
      <c r="CI3" s="53" t="str">
        <f t="shared" si="4"/>
        <v>n</v>
      </c>
      <c r="CJ3" s="53" t="str">
        <f t="shared" si="5"/>
        <v>n</v>
      </c>
      <c r="CK3" s="53" t="str">
        <f t="shared" si="6"/>
        <v>y</v>
      </c>
      <c r="CL3" s="53" t="str">
        <f t="shared" si="7"/>
        <v>y</v>
      </c>
      <c r="CM3" s="53" t="str">
        <f t="shared" si="8"/>
        <v>n</v>
      </c>
      <c r="CN3" s="53" t="str">
        <f t="shared" si="9"/>
        <v>n</v>
      </c>
      <c r="CO3" s="53" t="str">
        <f t="shared" si="10"/>
        <v>n</v>
      </c>
      <c r="CP3" s="53" t="str">
        <f t="shared" si="11"/>
        <v>y</v>
      </c>
      <c r="CQ3" s="53" t="str">
        <f t="shared" si="12"/>
        <v>n</v>
      </c>
      <c r="CR3" s="53" t="str">
        <f t="shared" si="13"/>
        <v>n</v>
      </c>
      <c r="CS3" s="53" t="str">
        <f t="shared" si="14"/>
        <v>n</v>
      </c>
      <c r="CT3" s="38" t="str">
        <f t="shared" si="15"/>
        <v>"[NZE] Auckland"</v>
      </c>
      <c r="CU3" s="63" t="str">
        <f t="shared" si="16"/>
        <v>"rgn_Oceania"</v>
      </c>
      <c r="CV3" s="44" t="str">
        <f t="shared" si="17"/>
        <v>"https://upload.wikimedia.org/wikipedia/commons/thumb/1/1a/Flag_of_Auckland.svg/640px-Flag_of_Auckland.svg.png"</v>
      </c>
      <c r="CW3" s="44" t="str">
        <f t="shared" si="18"/>
        <v/>
      </c>
      <c r="CX3" s="44" t="str">
        <f t="shared" si="18"/>
        <v/>
      </c>
      <c r="CY3" s="44" t="str">
        <f t="shared" si="18"/>
        <v/>
      </c>
      <c r="CZ3" s="44" t="str">
        <f t="shared" si="18"/>
        <v>"5+Colo",</v>
      </c>
      <c r="DA3" s="44" t="str">
        <f t="shared" si="19"/>
        <v/>
      </c>
      <c r="DB3" s="44" t="str">
        <f t="shared" si="20"/>
        <v/>
      </c>
      <c r="DD3" s="44"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"lets08",</v>
      </c>
      <c r="DE3" s="44" t="str">
        <f>CHAR(34)&amp;"start"&amp;IFERROR(LEFT(SUBSTITUTE(A3,"["&amp;MID(A3,FIND("[",A3)+1,FIND("]",A3)-FIND("[",A3)-1)&amp;"] ",""),1),LEFT(A3,1))&amp;CHAR(34)&amp;","</f>
        <v>"startA",</v>
      </c>
      <c r="DF3" s="44" t="str">
        <f t="shared" si="21"/>
        <v/>
      </c>
      <c r="DG3" s="44" t="str">
        <f t="shared" si="22"/>
        <v/>
      </c>
      <c r="DH3" s="44" t="str">
        <f t="shared" si="23"/>
        <v/>
      </c>
      <c r="DI3" s="44" t="str">
        <f t="shared" si="24"/>
        <v/>
      </c>
      <c r="DJ3" s="44" t="str">
        <f t="shared" si="25"/>
        <v/>
      </c>
      <c r="DK3" s="44" t="str">
        <f t="shared" si="26"/>
        <v>"with_z",</v>
      </c>
      <c r="DL3" s="44" t="str">
        <f t="shared" si="27"/>
        <v/>
      </c>
      <c r="DM3" s="44" t="str" cm="1">
        <f t="array" ref="DM3">IF(CG3=3,CHAR(34) &amp; _xlfn.TEXTJOIN("", TRUE, RIGHT(HP3:HX3, 2)) &amp; CHAR(34) &amp; ",", "")</f>
        <v/>
      </c>
      <c r="DN3" s="44" t="str">
        <f t="shared" si="28"/>
        <v/>
      </c>
      <c r="DO3" s="44" t="str">
        <f t="shared" si="29"/>
        <v>"year19",</v>
      </c>
      <c r="DP3" s="5" t="str">
        <f t="shared" si="30"/>
        <v/>
      </c>
      <c r="DQ3" s="5" t="str">
        <f t="shared" si="31"/>
        <v/>
      </c>
      <c r="DR3" s="5" t="str">
        <f t="shared" si="32"/>
        <v/>
      </c>
      <c r="DS3" s="5" t="str">
        <f t="shared" si="33"/>
        <v/>
      </c>
      <c r="DT3" s="5" t="str">
        <f t="shared" si="34"/>
        <v/>
      </c>
      <c r="DU3" s="5" t="str">
        <f t="shared" si="35"/>
        <v/>
      </c>
      <c r="DW3" s="44" t="str">
        <f t="shared" si="36"/>
        <v>"NoBand",</v>
      </c>
      <c r="DX3" s="44" t="str">
        <f t="shared" si="36"/>
        <v/>
      </c>
      <c r="DY3" s="44" t="str">
        <f t="shared" si="36"/>
        <v/>
      </c>
      <c r="DZ3" s="44" t="str">
        <f t="shared" si="36"/>
        <v/>
      </c>
      <c r="EA3" s="44" t="str">
        <f t="shared" si="37"/>
        <v/>
      </c>
      <c r="EB3" s="44" t="str">
        <f t="shared" si="37"/>
        <v/>
      </c>
      <c r="EC3" s="44" t="str">
        <f t="shared" si="37"/>
        <v>"Horizo",</v>
      </c>
      <c r="ED3" s="44" t="str">
        <f t="shared" si="37"/>
        <v>"Vertic",</v>
      </c>
      <c r="EE3" s="44" t="str">
        <f t="shared" si="37"/>
        <v/>
      </c>
      <c r="EF3" s="44" t="str">
        <f t="shared" si="38"/>
        <v/>
      </c>
      <c r="EG3" s="44" t="str">
        <f t="shared" si="39"/>
        <v/>
      </c>
      <c r="EH3" s="44" t="str">
        <f t="shared" si="39"/>
        <v>"Plants",</v>
      </c>
      <c r="EI3" s="44" t="str">
        <f t="shared" si="39"/>
        <v/>
      </c>
      <c r="EJ3" s="44" t="str">
        <f t="shared" si="39"/>
        <v>"Weapon",</v>
      </c>
      <c r="EK3" s="44" t="str">
        <f t="shared" si="39"/>
        <v/>
      </c>
      <c r="EL3" s="44" t="str">
        <f t="shared" si="39"/>
        <v/>
      </c>
      <c r="EM3" s="44" t="str">
        <f t="shared" si="39"/>
        <v/>
      </c>
      <c r="EN3" s="44" t="str">
        <f t="shared" si="39"/>
        <v/>
      </c>
      <c r="EO3" s="44" t="str">
        <f t="shared" si="39"/>
        <v/>
      </c>
      <c r="EP3" s="44" t="str">
        <f t="shared" si="39"/>
        <v/>
      </c>
      <c r="EQ3" s="44" t="str">
        <f t="shared" si="39"/>
        <v/>
      </c>
      <c r="ER3" s="44" t="str">
        <f t="shared" si="39"/>
        <v/>
      </c>
      <c r="ES3" s="44" t="str">
        <f t="shared" si="39"/>
        <v/>
      </c>
      <c r="ET3" s="44" t="str">
        <f t="shared" si="39"/>
        <v/>
      </c>
      <c r="EU3" s="44" t="str">
        <f t="shared" si="39"/>
        <v/>
      </c>
      <c r="EV3" s="44" t="str">
        <f t="shared" si="39"/>
        <v/>
      </c>
      <c r="EW3" s="44" t="str">
        <f t="shared" si="40"/>
        <v>"Ships!",</v>
      </c>
      <c r="EX3" s="44" t="str">
        <f t="shared" si="40"/>
        <v/>
      </c>
      <c r="EY3" s="44" t="str">
        <f t="shared" si="40"/>
        <v/>
      </c>
      <c r="EZ3" s="44" t="str">
        <f t="shared" si="40"/>
        <v/>
      </c>
      <c r="FA3" s="44" t="str">
        <f t="shared" si="41"/>
        <v/>
      </c>
      <c r="FB3" s="44" t="str">
        <f t="shared" si="42"/>
        <v/>
      </c>
      <c r="FD3" s="44" t="str">
        <f t="shared" si="43"/>
        <v/>
      </c>
      <c r="FE3" s="44" t="str">
        <f t="shared" si="44"/>
        <v/>
      </c>
      <c r="FF3" s="44" t="str">
        <f t="shared" si="45"/>
        <v/>
      </c>
      <c r="FG3" s="44" t="str">
        <f t="shared" si="46"/>
        <v/>
      </c>
      <c r="FH3" s="44" t="str">
        <f t="shared" si="47"/>
        <v>"NO_GRE",</v>
      </c>
      <c r="FI3" s="44" t="str">
        <f t="shared" si="48"/>
        <v/>
      </c>
      <c r="FJ3" s="44" t="str">
        <f t="shared" si="49"/>
        <v/>
      </c>
      <c r="FK3" s="44" t="str">
        <f t="shared" si="50"/>
        <v/>
      </c>
      <c r="FL3" s="44" t="str">
        <f t="shared" si="51"/>
        <v/>
      </c>
      <c r="FM3" s="44" t="str">
        <f t="shared" si="52"/>
        <v/>
      </c>
      <c r="FN3" s="44" t="str">
        <f t="shared" si="53"/>
        <v/>
      </c>
      <c r="FO3" s="44" t="str">
        <f t="shared" si="54"/>
        <v/>
      </c>
      <c r="FP3" s="44" t="str">
        <f t="shared" si="55"/>
        <v/>
      </c>
      <c r="FQ3" s="44" t="str">
        <f t="shared" si="56"/>
        <v/>
      </c>
      <c r="FR3" s="44" t="str">
        <f t="shared" si="57"/>
        <v/>
      </c>
      <c r="FS3" s="44" t="str">
        <f t="shared" si="58"/>
        <v/>
      </c>
      <c r="FT3" s="44" t="str">
        <f t="shared" si="59"/>
        <v>"myrEQ",</v>
      </c>
      <c r="FU3" s="44" t="str">
        <f t="shared" si="60"/>
        <v/>
      </c>
      <c r="FV3" s="44" t="str">
        <f t="shared" si="61"/>
        <v/>
      </c>
      <c r="FW3" s="44" t="str">
        <f t="shared" si="62"/>
        <v/>
      </c>
      <c r="FY3" s="44" t="str">
        <f t="shared" si="63"/>
        <v/>
      </c>
      <c r="FZ3" s="44" t="str">
        <f t="shared" si="64"/>
        <v/>
      </c>
      <c r="GA3" s="44" t="str">
        <f t="shared" si="65"/>
        <v/>
      </c>
      <c r="GB3" s="44" t="str">
        <f t="shared" si="66"/>
        <v/>
      </c>
      <c r="GE3" s="44" t="str">
        <f t="shared" si="67"/>
        <v/>
      </c>
      <c r="GF3" s="44" t="str">
        <f t="shared" ref="GF3:GF16" si="98">IFERROR(IF(SEARCH("Historical",AU3)&gt;0,CHAR(34)&amp;"histor"&amp;CHAR(34)&amp;",",""),"")</f>
        <v/>
      </c>
      <c r="GG3" s="44" t="str">
        <f t="shared" si="68"/>
        <v/>
      </c>
      <c r="GH3" s="44" t="str">
        <f t="shared" si="69"/>
        <v/>
      </c>
      <c r="GI3" s="44" t="str">
        <f t="shared" si="70"/>
        <v/>
      </c>
      <c r="GJ3" s="44" t="str">
        <f t="shared" si="71"/>
        <v>"NoStar",</v>
      </c>
      <c r="GK3" s="44" t="str">
        <f t="shared" si="72"/>
        <v/>
      </c>
      <c r="GL3" s="44" t="str">
        <f t="shared" si="73"/>
        <v/>
      </c>
      <c r="GM3" s="44" t="str">
        <f t="shared" si="73"/>
        <v/>
      </c>
      <c r="GN3" s="44" t="str">
        <f t="shared" si="73"/>
        <v/>
      </c>
      <c r="GP3" s="44" t="str">
        <f t="shared" si="74"/>
        <v>"Region, City"</v>
      </c>
      <c r="GS3" s="44" t="str">
        <f t="shared" si="75"/>
        <v>["5+Colo","lets08","startA","with_z","year19","NoBand","Horizo","Vertic","Plants","Weapon","Ships!","NO_GRE","myrEQ","NoStar"]</v>
      </c>
      <c r="GT3" s="44" t="str">
        <f t="shared" si="76"/>
        <v>"cl_BLA",</v>
      </c>
      <c r="GU3" s="44" t="str">
        <f t="shared" si="76"/>
        <v>"cl_BLU",</v>
      </c>
      <c r="GV3" s="44" t="str">
        <f t="shared" si="76"/>
        <v/>
      </c>
      <c r="GW3" s="44" t="str">
        <f t="shared" si="76"/>
        <v>"cl_RED",</v>
      </c>
      <c r="GX3" s="44" t="str">
        <f t="shared" si="76"/>
        <v>"cl_YEL",</v>
      </c>
      <c r="GY3" s="44" t="str">
        <f t="shared" si="76"/>
        <v/>
      </c>
      <c r="GZ3" s="44" t="str">
        <f t="shared" si="76"/>
        <v>"cl_BRO",</v>
      </c>
      <c r="HA3" s="44" t="str">
        <f t="shared" si="76"/>
        <v/>
      </c>
      <c r="HB3" s="44" t="str">
        <f t="shared" si="76"/>
        <v>"cl_WHI",</v>
      </c>
      <c r="HC3" s="44" t="str">
        <f t="shared" si="77"/>
        <v>["cl_BLA","cl_BLU","cl_RED","cl_YEL","cl_BRO","cl_WHI"]</v>
      </c>
      <c r="HE3" s="64"/>
      <c r="HF3" s="65" t="str">
        <f t="shared" si="78"/>
        <v>{couname:"[NZE] Auckland",year:"1980",region:"rgn_Oceania",Colors:["cl_BLA","cl_BLU","cl_RED","cl_YEL","cl_BRO","cl_WHI"],Items:["5+Colo","lets08","startA","with_z","year19","NoBand","Horizo","Vertic","Plants","Weapon","Ships!","NO_GRE","myrEQ","NoStar"],Flag:"https://upload.wikimedia.org/wikipedia/commons/thumb/1/1a/Flag_of_Auckland.svg/640px-Flag_of_Auckland.svg.png",HDFlag:"https://upload.wikimedia.org/wikipedia/commons/thumb/1/1a/Flag_of_Auckland.svg/2560px-Flag_of_Auckland.svg.png",type:"Region, City", describe: "\nIt has a cornucopia in the top left canton representative Auckland's wealth, a pick and shovel in the top right canton to represent the areas mining past and a horizontal stripe underneath with a sailing ship. It has been around since the early 1950s, but was only officially adopted in 1980.", isnew:".", links: "https://en.wikipedia.org/wiki/Flag_of_Auckland_City"},</v>
      </c>
      <c r="HG3" s="66" t="str">
        <f t="shared" si="79"/>
        <v>{couname:"[NZE] Auckland",year:"1980",region:"rgn_Oceania",Colors:["cl_BLA","cl_BLU","cl_RED","cl_YEL","cl_BRO","cl_WHI"],Items:["5+Colo","lets08","startA","with_z","year19","NoBand","Horizo","Vertic","Plants","Weapon","Ships!","NO_GRE","myrEQ","NoStar"],Flag:"https://upload.wikimedia.org/wikipedia/commons/thumb/1/1a/Flag_of_Auckland.svg/640px-Flag_of_Auckland.svg.png",HDFlag:"https://upload.wikimedia.org/wikipedia/commons/thumb/1/1a/Flag_of_Auckland.svg/2560px-Flag_of_Auckland.svg.png",type:"Region, City", describe: "\nIt has a cornucopia in the top left canton representative Auckland's wealth, a pick and shovel in the top right canton to represent the areas mining past and a horizontal stripe underneath with a sailing ship. It has been around since the early 1950s, but was only officially adopted in 1980.", links: "https://en.wikipedia.org/wiki/Flag_of_Auckland_City"},</v>
      </c>
      <c r="HH3" s="44" t="str">
        <f t="shared" si="80"/>
        <v>"\nIt has a cornucopia in the top left canton representative Auckland's wealth, a pick and shovel in the top right canton to represent the areas mining past and a horizontal stripe underneath with a sailing ship. It has been around since the early 1950s, but was only officially adopted in 1980."</v>
      </c>
      <c r="HI3" s="44" t="str">
        <f t="shared" si="81"/>
        <v>"\nIt has a cornucopia in the top left canton representative Auckland's wealth, a pick and shovel in the top right canton to represent the areas mining past and a horizontal stripe underneath with a sailing ship. It has been around since the early 1950s, but was only officially adopted in 1980."</v>
      </c>
      <c r="HJ3" s="44" t="str">
        <f t="shared" si="82"/>
        <v>"1980"</v>
      </c>
      <c r="HL3" s="44" t="str">
        <f t="shared" si="83"/>
        <v>"https://en.wikipedia.org/wiki/Flag_of_Auckland_City"</v>
      </c>
      <c r="HM3" s="65" t="str">
        <f t="shared" si="84"/>
        <v>{"couname":"[NZE] Auckland","year":"1980","region":"rgn_Oceania","Colors":["cl_BLA","cl_BLU","cl_RED","cl_YEL","cl_BRO","cl_WHI"],"Items":["5+Colo","lets08","startA","with_z","year19","NoBand","Horizo","Vertic","Plants","Weapon","Ships!","NO_GRE","myrEQ","NoStar"],"Flag":"https://upload.wikimedia.org/wikipedia/commons/thumb/1/1a/Flag_of_Auckland.svg/640px-Flag_of_Auckland.svg.png","HDFlag":"https://upload.wikimedia.org/wikipedia/commons/thumb/1/1a/Flag_of_Auckland.svg/2560px-Flag_of_Auckland.svg.png","type":"Region, City", "describe": "\nIt has a cornucopia in the top left canton representative Auckland's wealth, a pick and shovel in the top right canton to represent the areas mining past and a horizontal stripe underneath with a sailing ship. It has been around since the early 1950s, but was only officially adopted in 1980.", "isnew": ".", "links": "https://en.wikipedia.org/wiki/Flag_of_Auckland_City"},</v>
      </c>
      <c r="HN3" s="67" t="str">
        <f t="shared" si="85"/>
        <v>{"couname":"[NZE] Auckland","year":"1980","region":"rgn_Oceania","Colors":["cl_BLA","cl_BLU","cl_RED","cl_YEL","cl_BRO","cl_WHI"],"Items":["5+Colo","lets08","startA","with_z","year19","NoBand","Horizo","Vertic","Plants","Weapon","Ships!","NO_GRE","myrEQ","NoStar"],"Flag":"https://upload.wikimedia.org/wikipedia/commons/thumb/1/1a/Flag_of_Auckland.svg/640px-Flag_of_Auckland.svg.png","HDFlag":"https://upload.wikimedia.org/wikipedia/commons/thumb/1/1a/Flag_of_Auckland.svg/2560px-Flag_of_Auckland.svg.png","type":"Region, City", "describe": "\nIt has a cornucopia in the top left canton representative Auckland's wealth, a pick and shovel in the top right canton to represent the areas mining past and a horizontal stripe underneath with a sailing ship. It has been around since the early 1950s, but was only officially adopted in 1980.", "isnew": ".", "links": "https://en.wikipedia.org/wiki/Flag_of_Auckland_City"},</v>
      </c>
      <c r="HO3" s="71">
        <v>45596</v>
      </c>
      <c r="HP3" s="44" t="str" cm="1">
        <f t="array" ref="HP3">IF(_xlfn.TEXTJOIN(", ", TRUE, IF(ISNUMBER(SEARCH("BLA", BL3:BT3)), COLUMN(BL3:BT3) - COLUMN(BL3) + 1, ""))&lt;&gt;"","BLA","")</f>
        <v>BLA</v>
      </c>
      <c r="HQ3" s="44" t="str" cm="1">
        <f t="array" ref="HQ3">IF(_xlfn.TEXTJOIN(", ", TRUE, IF(ISNUMBER(SEARCH("BLU", BL3:BT3)), COLUMN(BL3:BT3) - COLUMN(BL3) + 1, ""))&lt;&gt;"","BLU","")</f>
        <v>BLU</v>
      </c>
      <c r="HR3" s="44" t="str" cm="1">
        <f t="array" ref="HR3">IF(_xlfn.TEXTJOIN(", ", TRUE, IF(ISNUMBER(SEARCH("GRE", BL3:BT3)), COLUMN(BL3:BT3) - COLUMN(BL3) + 1, ""))&lt;&gt;"","GRE","")</f>
        <v/>
      </c>
      <c r="HS3" s="44" t="str" cm="1">
        <f t="array" ref="HS3">IF(_xlfn.TEXTJOIN(", ", TRUE, IF(ISNUMBER(SEARCH("RED", BL3:BT3)), COLUMN(BL3:BT3) - COLUMN(BL3) + 1, ""))&lt;&gt;"","RED","")</f>
        <v>RED</v>
      </c>
      <c r="HT3" s="44" t="str" cm="1">
        <f t="array" ref="HT3">IF(_xlfn.TEXTJOIN(", ", TRUE, IF(ISNUMBER(SEARCH("YEL", BL3:BT3)), COLUMN(BL3:BT3) - COLUMN(BL3) + 1, ""))&lt;&gt;"","YEL","")</f>
        <v>YEL</v>
      </c>
      <c r="HU3" s="44" t="str" cm="1">
        <f t="array" ref="HU3">IF(_xlfn.TEXTJOIN(", ", TRUE, IF(ISNUMBER(SEARCH("ORA", BL3:BT3)), COLUMN(BL3:BT3) - COLUMN(BL3) + 1, ""))&lt;&gt;"","ORA","")</f>
        <v/>
      </c>
      <c r="HV3" s="44" t="str" cm="1">
        <f t="array" ref="HV3">IF(_xlfn.TEXTJOIN(", ", TRUE, IF(ISNUMBER(SEARCH("BRO", BL3:BT3)), COLUMN(BL3:BT3) - COLUMN(BL3) + 1, ""))&lt;&gt;"","BRO","")</f>
        <v>BRO</v>
      </c>
      <c r="HW3" s="44" t="str" cm="1">
        <f t="array" ref="HW3">IF(_xlfn.TEXTJOIN(", ", TRUE, IF(ISNUMBER(SEARCH("PUR", BL3:BT3)), COLUMN(BL3:BT3) - COLUMN(BL3) + 1, ""))&lt;&gt;"","PUR","")</f>
        <v/>
      </c>
      <c r="HX3" s="44" t="str" cm="1">
        <f t="array" ref="HX3">IF(_xlfn.TEXTJOIN(", ", TRUE, IF(ISNUMBER(SEARCH("WHI", BL3:BT3)), COLUMN(BL3:BT3) - COLUMN(BL3) + 1, ""))&lt;&gt;"","WHI","")</f>
        <v>WHI</v>
      </c>
      <c r="HY3" s="72"/>
      <c r="HZ3" s="72"/>
      <c r="IA3" s="5"/>
      <c r="IB3" s="5"/>
      <c r="IC3" s="68"/>
      <c r="ID3" s="68"/>
      <c r="IE3" s="68"/>
      <c r="IF3" s="68"/>
      <c r="IG3" s="68"/>
      <c r="IH3" s="68"/>
      <c r="II3" s="68"/>
      <c r="IJ3" s="68"/>
      <c r="IK3" s="68"/>
      <c r="IM3" s="42">
        <f t="shared" si="86"/>
        <v>-6</v>
      </c>
      <c r="IN3" s="69" t="str">
        <f t="shared" si="87"/>
        <v>http://mkweb.bcgsc.ca/color-summarizer/?url=https://upload.wikimedia.org/wikipedia/commons/thumb/1/1a/Flag_of_Auckland.svg/640px-Flag_of_Auckland.svg.png&amp;precision=low&amp;num_clusters=6&amp;text=1</v>
      </c>
      <c r="IO3" s="44" t="str">
        <f t="shared" si="88"/>
        <v>"black"</v>
      </c>
      <c r="IP3" s="44" t="str">
        <f t="shared" si="89"/>
        <v>"blue"</v>
      </c>
      <c r="IQ3" s="44" t="str">
        <f t="shared" si="90"/>
        <v/>
      </c>
      <c r="IR3" s="44" t="str">
        <f t="shared" si="91"/>
        <v>"red"</v>
      </c>
      <c r="IS3" s="44" t="str">
        <f t="shared" si="92"/>
        <v>"yellow"</v>
      </c>
      <c r="IT3" s="44" t="str">
        <f t="shared" si="93"/>
        <v/>
      </c>
      <c r="IU3" s="44" t="str">
        <f t="shared" si="94"/>
        <v>"brown"</v>
      </c>
      <c r="IV3" s="44" t="str">
        <f t="shared" si="95"/>
        <v/>
      </c>
      <c r="IW3" s="44" t="str">
        <f t="shared" si="96"/>
        <v>"white"</v>
      </c>
      <c r="IX3" s="44" t="str">
        <f t="shared" si="97"/>
        <v>{"url":"http://mkweb.bcgsc.ca/color-summarizer/?url=https://upload.wikimedia.org/wikipedia/commons/thumb/1/1a/Flag_of_Auckland.svg/640px-Flag_of_Auckland.svg.png&amp;precision=low&amp;num_clusters=6&amp;text=1","name":"[NZE] Auckland"},</v>
      </c>
      <c r="IY3" s="44">
        <v>1366</v>
      </c>
    </row>
    <row r="4" spans="1:259" s="44" customFormat="1" ht="38.4" customHeight="1" thickBot="1" x14ac:dyDescent="0.35">
      <c r="A4" s="80" t="s">
        <v>750</v>
      </c>
      <c r="B4" s="78" t="e" vm="71">
        <v>#VALUE!</v>
      </c>
      <c r="C4" s="39">
        <v>2</v>
      </c>
      <c r="D4" s="70" t="s">
        <v>751</v>
      </c>
      <c r="E4" s="40" t="s">
        <v>752</v>
      </c>
      <c r="F4" s="41" t="s">
        <v>165</v>
      </c>
      <c r="G4" s="42">
        <f t="shared" si="0"/>
        <v>1</v>
      </c>
      <c r="H4" s="43"/>
      <c r="I4" s="59" t="s">
        <v>753</v>
      </c>
      <c r="J4" s="44" t="str">
        <f>""</f>
        <v/>
      </c>
      <c r="K4" s="45"/>
      <c r="L4" s="46"/>
      <c r="M4" s="46"/>
      <c r="N4" s="47" t="s">
        <v>177</v>
      </c>
      <c r="O4" s="74">
        <v>1987</v>
      </c>
      <c r="P4" s="48" t="s">
        <v>754</v>
      </c>
      <c r="Q4" s="73">
        <v>1</v>
      </c>
      <c r="R4" s="49" t="s">
        <v>177</v>
      </c>
      <c r="S4" s="50">
        <v>9</v>
      </c>
      <c r="T4" s="51" t="s">
        <v>166</v>
      </c>
      <c r="U4" s="52" t="s">
        <v>167</v>
      </c>
      <c r="V4" s="52" t="s">
        <v>167</v>
      </c>
      <c r="W4" s="52" t="s">
        <v>167</v>
      </c>
      <c r="X4" s="52" t="s">
        <v>166</v>
      </c>
      <c r="Y4" s="52" t="s">
        <v>166</v>
      </c>
      <c r="Z4" s="52" t="s">
        <v>167</v>
      </c>
      <c r="AA4" s="52" t="s">
        <v>166</v>
      </c>
      <c r="AB4" s="52" t="s">
        <v>166</v>
      </c>
      <c r="AC4" s="52" t="s">
        <v>166</v>
      </c>
      <c r="AD4" s="52" t="s">
        <v>166</v>
      </c>
      <c r="AE4" s="52" t="s">
        <v>166</v>
      </c>
      <c r="AF4" s="53" t="s">
        <v>166</v>
      </c>
      <c r="AG4" s="53" t="s">
        <v>166</v>
      </c>
      <c r="AH4" s="53" t="s">
        <v>166</v>
      </c>
      <c r="AI4" s="53" t="s">
        <v>166</v>
      </c>
      <c r="AJ4" s="53" t="s">
        <v>166</v>
      </c>
      <c r="AK4" s="53" t="s">
        <v>166</v>
      </c>
      <c r="AL4" s="53" t="s">
        <v>166</v>
      </c>
      <c r="AM4" s="53" t="s">
        <v>166</v>
      </c>
      <c r="AN4" s="53" t="s">
        <v>166</v>
      </c>
      <c r="AO4" s="53" t="s">
        <v>166</v>
      </c>
      <c r="AP4" s="53" t="s">
        <v>166</v>
      </c>
      <c r="AQ4" s="53" t="s">
        <v>167</v>
      </c>
      <c r="AR4" s="53" t="s">
        <v>166</v>
      </c>
      <c r="AS4" s="53" t="s">
        <v>166</v>
      </c>
      <c r="AT4" s="54">
        <v>0</v>
      </c>
      <c r="AU4" s="53" t="s">
        <v>1141</v>
      </c>
      <c r="AV4" s="53" t="str">
        <f t="shared" si="1"/>
        <v>[NZE]Region, City[NZE] Nelson</v>
      </c>
      <c r="AW4" s="53" t="str">
        <f t="shared" si="2"/>
        <v>2[NZE] Nelson</v>
      </c>
      <c r="AX4" s="55"/>
      <c r="AY4" s="55"/>
      <c r="AZ4" s="56" t="s">
        <v>231</v>
      </c>
      <c r="BA4" s="56" t="s">
        <v>231</v>
      </c>
      <c r="BB4" s="56"/>
      <c r="BC4" s="57"/>
      <c r="BD4" s="58" t="s">
        <v>154</v>
      </c>
      <c r="BE4" s="59"/>
      <c r="BF4" s="58" t="s">
        <v>154</v>
      </c>
      <c r="BG4" s="58" t="s">
        <v>154</v>
      </c>
      <c r="BH4" s="58" t="s">
        <v>154</v>
      </c>
      <c r="BI4" s="58"/>
      <c r="BJ4" s="58"/>
      <c r="BK4" s="59"/>
      <c r="BL4" s="58" t="s">
        <v>153</v>
      </c>
      <c r="BM4" s="58" t="s">
        <v>154</v>
      </c>
      <c r="BN4" s="58" t="s">
        <v>231</v>
      </c>
      <c r="BO4" s="58" t="s">
        <v>156</v>
      </c>
      <c r="BP4" s="58" t="s">
        <v>157</v>
      </c>
      <c r="BQ4" s="58" t="s">
        <v>231</v>
      </c>
      <c r="BR4" s="58" t="s">
        <v>231</v>
      </c>
      <c r="BS4" s="58" t="s">
        <v>231</v>
      </c>
      <c r="BT4" s="58" t="s">
        <v>161</v>
      </c>
      <c r="BU4" s="60"/>
      <c r="BV4" s="61"/>
      <c r="BW4" s="61">
        <v>0</v>
      </c>
      <c r="BX4" s="59"/>
      <c r="CB4" s="5"/>
      <c r="CC4" s="5"/>
      <c r="CD4" s="62">
        <v>0</v>
      </c>
      <c r="CE4" s="62">
        <v>0</v>
      </c>
      <c r="CF4" s="62" t="e">
        <v>#REF!</v>
      </c>
      <c r="CG4" s="75" cm="1">
        <f t="array" ref="CG4">SUMPRODUCT(--(LEN(TRIM(BL4:BT4))&gt;0))</f>
        <v>5</v>
      </c>
      <c r="CH4" s="53" t="str">
        <f t="shared" si="3"/>
        <v>n</v>
      </c>
      <c r="CI4" s="53" t="str">
        <f t="shared" si="4"/>
        <v>n</v>
      </c>
      <c r="CJ4" s="53" t="str">
        <f t="shared" si="5"/>
        <v>n</v>
      </c>
      <c r="CK4" s="53" t="str">
        <f t="shared" si="6"/>
        <v>y</v>
      </c>
      <c r="CL4" s="53" t="str">
        <f t="shared" si="7"/>
        <v>n</v>
      </c>
      <c r="CM4" s="53" t="str">
        <f t="shared" si="8"/>
        <v>n</v>
      </c>
      <c r="CN4" s="53" t="str">
        <f t="shared" si="9"/>
        <v>n</v>
      </c>
      <c r="CO4" s="53" t="str">
        <f t="shared" si="10"/>
        <v>y</v>
      </c>
      <c r="CP4" s="53" t="str">
        <f t="shared" si="11"/>
        <v>y</v>
      </c>
      <c r="CQ4" s="53" t="str">
        <f t="shared" si="12"/>
        <v>n</v>
      </c>
      <c r="CR4" s="53" t="str">
        <f t="shared" si="13"/>
        <v>n</v>
      </c>
      <c r="CS4" s="53" t="str">
        <f t="shared" si="14"/>
        <v>n</v>
      </c>
      <c r="CT4" s="38" t="str">
        <f t="shared" si="15"/>
        <v>"[NZE] Nelson"</v>
      </c>
      <c r="CU4" s="63" t="str">
        <f t="shared" si="16"/>
        <v>"rgn_Oceania"</v>
      </c>
      <c r="CV4" s="44" t="str">
        <f t="shared" si="17"/>
        <v>"https://upload.wikimedia.org/wikipedia/commons/thumb/0/09/Nelson_flag.svg/640px-Nelson_flag.svg.png"</v>
      </c>
      <c r="CW4" s="44" t="str">
        <f t="shared" si="18"/>
        <v/>
      </c>
      <c r="CX4" s="44" t="str">
        <f t="shared" si="18"/>
        <v/>
      </c>
      <c r="CY4" s="44" t="str">
        <f t="shared" si="18"/>
        <v/>
      </c>
      <c r="CZ4" s="44" t="str">
        <f t="shared" si="18"/>
        <v>"5+Colo",</v>
      </c>
      <c r="DA4" s="44" t="str">
        <f t="shared" si="19"/>
        <v/>
      </c>
      <c r="DB4" s="44" t="str">
        <f t="shared" si="20"/>
        <v/>
      </c>
      <c r="DD4" s="44" t="str">
        <f>IF(LEN(CHAR(34)&amp;"lets"&amp;LEN(SUBSTITUTE(SUBSTITUTE(IFERROR(TRIM(SUBSTITUTE(A4,MID(A4,FIND("[",A4),FIND("]",A4)-FIND("[",A4)+1),"")),A4)," ",""),"-",""))&amp;CHAR(34)&amp;",")=9,CHAR(34)&amp;"lets"&amp;LEN(SUBSTITUTE(SUBSTITUTE(IFERROR(TRIM(SUBSTITUTE(A4,MID(A4,FIND("[",A4),FIND("]",A4)-FIND("[",A4)+1),"")),A4)," ",""),"-",""))&amp;CHAR(34)&amp;",",CHAR(34)&amp;"lets0"&amp;LEN(SUBSTITUTE(SUBSTITUTE(IFERROR(TRIM(SUBSTITUTE(A4,MID(A4,FIND("[",A4),FIND("]",A4)-FIND("[",A4)+1),"")),A4)," ",""),"-",""))&amp;CHAR(34)&amp;",")</f>
        <v>"lets06",</v>
      </c>
      <c r="DE4" s="44" t="str">
        <f>CHAR(34)&amp;"start"&amp;IFERROR(LEFT(SUBSTITUTE(A4,"["&amp;MID(A4,FIND("[",A4)+1,FIND("]",A4)-FIND("[",A4)-1)&amp;"] ",""),1),LEFT(A4,1))&amp;CHAR(34)&amp;","</f>
        <v>"startN",</v>
      </c>
      <c r="DF4" s="44" t="str">
        <f t="shared" si="21"/>
        <v/>
      </c>
      <c r="DG4" s="44" t="str">
        <f t="shared" si="22"/>
        <v/>
      </c>
      <c r="DH4" s="44" t="str">
        <f t="shared" si="23"/>
        <v/>
      </c>
      <c r="DI4" s="44" t="str">
        <f t="shared" si="24"/>
        <v/>
      </c>
      <c r="DJ4" s="44" t="str">
        <f t="shared" si="25"/>
        <v/>
      </c>
      <c r="DK4" s="44" t="str">
        <f t="shared" si="26"/>
        <v>"with_z",</v>
      </c>
      <c r="DL4" s="44" t="str">
        <f t="shared" si="27"/>
        <v/>
      </c>
      <c r="DM4" s="44" t="str" cm="1">
        <f t="array" ref="DM4">IF(CG4=3,CHAR(34) &amp; _xlfn.TEXTJOIN("", TRUE, RIGHT(HP4:HX4, 2)) &amp; CHAR(34) &amp; ",", "")</f>
        <v/>
      </c>
      <c r="DN4" s="44" t="str">
        <f t="shared" si="28"/>
        <v/>
      </c>
      <c r="DO4" s="44" t="str">
        <f t="shared" si="29"/>
        <v>"year19",</v>
      </c>
      <c r="DP4" s="5" t="str">
        <f t="shared" si="30"/>
        <v/>
      </c>
      <c r="DQ4" s="5" t="str">
        <f t="shared" si="31"/>
        <v/>
      </c>
      <c r="DR4" s="5" t="str">
        <f t="shared" si="32"/>
        <v/>
      </c>
      <c r="DS4" s="5" t="str">
        <f t="shared" si="33"/>
        <v/>
      </c>
      <c r="DT4" s="5" t="str">
        <f t="shared" si="34"/>
        <v/>
      </c>
      <c r="DU4" s="5" t="str">
        <f t="shared" si="35"/>
        <v/>
      </c>
      <c r="DW4" s="44" t="str">
        <f t="shared" si="36"/>
        <v/>
      </c>
      <c r="DX4" s="44" t="str">
        <f t="shared" si="36"/>
        <v/>
      </c>
      <c r="DY4" s="44" t="str">
        <f t="shared" si="36"/>
        <v/>
      </c>
      <c r="DZ4" s="44" t="str">
        <f t="shared" si="36"/>
        <v>"4+Band",</v>
      </c>
      <c r="EA4" s="44" t="str">
        <f t="shared" si="37"/>
        <v/>
      </c>
      <c r="EB4" s="44" t="str">
        <f t="shared" si="37"/>
        <v>"Crosse",</v>
      </c>
      <c r="EC4" s="44" t="str">
        <f t="shared" si="37"/>
        <v>"Horizo",</v>
      </c>
      <c r="ED4" s="44" t="str">
        <f t="shared" si="37"/>
        <v>"Vertic",</v>
      </c>
      <c r="EE4" s="44" t="str">
        <f t="shared" si="37"/>
        <v/>
      </c>
      <c r="EF4" s="44" t="str">
        <f t="shared" si="38"/>
        <v/>
      </c>
      <c r="EG4" s="44" t="str">
        <f t="shared" si="39"/>
        <v>"Bird",</v>
      </c>
      <c r="EH4" s="44" t="str">
        <f t="shared" si="39"/>
        <v/>
      </c>
      <c r="EI4" s="44" t="str">
        <f t="shared" si="39"/>
        <v/>
      </c>
      <c r="EJ4" s="44" t="str">
        <f t="shared" si="39"/>
        <v/>
      </c>
      <c r="EK4" s="44" t="str">
        <f t="shared" si="39"/>
        <v/>
      </c>
      <c r="EL4" s="44" t="str">
        <f t="shared" si="39"/>
        <v/>
      </c>
      <c r="EM4" s="44" t="str">
        <f t="shared" si="39"/>
        <v/>
      </c>
      <c r="EN4" s="44" t="str">
        <f t="shared" si="39"/>
        <v/>
      </c>
      <c r="EO4" s="44" t="str">
        <f t="shared" si="39"/>
        <v/>
      </c>
      <c r="EP4" s="44" t="str">
        <f t="shared" si="39"/>
        <v/>
      </c>
      <c r="EQ4" s="44" t="str">
        <f t="shared" si="39"/>
        <v/>
      </c>
      <c r="ER4" s="44" t="str">
        <f t="shared" si="39"/>
        <v/>
      </c>
      <c r="ES4" s="44" t="str">
        <f t="shared" si="39"/>
        <v/>
      </c>
      <c r="ET4" s="44" t="str">
        <f t="shared" si="39"/>
        <v/>
      </c>
      <c r="EU4" s="44" t="str">
        <f t="shared" si="39"/>
        <v/>
      </c>
      <c r="EV4" s="44" t="str">
        <f t="shared" si="39"/>
        <v/>
      </c>
      <c r="EW4" s="44" t="str">
        <f t="shared" si="40"/>
        <v/>
      </c>
      <c r="EX4" s="44" t="str">
        <f t="shared" si="40"/>
        <v>"Crowns",</v>
      </c>
      <c r="EY4" s="44" t="str">
        <f t="shared" si="40"/>
        <v/>
      </c>
      <c r="EZ4" s="44" t="str">
        <f t="shared" si="40"/>
        <v/>
      </c>
      <c r="FA4" s="44" t="str">
        <f t="shared" si="41"/>
        <v/>
      </c>
      <c r="FB4" s="44" t="str">
        <f t="shared" si="42"/>
        <v/>
      </c>
      <c r="FD4" s="44" t="str">
        <f t="shared" si="43"/>
        <v/>
      </c>
      <c r="FE4" s="44" t="str">
        <f t="shared" si="44"/>
        <v/>
      </c>
      <c r="FF4" s="44" t="str">
        <f t="shared" si="45"/>
        <v/>
      </c>
      <c r="FG4" s="44" t="str">
        <f t="shared" si="46"/>
        <v/>
      </c>
      <c r="FH4" s="44" t="str">
        <f t="shared" si="47"/>
        <v>"NO_GRE",</v>
      </c>
      <c r="FI4" s="44" t="str">
        <f t="shared" si="48"/>
        <v/>
      </c>
      <c r="FJ4" s="44" t="str">
        <f t="shared" si="49"/>
        <v/>
      </c>
      <c r="FK4" s="44" t="str">
        <f t="shared" si="50"/>
        <v/>
      </c>
      <c r="FL4" s="44" t="str">
        <f t="shared" si="51"/>
        <v/>
      </c>
      <c r="FM4" s="44" t="str">
        <f t="shared" si="52"/>
        <v/>
      </c>
      <c r="FN4" s="44" t="str">
        <f t="shared" si="53"/>
        <v/>
      </c>
      <c r="FO4" s="44" t="str">
        <f t="shared" si="54"/>
        <v/>
      </c>
      <c r="FP4" s="44" t="str">
        <f t="shared" si="55"/>
        <v/>
      </c>
      <c r="FQ4" s="44" t="str">
        <f t="shared" si="56"/>
        <v>"001BLU",</v>
      </c>
      <c r="FR4" s="44" t="str">
        <f t="shared" si="57"/>
        <v>"002BLU",</v>
      </c>
      <c r="FS4" s="44" t="str">
        <f t="shared" si="58"/>
        <v>"003BLU",</v>
      </c>
      <c r="FT4" s="44" t="str">
        <f t="shared" si="59"/>
        <v>"myrBLU",</v>
      </c>
      <c r="FU4" s="44" t="str">
        <f t="shared" si="60"/>
        <v/>
      </c>
      <c r="FV4" s="44" t="str">
        <f t="shared" si="61"/>
        <v/>
      </c>
      <c r="FW4" s="44" t="str">
        <f t="shared" si="62"/>
        <v/>
      </c>
      <c r="FY4" s="44" t="str">
        <f t="shared" si="63"/>
        <v/>
      </c>
      <c r="FZ4" s="44" t="str">
        <f t="shared" si="64"/>
        <v/>
      </c>
      <c r="GA4" s="44" t="str">
        <f t="shared" si="65"/>
        <v/>
      </c>
      <c r="GB4" s="44" t="str">
        <f t="shared" si="66"/>
        <v/>
      </c>
      <c r="GE4" s="44" t="str">
        <f t="shared" si="67"/>
        <v/>
      </c>
      <c r="GF4" s="44" t="str">
        <f t="shared" si="98"/>
        <v/>
      </c>
      <c r="GG4" s="44" t="str">
        <f t="shared" si="68"/>
        <v/>
      </c>
      <c r="GH4" s="44" t="str">
        <f t="shared" si="69"/>
        <v/>
      </c>
      <c r="GI4" s="44" t="str">
        <f t="shared" si="70"/>
        <v/>
      </c>
      <c r="GJ4" s="44" t="str">
        <f t="shared" si="71"/>
        <v>"NoStar",</v>
      </c>
      <c r="GK4" s="44" t="str">
        <f t="shared" si="72"/>
        <v/>
      </c>
      <c r="GL4" s="44" t="str">
        <f t="shared" si="73"/>
        <v/>
      </c>
      <c r="GM4" s="44" t="str">
        <f t="shared" si="73"/>
        <v/>
      </c>
      <c r="GN4" s="44" t="str">
        <f t="shared" si="73"/>
        <v/>
      </c>
      <c r="GP4" s="44" t="str">
        <f t="shared" si="74"/>
        <v>"Region, City"</v>
      </c>
      <c r="GS4" s="44" t="str">
        <f t="shared" si="75"/>
        <v>["5+Colo","lets06","startN","with_z","year19","4+Band","Crosse","Horizo","Vertic","Bird","Crowns","NO_GRE","001BLU","002BLU","003BLU","myrBLU","NoStar"]</v>
      </c>
      <c r="GT4" s="44" t="str">
        <f t="shared" si="76"/>
        <v>"cl_BLA",</v>
      </c>
      <c r="GU4" s="44" t="str">
        <f t="shared" si="76"/>
        <v>"cl_BLU",</v>
      </c>
      <c r="GV4" s="44" t="str">
        <f t="shared" si="76"/>
        <v/>
      </c>
      <c r="GW4" s="44" t="str">
        <f t="shared" si="76"/>
        <v>"cl_RED",</v>
      </c>
      <c r="GX4" s="44" t="str">
        <f t="shared" si="76"/>
        <v>"cl_YEL",</v>
      </c>
      <c r="GY4" s="44" t="str">
        <f t="shared" si="76"/>
        <v/>
      </c>
      <c r="GZ4" s="44" t="str">
        <f t="shared" si="76"/>
        <v/>
      </c>
      <c r="HA4" s="44" t="str">
        <f t="shared" si="76"/>
        <v/>
      </c>
      <c r="HB4" s="44" t="str">
        <f t="shared" si="76"/>
        <v>"cl_WHI",</v>
      </c>
      <c r="HC4" s="44" t="str">
        <f t="shared" si="77"/>
        <v>["cl_BLA","cl_BLU","cl_RED","cl_YEL","cl_WHI"]</v>
      </c>
      <c r="HE4" s="64"/>
      <c r="HF4" s="65" t="str">
        <f t="shared" si="78"/>
        <v>{couname:"[NZE] Nelson",year:"1987",region:"rgn_Oceania",Colors:["cl_BLA","cl_BLU","cl_RED","cl_YEL","cl_WHI"],Items:["5+Colo","lets06","startN","with_z","year19","4+Band","Crosse","Horizo","Vertic","Bird","Crowns","NO_GRE","001BLU","002BLU","003BLU","myrBLU","NoStar"],Flag:"https://upload.wikimedia.org/wikipedia/commons/thumb/0/09/Nelson_flag.svg/640px-Nelson_flag.svg.png",HDFlag:"https://upload.wikimedia.org/wikipedia/commons/thumb/0/09/Nelson_flag.svg/2560px-Nelson_flag.svg.png",type:"Region, City", describe: "\nThe flag is based on the City of Nelson's coat of arms. The top third of the flag is blue, a colour strongly associated with Nelson including use by many sports teams. The bottom two thirds consist of alternating blue and white horizontal wavy stripes, which represent Nelson's relationship to the sea. Emblazoned upon the striped section is a black cross flory, taken from the arms of Lord Nelson. Above the cross, upon the blue section is a mitre with fringed lappets flowing from either side, for Nelson has been the seat of the bishop of Nelson since 1858. ", isnew:".", links: "https://en.wikipedia.org/wiki/Flag_of_the_City_of_Nelson"},</v>
      </c>
      <c r="HG4" s="66" t="str">
        <f t="shared" si="79"/>
        <v>{couname:"[NZE] Nelson",year:"1987",region:"rgn_Oceania",Colors:["cl_BLA","cl_BLU","cl_RED","cl_YEL","cl_WHI"],Items:["5+Colo","lets06","startN","with_z","year19","4+Band","Crosse","Horizo","Vertic","Bird","Crowns","NO_GRE","001BLU","002BLU","003BLU","myrBLU","NoStar"],Flag:"https://upload.wikimedia.org/wikipedia/commons/thumb/0/09/Nelson_flag.svg/640px-Nelson_flag.svg.png",HDFlag:"https://upload.wikimedia.org/wikipedia/commons/thumb/0/09/Nelson_flag.svg/2560px-Nelson_flag.svg.png",type:"Region, City", describe: "\nThe flag is based on the City of Nelson's coat of arms. The top third of the flag is blue, a colour strongly associated with Nelson including use by many sports teams. The bottom two thirds consist of alternating blue and white horizontal wavy stripes, which represent Nelson's relationship to the sea. Emblazoned upon the striped section is a black cross flory, taken from the arms of Lord Nelson. Above the cross, upon the blue section is a mitre with fringed lappets flowing from either side, for Nelson has been the seat of the bishop of Nelson since 1858. ", links: "https://en.wikipedia.org/wiki/Flag_of_the_City_of_Nelson"},</v>
      </c>
      <c r="HH4" s="44" t="str">
        <f t="shared" si="80"/>
        <v>"\nThe flag is based on the City of Nelson's coat of arms. The top third of the flag is blue, a colour strongly associated with Nelson including use by many sports teams. The bottom two thirds consist of alternating blue and white horizontal wavy stripes, which represent Nelson's relationship to the sea. Emblazoned upon the striped section is a black cross flory, taken from the arms of Lord Nelson. Above the cross, upon the blue section is a mitre with fringed lappets flowing from either side, for Nelson has been the seat of the bishop of Nelson since 1858. "</v>
      </c>
      <c r="HI4" s="44" t="str">
        <f t="shared" si="81"/>
        <v>"\nThe flag is based on the City of Nelson's coat of arms. The top third of the flag is blue, a colour strongly associated with Nelson including use by many sports teams. The bottom two thirds consist of alternating blue and white horizontal wavy stripes, which represent Nelson's relationship to the sea. Emblazoned upon the striped section is a black cross flory, taken from the arms of Lord Nelson. Above the cross, upon the blue section is a mitre with fringed lappets flowing from either side, for Nelson has been the seat of the bishop of Nelson since 1858. "</v>
      </c>
      <c r="HJ4" s="44" t="str">
        <f t="shared" si="82"/>
        <v>"1987"</v>
      </c>
      <c r="HL4" s="44" t="str">
        <f t="shared" si="83"/>
        <v>"https://en.wikipedia.org/wiki/Flag_of_the_City_of_Nelson"</v>
      </c>
      <c r="HM4" s="65" t="str">
        <f t="shared" si="84"/>
        <v>{"couname":"[NZE] Nelson","year":"1987","region":"rgn_Oceania","Colors":["cl_BLA","cl_BLU","cl_RED","cl_YEL","cl_WHI"],"Items":["5+Colo","lets06","startN","with_z","year19","4+Band","Crosse","Horizo","Vertic","Bird","Crowns","NO_GRE","001BLU","002BLU","003BLU","myrBLU","NoStar"],"Flag":"https://upload.wikimedia.org/wikipedia/commons/thumb/0/09/Nelson_flag.svg/640px-Nelson_flag.svg.png","HDFlag":"https://upload.wikimedia.org/wikipedia/commons/thumb/0/09/Nelson_flag.svg/2560px-Nelson_flag.svg.png","type":"Region, City", "describe": "\nThe flag is based on the City of Nelson's coat of arms. The top third of the flag is blue, a colour strongly associated with Nelson including use by many sports teams. The bottom two thirds consist of alternating blue and white horizontal wavy stripes, which represent Nelson's relationship to the sea. Emblazoned upon the striped section is a black cross flory, taken from the arms of Lord Nelson. Above the cross, upon the blue section is a mitre with fringed lappets flowing from either side, for Nelson has been the seat of the bishop of Nelson since 1858. ", "isnew": ".", "links": "https://en.wikipedia.org/wiki/Flag_of_the_City_of_Nelson"},</v>
      </c>
      <c r="HN4" s="67" t="str">
        <f t="shared" si="85"/>
        <v>{"couname":"[NZE] Nelson","year":"1987","region":"rgn_Oceania","Colors":["cl_BLA","cl_BLU","cl_RED","cl_YEL","cl_WHI"],"Items":["5+Colo","lets06","startN","with_z","year19","4+Band","Crosse","Horizo","Vertic","Bird","Crowns","NO_GRE","001BLU","002BLU","003BLU","myrBLU","NoStar"],"Flag":"https://upload.wikimedia.org/wikipedia/commons/thumb/0/09/Nelson_flag.svg/640px-Nelson_flag.svg.png","HDFlag":"https://upload.wikimedia.org/wikipedia/commons/thumb/0/09/Nelson_flag.svg/2560px-Nelson_flag.svg.png","type":"Region, City", "describe": "\nThe flag is based on the City of Nelson's coat of arms. The top third of the flag is blue, a colour strongly associated with Nelson including use by many sports teams. The bottom two thirds consist of alternating blue and white horizontal wavy stripes, which represent Nelson's relationship to the sea. Emblazoned upon the striped section is a black cross flory, taken from the arms of Lord Nelson. Above the cross, upon the blue section is a mitre with fringed lappets flowing from either side, for Nelson has been the seat of the bishop of Nelson since 1858. ", "isnew": ".", "links": "https://en.wikipedia.org/wiki/Flag_of_the_City_of_Nelson"},</v>
      </c>
      <c r="HO4" s="71">
        <v>45596</v>
      </c>
      <c r="HP4" s="44" t="str" cm="1">
        <f t="array" ref="HP4">IF(_xlfn.TEXTJOIN(", ", TRUE, IF(ISNUMBER(SEARCH("BLA", BL4:BT4)), COLUMN(BL4:BT4) - COLUMN(BL4) + 1, ""))&lt;&gt;"","BLA","")</f>
        <v>BLA</v>
      </c>
      <c r="HQ4" s="44" t="str" cm="1">
        <f t="array" ref="HQ4">IF(_xlfn.TEXTJOIN(", ", TRUE, IF(ISNUMBER(SEARCH("BLU", BL4:BT4)), COLUMN(BL4:BT4) - COLUMN(BL4) + 1, ""))&lt;&gt;"","BLU","")</f>
        <v>BLU</v>
      </c>
      <c r="HR4" s="44" t="str" cm="1">
        <f t="array" ref="HR4">IF(_xlfn.TEXTJOIN(", ", TRUE, IF(ISNUMBER(SEARCH("GRE", BL4:BT4)), COLUMN(BL4:BT4) - COLUMN(BL4) + 1, ""))&lt;&gt;"","GRE","")</f>
        <v/>
      </c>
      <c r="HS4" s="44" t="str" cm="1">
        <f t="array" ref="HS4">IF(_xlfn.TEXTJOIN(", ", TRUE, IF(ISNUMBER(SEARCH("RED", BL4:BT4)), COLUMN(BL4:BT4) - COLUMN(BL4) + 1, ""))&lt;&gt;"","RED","")</f>
        <v>RED</v>
      </c>
      <c r="HT4" s="44" t="str" cm="1">
        <f t="array" ref="HT4">IF(_xlfn.TEXTJOIN(", ", TRUE, IF(ISNUMBER(SEARCH("YEL", BL4:BT4)), COLUMN(BL4:BT4) - COLUMN(BL4) + 1, ""))&lt;&gt;"","YEL","")</f>
        <v>YEL</v>
      </c>
      <c r="HU4" s="44" t="str" cm="1">
        <f t="array" ref="HU4">IF(_xlfn.TEXTJOIN(", ", TRUE, IF(ISNUMBER(SEARCH("ORA", BL4:BT4)), COLUMN(BL4:BT4) - COLUMN(BL4) + 1, ""))&lt;&gt;"","ORA","")</f>
        <v/>
      </c>
      <c r="HV4" s="44" t="str" cm="1">
        <f t="array" ref="HV4">IF(_xlfn.TEXTJOIN(", ", TRUE, IF(ISNUMBER(SEARCH("BRO", BL4:BT4)), COLUMN(BL4:BT4) - COLUMN(BL4) + 1, ""))&lt;&gt;"","BRO","")</f>
        <v/>
      </c>
      <c r="HW4" s="44" t="str" cm="1">
        <f t="array" ref="HW4">IF(_xlfn.TEXTJOIN(", ", TRUE, IF(ISNUMBER(SEARCH("PUR", BL4:BT4)), COLUMN(BL4:BT4) - COLUMN(BL4) + 1, ""))&lt;&gt;"","PUR","")</f>
        <v/>
      </c>
      <c r="HX4" s="44" t="str" cm="1">
        <f t="array" ref="HX4">IF(_xlfn.TEXTJOIN(", ", TRUE, IF(ISNUMBER(SEARCH("WHI", BL4:BT4)), COLUMN(BL4:BT4) - COLUMN(BL4) + 1, ""))&lt;&gt;"","WHI","")</f>
        <v>WHI</v>
      </c>
      <c r="HY4" s="72"/>
      <c r="HZ4" s="72"/>
      <c r="IA4" s="5"/>
      <c r="IB4" s="5"/>
      <c r="IC4" s="68"/>
      <c r="ID4" s="68"/>
      <c r="IE4" s="68"/>
      <c r="IF4" s="68"/>
      <c r="IG4" s="68"/>
      <c r="IH4" s="68"/>
      <c r="II4" s="68"/>
      <c r="IJ4" s="68"/>
      <c r="IK4" s="68"/>
      <c r="IM4" s="42">
        <f t="shared" si="86"/>
        <v>-5</v>
      </c>
      <c r="IN4" s="69" t="str">
        <f t="shared" si="87"/>
        <v>http://mkweb.bcgsc.ca/color-summarizer/?url=https://upload.wikimedia.org/wikipedia/commons/thumb/0/09/Nelson_flag.svg/640px-Nelson_flag.svg.png&amp;precision=low&amp;num_clusters=5&amp;text=1</v>
      </c>
      <c r="IO4" s="44" t="str">
        <f t="shared" si="88"/>
        <v>"black"</v>
      </c>
      <c r="IP4" s="44" t="str">
        <f t="shared" si="89"/>
        <v>"blue"</v>
      </c>
      <c r="IQ4" s="44" t="str">
        <f t="shared" si="90"/>
        <v/>
      </c>
      <c r="IR4" s="44" t="str">
        <f t="shared" si="91"/>
        <v>"red"</v>
      </c>
      <c r="IS4" s="44" t="str">
        <f t="shared" si="92"/>
        <v>"yellow"</v>
      </c>
      <c r="IT4" s="44" t="str">
        <f t="shared" si="93"/>
        <v/>
      </c>
      <c r="IU4" s="44" t="str">
        <f t="shared" si="94"/>
        <v/>
      </c>
      <c r="IV4" s="44" t="str">
        <f t="shared" si="95"/>
        <v/>
      </c>
      <c r="IW4" s="44" t="str">
        <f t="shared" si="96"/>
        <v>"white"</v>
      </c>
      <c r="IX4" s="44" t="str">
        <f t="shared" si="97"/>
        <v>{"url":"http://mkweb.bcgsc.ca/color-summarizer/?url=https://upload.wikimedia.org/wikipedia/commons/thumb/0/09/Nelson_flag.svg/640px-Nelson_flag.svg.png&amp;precision=low&amp;num_clusters=5&amp;text=1","name":"[NZE] Nelson"},</v>
      </c>
      <c r="IY4" s="44">
        <v>1369</v>
      </c>
    </row>
    <row r="5" spans="1:259" s="44" customFormat="1" ht="38.4" customHeight="1" thickBot="1" x14ac:dyDescent="0.35">
      <c r="A5" s="80" t="s">
        <v>763</v>
      </c>
      <c r="B5" s="78" t="e" vm="72">
        <v>#VALUE!</v>
      </c>
      <c r="C5" s="39">
        <v>2</v>
      </c>
      <c r="D5" s="70" t="s">
        <v>764</v>
      </c>
      <c r="E5" s="40" t="s">
        <v>765</v>
      </c>
      <c r="F5" s="41" t="s">
        <v>165</v>
      </c>
      <c r="G5" s="42">
        <f t="shared" si="0"/>
        <v>1</v>
      </c>
      <c r="H5" s="43"/>
      <c r="I5" s="59" t="s">
        <v>766</v>
      </c>
      <c r="J5" s="44" t="str">
        <f>""</f>
        <v/>
      </c>
      <c r="K5" s="45"/>
      <c r="L5" s="46"/>
      <c r="M5" s="46"/>
      <c r="N5" s="47" t="s">
        <v>177</v>
      </c>
      <c r="O5" s="74">
        <v>2004</v>
      </c>
      <c r="P5" s="48" t="s">
        <v>767</v>
      </c>
      <c r="Q5" s="73">
        <v>1</v>
      </c>
      <c r="R5" s="49" t="s">
        <v>177</v>
      </c>
      <c r="S5" s="50">
        <v>2</v>
      </c>
      <c r="T5" s="51" t="s">
        <v>167</v>
      </c>
      <c r="U5" s="52" t="s">
        <v>166</v>
      </c>
      <c r="V5" s="52" t="s">
        <v>166</v>
      </c>
      <c r="W5" s="52" t="s">
        <v>166</v>
      </c>
      <c r="X5" s="52" t="s">
        <v>166</v>
      </c>
      <c r="Y5" s="52" t="s">
        <v>166</v>
      </c>
      <c r="Z5" s="52" t="s">
        <v>166</v>
      </c>
      <c r="AA5" s="52" t="s">
        <v>166</v>
      </c>
      <c r="AB5" s="52" t="s">
        <v>166</v>
      </c>
      <c r="AC5" s="52" t="s">
        <v>166</v>
      </c>
      <c r="AD5" s="52" t="s">
        <v>166</v>
      </c>
      <c r="AE5" s="52" t="s">
        <v>166</v>
      </c>
      <c r="AF5" s="53" t="s">
        <v>166</v>
      </c>
      <c r="AG5" s="53" t="s">
        <v>167</v>
      </c>
      <c r="AH5" s="53" t="s">
        <v>166</v>
      </c>
      <c r="AI5" s="53" t="s">
        <v>166</v>
      </c>
      <c r="AJ5" s="53" t="s">
        <v>166</v>
      </c>
      <c r="AK5" s="53" t="s">
        <v>166</v>
      </c>
      <c r="AL5" s="53" t="s">
        <v>166</v>
      </c>
      <c r="AM5" s="53" t="s">
        <v>167</v>
      </c>
      <c r="AN5" s="53" t="s">
        <v>166</v>
      </c>
      <c r="AO5" s="53" t="s">
        <v>166</v>
      </c>
      <c r="AP5" s="53" t="s">
        <v>166</v>
      </c>
      <c r="AQ5" s="53" t="s">
        <v>166</v>
      </c>
      <c r="AR5" s="53" t="s">
        <v>166</v>
      </c>
      <c r="AS5" s="53" t="s">
        <v>166</v>
      </c>
      <c r="AT5" s="54">
        <v>2</v>
      </c>
      <c r="AU5" s="53" t="s">
        <v>404</v>
      </c>
      <c r="AV5" s="53" t="str">
        <f t="shared" si="1"/>
        <v>[NZE]Region[NZE] Otago</v>
      </c>
      <c r="AW5" s="53" t="str">
        <f t="shared" si="2"/>
        <v>2[NZE] Otago</v>
      </c>
      <c r="AX5" s="55"/>
      <c r="AY5" s="55"/>
      <c r="AZ5" s="56" t="s">
        <v>154</v>
      </c>
      <c r="BA5" s="56" t="s">
        <v>154</v>
      </c>
      <c r="BB5" s="56"/>
      <c r="BC5" s="57"/>
      <c r="BD5" s="58" t="s">
        <v>169</v>
      </c>
      <c r="BE5" s="59"/>
      <c r="BF5" s="58" t="s">
        <v>154</v>
      </c>
      <c r="BG5" s="58" t="s">
        <v>231</v>
      </c>
      <c r="BH5" s="58" t="s">
        <v>157</v>
      </c>
      <c r="BI5" s="58"/>
      <c r="BJ5" s="58"/>
      <c r="BK5" s="59"/>
      <c r="BL5" s="58" t="s">
        <v>231</v>
      </c>
      <c r="BM5" s="58" t="s">
        <v>154</v>
      </c>
      <c r="BN5" s="58" t="s">
        <v>231</v>
      </c>
      <c r="BO5" s="58" t="s">
        <v>231</v>
      </c>
      <c r="BP5" s="58" t="s">
        <v>157</v>
      </c>
      <c r="BQ5" s="58" t="s">
        <v>231</v>
      </c>
      <c r="BR5" s="58" t="s">
        <v>231</v>
      </c>
      <c r="BS5" s="58" t="s">
        <v>231</v>
      </c>
      <c r="BT5" s="58" t="s">
        <v>231</v>
      </c>
      <c r="BU5" s="60"/>
      <c r="BV5" s="61"/>
      <c r="BW5" s="61">
        <v>0</v>
      </c>
      <c r="BX5" s="59"/>
      <c r="BY5" s="44" t="s">
        <v>166</v>
      </c>
      <c r="CB5" s="5"/>
      <c r="CC5" s="5"/>
      <c r="CD5" s="62">
        <v>0</v>
      </c>
      <c r="CE5" s="62">
        <v>0</v>
      </c>
      <c r="CF5" s="62" t="e">
        <v>#REF!</v>
      </c>
      <c r="CG5" s="75" cm="1">
        <f t="array" ref="CG5">SUMPRODUCT(--(LEN(TRIM(BL5:BT5))&gt;0))</f>
        <v>2</v>
      </c>
      <c r="CH5" s="53" t="str">
        <f t="shared" si="3"/>
        <v>y</v>
      </c>
      <c r="CI5" s="53" t="str">
        <f t="shared" si="4"/>
        <v>n</v>
      </c>
      <c r="CJ5" s="53" t="str">
        <f t="shared" si="5"/>
        <v>n</v>
      </c>
      <c r="CK5" s="53" t="str">
        <f t="shared" si="6"/>
        <v>n</v>
      </c>
      <c r="CL5" s="53" t="str">
        <f t="shared" si="7"/>
        <v>n</v>
      </c>
      <c r="CM5" s="53" t="str">
        <f t="shared" si="8"/>
        <v>y</v>
      </c>
      <c r="CN5" s="53" t="str">
        <f t="shared" si="9"/>
        <v>n</v>
      </c>
      <c r="CO5" s="53" t="str">
        <f t="shared" si="10"/>
        <v>n</v>
      </c>
      <c r="CP5" s="53" t="str">
        <f t="shared" si="11"/>
        <v>n</v>
      </c>
      <c r="CQ5" s="53" t="str">
        <f t="shared" si="12"/>
        <v>n</v>
      </c>
      <c r="CR5" s="53" t="str">
        <f t="shared" si="13"/>
        <v>y</v>
      </c>
      <c r="CS5" s="53" t="str">
        <f t="shared" si="14"/>
        <v>n</v>
      </c>
      <c r="CT5" s="38" t="str">
        <f t="shared" si="15"/>
        <v>"[NZE] Otago"</v>
      </c>
      <c r="CU5" s="63" t="str">
        <f t="shared" si="16"/>
        <v>"rgn_Oceania"</v>
      </c>
      <c r="CV5" s="44" t="str">
        <f t="shared" si="17"/>
        <v>"https://upload.wikimedia.org/wikipedia/commons/thumb/4/4c/Flag_of_Otago.svg/640px-Flag_of_Otago.svg.png"</v>
      </c>
      <c r="CW5" s="44" t="str">
        <f t="shared" si="18"/>
        <v>"2Color",</v>
      </c>
      <c r="CX5" s="44" t="str">
        <f t="shared" si="18"/>
        <v/>
      </c>
      <c r="CY5" s="44" t="str">
        <f t="shared" si="18"/>
        <v/>
      </c>
      <c r="CZ5" s="44" t="str">
        <f t="shared" si="18"/>
        <v/>
      </c>
      <c r="DA5" s="44" t="str">
        <f t="shared" si="19"/>
        <v/>
      </c>
      <c r="DB5" s="44" t="str">
        <f t="shared" si="20"/>
        <v/>
      </c>
      <c r="DD5" s="44" t="str">
        <f>IF(LEN(CHAR(34)&amp;"lets"&amp;LEN(SUBSTITUTE(SUBSTITUTE(IFERROR(TRIM(SUBSTITUTE(A5,MID(A5,FIND("[",A5),FIND("]",A5)-FIND("[",A5)+1),"")),A5)," ",""),"-",""))&amp;CHAR(34)&amp;",")=9,CHAR(34)&amp;"lets"&amp;LEN(SUBSTITUTE(SUBSTITUTE(IFERROR(TRIM(SUBSTITUTE(A5,MID(A5,FIND("[",A5),FIND("]",A5)-FIND("[",A5)+1),"")),A5)," ",""),"-",""))&amp;CHAR(34)&amp;",",CHAR(34)&amp;"lets0"&amp;LEN(SUBSTITUTE(SUBSTITUTE(IFERROR(TRIM(SUBSTITUTE(A5,MID(A5,FIND("[",A5),FIND("]",A5)-FIND("[",A5)+1),"")),A5)," ",""),"-",""))&amp;CHAR(34)&amp;",")</f>
        <v>"lets05",</v>
      </c>
      <c r="DE5" s="44" t="str">
        <f>CHAR(34)&amp;"start"&amp;IFERROR(LEFT(SUBSTITUTE(A5,"["&amp;MID(A5,FIND("[",A5)+1,FIND("]",A5)-FIND("[",A5)-1)&amp;"] ",""),1),LEFT(A5,1))&amp;CHAR(34)&amp;","</f>
        <v>"startO",</v>
      </c>
      <c r="DF5" s="44" t="str">
        <f t="shared" si="21"/>
        <v/>
      </c>
      <c r="DG5" s="44" t="str">
        <f t="shared" si="22"/>
        <v/>
      </c>
      <c r="DH5" s="44" t="str">
        <f t="shared" si="23"/>
        <v/>
      </c>
      <c r="DI5" s="44" t="str">
        <f t="shared" si="24"/>
        <v/>
      </c>
      <c r="DJ5" s="44" t="str">
        <f t="shared" si="25"/>
        <v/>
      </c>
      <c r="DK5" s="44" t="str">
        <f t="shared" si="26"/>
        <v>"with_z",</v>
      </c>
      <c r="DL5" s="44" t="str">
        <f t="shared" si="27"/>
        <v>"BLUYEL",</v>
      </c>
      <c r="DM5" s="44" t="str" cm="1">
        <f t="array" ref="DM5">IF(CG5=3,CHAR(34) &amp; _xlfn.TEXTJOIN("", TRUE, RIGHT(HP5:HX5, 2)) &amp; CHAR(34) &amp; ",", "")</f>
        <v/>
      </c>
      <c r="DN5" s="44" t="str">
        <f t="shared" si="28"/>
        <v/>
      </c>
      <c r="DO5" s="44" t="str">
        <f t="shared" si="29"/>
        <v/>
      </c>
      <c r="DP5" s="5" t="str">
        <f t="shared" si="30"/>
        <v>"year00",</v>
      </c>
      <c r="DQ5" s="5" t="str">
        <f t="shared" si="31"/>
        <v/>
      </c>
      <c r="DR5" s="5" t="str">
        <f t="shared" si="32"/>
        <v/>
      </c>
      <c r="DS5" s="5" t="str">
        <f t="shared" si="33"/>
        <v/>
      </c>
      <c r="DT5" s="5" t="str">
        <f t="shared" si="34"/>
        <v/>
      </c>
      <c r="DU5" s="5" t="str">
        <f t="shared" si="35"/>
        <v/>
      </c>
      <c r="DW5" s="44" t="str">
        <f t="shared" si="36"/>
        <v/>
      </c>
      <c r="DX5" s="44" t="str">
        <f t="shared" si="36"/>
        <v>"2Bands",</v>
      </c>
      <c r="DY5" s="44" t="str">
        <f t="shared" si="36"/>
        <v/>
      </c>
      <c r="DZ5" s="44" t="str">
        <f t="shared" si="36"/>
        <v/>
      </c>
      <c r="EA5" s="44" t="str">
        <f t="shared" si="37"/>
        <v>"Diagon",</v>
      </c>
      <c r="EB5" s="44" t="str">
        <f t="shared" si="37"/>
        <v/>
      </c>
      <c r="EC5" s="44" t="str">
        <f t="shared" si="37"/>
        <v/>
      </c>
      <c r="ED5" s="44" t="str">
        <f t="shared" si="37"/>
        <v/>
      </c>
      <c r="EE5" s="44" t="str">
        <f t="shared" si="37"/>
        <v/>
      </c>
      <c r="EF5" s="44" t="str">
        <f t="shared" si="38"/>
        <v/>
      </c>
      <c r="EG5" s="44" t="str">
        <f t="shared" si="39"/>
        <v/>
      </c>
      <c r="EH5" s="44" t="str">
        <f t="shared" si="39"/>
        <v/>
      </c>
      <c r="EI5" s="44" t="str">
        <f t="shared" si="39"/>
        <v/>
      </c>
      <c r="EJ5" s="44" t="str">
        <f t="shared" si="39"/>
        <v/>
      </c>
      <c r="EK5" s="44" t="str">
        <f t="shared" si="39"/>
        <v/>
      </c>
      <c r="EL5" s="44" t="str">
        <f t="shared" si="39"/>
        <v/>
      </c>
      <c r="EM5" s="44" t="str">
        <f t="shared" si="39"/>
        <v/>
      </c>
      <c r="EN5" s="44" t="str">
        <f t="shared" si="39"/>
        <v>"Unequa",</v>
      </c>
      <c r="EO5" s="44" t="str">
        <f t="shared" si="39"/>
        <v/>
      </c>
      <c r="EP5" s="44" t="str">
        <f t="shared" si="39"/>
        <v/>
      </c>
      <c r="EQ5" s="44" t="str">
        <f t="shared" si="39"/>
        <v/>
      </c>
      <c r="ER5" s="44" t="str">
        <f t="shared" si="39"/>
        <v/>
      </c>
      <c r="ES5" s="44" t="str">
        <f t="shared" si="39"/>
        <v/>
      </c>
      <c r="ET5" s="44" t="str">
        <f t="shared" si="39"/>
        <v>"Geogrh",</v>
      </c>
      <c r="EU5" s="44" t="str">
        <f t="shared" si="39"/>
        <v/>
      </c>
      <c r="EV5" s="44" t="str">
        <f t="shared" si="39"/>
        <v/>
      </c>
      <c r="EW5" s="44" t="str">
        <f t="shared" si="40"/>
        <v/>
      </c>
      <c r="EX5" s="44" t="str">
        <f t="shared" si="40"/>
        <v/>
      </c>
      <c r="EY5" s="44" t="str">
        <f t="shared" si="40"/>
        <v/>
      </c>
      <c r="EZ5" s="44" t="str">
        <f t="shared" si="40"/>
        <v/>
      </c>
      <c r="FA5" s="44" t="str">
        <f t="shared" si="41"/>
        <v>"staBLU",</v>
      </c>
      <c r="FB5" s="44" t="str">
        <f t="shared" si="42"/>
        <v>"staBLU",</v>
      </c>
      <c r="FD5" s="44" t="str">
        <f t="shared" si="43"/>
        <v/>
      </c>
      <c r="FE5" s="44" t="str">
        <f t="shared" si="44"/>
        <v/>
      </c>
      <c r="FF5" s="44" t="str">
        <f t="shared" si="45"/>
        <v>"NO_WHI",</v>
      </c>
      <c r="FG5" s="44" t="str">
        <f t="shared" si="46"/>
        <v>"NO_RED",</v>
      </c>
      <c r="FH5" s="44" t="str">
        <f t="shared" si="47"/>
        <v>"NO_GRE",</v>
      </c>
      <c r="FI5" s="44" t="str">
        <f t="shared" si="48"/>
        <v/>
      </c>
      <c r="FJ5" s="44" t="str">
        <f t="shared" si="49"/>
        <v>"NO_BLA",</v>
      </c>
      <c r="FK5" s="44" t="str">
        <f t="shared" si="50"/>
        <v>"WHGRNO",</v>
      </c>
      <c r="FL5" s="44" t="str">
        <f t="shared" si="51"/>
        <v/>
      </c>
      <c r="FM5" s="44" t="str">
        <f t="shared" si="52"/>
        <v>"BAWHNO",</v>
      </c>
      <c r="FN5" s="44" t="str">
        <f t="shared" si="53"/>
        <v/>
      </c>
      <c r="FO5" s="44" t="str">
        <f t="shared" si="54"/>
        <v/>
      </c>
      <c r="FP5" s="44" t="str">
        <f t="shared" si="55"/>
        <v>"WHRENO",</v>
      </c>
      <c r="FQ5" s="44" t="str">
        <f t="shared" si="56"/>
        <v>"001BLU",</v>
      </c>
      <c r="FR5" s="44" t="str">
        <f t="shared" si="57"/>
        <v/>
      </c>
      <c r="FS5" s="44" t="str">
        <f t="shared" si="58"/>
        <v>"003YEL",</v>
      </c>
      <c r="FT5" s="44" t="str">
        <f t="shared" si="59"/>
        <v>"myrEQ",</v>
      </c>
      <c r="FU5" s="44" t="str">
        <f t="shared" si="60"/>
        <v/>
      </c>
      <c r="FV5" s="44" t="str">
        <f t="shared" si="61"/>
        <v/>
      </c>
      <c r="FW5" s="44" t="str">
        <f t="shared" si="62"/>
        <v/>
      </c>
      <c r="FY5" s="44" t="str">
        <f t="shared" si="63"/>
        <v/>
      </c>
      <c r="FZ5" s="44" t="str">
        <f t="shared" si="64"/>
        <v/>
      </c>
      <c r="GA5" s="44" t="str">
        <f t="shared" si="65"/>
        <v/>
      </c>
      <c r="GB5" s="44" t="str">
        <f t="shared" si="66"/>
        <v/>
      </c>
      <c r="GE5" s="44" t="str">
        <f t="shared" si="67"/>
        <v/>
      </c>
      <c r="GF5" s="44" t="str">
        <f t="shared" si="98"/>
        <v/>
      </c>
      <c r="GG5" s="44" t="str">
        <f t="shared" si="68"/>
        <v/>
      </c>
      <c r="GH5" s="44" t="str">
        <f t="shared" si="69"/>
        <v/>
      </c>
      <c r="GI5" s="44" t="str">
        <f t="shared" si="70"/>
        <v/>
      </c>
      <c r="GJ5" s="44" t="str">
        <f t="shared" si="71"/>
        <v/>
      </c>
      <c r="GK5" s="44" t="str">
        <f t="shared" si="72"/>
        <v>"HasSta",</v>
      </c>
      <c r="GL5" s="44" t="str">
        <f t="shared" si="73"/>
        <v/>
      </c>
      <c r="GM5" s="44" t="str">
        <f t="shared" si="73"/>
        <v>"2Stars",</v>
      </c>
      <c r="GN5" s="44" t="str">
        <f t="shared" si="73"/>
        <v/>
      </c>
      <c r="GP5" s="44" t="str">
        <f t="shared" si="74"/>
        <v>"Region"</v>
      </c>
      <c r="GS5" s="44" t="str">
        <f t="shared" si="75"/>
        <v>["2Color","lets05","startO","with_z","BLUYEL","year00","2Bands","Diagon","Unequa","Geogrh","staBLU","staBLU","NO_WHI","NO_RED","NO_GRE","NO_BLA","WHGRNO","BAWHNO","WHRENO","001BLU","003YEL","myrEQ","HasSta","2Stars"]</v>
      </c>
      <c r="GT5" s="44" t="str">
        <f t="shared" si="76"/>
        <v/>
      </c>
      <c r="GU5" s="44" t="str">
        <f t="shared" si="76"/>
        <v>"cl_BLU",</v>
      </c>
      <c r="GV5" s="44" t="str">
        <f t="shared" si="76"/>
        <v/>
      </c>
      <c r="GW5" s="44" t="str">
        <f t="shared" si="76"/>
        <v/>
      </c>
      <c r="GX5" s="44" t="str">
        <f t="shared" si="76"/>
        <v>"cl_YEL",</v>
      </c>
      <c r="GY5" s="44" t="str">
        <f t="shared" si="76"/>
        <v/>
      </c>
      <c r="GZ5" s="44" t="str">
        <f t="shared" si="76"/>
        <v/>
      </c>
      <c r="HA5" s="44" t="str">
        <f t="shared" si="76"/>
        <v/>
      </c>
      <c r="HB5" s="44" t="str">
        <f t="shared" si="76"/>
        <v/>
      </c>
      <c r="HC5" s="44" t="str">
        <f t="shared" si="77"/>
        <v>["cl_BLU","cl_YEL"]</v>
      </c>
      <c r="HE5" s="64"/>
      <c r="HF5" s="65" t="str">
        <f t="shared" si="78"/>
        <v>{couname:"[NZE] Otago",year:"2004",region:"rgn_Oceania",Colors:["cl_BLU","cl_YEL"],Items:["2Color","lets05","startO","with_z","BLUYEL","year00","2Bands","Diagon","Unequa","Geogrh","staBLU","staBLU","NO_WHI","NO_RED","NO_GRE","NO_BLA","WHGRNO","BAWHNO","WHRENO","001BLU","003YEL","myrEQ","HasSta","2Stars"],Flag:"https://upload.wikimedia.org/wikipedia/commons/thumb/4/4c/Flag_of_Otago.svg/640px-Flag_of_Otago.svg.png",HDFlag:"https://upload.wikimedia.org/wikipedia/commons/thumb/4/4c/Flag_of_Otago.svg/2560px-Flag_of_Otago.svg.png",type:"Region", describe: "\nBlue and gold, horizontally divided by a zigzag line, with counterchanged eight-pointed stars. Used by the Otago Regional Council, and widely by the general public in the Otago region. The colours are widely used in the region. The gold representing the region's hills and gold-mining origins, while the blue represents the sky and the region's historical ties to Scotland.", isnew:".", links: "https://en.wikipedia.org/wiki/Otago"},</v>
      </c>
      <c r="HG5" s="66" t="str">
        <f t="shared" si="79"/>
        <v>{couname:"[NZE] Otago",year:"2004",region:"rgn_Oceania",Colors:["cl_BLU","cl_YEL"],Items:["2Color","lets05","startO","with_z","BLUYEL","year00","2Bands","Diagon","Unequa","Geogrh","staBLU","staBLU","NO_WHI","NO_RED","NO_GRE","NO_BLA","WHGRNO","BAWHNO","WHRENO","001BLU","003YEL","myrEQ","HasSta","2Stars"],Flag:"https://upload.wikimedia.org/wikipedia/commons/thumb/4/4c/Flag_of_Otago.svg/640px-Flag_of_Otago.svg.png",HDFlag:"https://upload.wikimedia.org/wikipedia/commons/thumb/4/4c/Flag_of_Otago.svg/2560px-Flag_of_Otago.svg.png",type:"Region", describe: "\nBlue and gold, horizontally divided by a zigzag line, with counterchanged eight-pointed stars. Used by the Otago Regional Council, and widely by the general public in the Otago region. The colours are widely used in the region. The gold representing the region's hills and gold-mining origins, while the blue represents the sky and the region's historical ties to Scotland.", links: "https://en.wikipedia.org/wiki/Otago"},</v>
      </c>
      <c r="HH5" s="44" t="str">
        <f t="shared" si="80"/>
        <v>"\nBlue and gold, horizontally divided by a zigzag line, with counterchanged eight-pointed stars. Used by the Otago Regional Council, and widely by the general public in the Otago region. The colours are widely used in the region. The gold representing the region's hills and gold-mining origins, while the blue represents the sky and the region's historical ties to Scotland."</v>
      </c>
      <c r="HI5" s="44" t="str">
        <f t="shared" si="81"/>
        <v>"\nBlue and gold, horizontally divided by a zigzag line, with counterchanged eight-pointed stars. Used by the Otago Regional Council, and widely by the general public in the Otago region. The colours are widely used in the region. The gold representing the region's hills and gold-mining origins, while the blue represents the sky and the region's historical ties to Scotland."</v>
      </c>
      <c r="HJ5" s="44" t="str">
        <f t="shared" si="82"/>
        <v>"2004"</v>
      </c>
      <c r="HL5" s="44" t="str">
        <f t="shared" si="83"/>
        <v>"https://en.wikipedia.org/wiki/Otago"</v>
      </c>
      <c r="HM5" s="65" t="str">
        <f t="shared" si="84"/>
        <v>{"couname":"[NZE] Otago","year":"2004","region":"rgn_Oceania","Colors":["cl_BLU","cl_YEL"],"Items":["2Color","lets05","startO","with_z","BLUYEL","year00","2Bands","Diagon","Unequa","Geogrh","staBLU","staBLU","NO_WHI","NO_RED","NO_GRE","NO_BLA","WHGRNO","BAWHNO","WHRENO","001BLU","003YEL","myrEQ","HasSta","2Stars"],"Flag":"https://upload.wikimedia.org/wikipedia/commons/thumb/4/4c/Flag_of_Otago.svg/640px-Flag_of_Otago.svg.png","HDFlag":"https://upload.wikimedia.org/wikipedia/commons/thumb/4/4c/Flag_of_Otago.svg/2560px-Flag_of_Otago.svg.png","type":"Region", "describe": "\nBlue and gold, horizontally divided by a zigzag line, with counterchanged eight-pointed stars. Used by the Otago Regional Council, and widely by the general public in the Otago region. The colours are widely used in the region. The gold representing the region's hills and gold-mining origins, while the blue represents the sky and the region's historical ties to Scotland.", "isnew": ".", "links": "https://en.wikipedia.org/wiki/Otago"},</v>
      </c>
      <c r="HN5" s="67" t="str">
        <f t="shared" si="85"/>
        <v>{"couname":"[NZE] Otago","year":"2004","region":"rgn_Oceania","Colors":["cl_BLU","cl_YEL"],"Items":["2Color","lets05","startO","with_z","BLUYEL","year00","2Bands","Diagon","Unequa","Geogrh","staBLU","staBLU","NO_WHI","NO_RED","NO_GRE","NO_BLA","WHGRNO","BAWHNO","WHRENO","001BLU","003YEL","myrEQ","HasSta","2Stars"],"Flag":"https://upload.wikimedia.org/wikipedia/commons/thumb/4/4c/Flag_of_Otago.svg/640px-Flag_of_Otago.svg.png","HDFlag":"https://upload.wikimedia.org/wikipedia/commons/thumb/4/4c/Flag_of_Otago.svg/2560px-Flag_of_Otago.svg.png","type":"Region", "describe": "\nBlue and gold, horizontally divided by a zigzag line, with counterchanged eight-pointed stars. Used by the Otago Regional Council, and widely by the general public in the Otago region. The colours are widely used in the region. The gold representing the region's hills and gold-mining origins, while the blue represents the sky and the region's historical ties to Scotland.", "isnew": ".", "links": "https://en.wikipedia.org/wiki/Otago"},</v>
      </c>
      <c r="HO5" s="71">
        <v>45596</v>
      </c>
      <c r="HP5" s="44" t="str" cm="1">
        <f t="array" ref="HP5">IF(_xlfn.TEXTJOIN(", ", TRUE, IF(ISNUMBER(SEARCH("BLA", BL5:BT5)), COLUMN(BL5:BT5) - COLUMN(BL5) + 1, ""))&lt;&gt;"","BLA","")</f>
        <v/>
      </c>
      <c r="HQ5" s="44" t="str" cm="1">
        <f t="array" ref="HQ5">IF(_xlfn.TEXTJOIN(", ", TRUE, IF(ISNUMBER(SEARCH("BLU", BL5:BT5)), COLUMN(BL5:BT5) - COLUMN(BL5) + 1, ""))&lt;&gt;"","BLU","")</f>
        <v>BLU</v>
      </c>
      <c r="HR5" s="44" t="str" cm="1">
        <f t="array" ref="HR5">IF(_xlfn.TEXTJOIN(", ", TRUE, IF(ISNUMBER(SEARCH("GRE", BL5:BT5)), COLUMN(BL5:BT5) - COLUMN(BL5) + 1, ""))&lt;&gt;"","GRE","")</f>
        <v/>
      </c>
      <c r="HS5" s="44" t="str" cm="1">
        <f t="array" ref="HS5">IF(_xlfn.TEXTJOIN(", ", TRUE, IF(ISNUMBER(SEARCH("RED", BL5:BT5)), COLUMN(BL5:BT5) - COLUMN(BL5) + 1, ""))&lt;&gt;"","RED","")</f>
        <v/>
      </c>
      <c r="HT5" s="44" t="str" cm="1">
        <f t="array" ref="HT5">IF(_xlfn.TEXTJOIN(", ", TRUE, IF(ISNUMBER(SEARCH("YEL", BL5:BT5)), COLUMN(BL5:BT5) - COLUMN(BL5) + 1, ""))&lt;&gt;"","YEL","")</f>
        <v>YEL</v>
      </c>
      <c r="HU5" s="44" t="str" cm="1">
        <f t="array" ref="HU5">IF(_xlfn.TEXTJOIN(", ", TRUE, IF(ISNUMBER(SEARCH("ORA", BL5:BT5)), COLUMN(BL5:BT5) - COLUMN(BL5) + 1, ""))&lt;&gt;"","ORA","")</f>
        <v/>
      </c>
      <c r="HV5" s="44" t="str" cm="1">
        <f t="array" ref="HV5">IF(_xlfn.TEXTJOIN(", ", TRUE, IF(ISNUMBER(SEARCH("BRO", BL5:BT5)), COLUMN(BL5:BT5) - COLUMN(BL5) + 1, ""))&lt;&gt;"","BRO","")</f>
        <v/>
      </c>
      <c r="HW5" s="44" t="str" cm="1">
        <f t="array" ref="HW5">IF(_xlfn.TEXTJOIN(", ", TRUE, IF(ISNUMBER(SEARCH("PUR", BL5:BT5)), COLUMN(BL5:BT5) - COLUMN(BL5) + 1, ""))&lt;&gt;"","PUR","")</f>
        <v/>
      </c>
      <c r="HX5" s="44" t="str" cm="1">
        <f t="array" ref="HX5">IF(_xlfn.TEXTJOIN(", ", TRUE, IF(ISNUMBER(SEARCH("WHI", BL5:BT5)), COLUMN(BL5:BT5) - COLUMN(BL5) + 1, ""))&lt;&gt;"","WHI","")</f>
        <v/>
      </c>
      <c r="HY5" s="72"/>
      <c r="HZ5" s="72"/>
      <c r="IA5" s="5"/>
      <c r="IB5" s="5"/>
      <c r="IC5" s="68"/>
      <c r="ID5" s="68"/>
      <c r="IE5" s="68"/>
      <c r="IF5" s="68"/>
      <c r="IG5" s="68"/>
      <c r="IH5" s="68"/>
      <c r="II5" s="68"/>
      <c r="IJ5" s="68"/>
      <c r="IK5" s="68"/>
      <c r="IM5" s="42">
        <f t="shared" si="86"/>
        <v>-2</v>
      </c>
      <c r="IN5" s="69" t="str">
        <f t="shared" si="87"/>
        <v>http://mkweb.bcgsc.ca/color-summarizer/?url=https://upload.wikimedia.org/wikipedia/commons/thumb/4/4c/Flag_of_Otago.svg/640px-Flag_of_Otago.svg.png&amp;precision=low&amp;num_clusters=2&amp;text=1</v>
      </c>
      <c r="IO5" s="44" t="str">
        <f t="shared" si="88"/>
        <v/>
      </c>
      <c r="IP5" s="44" t="str">
        <f t="shared" si="89"/>
        <v>"blue"</v>
      </c>
      <c r="IQ5" s="44" t="str">
        <f t="shared" si="90"/>
        <v/>
      </c>
      <c r="IR5" s="44" t="str">
        <f t="shared" si="91"/>
        <v/>
      </c>
      <c r="IS5" s="44" t="str">
        <f t="shared" si="92"/>
        <v>"yellow"</v>
      </c>
      <c r="IT5" s="44" t="str">
        <f t="shared" si="93"/>
        <v/>
      </c>
      <c r="IU5" s="44" t="str">
        <f t="shared" si="94"/>
        <v/>
      </c>
      <c r="IV5" s="44" t="str">
        <f t="shared" si="95"/>
        <v/>
      </c>
      <c r="IW5" s="44" t="str">
        <f t="shared" si="96"/>
        <v/>
      </c>
      <c r="IX5" s="44" t="str">
        <f t="shared" si="97"/>
        <v>{"url":"http://mkweb.bcgsc.ca/color-summarizer/?url=https://upload.wikimedia.org/wikipedia/commons/thumb/4/4c/Flag_of_Otago.svg/640px-Flag_of_Otago.svg.png&amp;precision=low&amp;num_clusters=2&amp;text=1","name":"[NZE] Otago"},</v>
      </c>
      <c r="IY5" s="44">
        <v>1372</v>
      </c>
    </row>
    <row r="6" spans="1:259" s="44" customFormat="1" ht="38.4" customHeight="1" thickBot="1" x14ac:dyDescent="0.35">
      <c r="A6" s="80" t="s">
        <v>755</v>
      </c>
      <c r="B6" s="78" t="e" vm="73">
        <v>#VALUE!</v>
      </c>
      <c r="C6" s="39">
        <v>2</v>
      </c>
      <c r="D6" s="70" t="s">
        <v>756</v>
      </c>
      <c r="E6" s="40" t="s">
        <v>757</v>
      </c>
      <c r="F6" s="41" t="s">
        <v>165</v>
      </c>
      <c r="G6" s="42">
        <f t="shared" si="0"/>
        <v>1</v>
      </c>
      <c r="H6" s="43"/>
      <c r="I6" s="59" t="s">
        <v>758</v>
      </c>
      <c r="J6" s="44" t="str">
        <f>""</f>
        <v/>
      </c>
      <c r="K6" s="45"/>
      <c r="L6" s="46"/>
      <c r="M6" s="46"/>
      <c r="N6" s="47" t="s">
        <v>177</v>
      </c>
      <c r="O6" s="74">
        <v>1962</v>
      </c>
      <c r="P6" s="48" t="s">
        <v>759</v>
      </c>
      <c r="Q6" s="73">
        <v>1</v>
      </c>
      <c r="R6" s="49" t="s">
        <v>177</v>
      </c>
      <c r="S6" s="50">
        <v>2</v>
      </c>
      <c r="T6" s="51" t="s">
        <v>166</v>
      </c>
      <c r="U6" s="52" t="s">
        <v>167</v>
      </c>
      <c r="V6" s="52" t="s">
        <v>167</v>
      </c>
      <c r="W6" s="52" t="s">
        <v>167</v>
      </c>
      <c r="X6" s="52" t="s">
        <v>167</v>
      </c>
      <c r="Y6" s="52" t="s">
        <v>167</v>
      </c>
      <c r="Z6" s="52" t="s">
        <v>166</v>
      </c>
      <c r="AA6" s="52" t="s">
        <v>166</v>
      </c>
      <c r="AB6" s="52" t="s">
        <v>166</v>
      </c>
      <c r="AC6" s="52" t="s">
        <v>166</v>
      </c>
      <c r="AD6" s="52" t="s">
        <v>166</v>
      </c>
      <c r="AE6" s="52" t="s">
        <v>166</v>
      </c>
      <c r="AF6" s="53" t="s">
        <v>166</v>
      </c>
      <c r="AG6" s="53" t="s">
        <v>166</v>
      </c>
      <c r="AH6" s="53" t="s">
        <v>167</v>
      </c>
      <c r="AI6" s="53" t="s">
        <v>166</v>
      </c>
      <c r="AJ6" s="53" t="s">
        <v>166</v>
      </c>
      <c r="AK6" s="53" t="s">
        <v>166</v>
      </c>
      <c r="AL6" s="53" t="s">
        <v>166</v>
      </c>
      <c r="AM6" s="53" t="s">
        <v>166</v>
      </c>
      <c r="AN6" s="53" t="s">
        <v>166</v>
      </c>
      <c r="AO6" s="53" t="s">
        <v>166</v>
      </c>
      <c r="AP6" s="53" t="s">
        <v>167</v>
      </c>
      <c r="AQ6" s="53" t="s">
        <v>166</v>
      </c>
      <c r="AR6" s="53" t="s">
        <v>166</v>
      </c>
      <c r="AS6" s="53" t="s">
        <v>166</v>
      </c>
      <c r="AT6" s="54">
        <v>0</v>
      </c>
      <c r="AU6" s="53" t="s">
        <v>1141</v>
      </c>
      <c r="AV6" s="53" t="str">
        <f t="shared" si="1"/>
        <v>[NZE]Region, City[NZE] Wellington</v>
      </c>
      <c r="AW6" s="53" t="str">
        <f t="shared" si="2"/>
        <v>2[NZE] Wellington</v>
      </c>
      <c r="AX6" s="55"/>
      <c r="AY6" s="55"/>
      <c r="AZ6" s="56" t="s">
        <v>231</v>
      </c>
      <c r="BA6" s="56" t="s">
        <v>231</v>
      </c>
      <c r="BB6" s="56"/>
      <c r="BC6" s="57"/>
      <c r="BD6" s="58" t="s">
        <v>157</v>
      </c>
      <c r="BE6" s="59"/>
      <c r="BF6" s="58" t="s">
        <v>231</v>
      </c>
      <c r="BG6" s="58" t="s">
        <v>231</v>
      </c>
      <c r="BH6" s="58" t="s">
        <v>231</v>
      </c>
      <c r="BI6" s="58"/>
      <c r="BJ6" s="58"/>
      <c r="BK6" s="59"/>
      <c r="BL6" s="58" t="s">
        <v>153</v>
      </c>
      <c r="BM6" s="58" t="s">
        <v>154</v>
      </c>
      <c r="BN6" s="58" t="s">
        <v>231</v>
      </c>
      <c r="BO6" s="58" t="s">
        <v>156</v>
      </c>
      <c r="BP6" s="58" t="s">
        <v>157</v>
      </c>
      <c r="BQ6" s="58" t="s">
        <v>231</v>
      </c>
      <c r="BR6" s="58" t="s">
        <v>159</v>
      </c>
      <c r="BS6" s="58" t="s">
        <v>231</v>
      </c>
      <c r="BT6" s="58" t="s">
        <v>161</v>
      </c>
      <c r="BU6" s="60"/>
      <c r="BV6" s="61"/>
      <c r="BW6" s="61">
        <v>0</v>
      </c>
      <c r="BX6" s="59"/>
      <c r="CB6" s="5"/>
      <c r="CC6" s="5"/>
      <c r="CD6" s="62">
        <v>0</v>
      </c>
      <c r="CE6" s="62">
        <v>0</v>
      </c>
      <c r="CF6" s="62" t="e">
        <v>#REF!</v>
      </c>
      <c r="CG6" s="75" cm="1">
        <f t="array" ref="CG6">SUMPRODUCT(--(LEN(TRIM(BL6:BT6))&gt;0))</f>
        <v>6</v>
      </c>
      <c r="CH6" s="53" t="str">
        <f t="shared" si="3"/>
        <v>n</v>
      </c>
      <c r="CI6" s="53" t="str">
        <f t="shared" si="4"/>
        <v>n</v>
      </c>
      <c r="CJ6" s="53" t="str">
        <f t="shared" si="5"/>
        <v>n</v>
      </c>
      <c r="CK6" s="53" t="str">
        <f t="shared" si="6"/>
        <v>y</v>
      </c>
      <c r="CL6" s="53" t="str">
        <f t="shared" si="7"/>
        <v>n</v>
      </c>
      <c r="CM6" s="53" t="str">
        <f t="shared" si="8"/>
        <v>y</v>
      </c>
      <c r="CN6" s="53" t="str">
        <f t="shared" si="9"/>
        <v>n</v>
      </c>
      <c r="CO6" s="53" t="str">
        <f t="shared" si="10"/>
        <v>n</v>
      </c>
      <c r="CP6" s="53" t="str">
        <f t="shared" si="11"/>
        <v>y</v>
      </c>
      <c r="CQ6" s="53" t="str">
        <f t="shared" si="12"/>
        <v>n</v>
      </c>
      <c r="CR6" s="53" t="str">
        <f t="shared" si="13"/>
        <v>n</v>
      </c>
      <c r="CS6" s="53" t="str">
        <f t="shared" si="14"/>
        <v>n</v>
      </c>
      <c r="CT6" s="38" t="str">
        <f t="shared" si="15"/>
        <v>"[NZE] Wellington"</v>
      </c>
      <c r="CU6" s="63" t="str">
        <f t="shared" si="16"/>
        <v>"rgn_Oceania"</v>
      </c>
      <c r="CV6" s="44" t="str">
        <f t="shared" si="17"/>
        <v>"https://upload.wikimedia.org/wikipedia/commons/thumb/0/0d/Flag_of_Wellington_City%2C_New_Zealand.svg/640px-Flag_of_Wellington_City%2C_New_Zealand.svg.png"</v>
      </c>
      <c r="CW6" s="44" t="str">
        <f t="shared" si="18"/>
        <v/>
      </c>
      <c r="CX6" s="44" t="str">
        <f t="shared" si="18"/>
        <v/>
      </c>
      <c r="CY6" s="44" t="str">
        <f t="shared" si="18"/>
        <v/>
      </c>
      <c r="CZ6" s="44" t="str">
        <f t="shared" si="18"/>
        <v>"5+Colo",</v>
      </c>
      <c r="DA6" s="44" t="str">
        <f t="shared" si="19"/>
        <v/>
      </c>
      <c r="DB6" s="44" t="str">
        <f t="shared" si="20"/>
        <v/>
      </c>
      <c r="DD6" s="44" t="str">
        <f>IF(LEN(CHAR(34)&amp;"lets"&amp;LEN(SUBSTITUTE(SUBSTITUTE(IFERROR(TRIM(SUBSTITUTE(A6,MID(A6,FIND("[",A6),FIND("]",A6)-FIND("[",A6)+1),"")),A6)," ",""),"-",""))&amp;CHAR(34)&amp;",")=9,CHAR(34)&amp;"lets"&amp;LEN(SUBSTITUTE(SUBSTITUTE(IFERROR(TRIM(SUBSTITUTE(A6,MID(A6,FIND("[",A6),FIND("]",A6)-FIND("[",A6)+1),"")),A6)," ",""),"-",""))&amp;CHAR(34)&amp;",",CHAR(34)&amp;"lets0"&amp;LEN(SUBSTITUTE(SUBSTITUTE(IFERROR(TRIM(SUBSTITUTE(A6,MID(A6,FIND("[",A6),FIND("]",A6)-FIND("[",A6)+1),"")),A6)," ",""),"-",""))&amp;CHAR(34)&amp;",")</f>
        <v>"lets10",</v>
      </c>
      <c r="DE6" s="44" t="str">
        <f>CHAR(34)&amp;"start"&amp;IFERROR(LEFT(SUBSTITUTE(A6,"["&amp;MID(A6,FIND("[",A6)+1,FIND("]",A6)-FIND("[",A6)-1)&amp;"] ",""),1),LEFT(A6,1))&amp;CHAR(34)&amp;","</f>
        <v>"startW",</v>
      </c>
      <c r="DF6" s="44" t="str">
        <f t="shared" si="21"/>
        <v/>
      </c>
      <c r="DG6" s="44" t="str">
        <f t="shared" si="22"/>
        <v/>
      </c>
      <c r="DH6" s="44" t="str">
        <f t="shared" si="23"/>
        <v/>
      </c>
      <c r="DI6" s="44" t="str">
        <f t="shared" si="24"/>
        <v>"with_w",</v>
      </c>
      <c r="DJ6" s="44" t="str">
        <f t="shared" si="25"/>
        <v/>
      </c>
      <c r="DK6" s="44" t="str">
        <f t="shared" si="26"/>
        <v>"with_z",</v>
      </c>
      <c r="DL6" s="44" t="str">
        <f t="shared" si="27"/>
        <v/>
      </c>
      <c r="DM6" s="44" t="str" cm="1">
        <f t="array" ref="DM6">IF(CG6=3,CHAR(34) &amp; _xlfn.TEXTJOIN("", TRUE, RIGHT(HP6:HX6, 2)) &amp; CHAR(34) &amp; ",", "")</f>
        <v/>
      </c>
      <c r="DN6" s="44" t="str">
        <f t="shared" si="28"/>
        <v/>
      </c>
      <c r="DO6" s="44" t="str">
        <f t="shared" si="29"/>
        <v>"year19",</v>
      </c>
      <c r="DP6" s="5" t="str">
        <f t="shared" si="30"/>
        <v/>
      </c>
      <c r="DQ6" s="5" t="str">
        <f t="shared" si="31"/>
        <v/>
      </c>
      <c r="DR6" s="5" t="str">
        <f t="shared" si="32"/>
        <v/>
      </c>
      <c r="DS6" s="5" t="str">
        <f t="shared" si="33"/>
        <v/>
      </c>
      <c r="DT6" s="5" t="str">
        <f t="shared" si="34"/>
        <v/>
      </c>
      <c r="DU6" s="5" t="str">
        <f t="shared" si="35"/>
        <v/>
      </c>
      <c r="DW6" s="44" t="str">
        <f t="shared" si="36"/>
        <v/>
      </c>
      <c r="DX6" s="44" t="str">
        <f t="shared" si="36"/>
        <v>"2Bands",</v>
      </c>
      <c r="DY6" s="44" t="str">
        <f t="shared" si="36"/>
        <v/>
      </c>
      <c r="DZ6" s="44" t="str">
        <f t="shared" si="36"/>
        <v/>
      </c>
      <c r="EA6" s="44" t="str">
        <f t="shared" si="37"/>
        <v/>
      </c>
      <c r="EB6" s="44" t="str">
        <f t="shared" si="37"/>
        <v>"Crosse",</v>
      </c>
      <c r="EC6" s="44" t="str">
        <f t="shared" si="37"/>
        <v>"Horizo",</v>
      </c>
      <c r="ED6" s="44" t="str">
        <f t="shared" si="37"/>
        <v>"Vertic",</v>
      </c>
      <c r="EE6" s="44" t="str">
        <f t="shared" si="37"/>
        <v>"Circle",</v>
      </c>
      <c r="EF6" s="44" t="str">
        <f t="shared" si="38"/>
        <v>"Animal",</v>
      </c>
      <c r="EG6" s="44" t="str">
        <f t="shared" si="39"/>
        <v/>
      </c>
      <c r="EH6" s="44" t="str">
        <f t="shared" si="39"/>
        <v/>
      </c>
      <c r="EI6" s="44" t="str">
        <f t="shared" si="39"/>
        <v/>
      </c>
      <c r="EJ6" s="44" t="str">
        <f t="shared" si="39"/>
        <v/>
      </c>
      <c r="EK6" s="44" t="str">
        <f t="shared" si="39"/>
        <v/>
      </c>
      <c r="EL6" s="44" t="str">
        <f t="shared" si="39"/>
        <v/>
      </c>
      <c r="EM6" s="44" t="str">
        <f t="shared" si="39"/>
        <v/>
      </c>
      <c r="EN6" s="44" t="str">
        <f t="shared" si="39"/>
        <v/>
      </c>
      <c r="EO6" s="44" t="str">
        <f t="shared" si="39"/>
        <v>"Center",</v>
      </c>
      <c r="EP6" s="44" t="str">
        <f t="shared" si="39"/>
        <v/>
      </c>
      <c r="EQ6" s="44" t="str">
        <f t="shared" si="39"/>
        <v/>
      </c>
      <c r="ER6" s="44" t="str">
        <f t="shared" si="39"/>
        <v/>
      </c>
      <c r="ES6" s="44" t="str">
        <f t="shared" si="39"/>
        <v/>
      </c>
      <c r="ET6" s="44" t="str">
        <f t="shared" si="39"/>
        <v/>
      </c>
      <c r="EU6" s="44" t="str">
        <f t="shared" si="39"/>
        <v/>
      </c>
      <c r="EV6" s="44" t="str">
        <f t="shared" si="39"/>
        <v/>
      </c>
      <c r="EW6" s="44" t="str">
        <f t="shared" si="40"/>
        <v>"Ships!",</v>
      </c>
      <c r="EX6" s="44" t="str">
        <f t="shared" si="40"/>
        <v/>
      </c>
      <c r="EY6" s="44" t="str">
        <f t="shared" si="40"/>
        <v/>
      </c>
      <c r="EZ6" s="44" t="str">
        <f t="shared" si="40"/>
        <v/>
      </c>
      <c r="FA6" s="44" t="str">
        <f t="shared" si="41"/>
        <v/>
      </c>
      <c r="FB6" s="44" t="str">
        <f t="shared" si="42"/>
        <v/>
      </c>
      <c r="FD6" s="44" t="str">
        <f t="shared" si="43"/>
        <v/>
      </c>
      <c r="FE6" s="44" t="str">
        <f t="shared" si="44"/>
        <v/>
      </c>
      <c r="FF6" s="44" t="str">
        <f t="shared" si="45"/>
        <v/>
      </c>
      <c r="FG6" s="44" t="str">
        <f t="shared" si="46"/>
        <v/>
      </c>
      <c r="FH6" s="44" t="str">
        <f t="shared" si="47"/>
        <v>"NO_GRE",</v>
      </c>
      <c r="FI6" s="44" t="str">
        <f t="shared" si="48"/>
        <v/>
      </c>
      <c r="FJ6" s="44" t="str">
        <f t="shared" si="49"/>
        <v/>
      </c>
      <c r="FK6" s="44" t="str">
        <f t="shared" si="50"/>
        <v/>
      </c>
      <c r="FL6" s="44" t="str">
        <f t="shared" si="51"/>
        <v/>
      </c>
      <c r="FM6" s="44" t="str">
        <f t="shared" si="52"/>
        <v/>
      </c>
      <c r="FN6" s="44" t="str">
        <f t="shared" si="53"/>
        <v/>
      </c>
      <c r="FO6" s="44" t="str">
        <f t="shared" si="54"/>
        <v/>
      </c>
      <c r="FP6" s="44" t="str">
        <f t="shared" si="55"/>
        <v/>
      </c>
      <c r="FQ6" s="44" t="str">
        <f t="shared" si="56"/>
        <v/>
      </c>
      <c r="FR6" s="44" t="str">
        <f t="shared" si="57"/>
        <v/>
      </c>
      <c r="FS6" s="44" t="str">
        <f t="shared" si="58"/>
        <v/>
      </c>
      <c r="FT6" s="44" t="str">
        <f t="shared" si="59"/>
        <v>"myrYEL",</v>
      </c>
      <c r="FU6" s="44" t="str">
        <f t="shared" si="60"/>
        <v/>
      </c>
      <c r="FV6" s="44" t="str">
        <f t="shared" si="61"/>
        <v/>
      </c>
      <c r="FW6" s="44" t="str">
        <f t="shared" si="62"/>
        <v/>
      </c>
      <c r="FY6" s="44" t="str">
        <f t="shared" si="63"/>
        <v/>
      </c>
      <c r="FZ6" s="44" t="str">
        <f t="shared" si="64"/>
        <v/>
      </c>
      <c r="GA6" s="44" t="str">
        <f t="shared" si="65"/>
        <v/>
      </c>
      <c r="GB6" s="44" t="str">
        <f t="shared" si="66"/>
        <v/>
      </c>
      <c r="GE6" s="44" t="str">
        <f t="shared" si="67"/>
        <v/>
      </c>
      <c r="GF6" s="44" t="str">
        <f t="shared" si="98"/>
        <v/>
      </c>
      <c r="GG6" s="44" t="str">
        <f t="shared" si="68"/>
        <v/>
      </c>
      <c r="GH6" s="44" t="str">
        <f t="shared" si="69"/>
        <v/>
      </c>
      <c r="GI6" s="44" t="str">
        <f t="shared" si="70"/>
        <v/>
      </c>
      <c r="GJ6" s="44" t="str">
        <f t="shared" si="71"/>
        <v>"NoStar",</v>
      </c>
      <c r="GK6" s="44" t="str">
        <f t="shared" si="72"/>
        <v/>
      </c>
      <c r="GL6" s="44" t="str">
        <f t="shared" si="73"/>
        <v/>
      </c>
      <c r="GM6" s="44" t="str">
        <f t="shared" si="73"/>
        <v/>
      </c>
      <c r="GN6" s="44" t="str">
        <f t="shared" si="73"/>
        <v/>
      </c>
      <c r="GP6" s="44" t="str">
        <f t="shared" si="74"/>
        <v>"Region, City"</v>
      </c>
      <c r="GS6" s="44" t="str">
        <f t="shared" si="75"/>
        <v>["5+Colo","lets10","startW","with_w","with_z","year19","2Bands","Crosse","Horizo","Vertic","Circle","Animal","Center","Ships!","NO_GRE","myrYEL","NoStar"]</v>
      </c>
      <c r="GT6" s="44" t="str">
        <f t="shared" si="76"/>
        <v>"cl_BLA",</v>
      </c>
      <c r="GU6" s="44" t="str">
        <f t="shared" si="76"/>
        <v>"cl_BLU",</v>
      </c>
      <c r="GV6" s="44" t="str">
        <f t="shared" si="76"/>
        <v/>
      </c>
      <c r="GW6" s="44" t="str">
        <f t="shared" si="76"/>
        <v>"cl_RED",</v>
      </c>
      <c r="GX6" s="44" t="str">
        <f t="shared" si="76"/>
        <v>"cl_YEL",</v>
      </c>
      <c r="GY6" s="44" t="str">
        <f t="shared" si="76"/>
        <v/>
      </c>
      <c r="GZ6" s="44" t="str">
        <f t="shared" si="76"/>
        <v>"cl_BRO",</v>
      </c>
      <c r="HA6" s="44" t="str">
        <f t="shared" si="76"/>
        <v/>
      </c>
      <c r="HB6" s="44" t="str">
        <f t="shared" si="76"/>
        <v>"cl_WHI",</v>
      </c>
      <c r="HC6" s="44" t="str">
        <f t="shared" si="77"/>
        <v>["cl_BLA","cl_BLU","cl_RED","cl_YEL","cl_BRO","cl_WHI"]</v>
      </c>
      <c r="HE6" s="64"/>
      <c r="HF6" s="65" t="str">
        <f t="shared" si="78"/>
        <v>{couname:"[NZE] Wellington",year:"1962",region:"rgn_Oceania",Colors:["cl_BLA","cl_BLU","cl_RED","cl_YEL","cl_BRO","cl_WHI"],Items:["5+Colo","lets10","startW","with_w","with_z","year19","2Bands","Crosse","Horizo","Vertic","Circle","Animal","Center","Ships!","NO_GRE","myrYEL","NoStar"],Flag:"https://upload.wikimedia.org/wikipedia/commons/thumb/0/0d/Flag_of_Wellington_City%2C_New_Zealand.svg/640px-Flag_of_Wellington_City%2C_New_Zealand.svg.png",HDFlag:"https://upload.wikimedia.org/wikipedia/commons/thumb/0/0d/Flag_of_Wellington_City%2C_New_Zealand.svg/2560px-Flag_of_Wellington_City%2C_New_Zealand.svg.png",type:"Region, City", describe: "\nBlack symmetric cross on a yellow background with a central circular design of a ship with a dolphin on its sail. The ship is flying three St George's Crosses, representative of the city's English origins", isnew:".", links: "https://en.wikipedia.org/wiki/Flag_of_Wellington"},</v>
      </c>
      <c r="HG6" s="66" t="str">
        <f t="shared" si="79"/>
        <v>{couname:"[NZE] Wellington",year:"1962",region:"rgn_Oceania",Colors:["cl_BLA","cl_BLU","cl_RED","cl_YEL","cl_BRO","cl_WHI"],Items:["5+Colo","lets10","startW","with_w","with_z","year19","2Bands","Crosse","Horizo","Vertic","Circle","Animal","Center","Ships!","NO_GRE","myrYEL","NoStar"],Flag:"https://upload.wikimedia.org/wikipedia/commons/thumb/0/0d/Flag_of_Wellington_City%2C_New_Zealand.svg/640px-Flag_of_Wellington_City%2C_New_Zealand.svg.png",HDFlag:"https://upload.wikimedia.org/wikipedia/commons/thumb/0/0d/Flag_of_Wellington_City%2C_New_Zealand.svg/2560px-Flag_of_Wellington_City%2C_New_Zealand.svg.png",type:"Region, City", describe: "\nBlack symmetric cross on a yellow background with a central circular design of a ship with a dolphin on its sail. The ship is flying three St George's Crosses, representative of the city's English origins", links: "https://en.wikipedia.org/wiki/Flag_of_Wellington"},</v>
      </c>
      <c r="HH6" s="44" t="str">
        <f t="shared" si="80"/>
        <v>"\nBlack symmetric cross on a yellow background with a central circular design of a ship with a dolphin on its sail. The ship is flying three St George's Crosses, representative of the city's English origins"</v>
      </c>
      <c r="HI6" s="44" t="str">
        <f t="shared" si="81"/>
        <v>"\nBlack symmetric cross on a yellow background with a central circular design of a ship with a dolphin on its sail. The ship is flying three St George's Crosses, representative of the city's English origins"</v>
      </c>
      <c r="HJ6" s="44" t="str">
        <f t="shared" si="82"/>
        <v>"1962"</v>
      </c>
      <c r="HL6" s="44" t="str">
        <f t="shared" si="83"/>
        <v>"https://en.wikipedia.org/wiki/Flag_of_Wellington"</v>
      </c>
      <c r="HM6" s="65" t="str">
        <f t="shared" si="84"/>
        <v>{"couname":"[NZE] Wellington","year":"1962","region":"rgn_Oceania","Colors":["cl_BLA","cl_BLU","cl_RED","cl_YEL","cl_BRO","cl_WHI"],"Items":["5+Colo","lets10","startW","with_w","with_z","year19","2Bands","Crosse","Horizo","Vertic","Circle","Animal","Center","Ships!","NO_GRE","myrYEL","NoStar"],"Flag":"https://upload.wikimedia.org/wikipedia/commons/thumb/0/0d/Flag_of_Wellington_City%2C_New_Zealand.svg/640px-Flag_of_Wellington_City%2C_New_Zealand.svg.png","HDFlag":"https://upload.wikimedia.org/wikipedia/commons/thumb/0/0d/Flag_of_Wellington_City%2C_New_Zealand.svg/2560px-Flag_of_Wellington_City%2C_New_Zealand.svg.png","type":"Region, City", "describe": "\nBlack symmetric cross on a yellow background with a central circular design of a ship with a dolphin on its sail. The ship is flying three St George's Crosses, representative of the city's English origins", "isnew": ".", "links": "https://en.wikipedia.org/wiki/Flag_of_Wellington"},</v>
      </c>
      <c r="HN6" s="67" t="str">
        <f t="shared" si="85"/>
        <v>{"couname":"[NZE] Wellington","year":"1962","region":"rgn_Oceania","Colors":["cl_BLA","cl_BLU","cl_RED","cl_YEL","cl_BRO","cl_WHI"],"Items":["5+Colo","lets10","startW","with_w","with_z","year19","2Bands","Crosse","Horizo","Vertic","Circle","Animal","Center","Ships!","NO_GRE","myrYEL","NoStar"],"Flag":"https://upload.wikimedia.org/wikipedia/commons/thumb/0/0d/Flag_of_Wellington_City%2C_New_Zealand.svg/640px-Flag_of_Wellington_City%2C_New_Zealand.svg.png","HDFlag":"https://upload.wikimedia.org/wikipedia/commons/thumb/0/0d/Flag_of_Wellington_City%2C_New_Zealand.svg/2560px-Flag_of_Wellington_City%2C_New_Zealand.svg.png","type":"Region, City", "describe": "\nBlack symmetric cross on a yellow background with a central circular design of a ship with a dolphin on its sail. The ship is flying three St George's Crosses, representative of the city's English origins", "isnew": ".", "links": "https://en.wikipedia.org/wiki/Flag_of_Wellington"},</v>
      </c>
      <c r="HO6" s="71">
        <v>45596</v>
      </c>
      <c r="HP6" s="44" t="str" cm="1">
        <f t="array" ref="HP6">IF(_xlfn.TEXTJOIN(", ", TRUE, IF(ISNUMBER(SEARCH("BLA", BL6:BT6)), COLUMN(BL6:BT6) - COLUMN(BL6) + 1, ""))&lt;&gt;"","BLA","")</f>
        <v>BLA</v>
      </c>
      <c r="HQ6" s="44" t="str" cm="1">
        <f t="array" ref="HQ6">IF(_xlfn.TEXTJOIN(", ", TRUE, IF(ISNUMBER(SEARCH("BLU", BL6:BT6)), COLUMN(BL6:BT6) - COLUMN(BL6) + 1, ""))&lt;&gt;"","BLU","")</f>
        <v>BLU</v>
      </c>
      <c r="HR6" s="44" t="str" cm="1">
        <f t="array" ref="HR6">IF(_xlfn.TEXTJOIN(", ", TRUE, IF(ISNUMBER(SEARCH("GRE", BL6:BT6)), COLUMN(BL6:BT6) - COLUMN(BL6) + 1, ""))&lt;&gt;"","GRE","")</f>
        <v/>
      </c>
      <c r="HS6" s="44" t="str" cm="1">
        <f t="array" ref="HS6">IF(_xlfn.TEXTJOIN(", ", TRUE, IF(ISNUMBER(SEARCH("RED", BL6:BT6)), COLUMN(BL6:BT6) - COLUMN(BL6) + 1, ""))&lt;&gt;"","RED","")</f>
        <v>RED</v>
      </c>
      <c r="HT6" s="44" t="str" cm="1">
        <f t="array" ref="HT6">IF(_xlfn.TEXTJOIN(", ", TRUE, IF(ISNUMBER(SEARCH("YEL", BL6:BT6)), COLUMN(BL6:BT6) - COLUMN(BL6) + 1, ""))&lt;&gt;"","YEL","")</f>
        <v>YEL</v>
      </c>
      <c r="HU6" s="44" t="str" cm="1">
        <f t="array" ref="HU6">IF(_xlfn.TEXTJOIN(", ", TRUE, IF(ISNUMBER(SEARCH("ORA", BL6:BT6)), COLUMN(BL6:BT6) - COLUMN(BL6) + 1, ""))&lt;&gt;"","ORA","")</f>
        <v/>
      </c>
      <c r="HV6" s="44" t="str" cm="1">
        <f t="array" ref="HV6">IF(_xlfn.TEXTJOIN(", ", TRUE, IF(ISNUMBER(SEARCH("BRO", BL6:BT6)), COLUMN(BL6:BT6) - COLUMN(BL6) + 1, ""))&lt;&gt;"","BRO","")</f>
        <v>BRO</v>
      </c>
      <c r="HW6" s="44" t="str" cm="1">
        <f t="array" ref="HW6">IF(_xlfn.TEXTJOIN(", ", TRUE, IF(ISNUMBER(SEARCH("PUR", BL6:BT6)), COLUMN(BL6:BT6) - COLUMN(BL6) + 1, ""))&lt;&gt;"","PUR","")</f>
        <v/>
      </c>
      <c r="HX6" s="44" t="str" cm="1">
        <f t="array" ref="HX6">IF(_xlfn.TEXTJOIN(", ", TRUE, IF(ISNUMBER(SEARCH("WHI", BL6:BT6)), COLUMN(BL6:BT6) - COLUMN(BL6) + 1, ""))&lt;&gt;"","WHI","")</f>
        <v>WHI</v>
      </c>
      <c r="HY6" s="72"/>
      <c r="HZ6" s="72"/>
      <c r="IA6" s="5"/>
      <c r="IB6" s="5"/>
      <c r="IC6" s="68"/>
      <c r="ID6" s="68"/>
      <c r="IE6" s="68"/>
      <c r="IF6" s="68"/>
      <c r="IG6" s="68"/>
      <c r="IH6" s="68"/>
      <c r="II6" s="68"/>
      <c r="IJ6" s="68"/>
      <c r="IK6" s="68"/>
      <c r="IM6" s="42">
        <f t="shared" si="86"/>
        <v>-6</v>
      </c>
      <c r="IN6" s="69" t="str">
        <f t="shared" si="87"/>
        <v>http://mkweb.bcgsc.ca/color-summarizer/?url=https://upload.wikimedia.org/wikipedia/commons/thumb/0/0d/Flag_of_Wellington_City%2C_New_Zealand.svg/640px-Flag_of_Wellington_City%2C_New_Zealand.svg.png&amp;precision=low&amp;num_clusters=6&amp;text=1</v>
      </c>
      <c r="IO6" s="44" t="str">
        <f t="shared" si="88"/>
        <v>"black"</v>
      </c>
      <c r="IP6" s="44" t="str">
        <f t="shared" si="89"/>
        <v>"blue"</v>
      </c>
      <c r="IQ6" s="44" t="str">
        <f t="shared" si="90"/>
        <v/>
      </c>
      <c r="IR6" s="44" t="str">
        <f t="shared" si="91"/>
        <v>"red"</v>
      </c>
      <c r="IS6" s="44" t="str">
        <f t="shared" si="92"/>
        <v>"yellow"</v>
      </c>
      <c r="IT6" s="44" t="str">
        <f t="shared" si="93"/>
        <v/>
      </c>
      <c r="IU6" s="44" t="str">
        <f t="shared" si="94"/>
        <v>"brown"</v>
      </c>
      <c r="IV6" s="44" t="str">
        <f t="shared" si="95"/>
        <v/>
      </c>
      <c r="IW6" s="44" t="str">
        <f t="shared" si="96"/>
        <v>"white"</v>
      </c>
      <c r="IX6" s="44" t="str">
        <f t="shared" si="97"/>
        <v>{"url":"http://mkweb.bcgsc.ca/color-summarizer/?url=https://upload.wikimedia.org/wikipedia/commons/thumb/0/0d/Flag_of_Wellington_City%2C_New_Zealand.svg/640px-Flag_of_Wellington_City%2C_New_Zealand.svg.png&amp;precision=low&amp;num_clusters=6&amp;text=1","name":"[NZE] Wellington"},</v>
      </c>
      <c r="IY6" s="44">
        <v>1370</v>
      </c>
    </row>
    <row r="7" spans="1:259" s="44" customFormat="1" ht="38.4" customHeight="1" thickBot="1" x14ac:dyDescent="0.35">
      <c r="A7" s="87" t="s">
        <v>453</v>
      </c>
      <c r="B7" s="78" t="e" vm="74">
        <v>#VALUE!</v>
      </c>
      <c r="C7" s="39" t="s">
        <v>818</v>
      </c>
      <c r="D7" s="70" t="s">
        <v>454</v>
      </c>
      <c r="E7" s="40" t="s">
        <v>455</v>
      </c>
      <c r="F7" s="41" t="s">
        <v>165</v>
      </c>
      <c r="G7" s="42">
        <f t="shared" si="0"/>
        <v>1</v>
      </c>
      <c r="H7" s="43"/>
      <c r="I7" s="59" t="s">
        <v>456</v>
      </c>
      <c r="J7" s="44" t="str">
        <f>""</f>
        <v/>
      </c>
      <c r="K7" s="45"/>
      <c r="L7" s="46"/>
      <c r="M7" s="46"/>
      <c r="N7" s="47" t="s">
        <v>177</v>
      </c>
      <c r="O7" s="74">
        <v>1989</v>
      </c>
      <c r="P7" s="48" t="s">
        <v>457</v>
      </c>
      <c r="Q7" s="73">
        <v>2</v>
      </c>
      <c r="R7" s="49" t="s">
        <v>177</v>
      </c>
      <c r="S7" s="50">
        <v>0</v>
      </c>
      <c r="T7" s="51" t="s">
        <v>166</v>
      </c>
      <c r="U7" s="52" t="s">
        <v>166</v>
      </c>
      <c r="V7" s="52" t="s">
        <v>166</v>
      </c>
      <c r="W7" s="52" t="s">
        <v>166</v>
      </c>
      <c r="X7" s="52" t="s">
        <v>167</v>
      </c>
      <c r="Y7" s="52" t="s">
        <v>166</v>
      </c>
      <c r="Z7" s="52" t="s">
        <v>166</v>
      </c>
      <c r="AA7" s="52" t="s">
        <v>166</v>
      </c>
      <c r="AB7" s="52" t="s">
        <v>166</v>
      </c>
      <c r="AC7" s="52" t="s">
        <v>166</v>
      </c>
      <c r="AD7" s="52" t="s">
        <v>167</v>
      </c>
      <c r="AE7" s="52" t="s">
        <v>166</v>
      </c>
      <c r="AF7" s="53" t="s">
        <v>166</v>
      </c>
      <c r="AG7" s="53" t="s">
        <v>166</v>
      </c>
      <c r="AH7" s="53" t="s">
        <v>167</v>
      </c>
      <c r="AI7" s="53" t="s">
        <v>166</v>
      </c>
      <c r="AJ7" s="53" t="s">
        <v>166</v>
      </c>
      <c r="AK7" s="53" t="s">
        <v>166</v>
      </c>
      <c r="AL7" s="53" t="s">
        <v>166</v>
      </c>
      <c r="AM7" s="53" t="s">
        <v>167</v>
      </c>
      <c r="AN7" s="53" t="s">
        <v>166</v>
      </c>
      <c r="AO7" s="53" t="s">
        <v>166</v>
      </c>
      <c r="AP7" s="53" t="s">
        <v>166</v>
      </c>
      <c r="AQ7" s="53" t="s">
        <v>166</v>
      </c>
      <c r="AR7" s="53" t="s">
        <v>166</v>
      </c>
      <c r="AS7" s="53" t="s">
        <v>166</v>
      </c>
      <c r="AT7" s="54">
        <v>0</v>
      </c>
      <c r="AU7" s="53" t="s">
        <v>1140</v>
      </c>
      <c r="AV7" s="53" t="str">
        <f t="shared" si="1"/>
        <v>[NZE]Territory[NZE] Chatham Islands</v>
      </c>
      <c r="AW7" s="53" t="str">
        <f t="shared" si="2"/>
        <v>2b[NZE] Chatham Islands</v>
      </c>
      <c r="AX7" s="55"/>
      <c r="AY7" s="55"/>
      <c r="AZ7" s="56" t="s">
        <v>231</v>
      </c>
      <c r="BA7" s="56" t="s">
        <v>231</v>
      </c>
      <c r="BB7" s="56"/>
      <c r="BC7" s="57"/>
      <c r="BD7" s="58" t="s">
        <v>154</v>
      </c>
      <c r="BE7" s="59"/>
      <c r="BF7" s="58" t="s">
        <v>231</v>
      </c>
      <c r="BG7" s="58" t="s">
        <v>231</v>
      </c>
      <c r="BH7" s="58" t="s">
        <v>231</v>
      </c>
      <c r="BI7" s="58"/>
      <c r="BJ7" s="58"/>
      <c r="BK7" s="59"/>
      <c r="BL7" s="58" t="s">
        <v>231</v>
      </c>
      <c r="BM7" s="58" t="s">
        <v>154</v>
      </c>
      <c r="BN7" s="58" t="s">
        <v>155</v>
      </c>
      <c r="BO7" s="58" t="s">
        <v>231</v>
      </c>
      <c r="BP7" s="58" t="s">
        <v>157</v>
      </c>
      <c r="BQ7" s="58" t="s">
        <v>231</v>
      </c>
      <c r="BR7" s="58" t="s">
        <v>231</v>
      </c>
      <c r="BS7" s="58" t="s">
        <v>231</v>
      </c>
      <c r="BT7" s="58" t="s">
        <v>161</v>
      </c>
      <c r="BU7" s="60"/>
      <c r="BV7" s="61"/>
      <c r="BW7" s="61">
        <v>0</v>
      </c>
      <c r="BX7" s="59"/>
      <c r="CB7" s="5"/>
      <c r="CC7" s="5"/>
      <c r="CD7" s="62">
        <v>0</v>
      </c>
      <c r="CE7" s="62">
        <v>1</v>
      </c>
      <c r="CF7" s="62" t="e">
        <v>#REF!</v>
      </c>
      <c r="CG7" s="75" cm="1">
        <f t="array" ref="CG7">SUMPRODUCT(--(LEN(TRIM(BL7:BT7))&gt;0))</f>
        <v>4</v>
      </c>
      <c r="CH7" s="53" t="str">
        <f t="shared" si="3"/>
        <v>n</v>
      </c>
      <c r="CI7" s="53" t="str">
        <f t="shared" si="4"/>
        <v>n</v>
      </c>
      <c r="CJ7" s="53" t="str">
        <f t="shared" si="5"/>
        <v>y</v>
      </c>
      <c r="CK7" s="53" t="str">
        <f t="shared" si="6"/>
        <v>n</v>
      </c>
      <c r="CL7" s="53" t="str">
        <f t="shared" si="7"/>
        <v>y</v>
      </c>
      <c r="CM7" s="53" t="str">
        <f t="shared" si="8"/>
        <v>n</v>
      </c>
      <c r="CN7" s="53" t="str">
        <f t="shared" si="9"/>
        <v>n</v>
      </c>
      <c r="CO7" s="53" t="str">
        <f t="shared" si="10"/>
        <v>n</v>
      </c>
      <c r="CP7" s="53" t="str">
        <f t="shared" si="11"/>
        <v>y</v>
      </c>
      <c r="CQ7" s="53" t="str">
        <f t="shared" si="12"/>
        <v>n</v>
      </c>
      <c r="CR7" s="53" t="str">
        <f t="shared" si="13"/>
        <v>n</v>
      </c>
      <c r="CS7" s="53" t="str">
        <f t="shared" si="14"/>
        <v>n</v>
      </c>
      <c r="CT7" s="38" t="str">
        <f t="shared" si="15"/>
        <v>"[NZE] Chatham Islands"</v>
      </c>
      <c r="CU7" s="63" t="str">
        <f t="shared" si="16"/>
        <v>"rgn_Oceania"</v>
      </c>
      <c r="CV7" s="44" t="str">
        <f t="shared" si="17"/>
        <v>"https://upload.wikimedia.org/wikipedia/commons/thumb/2/2e/Flag_of_Chatham_Islands.svg/640px-Flag_of_Chatham_Islands.svg.png"</v>
      </c>
      <c r="CW7" s="44" t="str">
        <f t="shared" si="18"/>
        <v/>
      </c>
      <c r="CX7" s="44" t="str">
        <f t="shared" si="18"/>
        <v/>
      </c>
      <c r="CY7" s="44" t="str">
        <f t="shared" si="18"/>
        <v>"4Color",</v>
      </c>
      <c r="CZ7" s="44" t="str">
        <f t="shared" si="18"/>
        <v/>
      </c>
      <c r="DA7" s="44" t="str">
        <f t="shared" si="19"/>
        <v>"words2",</v>
      </c>
      <c r="DB7" s="44" t="str">
        <f t="shared" si="20"/>
        <v/>
      </c>
      <c r="DC7" s="44" t="str">
        <f>IF(Q7=2,CHAR(34)&amp;"exact2"&amp;CHAR(34)&amp;",","")</f>
        <v>"exact2",</v>
      </c>
      <c r="DD7" s="44" t="str">
        <f>IF(LEN(CHAR(34)&amp;"lets"&amp;LEN(SUBSTITUTE(SUBSTITUTE(IFERROR(TRIM(SUBSTITUTE(SUBSTITUTE(SUBSTITUTE(IFERROR(TRIM(SUBSTITUTE(A7,MID(A7,FIND("(",A7),FIND(")",A7)-FIND("(",A7)+1),"")),A7)," ",""),"-",""),MID(SUBSTITUTE(SUBSTITUTE(IFERROR(TRIM(SUBSTITUTE(A7,MID(A7,FIND("(",A7),FIND(")",A7)-FIND("(",A7)+1),"")),A7)," ",""),"-",""),FIND("[",SUBSTITUTE(SUBSTITUTE(IFERROR(TRIM(SUBSTITUTE(A7,MID(A7,FIND("(",A7),FIND(")",A7)-FIND("(",A7)+1),"")),A7)," ",""),"-","")),FIND("]",SUBSTITUTE(SUBSTITUTE(IFERROR(TRIM(SUBSTITUTE(A7,MID(A7,FIND("(",A7),FIND(")",A7)-FIND("(",A7)+1),"")),A7)," ",""),"-",""))-FIND("[",SUBSTITUTE(SUBSTITUTE(IFERROR(TRIM(SUBSTITUTE(A7,MID(A7,FIND("(",A7),FIND(")",A7)-FIND("(",A7)+1),"")),A7)," ",""),"-",""))+1),"")),SUBSTITUTE(SUBSTITUTE(IFERROR(TRIM(SUBSTITUTE(A7,MID(A7,FIND("(",A7),FIND(")",A7)-FIND("(",A7)+1),"")),A7)," ",""),"-",""))," ",""),"-",""))&amp;CHAR(34)&amp;",")=9,CHAR(34)&amp;"lets"&amp;LEN(SUBSTITUTE(SUBSTITUTE(IFERROR(TRIM(SUBSTITUTE(SUBSTITUTE(SUBSTITUTE(IFERROR(TRIM(SUBSTITUTE(A7,MID(A7,FIND("(",A7),FIND(")",A7)-FIND("(",A7)+1),"")),A7)," ",""),"-",""),MID(SUBSTITUTE(SUBSTITUTE(IFERROR(TRIM(SUBSTITUTE(A7,MID(A7,FIND("(",A7),FIND(")",A7)-FIND("(",A7)+1),"")),A7)," ",""),"-",""),FIND("[",SUBSTITUTE(SUBSTITUTE(IFERROR(TRIM(SUBSTITUTE(A7,MID(A7,FIND("(",A7),FIND(")",A7)-FIND("(",A7)+1),"")),A7)," ",""),"-","")),FIND("]",SUBSTITUTE(SUBSTITUTE(IFERROR(TRIM(SUBSTITUTE(A7,MID(A7,FIND("(",A7),FIND(")",A7)-FIND("(",A7)+1),"")),A7)," ",""),"-",""))-FIND("[",SUBSTITUTE(SUBSTITUTE(IFERROR(TRIM(SUBSTITUTE(A7,MID(A7,FIND("(",A7),FIND(")",A7)-FIND("(",A7)+1),"")),A7)," ",""),"-",""))+1),"")),SUBSTITUTE(SUBSTITUTE(IFERROR(TRIM(SUBSTITUTE(A7,MID(A7,FIND("(",A7),FIND(")",A7)-FIND("(",A7)+1),"")),A7)," ",""),"-",""))," ",""),"-",""))&amp;CHAR(34)&amp;",",CHAR(34)&amp;"lets0"&amp;LEN(SUBSTITUTE(SUBSTITUTE(IFERROR(TRIM(SUBSTITUTE(SUBSTITUTE(SUBSTITUTE(IFERROR(TRIM(SUBSTITUTE(A7,MID(A7,FIND("(",A7),FIND(")",A7)-FIND("(",A7)+1),"")),A7)," ",""),"-",""),MID(SUBSTITUTE(SUBSTITUTE(IFERROR(TRIM(SUBSTITUTE(A7,MID(A7,FIND("(",A7),FIND(")",A7)-FIND("(",A7)+1),"")),A7)," ",""),"-",""),FIND("[",SUBSTITUTE(SUBSTITUTE(IFERROR(TRIM(SUBSTITUTE(A7,MID(A7,FIND("(",A7),FIND(")",A7)-FIND("(",A7)+1),"")),A7)," ",""),"-","")),FIND("]",SUBSTITUTE(SUBSTITUTE(IFERROR(TRIM(SUBSTITUTE(A7,MID(A7,FIND("(",A7),FIND(")",A7)-FIND("(",A7)+1),"")),A7)," ",""),"-",""))-FIND("[",SUBSTITUTE(SUBSTITUTE(IFERROR(TRIM(SUBSTITUTE(A7,MID(A7,FIND("(",A7),FIND(")",A7)-FIND("(",A7)+1),"")),A7)," ",""),"-",""))+1),"")),SUBSTITUTE(SUBSTITUTE(IFERROR(TRIM(SUBSTITUTE(A7,MID(A7,FIND("(",A7),FIND(")",A7)-FIND("(",A7)+1),"")),A7)," ",""),"-",""))," ",""),"-",""))&amp;CHAR(34)&amp;",")</f>
        <v>"lets14",</v>
      </c>
      <c r="DE7" s="44" t="str">
        <f>IFERROR(CHAR(34)&amp;"start"&amp;LEFT(TRIM(SUBSTITUTE(SUBSTITUTE(TRIM(SUBSTITUTE(SUBSTITUTE(A7, MID(A7, FIND("[", A7), FIND("]", A7) - FIND("[", A7) + 1), ""), "  ", " ")), MID(TRIM(SUBSTITUTE(SUBSTITUTE(A7, MID(A7, FIND("[", A7), FIND("]", A7) - FIND("[", A7) + 1), ""), "  ", " ")), FIND("[", TRIM(SUBSTITUTE(SUBSTITUTE(A7, MID(A7, FIND("[", A7), FIND("]", A7) - FIND("[", A7) + 1), ""), "  ", " "))), FIND("]", TRIM(SUBSTITUTE(SUBSTITUTE(A7, MID(A7, FIND("[", A7), FIND("]", A7) - FIND("[", A7) + 1), ""), "  ", " "))) - FIND("[", TRIM(SUBSTITUTE(SUBSTITUTE(A7, MID(A7, FIND("[", A7), FIND("]", A7) - FIND("[", A7) + 1), ""), "  ", " "))) + 1), ""), "  ", " ")),1)&amp;CHAR(34)&amp;",",CHAR(34)&amp;"start"&amp;IFERROR(LEFT(SUBSTITUTE(A7,"["&amp;MID(A7,FIND("[",A7)+1,FIND("]",A7)-FIND("[",A7)-1)&amp;"] ",""),1),LEFT(A7,1))&amp;CHAR(34)&amp;",")</f>
        <v>"startC",</v>
      </c>
      <c r="DF7" s="44" t="str">
        <f t="shared" si="21"/>
        <v/>
      </c>
      <c r="DG7" s="44" t="str">
        <f t="shared" si="22"/>
        <v/>
      </c>
      <c r="DH7" s="44" t="str">
        <f t="shared" si="23"/>
        <v/>
      </c>
      <c r="DI7" s="44" t="str">
        <f t="shared" si="24"/>
        <v/>
      </c>
      <c r="DJ7" s="44" t="str">
        <f t="shared" si="25"/>
        <v/>
      </c>
      <c r="DK7" s="44" t="str">
        <f t="shared" si="26"/>
        <v>"with_z",</v>
      </c>
      <c r="DL7" s="44" t="str">
        <f t="shared" si="27"/>
        <v/>
      </c>
      <c r="DM7" s="44" t="str" cm="1">
        <f t="array" ref="DM7">IF(CG7=3,CHAR(34) &amp; _xlfn.TEXTJOIN("", TRUE, RIGHT(HP7:HX7, 2)) &amp; CHAR(34) &amp; ",", "")</f>
        <v/>
      </c>
      <c r="DN7" s="44" t="str">
        <f t="shared" si="28"/>
        <v/>
      </c>
      <c r="DO7" s="44" t="str">
        <f t="shared" si="29"/>
        <v>"year19",</v>
      </c>
      <c r="DP7" s="5" t="str">
        <f t="shared" si="30"/>
        <v/>
      </c>
      <c r="DQ7" s="5" t="str">
        <f t="shared" si="31"/>
        <v/>
      </c>
      <c r="DR7" s="5" t="str">
        <f t="shared" si="32"/>
        <v/>
      </c>
      <c r="DS7" s="5" t="str">
        <f t="shared" si="33"/>
        <v/>
      </c>
      <c r="DT7" s="5" t="str">
        <f t="shared" si="34"/>
        <v/>
      </c>
      <c r="DU7" s="5" t="str">
        <f t="shared" si="35"/>
        <v/>
      </c>
      <c r="DV7" s="44" t="str">
        <f>IF(IA7&lt;&gt;"",(IF(IA7="y",CHAR(34)&amp;"largec"&amp;CHAR(34)&amp;",",CHAR(34)&amp;"smallc"&amp;CHAR(34)&amp;",")),"")</f>
        <v/>
      </c>
      <c r="DW7" s="44" t="str">
        <f t="shared" si="36"/>
        <v>"NoBand",</v>
      </c>
      <c r="DX7" s="44" t="str">
        <f t="shared" si="36"/>
        <v/>
      </c>
      <c r="DY7" s="44" t="str">
        <f t="shared" si="36"/>
        <v/>
      </c>
      <c r="DZ7" s="44" t="str">
        <f t="shared" si="36"/>
        <v/>
      </c>
      <c r="EA7" s="44" t="str">
        <f t="shared" si="37"/>
        <v/>
      </c>
      <c r="EB7" s="44" t="str">
        <f t="shared" si="37"/>
        <v/>
      </c>
      <c r="EC7" s="44" t="str">
        <f t="shared" si="37"/>
        <v/>
      </c>
      <c r="ED7" s="44" t="str">
        <f t="shared" si="37"/>
        <v/>
      </c>
      <c r="EE7" s="44" t="str">
        <f t="shared" si="37"/>
        <v>"Circle",</v>
      </c>
      <c r="EF7" s="44" t="str">
        <f t="shared" si="38"/>
        <v/>
      </c>
      <c r="EG7" s="44" t="str">
        <f t="shared" si="39"/>
        <v/>
      </c>
      <c r="EH7" s="44" t="str">
        <f t="shared" si="39"/>
        <v/>
      </c>
      <c r="EI7" s="44" t="str">
        <f t="shared" si="39"/>
        <v/>
      </c>
      <c r="EJ7" s="44" t="str">
        <f t="shared" si="39"/>
        <v/>
      </c>
      <c r="EK7" s="44" t="str">
        <f t="shared" si="39"/>
        <v>"HasSun",</v>
      </c>
      <c r="EL7" s="44" t="str">
        <f t="shared" si="39"/>
        <v/>
      </c>
      <c r="EM7" s="44" t="str">
        <f t="shared" si="39"/>
        <v/>
      </c>
      <c r="EN7" s="44" t="str">
        <f t="shared" si="39"/>
        <v/>
      </c>
      <c r="EO7" s="44" t="str">
        <f t="shared" si="39"/>
        <v>"Center",</v>
      </c>
      <c r="EP7" s="44" t="str">
        <f t="shared" si="39"/>
        <v/>
      </c>
      <c r="EQ7" s="44" t="str">
        <f t="shared" si="39"/>
        <v/>
      </c>
      <c r="ER7" s="44" t="str">
        <f t="shared" si="39"/>
        <v/>
      </c>
      <c r="ES7" s="44" t="str">
        <f t="shared" si="39"/>
        <v/>
      </c>
      <c r="ET7" s="44" t="str">
        <f t="shared" si="39"/>
        <v>"Geogrh",</v>
      </c>
      <c r="EU7" s="44" t="str">
        <f t="shared" si="39"/>
        <v/>
      </c>
      <c r="EV7" s="44" t="str">
        <f t="shared" si="39"/>
        <v/>
      </c>
      <c r="EW7" s="44" t="str">
        <f t="shared" si="40"/>
        <v/>
      </c>
      <c r="EX7" s="44" t="str">
        <f t="shared" si="40"/>
        <v/>
      </c>
      <c r="EY7" s="44" t="str">
        <f t="shared" si="40"/>
        <v/>
      </c>
      <c r="EZ7" s="44" t="str">
        <f t="shared" si="40"/>
        <v/>
      </c>
      <c r="FA7" s="44" t="str">
        <f t="shared" si="41"/>
        <v/>
      </c>
      <c r="FB7" s="44" t="str">
        <f t="shared" si="42"/>
        <v/>
      </c>
      <c r="FC7" s="44" t="str">
        <f>IF(AND(AT7&gt;0,BB7&lt;&gt;""),CHAR(34)&amp;"sta"&amp;BB7&amp;CHAR(34)&amp;",","")</f>
        <v/>
      </c>
      <c r="FD7" s="44" t="str">
        <f t="shared" si="43"/>
        <v/>
      </c>
      <c r="FE7" s="44" t="str">
        <f t="shared" si="44"/>
        <v/>
      </c>
      <c r="FF7" s="44" t="str">
        <f t="shared" si="45"/>
        <v/>
      </c>
      <c r="FG7" s="44" t="str">
        <f t="shared" si="46"/>
        <v>"NO_RED",</v>
      </c>
      <c r="FH7" s="44" t="str">
        <f t="shared" si="47"/>
        <v/>
      </c>
      <c r="FI7" s="44" t="str">
        <f t="shared" si="48"/>
        <v/>
      </c>
      <c r="FJ7" s="44" t="str">
        <f t="shared" si="49"/>
        <v>"NO_BLA",</v>
      </c>
      <c r="FK7" s="44" t="str">
        <f t="shared" si="50"/>
        <v/>
      </c>
      <c r="FL7" s="44" t="str">
        <f t="shared" si="51"/>
        <v/>
      </c>
      <c r="FM7" s="44" t="str">
        <f t="shared" si="52"/>
        <v/>
      </c>
      <c r="FN7" s="44" t="str">
        <f t="shared" si="53"/>
        <v/>
      </c>
      <c r="FO7" s="44" t="str">
        <f t="shared" si="54"/>
        <v/>
      </c>
      <c r="FP7" s="44" t="str">
        <f t="shared" si="55"/>
        <v/>
      </c>
      <c r="FQ7" s="44" t="str">
        <f t="shared" si="56"/>
        <v/>
      </c>
      <c r="FR7" s="44" t="str">
        <f t="shared" si="57"/>
        <v/>
      </c>
      <c r="FS7" s="44" t="str">
        <f t="shared" si="58"/>
        <v/>
      </c>
      <c r="FT7" s="44" t="str">
        <f t="shared" si="59"/>
        <v>"myrBLU",</v>
      </c>
      <c r="FU7" s="44" t="str">
        <f t="shared" si="60"/>
        <v/>
      </c>
      <c r="FV7" s="44" t="str">
        <f t="shared" si="61"/>
        <v/>
      </c>
      <c r="FW7" s="44" t="str">
        <f t="shared" si="62"/>
        <v/>
      </c>
      <c r="FX7" s="44" t="str">
        <f>SUBSTITUTE(IFERROR(SEARCH("[",A7),IFERROR(IF(AND(CA7&lt;&gt;"y",SEARCH("Europe",R7)&gt;0),CHAR(34)&amp;"noeuni"&amp;CHAR(34)&amp;",",""),"")),"1","")</f>
        <v/>
      </c>
      <c r="FY7" s="44" t="str">
        <f t="shared" si="63"/>
        <v/>
      </c>
      <c r="FZ7" s="44" t="str">
        <f t="shared" si="64"/>
        <v/>
      </c>
      <c r="GA7" s="44" t="str">
        <f t="shared" si="65"/>
        <v/>
      </c>
      <c r="GB7" s="44" t="str">
        <f t="shared" si="66"/>
        <v/>
      </c>
      <c r="GC7" s="44" t="str">
        <f>IFERROR(IF(SEARCH("Portuguese",CB7)&gt;0,CHAR(34)&amp;"portug"&amp;CHAR(34)&amp;",",""),"")</f>
        <v/>
      </c>
      <c r="GD7" s="44" t="str">
        <f>IFERROR(IF(SEARCH("German",CB7)&gt;0,CHAR(34)&amp;"german"&amp;CHAR(34)&amp;",",""),"")</f>
        <v/>
      </c>
      <c r="GE7" s="44" t="str">
        <f t="shared" si="67"/>
        <v/>
      </c>
      <c r="GF7" s="44" t="str">
        <f t="shared" si="98"/>
        <v/>
      </c>
      <c r="GG7" s="44" t="str">
        <f t="shared" si="68"/>
        <v/>
      </c>
      <c r="GH7" s="44" t="str">
        <f t="shared" si="69"/>
        <v/>
      </c>
      <c r="GI7" s="44" t="str">
        <f t="shared" si="70"/>
        <v>"hasmap",</v>
      </c>
      <c r="GJ7" s="44" t="str">
        <f t="shared" si="71"/>
        <v>"NoStar",</v>
      </c>
      <c r="GK7" s="44" t="str">
        <f t="shared" si="72"/>
        <v/>
      </c>
      <c r="GL7" s="44" t="str">
        <f t="shared" si="73"/>
        <v/>
      </c>
      <c r="GM7" s="44" t="str">
        <f t="shared" si="73"/>
        <v/>
      </c>
      <c r="GN7" s="44" t="str">
        <f t="shared" si="73"/>
        <v/>
      </c>
      <c r="GP7" s="44" t="str">
        <f t="shared" si="74"/>
        <v>"Territory"</v>
      </c>
      <c r="GS7" s="44" t="str">
        <f t="shared" si="75"/>
        <v>["4Color","words2","exact2","lets14","startC","with_z","year19","NoBand","Circle","HasSun","Center","Geogrh","NO_RED","NO_BLA","myrBLU","hasmap","NoStar"]</v>
      </c>
      <c r="GT7" s="44" t="str">
        <f t="shared" si="76"/>
        <v/>
      </c>
      <c r="GU7" s="44" t="str">
        <f t="shared" si="76"/>
        <v>"cl_BLU",</v>
      </c>
      <c r="GV7" s="44" t="str">
        <f t="shared" si="76"/>
        <v>"cl_GRE",</v>
      </c>
      <c r="GW7" s="44" t="str">
        <f t="shared" si="76"/>
        <v/>
      </c>
      <c r="GX7" s="44" t="str">
        <f t="shared" si="76"/>
        <v>"cl_YEL",</v>
      </c>
      <c r="GY7" s="44" t="str">
        <f t="shared" si="76"/>
        <v/>
      </c>
      <c r="GZ7" s="44" t="str">
        <f t="shared" si="76"/>
        <v/>
      </c>
      <c r="HA7" s="44" t="str">
        <f t="shared" si="76"/>
        <v/>
      </c>
      <c r="HB7" s="44" t="str">
        <f t="shared" si="76"/>
        <v>"cl_WHI",</v>
      </c>
      <c r="HC7" s="44" t="str">
        <f t="shared" si="77"/>
        <v>["cl_BLU","cl_GRE","cl_YEL","cl_WHI"]</v>
      </c>
      <c r="HE7" s="64"/>
      <c r="HF7" s="65" t="str">
        <f t="shared" si="78"/>
        <v>{couname:"[NZE] Chatham Islands",year:"1989",region:"rgn_Oceania",Colors:["cl_BLU","cl_GRE","cl_YEL","cl_WHI"],Items:["4Color","words2","exact2","lets14","startC","with_z","year19","NoBand","Circle","HasSun","Center","Geogrh","NO_RED","NO_BLA","myrBLU","hasmap","NoStar"],Flag:"https://upload.wikimedia.org/wikipedia/commons/thumb/2/2e/Flag_of_Chatham_Islands.svg/640px-Flag_of_Chatham_Islands.svg.png",HDFlag:"https://upload.wikimedia.org/wikipedia/commons/thumb/2/2e/Flag_of_Chatham_Islands.svg/2560px-Flag_of_Chatham_Islands.svg.png",type:"Territory", describe: "\nUnofficial. A light blue field showing Chatham Island (main island) in green, party silhouetted against a yellow sun, half risen. On the green island is Te Whanga Lagoon in white, which occupies about 20 percent of the island.", isnew:".", links: "https://en.wikipedia.org/wiki/Flag_of_the_Chatham_Islands"},</v>
      </c>
      <c r="HG7" s="66" t="str">
        <f t="shared" si="79"/>
        <v>{couname:"[NZE] Chatham Islands",year:"1989",region:"rgn_Oceania",Colors:["cl_BLU","cl_GRE","cl_YEL","cl_WHI"],Items:["4Color","words2","exact2","lets14","startC","with_z","year19","NoBand","Circle","HasSun","Center","Geogrh","NO_RED","NO_BLA","myrBLU","hasmap","NoStar"],Flag:"https://upload.wikimedia.org/wikipedia/commons/thumb/2/2e/Flag_of_Chatham_Islands.svg/640px-Flag_of_Chatham_Islands.svg.png",HDFlag:"https://upload.wikimedia.org/wikipedia/commons/thumb/2/2e/Flag_of_Chatham_Islands.svg/2560px-Flag_of_Chatham_Islands.svg.png",type:"Territory", describe: "\nUnofficial. A light blue field showing Chatham Island (main island) in green, party silhouetted against a yellow sun, half risen. On the green island is Te Whanga Lagoon in white, which occupies about 20 percent of the island.", links: "https://en.wikipedia.org/wiki/Flag_of_the_Chatham_Islands"},</v>
      </c>
      <c r="HH7" s="44" t="str">
        <f t="shared" si="80"/>
        <v>"\nUnofficial. A light blue field showing Chatham Island (main island) in green, party silhouetted against a yellow sun, half risen. On the green island is Te Whanga Lagoon in white, which occupies about 20 percent of the island."</v>
      </c>
      <c r="HI7" s="44" t="str">
        <f t="shared" si="81"/>
        <v>"\nUnofficial. A light blue field showing Chatham Island (main island) in green, party silhouetted against a yellow sun, half risen. On the green island is Te Whanga Lagoon in white, which occupies about 20 percent of the island."</v>
      </c>
      <c r="HJ7" s="44" t="str">
        <f t="shared" si="82"/>
        <v>"1989"</v>
      </c>
      <c r="HL7" s="44" t="str">
        <f t="shared" si="83"/>
        <v>"https://en.wikipedia.org/wiki/Flag_of_the_Chatham_Islands"</v>
      </c>
      <c r="HM7" s="65" t="str">
        <f t="shared" si="84"/>
        <v>{"couname":"[NZE] Chatham Islands","year":"1989","region":"rgn_Oceania","Colors":["cl_BLU","cl_GRE","cl_YEL","cl_WHI"],"Items":["4Color","words2","exact2","lets14","startC","with_z","year19","NoBand","Circle","HasSun","Center","Geogrh","NO_RED","NO_BLA","myrBLU","hasmap","NoStar"],"Flag":"https://upload.wikimedia.org/wikipedia/commons/thumb/2/2e/Flag_of_Chatham_Islands.svg/640px-Flag_of_Chatham_Islands.svg.png","HDFlag":"https://upload.wikimedia.org/wikipedia/commons/thumb/2/2e/Flag_of_Chatham_Islands.svg/2560px-Flag_of_Chatham_Islands.svg.png","type":"Territory", "describe": "\nUnofficial. A light blue field showing Chatham Island (main island) in green, party silhouetted against a yellow sun, half risen. On the green island is Te Whanga Lagoon in white, which occupies about 20 percent of the island.", "isnew": ".", "links": "https://en.wikipedia.org/wiki/Flag_of_the_Chatham_Islands"},</v>
      </c>
      <c r="HN7" s="67" t="str">
        <f t="shared" si="85"/>
        <v>{"couname":"[NZE] Chatham Islands","year":"1989","region":"rgn_Oceania","Colors":["cl_BLU","cl_GRE","cl_YEL","cl_WHI"],"Items":["4Color","words2","exact2","lets14","startC","with_z","year19","NoBand","Circle","HasSun","Center","Geogrh","NO_RED","NO_BLA","myrBLU","hasmap","NoStar"],"Flag":"https://upload.wikimedia.org/wikipedia/commons/thumb/2/2e/Flag_of_Chatham_Islands.svg/640px-Flag_of_Chatham_Islands.svg.png","HDFlag":"https://upload.wikimedia.org/wikipedia/commons/thumb/2/2e/Flag_of_Chatham_Islands.svg/2560px-Flag_of_Chatham_Islands.svg.png","type":"Territory", "describe": "\nUnofficial. A light blue field showing Chatham Island (main island) in green, party silhouetted against a yellow sun, half risen. On the green island is Te Whanga Lagoon in white, which occupies about 20 percent of the island.", "isnew": ".", "links": "https://en.wikipedia.org/wiki/Flag_of_the_Chatham_Islands"},</v>
      </c>
      <c r="HO7" s="71">
        <v>45583</v>
      </c>
      <c r="HP7" s="44" t="str" cm="1">
        <f t="array" ref="HP7">IF(_xlfn.TEXTJOIN(", ", TRUE, IF(ISNUMBER(SEARCH("BLA", BL7:BT7)), COLUMN(BL7:BT7) - COLUMN(BL7) + 1, ""))&lt;&gt;"","BLA","")</f>
        <v/>
      </c>
      <c r="HQ7" s="44" t="str" cm="1">
        <f t="array" ref="HQ7">IF(_xlfn.TEXTJOIN(", ", TRUE, IF(ISNUMBER(SEARCH("BLU", BL7:BT7)), COLUMN(BL7:BT7) - COLUMN(BL7) + 1, ""))&lt;&gt;"","BLU","")</f>
        <v>BLU</v>
      </c>
      <c r="HR7" s="44" t="str" cm="1">
        <f t="array" ref="HR7">IF(_xlfn.TEXTJOIN(", ", TRUE, IF(ISNUMBER(SEARCH("GRE", BL7:BT7)), COLUMN(BL7:BT7) - COLUMN(BL7) + 1, ""))&lt;&gt;"","GRE","")</f>
        <v>GRE</v>
      </c>
      <c r="HS7" s="44" t="str" cm="1">
        <f t="array" ref="HS7">IF(_xlfn.TEXTJOIN(", ", TRUE, IF(ISNUMBER(SEARCH("RED", BL7:BT7)), COLUMN(BL7:BT7) - COLUMN(BL7) + 1, ""))&lt;&gt;"","RED","")</f>
        <v/>
      </c>
      <c r="HT7" s="44" t="str" cm="1">
        <f t="array" ref="HT7">IF(_xlfn.TEXTJOIN(", ", TRUE, IF(ISNUMBER(SEARCH("YEL", BL7:BT7)), COLUMN(BL7:BT7) - COLUMN(BL7) + 1, ""))&lt;&gt;"","YEL","")</f>
        <v>YEL</v>
      </c>
      <c r="HU7" s="44" t="str" cm="1">
        <f t="array" ref="HU7">IF(_xlfn.TEXTJOIN(", ", TRUE, IF(ISNUMBER(SEARCH("ORA", BL7:BT7)), COLUMN(BL7:BT7) - COLUMN(BL7) + 1, ""))&lt;&gt;"","ORA","")</f>
        <v/>
      </c>
      <c r="HV7" s="44" t="str" cm="1">
        <f t="array" ref="HV7">IF(_xlfn.TEXTJOIN(", ", TRUE, IF(ISNUMBER(SEARCH("BRO", BL7:BT7)), COLUMN(BL7:BT7) - COLUMN(BL7) + 1, ""))&lt;&gt;"","BRO","")</f>
        <v/>
      </c>
      <c r="HW7" s="44" t="str" cm="1">
        <f t="array" ref="HW7">IF(_xlfn.TEXTJOIN(", ", TRUE, IF(ISNUMBER(SEARCH("PUR", BL7:BT7)), COLUMN(BL7:BT7) - COLUMN(BL7) + 1, ""))&lt;&gt;"","PUR","")</f>
        <v/>
      </c>
      <c r="HX7" s="44" t="str" cm="1">
        <f t="array" ref="HX7">IF(_xlfn.TEXTJOIN(", ", TRUE, IF(ISNUMBER(SEARCH("WHI", BL7:BT7)), COLUMN(BL7:BT7) - COLUMN(BL7) + 1, ""))&lt;&gt;"","WHI","")</f>
        <v>WHI</v>
      </c>
      <c r="HY7" s="72"/>
      <c r="HZ7" s="72"/>
      <c r="IA7" s="5"/>
      <c r="IB7" s="5"/>
      <c r="IC7" s="68"/>
      <c r="ID7" s="68"/>
      <c r="IE7" s="68"/>
      <c r="IF7" s="68"/>
      <c r="IG7" s="68"/>
      <c r="IH7" s="68"/>
      <c r="II7" s="68"/>
      <c r="IJ7" s="68"/>
      <c r="IK7" s="68"/>
      <c r="IL7" s="44">
        <f>SUM(IC7:IK7)</f>
        <v>0</v>
      </c>
      <c r="IM7" s="42">
        <f t="shared" si="86"/>
        <v>-4</v>
      </c>
      <c r="IN7" s="69" t="str">
        <f t="shared" si="87"/>
        <v>http://mkweb.bcgsc.ca/color-summarizer/?url=https://upload.wikimedia.org/wikipedia/commons/thumb/2/2e/Flag_of_Chatham_Islands.svg/640px-Flag_of_Chatham_Islands.svg.png&amp;precision=low&amp;num_clusters=4&amp;text=1</v>
      </c>
      <c r="IO7" s="44" t="str">
        <f t="shared" si="88"/>
        <v/>
      </c>
      <c r="IP7" s="44" t="str">
        <f t="shared" si="89"/>
        <v>"blue"</v>
      </c>
      <c r="IQ7" s="44" t="str">
        <f t="shared" si="90"/>
        <v>"green"</v>
      </c>
      <c r="IR7" s="44" t="str">
        <f t="shared" si="91"/>
        <v/>
      </c>
      <c r="IS7" s="44" t="str">
        <f t="shared" si="92"/>
        <v>"yellow"</v>
      </c>
      <c r="IT7" s="44" t="str">
        <f t="shared" si="93"/>
        <v/>
      </c>
      <c r="IU7" s="44" t="str">
        <f t="shared" si="94"/>
        <v/>
      </c>
      <c r="IV7" s="44" t="str">
        <f t="shared" si="95"/>
        <v/>
      </c>
      <c r="IW7" s="44" t="str">
        <f t="shared" si="96"/>
        <v>"white"</v>
      </c>
      <c r="IX7" s="44" t="str">
        <f t="shared" si="97"/>
        <v>{"url":"http://mkweb.bcgsc.ca/color-summarizer/?url=https://upload.wikimedia.org/wikipedia/commons/thumb/2/2e/Flag_of_Chatham_Islands.svg/640px-Flag_of_Chatham_Islands.svg.png&amp;precision=low&amp;num_clusters=4&amp;text=1","name":"[NZE] Chatham Islands"},</v>
      </c>
      <c r="IY7" s="44">
        <v>682</v>
      </c>
    </row>
    <row r="8" spans="1:259" s="44" customFormat="1" ht="38.4" customHeight="1" thickBot="1" x14ac:dyDescent="0.35">
      <c r="A8" s="87" t="s">
        <v>449</v>
      </c>
      <c r="B8" s="78" t="e" vm="75">
        <v>#VALUE!</v>
      </c>
      <c r="C8" s="39" t="s">
        <v>818</v>
      </c>
      <c r="D8" s="70" t="s">
        <v>450</v>
      </c>
      <c r="E8" s="40" t="s">
        <v>450</v>
      </c>
      <c r="F8" s="41" t="s">
        <v>165</v>
      </c>
      <c r="G8" s="42">
        <f t="shared" si="0"/>
        <v>1</v>
      </c>
      <c r="H8" s="43"/>
      <c r="I8" s="59" t="s">
        <v>451</v>
      </c>
      <c r="J8" s="44" t="str">
        <f>""</f>
        <v/>
      </c>
      <c r="K8" s="45"/>
      <c r="L8" s="46"/>
      <c r="M8" s="46"/>
      <c r="N8" s="47" t="s">
        <v>177</v>
      </c>
      <c r="O8" s="74">
        <v>1970</v>
      </c>
      <c r="P8" s="48" t="s">
        <v>452</v>
      </c>
      <c r="Q8" s="73">
        <v>2</v>
      </c>
      <c r="R8" s="49" t="s">
        <v>177</v>
      </c>
      <c r="S8" s="50">
        <v>4</v>
      </c>
      <c r="T8" s="51" t="s">
        <v>166</v>
      </c>
      <c r="U8" s="52" t="s">
        <v>166</v>
      </c>
      <c r="V8" s="52" t="s">
        <v>167</v>
      </c>
      <c r="W8" s="52" t="s">
        <v>166</v>
      </c>
      <c r="X8" s="52" t="s">
        <v>167</v>
      </c>
      <c r="Y8" s="52" t="s">
        <v>166</v>
      </c>
      <c r="Z8" s="52" t="s">
        <v>166</v>
      </c>
      <c r="AA8" s="52" t="s">
        <v>166</v>
      </c>
      <c r="AB8" s="52" t="s">
        <v>166</v>
      </c>
      <c r="AC8" s="52" t="s">
        <v>166</v>
      </c>
      <c r="AD8" s="52" t="s">
        <v>167</v>
      </c>
      <c r="AE8" s="52" t="s">
        <v>166</v>
      </c>
      <c r="AF8" s="53" t="s">
        <v>166</v>
      </c>
      <c r="AG8" s="53" t="s">
        <v>167</v>
      </c>
      <c r="AH8" s="53" t="s">
        <v>167</v>
      </c>
      <c r="AI8" s="53" t="s">
        <v>166</v>
      </c>
      <c r="AJ8" s="53" t="s">
        <v>166</v>
      </c>
      <c r="AK8" s="53" t="s">
        <v>166</v>
      </c>
      <c r="AL8" s="53" t="s">
        <v>166</v>
      </c>
      <c r="AM8" s="53" t="s">
        <v>167</v>
      </c>
      <c r="AN8" s="53" t="s">
        <v>166</v>
      </c>
      <c r="AO8" s="53" t="s">
        <v>166</v>
      </c>
      <c r="AP8" s="53" t="s">
        <v>166</v>
      </c>
      <c r="AQ8" s="53" t="s">
        <v>166</v>
      </c>
      <c r="AR8" s="53" t="s">
        <v>166</v>
      </c>
      <c r="AS8" s="53" t="s">
        <v>166</v>
      </c>
      <c r="AT8" s="54">
        <v>0</v>
      </c>
      <c r="AU8" s="53" t="s">
        <v>1140</v>
      </c>
      <c r="AV8" s="53" t="str">
        <f t="shared" si="1"/>
        <v>[NZE]Territory[NZE] Stewart Island</v>
      </c>
      <c r="AW8" s="53" t="str">
        <f t="shared" si="2"/>
        <v>2b[NZE] Stewart Island</v>
      </c>
      <c r="AX8" s="55"/>
      <c r="AY8" s="55"/>
      <c r="AZ8" s="56" t="s">
        <v>231</v>
      </c>
      <c r="BA8" s="56" t="s">
        <v>231</v>
      </c>
      <c r="BB8" s="56"/>
      <c r="BC8" s="57"/>
      <c r="BD8" s="58" t="s">
        <v>157</v>
      </c>
      <c r="BE8" s="59"/>
      <c r="BF8" s="58" t="s">
        <v>154</v>
      </c>
      <c r="BG8" s="58" t="s">
        <v>231</v>
      </c>
      <c r="BH8" s="58" t="s">
        <v>157</v>
      </c>
      <c r="BI8" s="58"/>
      <c r="BJ8" s="58"/>
      <c r="BK8" s="59"/>
      <c r="BL8" s="58" t="s">
        <v>231</v>
      </c>
      <c r="BM8" s="58" t="s">
        <v>154</v>
      </c>
      <c r="BN8" s="58" t="s">
        <v>155</v>
      </c>
      <c r="BO8" s="58" t="s">
        <v>156</v>
      </c>
      <c r="BP8" s="58" t="s">
        <v>157</v>
      </c>
      <c r="BQ8" s="58" t="s">
        <v>231</v>
      </c>
      <c r="BR8" s="58" t="s">
        <v>231</v>
      </c>
      <c r="BS8" s="58" t="s">
        <v>231</v>
      </c>
      <c r="BT8" s="58" t="s">
        <v>231</v>
      </c>
      <c r="BU8" s="60"/>
      <c r="BV8" s="61"/>
      <c r="BW8" s="61">
        <v>0</v>
      </c>
      <c r="BX8" s="59"/>
      <c r="CB8" s="5"/>
      <c r="CC8" s="5"/>
      <c r="CD8" s="62">
        <v>0</v>
      </c>
      <c r="CE8" s="62">
        <v>1</v>
      </c>
      <c r="CF8" s="62" t="e">
        <v>#REF!</v>
      </c>
      <c r="CG8" s="75" cm="1">
        <f t="array" ref="CG8">SUMPRODUCT(--(LEN(TRIM(BL8:BT8))&gt;0))</f>
        <v>4</v>
      </c>
      <c r="CH8" s="53" t="str">
        <f t="shared" si="3"/>
        <v>n</v>
      </c>
      <c r="CI8" s="53" t="str">
        <f t="shared" si="4"/>
        <v>n</v>
      </c>
      <c r="CJ8" s="53" t="str">
        <f t="shared" si="5"/>
        <v>y</v>
      </c>
      <c r="CK8" s="53" t="str">
        <f t="shared" si="6"/>
        <v>n</v>
      </c>
      <c r="CL8" s="53" t="str">
        <f t="shared" si="7"/>
        <v>n</v>
      </c>
      <c r="CM8" s="53" t="str">
        <f t="shared" si="8"/>
        <v>n</v>
      </c>
      <c r="CN8" s="53" t="str">
        <f t="shared" si="9"/>
        <v>n</v>
      </c>
      <c r="CO8" s="53" t="str">
        <f t="shared" si="10"/>
        <v>y</v>
      </c>
      <c r="CP8" s="53" t="str">
        <f t="shared" si="11"/>
        <v>y</v>
      </c>
      <c r="CQ8" s="53" t="str">
        <f t="shared" si="12"/>
        <v>n</v>
      </c>
      <c r="CR8" s="53" t="str">
        <f t="shared" si="13"/>
        <v>n</v>
      </c>
      <c r="CS8" s="53" t="str">
        <f t="shared" si="14"/>
        <v>n</v>
      </c>
      <c r="CT8" s="38" t="str">
        <f t="shared" si="15"/>
        <v>"[NZE] Stewart Island"</v>
      </c>
      <c r="CU8" s="63" t="str">
        <f t="shared" si="16"/>
        <v>"rgn_Oceania"</v>
      </c>
      <c r="CV8" s="44" t="str">
        <f t="shared" si="17"/>
        <v>"https://www.crwflags.com/fotw/images/n/nz-sti.gif"</v>
      </c>
      <c r="CW8" s="44" t="str">
        <f t="shared" si="18"/>
        <v/>
      </c>
      <c r="CX8" s="44" t="str">
        <f t="shared" si="18"/>
        <v/>
      </c>
      <c r="CY8" s="44" t="str">
        <f t="shared" si="18"/>
        <v>"4Color",</v>
      </c>
      <c r="CZ8" s="44" t="str">
        <f t="shared" si="18"/>
        <v/>
      </c>
      <c r="DA8" s="44" t="str">
        <f t="shared" si="19"/>
        <v>"words2",</v>
      </c>
      <c r="DB8" s="44" t="str">
        <f t="shared" si="20"/>
        <v/>
      </c>
      <c r="DC8" s="44" t="str">
        <f>IF(Q8=2,CHAR(34)&amp;"exact2"&amp;CHAR(34)&amp;",","")</f>
        <v>"exact2",</v>
      </c>
      <c r="DD8" s="44" t="str">
        <f>IF(LEN(CHAR(34)&amp;"lets"&amp;LEN(SUBSTITUTE(SUBSTITUTE(IFERROR(TRIM(SUBSTITUTE(SUBSTITUTE(SUBSTITUTE(IFERROR(TRIM(SUBSTITUTE(A8,MID(A8,FIND("(",A8),FIND(")",A8)-FIND("(",A8)+1),"")),A8)," ",""),"-",""),MID(SUBSTITUTE(SUBSTITUTE(IFERROR(TRIM(SUBSTITUTE(A8,MID(A8,FIND("(",A8),FIND(")",A8)-FIND("(",A8)+1),"")),A8)," ",""),"-",""),FIND("[",SUBSTITUTE(SUBSTITUTE(IFERROR(TRIM(SUBSTITUTE(A8,MID(A8,FIND("(",A8),FIND(")",A8)-FIND("(",A8)+1),"")),A8)," ",""),"-","")),FIND("]",SUBSTITUTE(SUBSTITUTE(IFERROR(TRIM(SUBSTITUTE(A8,MID(A8,FIND("(",A8),FIND(")",A8)-FIND("(",A8)+1),"")),A8)," ",""),"-",""))-FIND("[",SUBSTITUTE(SUBSTITUTE(IFERROR(TRIM(SUBSTITUTE(A8,MID(A8,FIND("(",A8),FIND(")",A8)-FIND("(",A8)+1),"")),A8)," ",""),"-",""))+1),"")),SUBSTITUTE(SUBSTITUTE(IFERROR(TRIM(SUBSTITUTE(A8,MID(A8,FIND("(",A8),FIND(")",A8)-FIND("(",A8)+1),"")),A8)," ",""),"-",""))," ",""),"-",""))&amp;CHAR(34)&amp;",")=9,CHAR(34)&amp;"lets"&amp;LEN(SUBSTITUTE(SUBSTITUTE(IFERROR(TRIM(SUBSTITUTE(SUBSTITUTE(SUBSTITUTE(IFERROR(TRIM(SUBSTITUTE(A8,MID(A8,FIND("(",A8),FIND(")",A8)-FIND("(",A8)+1),"")),A8)," ",""),"-",""),MID(SUBSTITUTE(SUBSTITUTE(IFERROR(TRIM(SUBSTITUTE(A8,MID(A8,FIND("(",A8),FIND(")",A8)-FIND("(",A8)+1),"")),A8)," ",""),"-",""),FIND("[",SUBSTITUTE(SUBSTITUTE(IFERROR(TRIM(SUBSTITUTE(A8,MID(A8,FIND("(",A8),FIND(")",A8)-FIND("(",A8)+1),"")),A8)," ",""),"-","")),FIND("]",SUBSTITUTE(SUBSTITUTE(IFERROR(TRIM(SUBSTITUTE(A8,MID(A8,FIND("(",A8),FIND(")",A8)-FIND("(",A8)+1),"")),A8)," ",""),"-",""))-FIND("[",SUBSTITUTE(SUBSTITUTE(IFERROR(TRIM(SUBSTITUTE(A8,MID(A8,FIND("(",A8),FIND(")",A8)-FIND("(",A8)+1),"")),A8)," ",""),"-",""))+1),"")),SUBSTITUTE(SUBSTITUTE(IFERROR(TRIM(SUBSTITUTE(A8,MID(A8,FIND("(",A8),FIND(")",A8)-FIND("(",A8)+1),"")),A8)," ",""),"-",""))," ",""),"-",""))&amp;CHAR(34)&amp;",",CHAR(34)&amp;"lets0"&amp;LEN(SUBSTITUTE(SUBSTITUTE(IFERROR(TRIM(SUBSTITUTE(SUBSTITUTE(SUBSTITUTE(IFERROR(TRIM(SUBSTITUTE(A8,MID(A8,FIND("(",A8),FIND(")",A8)-FIND("(",A8)+1),"")),A8)," ",""),"-",""),MID(SUBSTITUTE(SUBSTITUTE(IFERROR(TRIM(SUBSTITUTE(A8,MID(A8,FIND("(",A8),FIND(")",A8)-FIND("(",A8)+1),"")),A8)," ",""),"-",""),FIND("[",SUBSTITUTE(SUBSTITUTE(IFERROR(TRIM(SUBSTITUTE(A8,MID(A8,FIND("(",A8),FIND(")",A8)-FIND("(",A8)+1),"")),A8)," ",""),"-","")),FIND("]",SUBSTITUTE(SUBSTITUTE(IFERROR(TRIM(SUBSTITUTE(A8,MID(A8,FIND("(",A8),FIND(")",A8)-FIND("(",A8)+1),"")),A8)," ",""),"-",""))-FIND("[",SUBSTITUTE(SUBSTITUTE(IFERROR(TRIM(SUBSTITUTE(A8,MID(A8,FIND("(",A8),FIND(")",A8)-FIND("(",A8)+1),"")),A8)," ",""),"-",""))+1),"")),SUBSTITUTE(SUBSTITUTE(IFERROR(TRIM(SUBSTITUTE(A8,MID(A8,FIND("(",A8),FIND(")",A8)-FIND("(",A8)+1),"")),A8)," ",""),"-",""))," ",""),"-",""))&amp;CHAR(34)&amp;",")</f>
        <v>"lets13",</v>
      </c>
      <c r="DE8" s="44" t="str">
        <f>IFERROR(CHAR(34)&amp;"start"&amp;LEFT(TRIM(SUBSTITUTE(SUBSTITUTE(TRIM(SUBSTITUTE(SUBSTITUTE(A8, MID(A8, FIND("[", A8), FIND("]", A8) - FIND("[", A8) + 1), ""), "  ", " ")), MID(TRIM(SUBSTITUTE(SUBSTITUTE(A8, MID(A8, FIND("[", A8), FIND("]", A8) - FIND("[", A8) + 1), ""), "  ", " ")), FIND("[", TRIM(SUBSTITUTE(SUBSTITUTE(A8, MID(A8, FIND("[", A8), FIND("]", A8) - FIND("[", A8) + 1), ""), "  ", " "))), FIND("]", TRIM(SUBSTITUTE(SUBSTITUTE(A8, MID(A8, FIND("[", A8), FIND("]", A8) - FIND("[", A8) + 1), ""), "  ", " "))) - FIND("[", TRIM(SUBSTITUTE(SUBSTITUTE(A8, MID(A8, FIND("[", A8), FIND("]", A8) - FIND("[", A8) + 1), ""), "  ", " "))) + 1), ""), "  ", " ")),1)&amp;CHAR(34)&amp;",",CHAR(34)&amp;"start"&amp;IFERROR(LEFT(SUBSTITUTE(A8,"["&amp;MID(A8,FIND("[",A8)+1,FIND("]",A8)-FIND("[",A8)-1)&amp;"] ",""),1),LEFT(A8,1))&amp;CHAR(34)&amp;",")</f>
        <v>"startS",</v>
      </c>
      <c r="DF8" s="44" t="str">
        <f t="shared" si="21"/>
        <v/>
      </c>
      <c r="DG8" s="44" t="str">
        <f t="shared" si="22"/>
        <v/>
      </c>
      <c r="DH8" s="44" t="str">
        <f t="shared" si="23"/>
        <v/>
      </c>
      <c r="DI8" s="44" t="str">
        <f t="shared" si="24"/>
        <v>"with_w",</v>
      </c>
      <c r="DJ8" s="44" t="str">
        <f t="shared" si="25"/>
        <v/>
      </c>
      <c r="DK8" s="44" t="str">
        <f t="shared" si="26"/>
        <v>"with_z",</v>
      </c>
      <c r="DL8" s="44" t="str">
        <f t="shared" si="27"/>
        <v/>
      </c>
      <c r="DM8" s="44" t="str" cm="1">
        <f t="array" ref="DM8">IF(CG8=3,CHAR(34) &amp; _xlfn.TEXTJOIN("", TRUE, RIGHT(HP8:HX8, 2)) &amp; CHAR(34) &amp; ",", "")</f>
        <v/>
      </c>
      <c r="DN8" s="44" t="str">
        <f t="shared" si="28"/>
        <v/>
      </c>
      <c r="DO8" s="44" t="str">
        <f t="shared" si="29"/>
        <v>"year19",</v>
      </c>
      <c r="DP8" s="5" t="str">
        <f t="shared" si="30"/>
        <v/>
      </c>
      <c r="DQ8" s="5" t="str">
        <f t="shared" si="31"/>
        <v/>
      </c>
      <c r="DR8" s="5" t="str">
        <f t="shared" si="32"/>
        <v/>
      </c>
      <c r="DS8" s="5" t="str">
        <f t="shared" si="33"/>
        <v/>
      </c>
      <c r="DT8" s="5" t="str">
        <f t="shared" si="34"/>
        <v>"allhor",</v>
      </c>
      <c r="DU8" s="5" t="str">
        <f t="shared" si="35"/>
        <v/>
      </c>
      <c r="DV8" s="44" t="str">
        <f>IF(IA8&lt;&gt;"",(IF(IA8="y",CHAR(34)&amp;"largec"&amp;CHAR(34)&amp;",",CHAR(34)&amp;"smallc"&amp;CHAR(34)&amp;",")),"")</f>
        <v/>
      </c>
      <c r="DW8" s="44" t="str">
        <f t="shared" si="36"/>
        <v/>
      </c>
      <c r="DX8" s="44" t="str">
        <f t="shared" si="36"/>
        <v/>
      </c>
      <c r="DY8" s="44" t="str">
        <f t="shared" si="36"/>
        <v/>
      </c>
      <c r="DZ8" s="44" t="str">
        <f t="shared" si="36"/>
        <v>"4+Band",</v>
      </c>
      <c r="EA8" s="44" t="str">
        <f t="shared" si="37"/>
        <v/>
      </c>
      <c r="EB8" s="44" t="str">
        <f t="shared" si="37"/>
        <v/>
      </c>
      <c r="EC8" s="44" t="str">
        <f t="shared" si="37"/>
        <v>"Horizo",</v>
      </c>
      <c r="ED8" s="44" t="str">
        <f t="shared" si="37"/>
        <v/>
      </c>
      <c r="EE8" s="44" t="str">
        <f t="shared" si="37"/>
        <v>"Circle",</v>
      </c>
      <c r="EF8" s="44" t="str">
        <f t="shared" si="38"/>
        <v/>
      </c>
      <c r="EG8" s="44" t="str">
        <f t="shared" si="39"/>
        <v/>
      </c>
      <c r="EH8" s="44" t="str">
        <f t="shared" si="39"/>
        <v/>
      </c>
      <c r="EI8" s="44" t="str">
        <f t="shared" si="39"/>
        <v/>
      </c>
      <c r="EJ8" s="44" t="str">
        <f t="shared" si="39"/>
        <v/>
      </c>
      <c r="EK8" s="44" t="str">
        <f t="shared" si="39"/>
        <v>"HasSun",</v>
      </c>
      <c r="EL8" s="44" t="str">
        <f t="shared" si="39"/>
        <v/>
      </c>
      <c r="EM8" s="44" t="str">
        <f t="shared" si="39"/>
        <v/>
      </c>
      <c r="EN8" s="44" t="str">
        <f t="shared" si="39"/>
        <v>"Unequa",</v>
      </c>
      <c r="EO8" s="44" t="str">
        <f t="shared" si="39"/>
        <v>"Center",</v>
      </c>
      <c r="EP8" s="44" t="str">
        <f t="shared" si="39"/>
        <v/>
      </c>
      <c r="EQ8" s="44" t="str">
        <f t="shared" si="39"/>
        <v/>
      </c>
      <c r="ER8" s="44" t="str">
        <f t="shared" si="39"/>
        <v/>
      </c>
      <c r="ES8" s="44" t="str">
        <f t="shared" si="39"/>
        <v/>
      </c>
      <c r="ET8" s="44" t="str">
        <f t="shared" si="39"/>
        <v>"Geogrh",</v>
      </c>
      <c r="EU8" s="44" t="str">
        <f t="shared" si="39"/>
        <v/>
      </c>
      <c r="EV8" s="44" t="str">
        <f t="shared" si="39"/>
        <v/>
      </c>
      <c r="EW8" s="44" t="str">
        <f t="shared" si="40"/>
        <v/>
      </c>
      <c r="EX8" s="44" t="str">
        <f t="shared" si="40"/>
        <v/>
      </c>
      <c r="EY8" s="44" t="str">
        <f t="shared" si="40"/>
        <v/>
      </c>
      <c r="EZ8" s="44" t="str">
        <f t="shared" si="40"/>
        <v/>
      </c>
      <c r="FA8" s="44" t="str">
        <f t="shared" si="41"/>
        <v/>
      </c>
      <c r="FB8" s="44" t="str">
        <f t="shared" si="42"/>
        <v/>
      </c>
      <c r="FC8" s="44" t="str">
        <f>IF(AND(AT8&gt;0,BB8&lt;&gt;""),CHAR(34)&amp;"sta"&amp;BB8&amp;CHAR(34)&amp;",","")</f>
        <v/>
      </c>
      <c r="FD8" s="44" t="str">
        <f t="shared" si="43"/>
        <v/>
      </c>
      <c r="FE8" s="44" t="str">
        <f t="shared" si="44"/>
        <v/>
      </c>
      <c r="FF8" s="44" t="str">
        <f t="shared" si="45"/>
        <v>"NO_WHI",</v>
      </c>
      <c r="FG8" s="44" t="str">
        <f t="shared" si="46"/>
        <v/>
      </c>
      <c r="FH8" s="44" t="str">
        <f t="shared" si="47"/>
        <v/>
      </c>
      <c r="FI8" s="44" t="str">
        <f t="shared" si="48"/>
        <v/>
      </c>
      <c r="FJ8" s="44" t="str">
        <f t="shared" si="49"/>
        <v>"NO_BLA",</v>
      </c>
      <c r="FK8" s="44" t="str">
        <f t="shared" si="50"/>
        <v/>
      </c>
      <c r="FL8" s="44" t="str">
        <f t="shared" si="51"/>
        <v/>
      </c>
      <c r="FM8" s="44" t="str">
        <f t="shared" si="52"/>
        <v>"BAWHNO",</v>
      </c>
      <c r="FN8" s="44" t="str">
        <f t="shared" si="53"/>
        <v/>
      </c>
      <c r="FO8" s="44" t="str">
        <f t="shared" si="54"/>
        <v/>
      </c>
      <c r="FP8" s="44" t="str">
        <f t="shared" si="55"/>
        <v>"WHRENO",</v>
      </c>
      <c r="FQ8" s="44" t="str">
        <f t="shared" si="56"/>
        <v>"001BLU",</v>
      </c>
      <c r="FR8" s="44" t="str">
        <f t="shared" si="57"/>
        <v/>
      </c>
      <c r="FS8" s="44" t="str">
        <f t="shared" si="58"/>
        <v>"003YEL",</v>
      </c>
      <c r="FT8" s="44" t="str">
        <f t="shared" si="59"/>
        <v>"myrYEL",</v>
      </c>
      <c r="FU8" s="44" t="str">
        <f t="shared" si="60"/>
        <v/>
      </c>
      <c r="FV8" s="44" t="str">
        <f t="shared" si="61"/>
        <v/>
      </c>
      <c r="FW8" s="44" t="str">
        <f t="shared" si="62"/>
        <v/>
      </c>
      <c r="FX8" s="44" t="str">
        <f>SUBSTITUTE(IFERROR(SEARCH("[",A8),IFERROR(IF(AND(CA8&lt;&gt;"y",SEARCH("Europe",R8)&gt;0),CHAR(34)&amp;"noeuni"&amp;CHAR(34)&amp;",",""),"")),"1","")</f>
        <v/>
      </c>
      <c r="FY8" s="44" t="str">
        <f t="shared" si="63"/>
        <v/>
      </c>
      <c r="FZ8" s="44" t="str">
        <f t="shared" si="64"/>
        <v/>
      </c>
      <c r="GA8" s="44" t="str">
        <f t="shared" si="65"/>
        <v/>
      </c>
      <c r="GB8" s="44" t="str">
        <f t="shared" si="66"/>
        <v/>
      </c>
      <c r="GC8" s="44" t="str">
        <f>IFERROR(IF(SEARCH("Portuguese",CB8)&gt;0,CHAR(34)&amp;"portug"&amp;CHAR(34)&amp;",",""),"")</f>
        <v/>
      </c>
      <c r="GD8" s="44" t="str">
        <f>IFERROR(IF(SEARCH("German",CB8)&gt;0,CHAR(34)&amp;"german"&amp;CHAR(34)&amp;",",""),"")</f>
        <v/>
      </c>
      <c r="GE8" s="44" t="str">
        <f t="shared" si="67"/>
        <v/>
      </c>
      <c r="GF8" s="44" t="str">
        <f t="shared" si="98"/>
        <v/>
      </c>
      <c r="GG8" s="44" t="str">
        <f t="shared" si="68"/>
        <v/>
      </c>
      <c r="GH8" s="44" t="str">
        <f t="shared" si="69"/>
        <v/>
      </c>
      <c r="GI8" s="44" t="str">
        <f t="shared" si="70"/>
        <v>"hasmap",</v>
      </c>
      <c r="GJ8" s="44" t="str">
        <f t="shared" si="71"/>
        <v>"NoStar",</v>
      </c>
      <c r="GK8" s="44" t="str">
        <f t="shared" si="72"/>
        <v/>
      </c>
      <c r="GL8" s="44" t="str">
        <f t="shared" si="73"/>
        <v/>
      </c>
      <c r="GM8" s="44" t="str">
        <f t="shared" si="73"/>
        <v/>
      </c>
      <c r="GN8" s="44" t="str">
        <f t="shared" si="73"/>
        <v/>
      </c>
      <c r="GP8" s="44" t="str">
        <f t="shared" si="74"/>
        <v>"Territory"</v>
      </c>
      <c r="GS8" s="44" t="str">
        <f t="shared" si="75"/>
        <v>["4Color","words2","exact2","lets13","startS","with_w","with_z","year19","allhor","4+Band","Horizo","Circle","HasSun","Unequa","Center","Geogrh","NO_WHI","NO_BLA","BAWHNO","WHRENO","001BLU","003YEL","myrYEL","hasmap","NoStar"]</v>
      </c>
      <c r="GT8" s="44" t="str">
        <f t="shared" si="76"/>
        <v/>
      </c>
      <c r="GU8" s="44" t="str">
        <f t="shared" si="76"/>
        <v>"cl_BLU",</v>
      </c>
      <c r="GV8" s="44" t="str">
        <f t="shared" si="76"/>
        <v>"cl_GRE",</v>
      </c>
      <c r="GW8" s="44" t="str">
        <f t="shared" si="76"/>
        <v>"cl_RED",</v>
      </c>
      <c r="GX8" s="44" t="str">
        <f t="shared" si="76"/>
        <v>"cl_YEL",</v>
      </c>
      <c r="GY8" s="44" t="str">
        <f t="shared" si="76"/>
        <v/>
      </c>
      <c r="GZ8" s="44" t="str">
        <f t="shared" si="76"/>
        <v/>
      </c>
      <c r="HA8" s="44" t="str">
        <f t="shared" si="76"/>
        <v/>
      </c>
      <c r="HB8" s="44" t="str">
        <f t="shared" si="76"/>
        <v/>
      </c>
      <c r="HC8" s="44" t="str">
        <f t="shared" si="77"/>
        <v>["cl_BLU","cl_GRE","cl_RED","cl_YEL"]</v>
      </c>
      <c r="HE8" s="64"/>
      <c r="HF8" s="65" t="str">
        <f t="shared" si="78"/>
        <v>{couname:"[NZE] Stewart Island",year:"1970",region:"rgn_Oceania",Colors:["cl_BLU","cl_GRE","cl_RED","cl_YEL"],Items:["4Color","words2","exact2","lets13","startS","with_w","with_z","year19","allhor","4+Band","Horizo","Circle","HasSun","Unequa","Center","Geogrh","NO_WHI","NO_BLA","BAWHNO","WHRENO","001BLU","003YEL","myrYEL","hasmap","NoStar"],Flag:"https://www.crwflags.com/fotw/images/n/nz-sti.gif",HDFlag:"https://www.crwflags.com/fotw/images/n/nz-sti.gif",type:"Territory", describe: "\nThe flag is described as being blue, green, red and yellow. It is not very clear in the photo, but would seem to be a semicircular 'rising sun' in the top 2 quarters, red and yellow, over a green island in a blue sea in the lower 2 quarters. The shape of the island and sea is not clear.", isnew:".", links: "https://www.crwflags.com/fotw/flags/nz-sti.html"},</v>
      </c>
      <c r="HG8" s="66" t="str">
        <f t="shared" si="79"/>
        <v>{couname:"[NZE] Stewart Island",year:"1970",region:"rgn_Oceania",Colors:["cl_BLU","cl_GRE","cl_RED","cl_YEL"],Items:["4Color","words2","exact2","lets13","startS","with_w","with_z","year19","allhor","4+Band","Horizo","Circle","HasSun","Unequa","Center","Geogrh","NO_WHI","NO_BLA","BAWHNO","WHRENO","001BLU","003YEL","myrYEL","hasmap","NoStar"],Flag:"https://www.crwflags.com/fotw/images/n/nz-sti.gif",HDFlag:"https://www.crwflags.com/fotw/images/n/nz-sti.gif",type:"Territory", describe: "\nThe flag is described as being blue, green, red and yellow. It is not very clear in the photo, but would seem to be a semicircular 'rising sun' in the top 2 quarters, red and yellow, over a green island in a blue sea in the lower 2 quarters. The shape of the island and sea is not clear.", links: "https://www.crwflags.com/fotw/flags/nz-sti.html"},</v>
      </c>
      <c r="HH8" s="44" t="str">
        <f t="shared" si="80"/>
        <v>"\nThe flag is described as being blue, green, red and yellow. It is not very clear in the photo, but would seem to be a semicircular 'rising sun' in the top 2 quarters, red and yellow, over a green island in a blue sea in the lower 2 quarters. The shape of the island and sea is not clear."</v>
      </c>
      <c r="HI8" s="44" t="str">
        <f t="shared" si="81"/>
        <v>"\nThe flag is described as being blue, green, red and yellow. It is not very clear in the photo, but would seem to be a semicircular 'rising sun' in the top 2 quarters, red and yellow, over a green island in a blue sea in the lower 2 quarters. The shape of the island and sea is not clear."</v>
      </c>
      <c r="HJ8" s="44" t="str">
        <f t="shared" si="82"/>
        <v>"1970"</v>
      </c>
      <c r="HL8" s="44" t="str">
        <f t="shared" si="83"/>
        <v>"https://www.crwflags.com/fotw/flags/nz-sti.html"</v>
      </c>
      <c r="HM8" s="65" t="str">
        <f t="shared" si="84"/>
        <v>{"couname":"[NZE] Stewart Island","year":"1970","region":"rgn_Oceania","Colors":["cl_BLU","cl_GRE","cl_RED","cl_YEL"],"Items":["4Color","words2","exact2","lets13","startS","with_w","with_z","year19","allhor","4+Band","Horizo","Circle","HasSun","Unequa","Center","Geogrh","NO_WHI","NO_BLA","BAWHNO","WHRENO","001BLU","003YEL","myrYEL","hasmap","NoStar"],"Flag":"https://www.crwflags.com/fotw/images/n/nz-sti.gif","HDFlag":"https://www.crwflags.com/fotw/images/n/nz-sti.gif","type":"Territory", "describe": "\nThe flag is described as being blue, green, red and yellow. It is not very clear in the photo, but would seem to be a semicircular 'rising sun' in the top 2 quarters, red and yellow, over a green island in a blue sea in the lower 2 quarters. The shape of the island and sea is not clear.", "isnew": ".", "links": "https://www.crwflags.com/fotw/flags/nz-sti.html"},</v>
      </c>
      <c r="HN8" s="67" t="str">
        <f t="shared" si="85"/>
        <v>{"couname":"[NZE] Stewart Island","year":"1970","region":"rgn_Oceania","Colors":["cl_BLU","cl_GRE","cl_RED","cl_YEL"],"Items":["4Color","words2","exact2","lets13","startS","with_w","with_z","year19","allhor","4+Band","Horizo","Circle","HasSun","Unequa","Center","Geogrh","NO_WHI","NO_BLA","BAWHNO","WHRENO","001BLU","003YEL","myrYEL","hasmap","NoStar"],"Flag":"https://www.crwflags.com/fotw/images/n/nz-sti.gif","HDFlag":"https://www.crwflags.com/fotw/images/n/nz-sti.gif","type":"Territory", "describe": "\nThe flag is described as being blue, green, red and yellow. It is not very clear in the photo, but would seem to be a semicircular 'rising sun' in the top 2 quarters, red and yellow, over a green island in a blue sea in the lower 2 quarters. The shape of the island and sea is not clear.", "isnew": ".", "links": "https://www.crwflags.com/fotw/flags/nz-sti.html"},</v>
      </c>
      <c r="HO8" s="71">
        <v>45583</v>
      </c>
      <c r="HP8" s="44" t="str" cm="1">
        <f t="array" ref="HP8">IF(_xlfn.TEXTJOIN(", ", TRUE, IF(ISNUMBER(SEARCH("BLA", BL8:BT8)), COLUMN(BL8:BT8) - COLUMN(BL8) + 1, ""))&lt;&gt;"","BLA","")</f>
        <v/>
      </c>
      <c r="HQ8" s="44" t="str" cm="1">
        <f t="array" ref="HQ8">IF(_xlfn.TEXTJOIN(", ", TRUE, IF(ISNUMBER(SEARCH("BLU", BL8:BT8)), COLUMN(BL8:BT8) - COLUMN(BL8) + 1, ""))&lt;&gt;"","BLU","")</f>
        <v>BLU</v>
      </c>
      <c r="HR8" s="44" t="str" cm="1">
        <f t="array" ref="HR8">IF(_xlfn.TEXTJOIN(", ", TRUE, IF(ISNUMBER(SEARCH("GRE", BL8:BT8)), COLUMN(BL8:BT8) - COLUMN(BL8) + 1, ""))&lt;&gt;"","GRE","")</f>
        <v>GRE</v>
      </c>
      <c r="HS8" s="44" t="str" cm="1">
        <f t="array" ref="HS8">IF(_xlfn.TEXTJOIN(", ", TRUE, IF(ISNUMBER(SEARCH("RED", BL8:BT8)), COLUMN(BL8:BT8) - COLUMN(BL8) + 1, ""))&lt;&gt;"","RED","")</f>
        <v>RED</v>
      </c>
      <c r="HT8" s="44" t="str" cm="1">
        <f t="array" ref="HT8">IF(_xlfn.TEXTJOIN(", ", TRUE, IF(ISNUMBER(SEARCH("YEL", BL8:BT8)), COLUMN(BL8:BT8) - COLUMN(BL8) + 1, ""))&lt;&gt;"","YEL","")</f>
        <v>YEL</v>
      </c>
      <c r="HU8" s="44" t="str" cm="1">
        <f t="array" ref="HU8">IF(_xlfn.TEXTJOIN(", ", TRUE, IF(ISNUMBER(SEARCH("ORA", BL8:BT8)), COLUMN(BL8:BT8) - COLUMN(BL8) + 1, ""))&lt;&gt;"","ORA","")</f>
        <v/>
      </c>
      <c r="HV8" s="44" t="str" cm="1">
        <f t="array" ref="HV8">IF(_xlfn.TEXTJOIN(", ", TRUE, IF(ISNUMBER(SEARCH("BRO", BL8:BT8)), COLUMN(BL8:BT8) - COLUMN(BL8) + 1, ""))&lt;&gt;"","BRO","")</f>
        <v/>
      </c>
      <c r="HW8" s="44" t="str" cm="1">
        <f t="array" ref="HW8">IF(_xlfn.TEXTJOIN(", ", TRUE, IF(ISNUMBER(SEARCH("PUR", BL8:BT8)), COLUMN(BL8:BT8) - COLUMN(BL8) + 1, ""))&lt;&gt;"","PUR","")</f>
        <v/>
      </c>
      <c r="HX8" s="44" t="str" cm="1">
        <f t="array" ref="HX8">IF(_xlfn.TEXTJOIN(", ", TRUE, IF(ISNUMBER(SEARCH("WHI", BL8:BT8)), COLUMN(BL8:BT8) - COLUMN(BL8) + 1, ""))&lt;&gt;"","WHI","")</f>
        <v/>
      </c>
      <c r="HY8" s="72"/>
      <c r="HZ8" s="72"/>
      <c r="IA8" s="5"/>
      <c r="IB8" s="5"/>
      <c r="IC8" s="68"/>
      <c r="ID8" s="68"/>
      <c r="IE8" s="68"/>
      <c r="IF8" s="68"/>
      <c r="IG8" s="68"/>
      <c r="IH8" s="68"/>
      <c r="II8" s="68"/>
      <c r="IJ8" s="68"/>
      <c r="IK8" s="68"/>
      <c r="IL8" s="44">
        <f>SUM(IC8:IK8)</f>
        <v>0</v>
      </c>
      <c r="IM8" s="42">
        <f t="shared" si="86"/>
        <v>-4</v>
      </c>
      <c r="IN8" s="69" t="str">
        <f t="shared" si="87"/>
        <v>http://mkweb.bcgsc.ca/color-summarizer/?url=https://www.crwflags.com/fotw/images/n/nz-sti.gif&amp;precision=low&amp;num_clusters=4&amp;text=1</v>
      </c>
      <c r="IO8" s="44" t="str">
        <f t="shared" si="88"/>
        <v/>
      </c>
      <c r="IP8" s="44" t="str">
        <f t="shared" si="89"/>
        <v>"blue"</v>
      </c>
      <c r="IQ8" s="44" t="str">
        <f t="shared" si="90"/>
        <v>"green"</v>
      </c>
      <c r="IR8" s="44" t="str">
        <f t="shared" si="91"/>
        <v>"red"</v>
      </c>
      <c r="IS8" s="44" t="str">
        <f t="shared" si="92"/>
        <v>"yellow"</v>
      </c>
      <c r="IT8" s="44" t="str">
        <f t="shared" si="93"/>
        <v/>
      </c>
      <c r="IU8" s="44" t="str">
        <f t="shared" si="94"/>
        <v/>
      </c>
      <c r="IV8" s="44" t="str">
        <f t="shared" si="95"/>
        <v/>
      </c>
      <c r="IW8" s="44" t="str">
        <f t="shared" si="96"/>
        <v/>
      </c>
      <c r="IX8" s="44" t="str">
        <f t="shared" si="97"/>
        <v>{"url":"http://mkweb.bcgsc.ca/color-summarizer/?url=https://www.crwflags.com/fotw/images/n/nz-sti.gif&amp;precision=low&amp;num_clusters=4&amp;text=1","name":"[NZE] Stewart Island"},</v>
      </c>
      <c r="IY8" s="44">
        <v>680</v>
      </c>
    </row>
    <row r="9" spans="1:259" s="44" customFormat="1" ht="38.4" customHeight="1" thickBot="1" x14ac:dyDescent="0.35">
      <c r="A9" s="87" t="s">
        <v>439</v>
      </c>
      <c r="B9" s="78" t="e" vm="76">
        <v>#VALUE!</v>
      </c>
      <c r="C9" s="39" t="s">
        <v>818</v>
      </c>
      <c r="D9" s="70" t="s">
        <v>440</v>
      </c>
      <c r="E9" s="40" t="s">
        <v>441</v>
      </c>
      <c r="F9" s="41" t="s">
        <v>165</v>
      </c>
      <c r="G9" s="42">
        <f t="shared" si="0"/>
        <v>1</v>
      </c>
      <c r="H9" s="43"/>
      <c r="I9" s="59" t="s">
        <v>442</v>
      </c>
      <c r="J9" s="44" t="str">
        <f>""</f>
        <v/>
      </c>
      <c r="K9" s="45"/>
      <c r="L9" s="46"/>
      <c r="M9" s="46"/>
      <c r="N9" s="47" t="s">
        <v>177</v>
      </c>
      <c r="O9" s="74" t="s">
        <v>214</v>
      </c>
      <c r="P9" s="48" t="s">
        <v>443</v>
      </c>
      <c r="Q9" s="73">
        <v>1</v>
      </c>
      <c r="R9" s="49" t="s">
        <v>177</v>
      </c>
      <c r="S9" s="50">
        <v>0</v>
      </c>
      <c r="T9" s="51" t="s">
        <v>166</v>
      </c>
      <c r="U9" s="52" t="s">
        <v>166</v>
      </c>
      <c r="V9" s="52" t="s">
        <v>166</v>
      </c>
      <c r="W9" s="52" t="s">
        <v>166</v>
      </c>
      <c r="X9" s="52" t="s">
        <v>166</v>
      </c>
      <c r="Y9" s="52" t="s">
        <v>166</v>
      </c>
      <c r="Z9" s="52" t="s">
        <v>166</v>
      </c>
      <c r="AA9" s="52" t="s">
        <v>166</v>
      </c>
      <c r="AB9" s="52" t="s">
        <v>166</v>
      </c>
      <c r="AC9" s="52" t="s">
        <v>166</v>
      </c>
      <c r="AD9" s="52" t="s">
        <v>166</v>
      </c>
      <c r="AE9" s="52" t="s">
        <v>166</v>
      </c>
      <c r="AF9" s="53" t="s">
        <v>166</v>
      </c>
      <c r="AG9" s="53" t="s">
        <v>166</v>
      </c>
      <c r="AH9" s="53" t="s">
        <v>166</v>
      </c>
      <c r="AI9" s="53" t="s">
        <v>166</v>
      </c>
      <c r="AJ9" s="53" t="s">
        <v>166</v>
      </c>
      <c r="AK9" s="53" t="s">
        <v>166</v>
      </c>
      <c r="AL9" s="53" t="s">
        <v>167</v>
      </c>
      <c r="AM9" s="53" t="s">
        <v>166</v>
      </c>
      <c r="AN9" s="53" t="s">
        <v>166</v>
      </c>
      <c r="AO9" s="53" t="s">
        <v>166</v>
      </c>
      <c r="AP9" s="53" t="s">
        <v>167</v>
      </c>
      <c r="AQ9" s="53" t="s">
        <v>166</v>
      </c>
      <c r="AR9" s="53" t="s">
        <v>166</v>
      </c>
      <c r="AS9" s="53" t="s">
        <v>166</v>
      </c>
      <c r="AT9" s="54">
        <v>4</v>
      </c>
      <c r="AU9" s="53" t="s">
        <v>1140</v>
      </c>
      <c r="AV9" s="53" t="str">
        <f t="shared" si="1"/>
        <v>[NZE]Territory[NZE] Tokelau</v>
      </c>
      <c r="AW9" s="53" t="str">
        <f t="shared" si="2"/>
        <v>2b[NZE] Tokelau</v>
      </c>
      <c r="AX9" s="55" t="str">
        <f>_xlfn.TEXTJOIN(";",TRUE,AU9:AW9)</f>
        <v>Territory;[NZE]Territory[NZE] Tokelau;2b[NZE] Tokelau</v>
      </c>
      <c r="AY9" s="55"/>
      <c r="AZ9" s="56" t="s">
        <v>161</v>
      </c>
      <c r="BA9" s="56"/>
      <c r="BB9" s="56"/>
      <c r="BC9" s="57"/>
      <c r="BD9" s="58" t="s">
        <v>154</v>
      </c>
      <c r="BE9" s="59"/>
      <c r="BF9" s="58"/>
      <c r="BG9" s="58"/>
      <c r="BH9" s="58"/>
      <c r="BI9" s="58"/>
      <c r="BJ9" s="58"/>
      <c r="BK9" s="59"/>
      <c r="BL9" s="58" t="s">
        <v>154</v>
      </c>
      <c r="BM9" s="58" t="s">
        <v>157</v>
      </c>
      <c r="BN9" s="58" t="s">
        <v>161</v>
      </c>
      <c r="BO9" s="58"/>
      <c r="BP9" s="58"/>
      <c r="BQ9" s="58"/>
      <c r="BR9" s="58"/>
      <c r="BS9" s="58"/>
      <c r="BT9" s="58"/>
      <c r="BU9" s="60"/>
      <c r="BV9" s="61"/>
      <c r="BW9" s="61">
        <v>0</v>
      </c>
      <c r="BX9" s="59"/>
      <c r="CB9" s="5"/>
      <c r="CC9" s="5"/>
      <c r="CD9" s="62">
        <v>1</v>
      </c>
      <c r="CE9" s="62">
        <v>0</v>
      </c>
      <c r="CF9" s="62" t="e">
        <v>#REF!</v>
      </c>
      <c r="CG9" s="75" cm="1">
        <f t="array" ref="CG9">SUMPRODUCT(--(LEN(TRIM(BL9:BT9))&gt;0))</f>
        <v>3</v>
      </c>
      <c r="CH9" s="53" t="str">
        <f t="shared" si="3"/>
        <v>n</v>
      </c>
      <c r="CI9" s="53" t="str">
        <f t="shared" si="4"/>
        <v>y</v>
      </c>
      <c r="CJ9" s="53" t="str">
        <f t="shared" si="5"/>
        <v>n</v>
      </c>
      <c r="CK9" s="53" t="str">
        <f t="shared" si="6"/>
        <v>n</v>
      </c>
      <c r="CL9" s="53" t="str">
        <f t="shared" si="7"/>
        <v>y</v>
      </c>
      <c r="CM9" s="53" t="str">
        <f t="shared" si="8"/>
        <v>n</v>
      </c>
      <c r="CN9" s="53" t="str">
        <f t="shared" si="9"/>
        <v>n</v>
      </c>
      <c r="CO9" s="53" t="str">
        <f t="shared" si="10"/>
        <v>n</v>
      </c>
      <c r="CP9" s="53" t="str">
        <f t="shared" si="11"/>
        <v>n</v>
      </c>
      <c r="CQ9" s="53" t="str">
        <f t="shared" si="12"/>
        <v>n</v>
      </c>
      <c r="CR9" s="53" t="str">
        <f t="shared" si="13"/>
        <v>n</v>
      </c>
      <c r="CS9" s="53" t="str">
        <f t="shared" si="14"/>
        <v>y</v>
      </c>
      <c r="CT9" s="38" t="str">
        <f t="shared" si="15"/>
        <v>"[NZE] Tokelau"</v>
      </c>
      <c r="CU9" s="63" t="str">
        <f t="shared" si="16"/>
        <v>"rgn_Oceania"</v>
      </c>
      <c r="CV9" s="44" t="str">
        <f t="shared" si="17"/>
        <v>"https://upload.wikimedia.org/wikipedia/commons/thumb/8/8e/Flag_of_Tokelau.svg/383px-Flag_of_Tokelau.svg.png"</v>
      </c>
      <c r="CW9" s="44" t="str">
        <f t="shared" si="18"/>
        <v/>
      </c>
      <c r="CX9" s="44" t="str">
        <f t="shared" si="18"/>
        <v>"3Color",</v>
      </c>
      <c r="CY9" s="44" t="str">
        <f t="shared" si="18"/>
        <v/>
      </c>
      <c r="CZ9" s="44" t="str">
        <f t="shared" si="18"/>
        <v/>
      </c>
      <c r="DA9" s="44" t="str">
        <f t="shared" si="19"/>
        <v/>
      </c>
      <c r="DB9" s="44" t="str">
        <f t="shared" si="20"/>
        <v/>
      </c>
      <c r="DC9" s="44" t="str">
        <f>IF(Q9=2,CHAR(34)&amp;"exact2"&amp;CHAR(34)&amp;",","")</f>
        <v/>
      </c>
      <c r="DD9" s="44" t="str">
        <f>IF(LEN(CHAR(34)&amp;"lets"&amp;LEN(SUBSTITUTE(SUBSTITUTE(IFERROR(TRIM(SUBSTITUTE(SUBSTITUTE(SUBSTITUTE(IFERROR(TRIM(SUBSTITUTE(A9,MID(A9,FIND("(",A9),FIND(")",A9)-FIND("(",A9)+1),"")),A9)," ",""),"-",""),MID(SUBSTITUTE(SUBSTITUTE(IFERROR(TRIM(SUBSTITUTE(A9,MID(A9,FIND("(",A9),FIND(")",A9)-FIND("(",A9)+1),"")),A9)," ",""),"-",""),FIND("[",SUBSTITUTE(SUBSTITUTE(IFERROR(TRIM(SUBSTITUTE(A9,MID(A9,FIND("(",A9),FIND(")",A9)-FIND("(",A9)+1),"")),A9)," ",""),"-","")),FIND("]",SUBSTITUTE(SUBSTITUTE(IFERROR(TRIM(SUBSTITUTE(A9,MID(A9,FIND("(",A9),FIND(")",A9)-FIND("(",A9)+1),"")),A9)," ",""),"-",""))-FIND("[",SUBSTITUTE(SUBSTITUTE(IFERROR(TRIM(SUBSTITUTE(A9,MID(A9,FIND("(",A9),FIND(")",A9)-FIND("(",A9)+1),"")),A9)," ",""),"-",""))+1),"")),SUBSTITUTE(SUBSTITUTE(IFERROR(TRIM(SUBSTITUTE(A9,MID(A9,FIND("(",A9),FIND(")",A9)-FIND("(",A9)+1),"")),A9)," ",""),"-",""))," ",""),"-",""))&amp;CHAR(34)&amp;",")=9,CHAR(34)&amp;"lets"&amp;LEN(SUBSTITUTE(SUBSTITUTE(IFERROR(TRIM(SUBSTITUTE(SUBSTITUTE(SUBSTITUTE(IFERROR(TRIM(SUBSTITUTE(A9,MID(A9,FIND("(",A9),FIND(")",A9)-FIND("(",A9)+1),"")),A9)," ",""),"-",""),MID(SUBSTITUTE(SUBSTITUTE(IFERROR(TRIM(SUBSTITUTE(A9,MID(A9,FIND("(",A9),FIND(")",A9)-FIND("(",A9)+1),"")),A9)," ",""),"-",""),FIND("[",SUBSTITUTE(SUBSTITUTE(IFERROR(TRIM(SUBSTITUTE(A9,MID(A9,FIND("(",A9),FIND(")",A9)-FIND("(",A9)+1),"")),A9)," ",""),"-","")),FIND("]",SUBSTITUTE(SUBSTITUTE(IFERROR(TRIM(SUBSTITUTE(A9,MID(A9,FIND("(",A9),FIND(")",A9)-FIND("(",A9)+1),"")),A9)," ",""),"-",""))-FIND("[",SUBSTITUTE(SUBSTITUTE(IFERROR(TRIM(SUBSTITUTE(A9,MID(A9,FIND("(",A9),FIND(")",A9)-FIND("(",A9)+1),"")),A9)," ",""),"-",""))+1),"")),SUBSTITUTE(SUBSTITUTE(IFERROR(TRIM(SUBSTITUTE(A9,MID(A9,FIND("(",A9),FIND(")",A9)-FIND("(",A9)+1),"")),A9)," ",""),"-",""))," ",""),"-",""))&amp;CHAR(34)&amp;",",CHAR(34)&amp;"lets0"&amp;LEN(SUBSTITUTE(SUBSTITUTE(IFERROR(TRIM(SUBSTITUTE(SUBSTITUTE(SUBSTITUTE(IFERROR(TRIM(SUBSTITUTE(A9,MID(A9,FIND("(",A9),FIND(")",A9)-FIND("(",A9)+1),"")),A9)," ",""),"-",""),MID(SUBSTITUTE(SUBSTITUTE(IFERROR(TRIM(SUBSTITUTE(A9,MID(A9,FIND("(",A9),FIND(")",A9)-FIND("(",A9)+1),"")),A9)," ",""),"-",""),FIND("[",SUBSTITUTE(SUBSTITUTE(IFERROR(TRIM(SUBSTITUTE(A9,MID(A9,FIND("(",A9),FIND(")",A9)-FIND("(",A9)+1),"")),A9)," ",""),"-","")),FIND("]",SUBSTITUTE(SUBSTITUTE(IFERROR(TRIM(SUBSTITUTE(A9,MID(A9,FIND("(",A9),FIND(")",A9)-FIND("(",A9)+1),"")),A9)," ",""),"-",""))-FIND("[",SUBSTITUTE(SUBSTITUTE(IFERROR(TRIM(SUBSTITUTE(A9,MID(A9,FIND("(",A9),FIND(")",A9)-FIND("(",A9)+1),"")),A9)," ",""),"-",""))+1),"")),SUBSTITUTE(SUBSTITUTE(IFERROR(TRIM(SUBSTITUTE(A9,MID(A9,FIND("(",A9),FIND(")",A9)-FIND("(",A9)+1),"")),A9)," ",""),"-",""))," ",""),"-",""))&amp;CHAR(34)&amp;",")</f>
        <v>"lets07",</v>
      </c>
      <c r="DE9" s="44" t="str">
        <f>IFERROR(CHAR(34)&amp;"start"&amp;LEFT(TRIM(SUBSTITUTE(SUBSTITUTE(TRIM(SUBSTITUTE(SUBSTITUTE(A9, MID(A9, FIND("[", A9), FIND("]", A9) - FIND("[", A9) + 1), ""), "  ", " ")), MID(TRIM(SUBSTITUTE(SUBSTITUTE(A9, MID(A9, FIND("[", A9), FIND("]", A9) - FIND("[", A9) + 1), ""), "  ", " ")), FIND("[", TRIM(SUBSTITUTE(SUBSTITUTE(A9, MID(A9, FIND("[", A9), FIND("]", A9) - FIND("[", A9) + 1), ""), "  ", " "))), FIND("]", TRIM(SUBSTITUTE(SUBSTITUTE(A9, MID(A9, FIND("[", A9), FIND("]", A9) - FIND("[", A9) + 1), ""), "  ", " "))) - FIND("[", TRIM(SUBSTITUTE(SUBSTITUTE(A9, MID(A9, FIND("[", A9), FIND("]", A9) - FIND("[", A9) + 1), ""), "  ", " "))) + 1), ""), "  ", " ")),1)&amp;CHAR(34)&amp;",",CHAR(34)&amp;"start"&amp;IFERROR(LEFT(SUBSTITUTE(A9,"["&amp;MID(A9,FIND("[",A9)+1,FIND("]",A9)-FIND("[",A9)-1)&amp;"] ",""),1),LEFT(A9,1))&amp;CHAR(34)&amp;",")</f>
        <v>"startT",</v>
      </c>
      <c r="DF9" s="44" t="str">
        <f t="shared" si="21"/>
        <v/>
      </c>
      <c r="DG9" s="44" t="str">
        <f t="shared" si="22"/>
        <v/>
      </c>
      <c r="DH9" s="44" t="str">
        <f t="shared" si="23"/>
        <v/>
      </c>
      <c r="DI9" s="44" t="str">
        <f t="shared" si="24"/>
        <v/>
      </c>
      <c r="DJ9" s="44" t="str">
        <f t="shared" si="25"/>
        <v/>
      </c>
      <c r="DK9" s="44" t="str">
        <f t="shared" si="26"/>
        <v>"with_z",</v>
      </c>
      <c r="DL9" s="44" t="str">
        <f t="shared" si="27"/>
        <v/>
      </c>
      <c r="DM9" s="44" t="str" cm="1">
        <f t="array" ref="DM9">IF(CG9=3,CHAR(34) &amp; _xlfn.TEXTJOIN("", TRUE, RIGHT(HP9:HX9, 2)) &amp; CHAR(34) &amp; ",", "")</f>
        <v>"LUELHI",</v>
      </c>
      <c r="DN9" s="44" t="str">
        <f t="shared" si="28"/>
        <v/>
      </c>
      <c r="DO9" s="44" t="str">
        <f t="shared" si="29"/>
        <v>"year19",</v>
      </c>
      <c r="DP9" s="5" t="str">
        <f t="shared" si="30"/>
        <v/>
      </c>
      <c r="DQ9" s="5" t="str">
        <f t="shared" si="31"/>
        <v/>
      </c>
      <c r="DR9" s="5" t="str">
        <f t="shared" si="32"/>
        <v/>
      </c>
      <c r="DS9" s="5" t="str">
        <f t="shared" si="33"/>
        <v/>
      </c>
      <c r="DT9" s="5" t="str">
        <f t="shared" si="34"/>
        <v/>
      </c>
      <c r="DU9" s="5" t="str">
        <f t="shared" si="35"/>
        <v/>
      </c>
      <c r="DV9" s="44" t="str">
        <f>IF(IA9&lt;&gt;"",(IF(IA9="y",CHAR(34)&amp;"largec"&amp;CHAR(34)&amp;",",CHAR(34)&amp;"smallc"&amp;CHAR(34)&amp;",")),"")</f>
        <v/>
      </c>
      <c r="DW9" s="44" t="str">
        <f t="shared" si="36"/>
        <v>"NoBand",</v>
      </c>
      <c r="DX9" s="44" t="str">
        <f t="shared" si="36"/>
        <v/>
      </c>
      <c r="DY9" s="44" t="str">
        <f t="shared" si="36"/>
        <v/>
      </c>
      <c r="DZ9" s="44" t="str">
        <f t="shared" si="36"/>
        <v/>
      </c>
      <c r="EA9" s="44" t="str">
        <f t="shared" si="37"/>
        <v/>
      </c>
      <c r="EB9" s="44" t="str">
        <f t="shared" si="37"/>
        <v/>
      </c>
      <c r="EC9" s="44" t="str">
        <f t="shared" si="37"/>
        <v/>
      </c>
      <c r="ED9" s="44" t="str">
        <f t="shared" si="37"/>
        <v/>
      </c>
      <c r="EE9" s="44" t="str">
        <f t="shared" si="37"/>
        <v/>
      </c>
      <c r="EF9" s="44" t="str">
        <f t="shared" si="38"/>
        <v/>
      </c>
      <c r="EG9" s="44" t="str">
        <f t="shared" si="39"/>
        <v/>
      </c>
      <c r="EH9" s="44" t="str">
        <f t="shared" si="39"/>
        <v/>
      </c>
      <c r="EI9" s="44" t="str">
        <f t="shared" si="39"/>
        <v/>
      </c>
      <c r="EJ9" s="44" t="str">
        <f t="shared" si="39"/>
        <v/>
      </c>
      <c r="EK9" s="44" t="str">
        <f t="shared" si="39"/>
        <v/>
      </c>
      <c r="EL9" s="44" t="str">
        <f t="shared" si="39"/>
        <v/>
      </c>
      <c r="EM9" s="44" t="str">
        <f t="shared" si="39"/>
        <v/>
      </c>
      <c r="EN9" s="44" t="str">
        <f t="shared" si="39"/>
        <v/>
      </c>
      <c r="EO9" s="44" t="str">
        <f t="shared" si="39"/>
        <v/>
      </c>
      <c r="EP9" s="44" t="str">
        <f t="shared" si="39"/>
        <v/>
      </c>
      <c r="EQ9" s="44" t="str">
        <f t="shared" si="39"/>
        <v/>
      </c>
      <c r="ER9" s="44" t="str">
        <f t="shared" si="39"/>
        <v/>
      </c>
      <c r="ES9" s="44" t="str">
        <f t="shared" si="39"/>
        <v>"Wavess",</v>
      </c>
      <c r="ET9" s="44" t="str">
        <f t="shared" si="39"/>
        <v/>
      </c>
      <c r="EU9" s="44" t="str">
        <f t="shared" si="39"/>
        <v/>
      </c>
      <c r="EV9" s="44" t="str">
        <f t="shared" si="39"/>
        <v/>
      </c>
      <c r="EW9" s="44" t="str">
        <f t="shared" si="40"/>
        <v>"Ships!",</v>
      </c>
      <c r="EX9" s="44" t="str">
        <f t="shared" si="40"/>
        <v/>
      </c>
      <c r="EY9" s="44" t="str">
        <f t="shared" si="40"/>
        <v/>
      </c>
      <c r="EZ9" s="44" t="str">
        <f t="shared" si="40"/>
        <v/>
      </c>
      <c r="FA9" s="44" t="str">
        <f t="shared" si="41"/>
        <v>"staWHI",</v>
      </c>
      <c r="FB9" s="44" t="str">
        <f t="shared" si="42"/>
        <v/>
      </c>
      <c r="FC9" s="44" t="str">
        <f>IF(AND(AT9&gt;0,BB9&lt;&gt;""),CHAR(34)&amp;"sta"&amp;BB9&amp;CHAR(34)&amp;",","")</f>
        <v/>
      </c>
      <c r="FD9" s="44" t="str">
        <f t="shared" si="43"/>
        <v/>
      </c>
      <c r="FE9" s="44" t="str">
        <f t="shared" si="44"/>
        <v/>
      </c>
      <c r="FF9" s="44" t="str">
        <f t="shared" si="45"/>
        <v/>
      </c>
      <c r="FG9" s="44" t="str">
        <f t="shared" si="46"/>
        <v>"NO_RED",</v>
      </c>
      <c r="FH9" s="44" t="str">
        <f t="shared" si="47"/>
        <v>"NO_GRE",</v>
      </c>
      <c r="FI9" s="44" t="str">
        <f t="shared" si="48"/>
        <v/>
      </c>
      <c r="FJ9" s="44" t="str">
        <f t="shared" si="49"/>
        <v>"NO_BLA",</v>
      </c>
      <c r="FK9" s="44" t="str">
        <f t="shared" si="50"/>
        <v/>
      </c>
      <c r="FL9" s="44" t="str">
        <f t="shared" si="51"/>
        <v/>
      </c>
      <c r="FM9" s="44" t="str">
        <f t="shared" si="52"/>
        <v/>
      </c>
      <c r="FN9" s="44" t="str">
        <f t="shared" si="53"/>
        <v/>
      </c>
      <c r="FO9" s="44" t="str">
        <f t="shared" si="54"/>
        <v/>
      </c>
      <c r="FP9" s="44" t="str">
        <f t="shared" si="55"/>
        <v/>
      </c>
      <c r="FQ9" s="44" t="str">
        <f t="shared" si="56"/>
        <v/>
      </c>
      <c r="FR9" s="44" t="str">
        <f t="shared" si="57"/>
        <v/>
      </c>
      <c r="FS9" s="44" t="str">
        <f t="shared" si="58"/>
        <v/>
      </c>
      <c r="FT9" s="44" t="str">
        <f t="shared" si="59"/>
        <v>"myrBLU",</v>
      </c>
      <c r="FU9" s="44" t="str">
        <f t="shared" si="60"/>
        <v/>
      </c>
      <c r="FV9" s="44" t="str">
        <f t="shared" si="61"/>
        <v/>
      </c>
      <c r="FW9" s="44" t="str">
        <f t="shared" si="62"/>
        <v/>
      </c>
      <c r="FX9" s="44" t="str">
        <f>SUBSTITUTE(IFERROR(SEARCH("[",A9),IFERROR(IF(AND(CA9&lt;&gt;"y",SEARCH("Europe",R9)&gt;0),CHAR(34)&amp;"noeuni"&amp;CHAR(34)&amp;",",""),"")),"1","")</f>
        <v/>
      </c>
      <c r="FY9" s="44" t="str">
        <f t="shared" si="63"/>
        <v/>
      </c>
      <c r="FZ9" s="44" t="str">
        <f t="shared" si="64"/>
        <v/>
      </c>
      <c r="GA9" s="44" t="str">
        <f t="shared" si="65"/>
        <v/>
      </c>
      <c r="GB9" s="44" t="str">
        <f t="shared" si="66"/>
        <v/>
      </c>
      <c r="GC9" s="44" t="str">
        <f>IFERROR(IF(SEARCH("Portuguese",CB9)&gt;0,CHAR(34)&amp;"portug"&amp;CHAR(34)&amp;",",""),"")</f>
        <v/>
      </c>
      <c r="GD9" s="44" t="str">
        <f>IFERROR(IF(SEARCH("German",CB9)&gt;0,CHAR(34)&amp;"german"&amp;CHAR(34)&amp;",",""),"")</f>
        <v/>
      </c>
      <c r="GE9" s="44" t="str">
        <f t="shared" si="67"/>
        <v/>
      </c>
      <c r="GF9" s="44" t="str">
        <f t="shared" si="98"/>
        <v/>
      </c>
      <c r="GG9" s="44" t="str">
        <f t="shared" si="68"/>
        <v/>
      </c>
      <c r="GH9" s="44" t="str">
        <f t="shared" si="69"/>
        <v>"southc",</v>
      </c>
      <c r="GI9" s="44" t="str">
        <f t="shared" si="70"/>
        <v/>
      </c>
      <c r="GJ9" s="44" t="str">
        <f t="shared" si="71"/>
        <v/>
      </c>
      <c r="GK9" s="44" t="str">
        <f t="shared" si="72"/>
        <v>"HasSta",</v>
      </c>
      <c r="GL9" s="44" t="str">
        <f t="shared" si="73"/>
        <v/>
      </c>
      <c r="GM9" s="44" t="str">
        <f t="shared" si="73"/>
        <v/>
      </c>
      <c r="GN9" s="44" t="str">
        <f t="shared" si="73"/>
        <v>"3+Star",</v>
      </c>
      <c r="GP9" s="44" t="str">
        <f t="shared" si="74"/>
        <v>"Territory"</v>
      </c>
      <c r="GS9" s="44" t="str">
        <f t="shared" si="75"/>
        <v>["3Color","lets07","startT","with_z","LUELHI","year19","NoBand","Wavess","Ships!","staWHI","NO_RED","NO_GRE","NO_BLA","myrBLU","southc","HasSta","3+Star"]</v>
      </c>
      <c r="GT9" s="44" t="str">
        <f t="shared" si="76"/>
        <v>"cl_BLU",</v>
      </c>
      <c r="GU9" s="44" t="str">
        <f t="shared" si="76"/>
        <v>"cl_YEL",</v>
      </c>
      <c r="GV9" s="44" t="str">
        <f t="shared" si="76"/>
        <v>"cl_WHI",</v>
      </c>
      <c r="GW9" s="44" t="str">
        <f t="shared" si="76"/>
        <v/>
      </c>
      <c r="GX9" s="44" t="str">
        <f t="shared" si="76"/>
        <v/>
      </c>
      <c r="GY9" s="44" t="str">
        <f t="shared" si="76"/>
        <v/>
      </c>
      <c r="GZ9" s="44" t="str">
        <f t="shared" si="76"/>
        <v/>
      </c>
      <c r="HA9" s="44" t="str">
        <f t="shared" si="76"/>
        <v/>
      </c>
      <c r="HB9" s="44" t="str">
        <f t="shared" si="76"/>
        <v/>
      </c>
      <c r="HC9" s="44" t="str">
        <f t="shared" si="77"/>
        <v>["cl_BLU","cl_YEL","cl_WHI"]</v>
      </c>
      <c r="HE9" s="64"/>
      <c r="HF9" s="65" t="str">
        <f t="shared" si="78"/>
        <v>{couname:"[NZE] Tokelau",year:"1995 ",region:"rgn_Oceania",Colors:["cl_BLU","cl_YEL","cl_WHI"],Items:["3Color","lets07","startT","with_z","LUELHI","year19","NoBand","Wavess","Ships!","staWHI","NO_RED","NO_GRE","NO_BLA","myrBLU","southc","HasSta","3+Star"],Flag:"https://upload.wikimedia.org/wikipedia/commons/thumb/8/8e/Flag_of_Tokelau.svg/383px-Flag_of_Tokelau.svg.png",HDFlag:"https://upload.wikimedia.org/wikipedia/commons/thumb/8/8e/Flag_of_Tokelau.svg/2560px-Flag_of_Tokelau.svg.png",type:"Territory", describe: "\nA yellow Tokelauan canoe sailing towards the Southern Cross represented by four white stars on a blue field", isnew:".", links: "https://en.wikipedia.org/wiki/Flag_of_Tokelau"},</v>
      </c>
      <c r="HG9" s="66" t="str">
        <f t="shared" si="79"/>
        <v>{couname:"[NZE] Tokelau",year:"1995 ",region:"rgn_Oceania",Colors:["cl_BLU","cl_YEL","cl_WHI"],Items:["3Color","lets07","startT","with_z","LUELHI","year19","NoBand","Wavess","Ships!","staWHI","NO_RED","NO_GRE","NO_BLA","myrBLU","southc","HasSta","3+Star"],Flag:"https://upload.wikimedia.org/wikipedia/commons/thumb/8/8e/Flag_of_Tokelau.svg/383px-Flag_of_Tokelau.svg.png",HDFlag:"https://upload.wikimedia.org/wikipedia/commons/thumb/8/8e/Flag_of_Tokelau.svg/2560px-Flag_of_Tokelau.svg.png",type:"Territory", describe: "\nA yellow Tokelauan canoe sailing towards the Southern Cross represented by four white stars on a blue field", links: "https://en.wikipedia.org/wiki/Flag_of_Tokelau"},</v>
      </c>
      <c r="HH9" s="44" t="str">
        <f t="shared" si="80"/>
        <v>"\nA yellow Tokelauan canoe sailing towards the Southern Cross represented by four white stars on a blue field"</v>
      </c>
      <c r="HI9" s="44" t="str">
        <f t="shared" si="81"/>
        <v>"\nA yellow Tokelauan canoe sailing towards the Southern Cross represented by four white stars on a blue field"</v>
      </c>
      <c r="HJ9" s="44" t="str">
        <f t="shared" si="82"/>
        <v>"1995 "</v>
      </c>
      <c r="HL9" s="44" t="str">
        <f t="shared" si="83"/>
        <v>"https://en.wikipedia.org/wiki/Flag_of_Tokelau"</v>
      </c>
      <c r="HM9" s="65" t="str">
        <f t="shared" si="84"/>
        <v>{"couname":"[NZE] Tokelau","year":"1995 ","region":"rgn_Oceania","Colors":["cl_BLU","cl_YEL","cl_WHI"],"Items":["3Color","lets07","startT","with_z","LUELHI","year19","NoBand","Wavess","Ships!","staWHI","NO_RED","NO_GRE","NO_BLA","myrBLU","southc","HasSta","3+Star"],"Flag":"https://upload.wikimedia.org/wikipedia/commons/thumb/8/8e/Flag_of_Tokelau.svg/383px-Flag_of_Tokelau.svg.png","HDFlag":"https://upload.wikimedia.org/wikipedia/commons/thumb/8/8e/Flag_of_Tokelau.svg/2560px-Flag_of_Tokelau.svg.png","type":"Territory", "describe": "\nA yellow Tokelauan canoe sailing towards the Southern Cross represented by four white stars on a blue field", "isnew": ".", "links": "https://en.wikipedia.org/wiki/Flag_of_Tokelau"},</v>
      </c>
      <c r="HN9" s="67" t="str">
        <f t="shared" si="85"/>
        <v>{"couname":"[NZE] Tokelau","year":"1995 ","region":"rgn_Oceania","Colors":["cl_BLU","cl_YEL","cl_WHI"],"Items":["3Color","lets07","startT","with_z","LUELHI","year19","NoBand","Wavess","Ships!","staWHI","NO_RED","NO_GRE","NO_BLA","myrBLU","southc","HasSta","3+Star"],"Flag":"https://upload.wikimedia.org/wikipedia/commons/thumb/8/8e/Flag_of_Tokelau.svg/383px-Flag_of_Tokelau.svg.png","HDFlag":"https://upload.wikimedia.org/wikipedia/commons/thumb/8/8e/Flag_of_Tokelau.svg/2560px-Flag_of_Tokelau.svg.png","type":"Territory", "describe": "\nA yellow Tokelauan canoe sailing towards the Southern Cross represented by four white stars on a blue field", "isnew": ".", "links": "https://en.wikipedia.org/wiki/Flag_of_Tokelau"},</v>
      </c>
      <c r="HO9" s="71"/>
      <c r="HP9" s="44" t="str" cm="1">
        <f t="array" ref="HP9">IF(_xlfn.TEXTJOIN(", ", TRUE, IF(ISNUMBER(SEARCH("BLA", BL9:BT9)), COLUMN(BL9:BT9) - COLUMN(BL9) + 1, ""))&lt;&gt;"","BLA","")</f>
        <v/>
      </c>
      <c r="HQ9" s="44" t="str" cm="1">
        <f t="array" ref="HQ9">IF(_xlfn.TEXTJOIN(", ", TRUE, IF(ISNUMBER(SEARCH("BLU", BL9:BT9)), COLUMN(BL9:BT9) - COLUMN(BL9) + 1, ""))&lt;&gt;"","BLU","")</f>
        <v>BLU</v>
      </c>
      <c r="HR9" s="44" t="str" cm="1">
        <f t="array" ref="HR9">IF(_xlfn.TEXTJOIN(", ", TRUE, IF(ISNUMBER(SEARCH("GRE", BL9:BT9)), COLUMN(BL9:BT9) - COLUMN(BL9) + 1, ""))&lt;&gt;"","GRE","")</f>
        <v/>
      </c>
      <c r="HS9" s="44" t="str" cm="1">
        <f t="array" ref="HS9">IF(_xlfn.TEXTJOIN(", ", TRUE, IF(ISNUMBER(SEARCH("RED", BL9:BT9)), COLUMN(BL9:BT9) - COLUMN(BL9) + 1, ""))&lt;&gt;"","RED","")</f>
        <v/>
      </c>
      <c r="HT9" s="44" t="str" cm="1">
        <f t="array" ref="HT9">IF(_xlfn.TEXTJOIN(", ", TRUE, IF(ISNUMBER(SEARCH("YEL", BL9:BT9)), COLUMN(BL9:BT9) - COLUMN(BL9) + 1, ""))&lt;&gt;"","YEL","")</f>
        <v>YEL</v>
      </c>
      <c r="HU9" s="44" t="str" cm="1">
        <f t="array" ref="HU9">IF(_xlfn.TEXTJOIN(", ", TRUE, IF(ISNUMBER(SEARCH("ORA", BL9:BT9)), COLUMN(BL9:BT9) - COLUMN(BL9) + 1, ""))&lt;&gt;"","ORA","")</f>
        <v/>
      </c>
      <c r="HV9" s="44" t="str" cm="1">
        <f t="array" ref="HV9">IF(_xlfn.TEXTJOIN(", ", TRUE, IF(ISNUMBER(SEARCH("BRO", BL9:BT9)), COLUMN(BL9:BT9) - COLUMN(BL9) + 1, ""))&lt;&gt;"","BRO","")</f>
        <v/>
      </c>
      <c r="HW9" s="44" t="str" cm="1">
        <f t="array" ref="HW9">IF(_xlfn.TEXTJOIN(", ", TRUE, IF(ISNUMBER(SEARCH("PUR", BL9:BT9)), COLUMN(BL9:BT9) - COLUMN(BL9) + 1, ""))&lt;&gt;"","PUR","")</f>
        <v/>
      </c>
      <c r="HX9" s="44" t="str" cm="1">
        <f t="array" ref="HX9">IF(_xlfn.TEXTJOIN(", ", TRUE, IF(ISNUMBER(SEARCH("WHI", BL9:BT9)), COLUMN(BL9:BT9) - COLUMN(BL9) + 1, ""))&lt;&gt;"","WHI","")</f>
        <v>WHI</v>
      </c>
      <c r="HY9" s="72"/>
      <c r="HZ9" s="72"/>
      <c r="IA9" s="5"/>
      <c r="IB9" s="5"/>
      <c r="IC9" s="68"/>
      <c r="ID9" s="68"/>
      <c r="IE9" s="68"/>
      <c r="IF9" s="68"/>
      <c r="IG9" s="68"/>
      <c r="IH9" s="68"/>
      <c r="II9" s="68"/>
      <c r="IJ9" s="68"/>
      <c r="IK9" s="68"/>
      <c r="IL9" s="44">
        <f>SUM(IC9:IK9)</f>
        <v>0</v>
      </c>
      <c r="IM9" s="42">
        <f t="shared" si="86"/>
        <v>-3</v>
      </c>
      <c r="IN9" s="69" t="str">
        <f t="shared" si="87"/>
        <v>http://mkweb.bcgsc.ca/color-summarizer/?url=https://upload.wikimedia.org/wikipedia/commons/thumb/8/8e/Flag_of_Tokelau.svg/383px-Flag_of_Tokelau.svg.png&amp;precision=low&amp;num_clusters=3&amp;text=1</v>
      </c>
      <c r="IO9" s="44" t="str">
        <f t="shared" si="88"/>
        <v/>
      </c>
      <c r="IP9" s="44" t="str">
        <f t="shared" si="89"/>
        <v>"blue"</v>
      </c>
      <c r="IQ9" s="44" t="str">
        <f t="shared" si="90"/>
        <v/>
      </c>
      <c r="IR9" s="44" t="str">
        <f t="shared" si="91"/>
        <v/>
      </c>
      <c r="IS9" s="44" t="str">
        <f t="shared" si="92"/>
        <v>"yellow"</v>
      </c>
      <c r="IT9" s="44" t="str">
        <f t="shared" si="93"/>
        <v/>
      </c>
      <c r="IU9" s="44" t="str">
        <f t="shared" si="94"/>
        <v/>
      </c>
      <c r="IV9" s="44" t="str">
        <f t="shared" si="95"/>
        <v/>
      </c>
      <c r="IW9" s="44" t="str">
        <f t="shared" si="96"/>
        <v>"white"</v>
      </c>
      <c r="IX9" s="44" t="str">
        <f t="shared" si="97"/>
        <v>{"url":"http://mkweb.bcgsc.ca/color-summarizer/?url=https://upload.wikimedia.org/wikipedia/commons/thumb/8/8e/Flag_of_Tokelau.svg/383px-Flag_of_Tokelau.svg.png&amp;precision=low&amp;num_clusters=3&amp;text=1","name":"[NZE] Tokelau"},</v>
      </c>
      <c r="IY9" s="44">
        <v>678</v>
      </c>
    </row>
    <row r="10" spans="1:259" s="44" customFormat="1" ht="38.4" customHeight="1" thickBot="1" x14ac:dyDescent="0.35">
      <c r="A10" s="81" t="s">
        <v>740</v>
      </c>
      <c r="B10" s="78" t="e" vm="77">
        <v>#VALUE!</v>
      </c>
      <c r="C10" s="39">
        <v>3</v>
      </c>
      <c r="D10" s="70" t="s">
        <v>741</v>
      </c>
      <c r="E10" s="40" t="s">
        <v>742</v>
      </c>
      <c r="F10" s="41" t="s">
        <v>165</v>
      </c>
      <c r="G10" s="42">
        <f t="shared" si="0"/>
        <v>1</v>
      </c>
      <c r="H10" s="43" t="s">
        <v>1138</v>
      </c>
      <c r="I10" s="59" t="s">
        <v>743</v>
      </c>
      <c r="J10" s="44" t="str">
        <f>""</f>
        <v/>
      </c>
      <c r="K10" s="45"/>
      <c r="L10" s="46"/>
      <c r="M10" s="46"/>
      <c r="N10" s="47" t="s">
        <v>177</v>
      </c>
      <c r="O10" s="74">
        <v>1976</v>
      </c>
      <c r="P10" s="48" t="s">
        <v>744</v>
      </c>
      <c r="Q10" s="73">
        <v>1</v>
      </c>
      <c r="R10" s="49" t="s">
        <v>177</v>
      </c>
      <c r="S10" s="50">
        <v>3</v>
      </c>
      <c r="T10" s="51" t="s">
        <v>167</v>
      </c>
      <c r="U10" s="52" t="s">
        <v>166</v>
      </c>
      <c r="V10" s="52" t="s">
        <v>167</v>
      </c>
      <c r="W10" s="52" t="s">
        <v>166</v>
      </c>
      <c r="X10" s="52" t="s">
        <v>166</v>
      </c>
      <c r="Y10" s="52" t="s">
        <v>167</v>
      </c>
      <c r="Z10" s="52" t="s">
        <v>167</v>
      </c>
      <c r="AA10" s="52" t="s">
        <v>167</v>
      </c>
      <c r="AB10" s="52" t="s">
        <v>166</v>
      </c>
      <c r="AC10" s="52" t="s">
        <v>166</v>
      </c>
      <c r="AD10" s="52" t="s">
        <v>166</v>
      </c>
      <c r="AE10" s="52" t="s">
        <v>166</v>
      </c>
      <c r="AF10" s="53" t="s">
        <v>166</v>
      </c>
      <c r="AG10" s="53" t="s">
        <v>166</v>
      </c>
      <c r="AH10" s="53" t="s">
        <v>166</v>
      </c>
      <c r="AI10" s="53" t="s">
        <v>166</v>
      </c>
      <c r="AJ10" s="53" t="s">
        <v>166</v>
      </c>
      <c r="AK10" s="53" t="s">
        <v>166</v>
      </c>
      <c r="AL10" s="53" t="s">
        <v>166</v>
      </c>
      <c r="AM10" s="53" t="s">
        <v>166</v>
      </c>
      <c r="AN10" s="53" t="s">
        <v>166</v>
      </c>
      <c r="AO10" s="53" t="s">
        <v>166</v>
      </c>
      <c r="AP10" s="53" t="s">
        <v>167</v>
      </c>
      <c r="AQ10" s="53" t="s">
        <v>167</v>
      </c>
      <c r="AR10" s="53" t="s">
        <v>166</v>
      </c>
      <c r="AS10" s="53" t="s">
        <v>166</v>
      </c>
      <c r="AT10" s="54">
        <v>0</v>
      </c>
      <c r="AU10" s="53" t="s">
        <v>360</v>
      </c>
      <c r="AV10" s="53" t="str">
        <f t="shared" si="1"/>
        <v>[NZE]City[NZE] Christchurch</v>
      </c>
      <c r="AW10" s="53" t="str">
        <f t="shared" si="2"/>
        <v>3[NZE] Canterbury[NZE] Christchurch</v>
      </c>
      <c r="AX10" s="55"/>
      <c r="AY10" s="55"/>
      <c r="AZ10" s="56" t="s">
        <v>231</v>
      </c>
      <c r="BA10" s="56" t="s">
        <v>231</v>
      </c>
      <c r="BB10" s="56"/>
      <c r="BC10" s="57"/>
      <c r="BD10" s="58" t="s">
        <v>169</v>
      </c>
      <c r="BE10" s="59"/>
      <c r="BF10" s="58" t="s">
        <v>154</v>
      </c>
      <c r="BG10" s="58" t="s">
        <v>156</v>
      </c>
      <c r="BH10" s="58" t="s">
        <v>157</v>
      </c>
      <c r="BI10" s="58"/>
      <c r="BJ10" s="58"/>
      <c r="BK10" s="59"/>
      <c r="BL10" s="58" t="s">
        <v>153</v>
      </c>
      <c r="BM10" s="58" t="s">
        <v>154</v>
      </c>
      <c r="BN10" s="58" t="s">
        <v>231</v>
      </c>
      <c r="BO10" s="58" t="s">
        <v>156</v>
      </c>
      <c r="BP10" s="58" t="s">
        <v>157</v>
      </c>
      <c r="BQ10" s="58" t="s">
        <v>231</v>
      </c>
      <c r="BR10" s="58" t="s">
        <v>159</v>
      </c>
      <c r="BS10" s="58" t="s">
        <v>231</v>
      </c>
      <c r="BT10" s="58" t="s">
        <v>161</v>
      </c>
      <c r="BU10" s="60"/>
      <c r="BV10" s="61"/>
      <c r="BW10" s="61">
        <v>0</v>
      </c>
      <c r="BX10" s="59"/>
      <c r="BY10" s="44" t="s">
        <v>166</v>
      </c>
      <c r="CB10" s="5"/>
      <c r="CC10" s="5"/>
      <c r="CD10" s="62">
        <v>0</v>
      </c>
      <c r="CE10" s="62">
        <v>0</v>
      </c>
      <c r="CF10" s="62" t="e">
        <v>#REF!</v>
      </c>
      <c r="CG10" s="75" cm="1">
        <f t="array" ref="CG10">SUMPRODUCT(--(LEN(TRIM(BL10:BT10))&gt;0))</f>
        <v>6</v>
      </c>
      <c r="CH10" s="53" t="str">
        <f t="shared" si="3"/>
        <v>n</v>
      </c>
      <c r="CI10" s="53" t="str">
        <f t="shared" si="4"/>
        <v>n</v>
      </c>
      <c r="CJ10" s="53" t="str">
        <f t="shared" si="5"/>
        <v>n</v>
      </c>
      <c r="CK10" s="53" t="str">
        <f t="shared" si="6"/>
        <v>y</v>
      </c>
      <c r="CL10" s="53" t="str">
        <f t="shared" si="7"/>
        <v>n</v>
      </c>
      <c r="CM10" s="53" t="str">
        <f t="shared" si="8"/>
        <v>n</v>
      </c>
      <c r="CN10" s="53" t="str">
        <f t="shared" si="9"/>
        <v>y</v>
      </c>
      <c r="CO10" s="53" t="str">
        <f t="shared" si="10"/>
        <v>n</v>
      </c>
      <c r="CP10" s="53" t="str">
        <f t="shared" si="11"/>
        <v>y</v>
      </c>
      <c r="CQ10" s="53" t="str">
        <f t="shared" si="12"/>
        <v>n</v>
      </c>
      <c r="CR10" s="53" t="str">
        <f t="shared" si="13"/>
        <v>n</v>
      </c>
      <c r="CS10" s="53" t="str">
        <f t="shared" si="14"/>
        <v>n</v>
      </c>
      <c r="CT10" s="38" t="str">
        <f t="shared" si="15"/>
        <v>"[NZE] Christchurch"</v>
      </c>
      <c r="CU10" s="63" t="str">
        <f t="shared" si="16"/>
        <v>"rgn_Oceania"</v>
      </c>
      <c r="CV10" s="44" t="str">
        <f t="shared" si="17"/>
        <v>"https://upload.wikimedia.org/wikipedia/commons/thumb/6/62/Christchurch_heraldic_flag.svg/640px-Christchurch_heraldic_flag.svg.png"</v>
      </c>
      <c r="CW10" s="44" t="str">
        <f t="shared" si="18"/>
        <v/>
      </c>
      <c r="CX10" s="44" t="str">
        <f t="shared" si="18"/>
        <v/>
      </c>
      <c r="CY10" s="44" t="str">
        <f t="shared" si="18"/>
        <v/>
      </c>
      <c r="CZ10" s="44" t="str">
        <f t="shared" si="18"/>
        <v>"5+Colo",</v>
      </c>
      <c r="DA10" s="44" t="str">
        <f t="shared" si="19"/>
        <v/>
      </c>
      <c r="DB10" s="44" t="str">
        <f t="shared" si="20"/>
        <v/>
      </c>
      <c r="DD10" s="44" t="str">
        <f>IF(LEN(CHAR(34)&amp;"lets"&amp;LEN(SUBSTITUTE(SUBSTITUTE(IFERROR(TRIM(SUBSTITUTE(A10,MID(A10,FIND("[",A10),FIND("]",A10)-FIND("[",A10)+1),"")),A10)," ",""),"-",""))&amp;CHAR(34)&amp;",")=9,CHAR(34)&amp;"lets"&amp;LEN(SUBSTITUTE(SUBSTITUTE(IFERROR(TRIM(SUBSTITUTE(A10,MID(A10,FIND("[",A10),FIND("]",A10)-FIND("[",A10)+1),"")),A10)," ",""),"-",""))&amp;CHAR(34)&amp;",",CHAR(34)&amp;"lets0"&amp;LEN(SUBSTITUTE(SUBSTITUTE(IFERROR(TRIM(SUBSTITUTE(A10,MID(A10,FIND("[",A10),FIND("]",A10)-FIND("[",A10)+1),"")),A10)," ",""),"-",""))&amp;CHAR(34)&amp;",")</f>
        <v>"lets12",</v>
      </c>
      <c r="DE10" s="44" t="str">
        <f>CHAR(34)&amp;"start"&amp;IFERROR(LEFT(SUBSTITUTE(A10,"["&amp;MID(A10,FIND("[",A10)+1,FIND("]",A10)-FIND("[",A10)-1)&amp;"] ",""),1),LEFT(A10,1))&amp;CHAR(34)&amp;","</f>
        <v>"startC",</v>
      </c>
      <c r="DF10" s="44" t="str">
        <f t="shared" si="21"/>
        <v/>
      </c>
      <c r="DG10" s="44" t="str">
        <f t="shared" si="22"/>
        <v/>
      </c>
      <c r="DH10" s="44" t="str">
        <f t="shared" si="23"/>
        <v/>
      </c>
      <c r="DI10" s="44" t="str">
        <f t="shared" si="24"/>
        <v/>
      </c>
      <c r="DJ10" s="44" t="str">
        <f t="shared" si="25"/>
        <v/>
      </c>
      <c r="DK10" s="44" t="str">
        <f t="shared" si="26"/>
        <v>"with_z",</v>
      </c>
      <c r="DL10" s="44" t="str">
        <f t="shared" si="27"/>
        <v/>
      </c>
      <c r="DM10" s="44" t="str" cm="1">
        <f t="array" ref="DM10">IF(CG10=3,CHAR(34) &amp; _xlfn.TEXTJOIN("", TRUE, RIGHT(HP10:HX10, 2)) &amp; CHAR(34) &amp; ",", "")</f>
        <v/>
      </c>
      <c r="DN10" s="44" t="str">
        <f t="shared" si="28"/>
        <v/>
      </c>
      <c r="DO10" s="44" t="str">
        <f t="shared" si="29"/>
        <v>"year19",</v>
      </c>
      <c r="DP10" s="5" t="str">
        <f t="shared" si="30"/>
        <v/>
      </c>
      <c r="DQ10" s="5" t="str">
        <f t="shared" si="31"/>
        <v/>
      </c>
      <c r="DR10" s="5" t="str">
        <f t="shared" si="32"/>
        <v/>
      </c>
      <c r="DS10" s="5" t="str">
        <f t="shared" si="33"/>
        <v/>
      </c>
      <c r="DT10" s="5" t="str">
        <f t="shared" si="34"/>
        <v>"allhor",</v>
      </c>
      <c r="DU10" s="5" t="str">
        <f t="shared" si="35"/>
        <v/>
      </c>
      <c r="DW10" s="44" t="str">
        <f t="shared" si="36"/>
        <v/>
      </c>
      <c r="DX10" s="44" t="str">
        <f t="shared" si="36"/>
        <v/>
      </c>
      <c r="DY10" s="44" t="str">
        <f t="shared" si="36"/>
        <v>"3Bands",</v>
      </c>
      <c r="DZ10" s="44" t="str">
        <f t="shared" si="36"/>
        <v/>
      </c>
      <c r="EA10" s="44" t="str">
        <f t="shared" si="37"/>
        <v>"Diagon",</v>
      </c>
      <c r="EB10" s="44" t="str">
        <f t="shared" si="37"/>
        <v/>
      </c>
      <c r="EC10" s="44" t="str">
        <f t="shared" si="37"/>
        <v>"Horizo",</v>
      </c>
      <c r="ED10" s="44" t="str">
        <f t="shared" si="37"/>
        <v/>
      </c>
      <c r="EE10" s="44" t="str">
        <f t="shared" si="37"/>
        <v/>
      </c>
      <c r="EF10" s="44" t="str">
        <f t="shared" si="38"/>
        <v>"Animal",</v>
      </c>
      <c r="EG10" s="44" t="str">
        <f t="shared" si="39"/>
        <v>"Bird",</v>
      </c>
      <c r="EH10" s="44" t="str">
        <f t="shared" si="39"/>
        <v>"Plants",</v>
      </c>
      <c r="EI10" s="44" t="str">
        <f t="shared" si="39"/>
        <v/>
      </c>
      <c r="EJ10" s="44" t="str">
        <f t="shared" si="39"/>
        <v/>
      </c>
      <c r="EK10" s="44" t="str">
        <f t="shared" si="39"/>
        <v/>
      </c>
      <c r="EL10" s="44" t="str">
        <f t="shared" si="39"/>
        <v/>
      </c>
      <c r="EM10" s="44" t="str">
        <f t="shared" si="39"/>
        <v/>
      </c>
      <c r="EN10" s="44" t="str">
        <f t="shared" si="39"/>
        <v/>
      </c>
      <c r="EO10" s="44" t="str">
        <f t="shared" si="39"/>
        <v/>
      </c>
      <c r="EP10" s="44" t="str">
        <f t="shared" si="39"/>
        <v/>
      </c>
      <c r="EQ10" s="44" t="str">
        <f t="shared" si="39"/>
        <v/>
      </c>
      <c r="ER10" s="44" t="str">
        <f t="shared" si="39"/>
        <v/>
      </c>
      <c r="ES10" s="44" t="str">
        <f t="shared" si="39"/>
        <v/>
      </c>
      <c r="ET10" s="44" t="str">
        <f t="shared" si="39"/>
        <v/>
      </c>
      <c r="EU10" s="44" t="str">
        <f t="shared" si="39"/>
        <v/>
      </c>
      <c r="EV10" s="44" t="str">
        <f t="shared" si="39"/>
        <v/>
      </c>
      <c r="EW10" s="44" t="str">
        <f t="shared" si="40"/>
        <v>"Ships!",</v>
      </c>
      <c r="EX10" s="44" t="str">
        <f t="shared" si="40"/>
        <v>"Crowns",</v>
      </c>
      <c r="EY10" s="44" t="str">
        <f t="shared" si="40"/>
        <v/>
      </c>
      <c r="EZ10" s="44" t="str">
        <f t="shared" si="40"/>
        <v/>
      </c>
      <c r="FA10" s="44" t="str">
        <f t="shared" si="41"/>
        <v/>
      </c>
      <c r="FB10" s="44" t="str">
        <f t="shared" si="42"/>
        <v/>
      </c>
      <c r="FD10" s="44" t="str">
        <f t="shared" si="43"/>
        <v/>
      </c>
      <c r="FE10" s="44" t="str">
        <f t="shared" si="44"/>
        <v/>
      </c>
      <c r="FF10" s="44" t="str">
        <f t="shared" si="45"/>
        <v/>
      </c>
      <c r="FG10" s="44" t="str">
        <f t="shared" si="46"/>
        <v/>
      </c>
      <c r="FH10" s="44" t="str">
        <f t="shared" si="47"/>
        <v>"NO_GRE",</v>
      </c>
      <c r="FI10" s="44" t="str">
        <f t="shared" si="48"/>
        <v/>
      </c>
      <c r="FJ10" s="44" t="str">
        <f t="shared" si="49"/>
        <v/>
      </c>
      <c r="FK10" s="44" t="str">
        <f t="shared" si="50"/>
        <v/>
      </c>
      <c r="FL10" s="44" t="str">
        <f t="shared" si="51"/>
        <v/>
      </c>
      <c r="FM10" s="44" t="str">
        <f t="shared" si="52"/>
        <v/>
      </c>
      <c r="FN10" s="44" t="str">
        <f t="shared" si="53"/>
        <v/>
      </c>
      <c r="FO10" s="44" t="str">
        <f t="shared" si="54"/>
        <v/>
      </c>
      <c r="FP10" s="44" t="str">
        <f t="shared" si="55"/>
        <v/>
      </c>
      <c r="FQ10" s="44" t="str">
        <f t="shared" si="56"/>
        <v>"001BLU",</v>
      </c>
      <c r="FR10" s="44" t="str">
        <f t="shared" si="57"/>
        <v>"002RED",</v>
      </c>
      <c r="FS10" s="44" t="str">
        <f t="shared" si="58"/>
        <v>"003YEL",</v>
      </c>
      <c r="FT10" s="44" t="str">
        <f t="shared" si="59"/>
        <v>"myrEQ",</v>
      </c>
      <c r="FU10" s="44" t="str">
        <f t="shared" si="60"/>
        <v/>
      </c>
      <c r="FV10" s="44" t="str">
        <f t="shared" si="61"/>
        <v/>
      </c>
      <c r="FW10" s="44" t="str">
        <f t="shared" si="62"/>
        <v/>
      </c>
      <c r="FY10" s="44" t="str">
        <f t="shared" si="63"/>
        <v/>
      </c>
      <c r="FZ10" s="44" t="str">
        <f t="shared" si="64"/>
        <v/>
      </c>
      <c r="GA10" s="44" t="str">
        <f t="shared" si="65"/>
        <v/>
      </c>
      <c r="GB10" s="44" t="str">
        <f t="shared" si="66"/>
        <v/>
      </c>
      <c r="GE10" s="44" t="str">
        <f t="shared" si="67"/>
        <v/>
      </c>
      <c r="GF10" s="44" t="str">
        <f t="shared" si="98"/>
        <v/>
      </c>
      <c r="GG10" s="44" t="str">
        <f t="shared" si="68"/>
        <v/>
      </c>
      <c r="GH10" s="44" t="str">
        <f t="shared" si="69"/>
        <v/>
      </c>
      <c r="GI10" s="44" t="str">
        <f t="shared" si="70"/>
        <v/>
      </c>
      <c r="GJ10" s="44" t="str">
        <f t="shared" si="71"/>
        <v>"NoStar",</v>
      </c>
      <c r="GK10" s="44" t="str">
        <f t="shared" si="72"/>
        <v/>
      </c>
      <c r="GL10" s="44" t="str">
        <f t="shared" si="73"/>
        <v/>
      </c>
      <c r="GM10" s="44" t="str">
        <f t="shared" si="73"/>
        <v/>
      </c>
      <c r="GN10" s="44" t="str">
        <f t="shared" si="73"/>
        <v/>
      </c>
      <c r="GP10" s="44" t="str">
        <f t="shared" si="74"/>
        <v>"City"</v>
      </c>
      <c r="GS10" s="44" t="str">
        <f t="shared" si="75"/>
        <v>["5+Colo","lets12","startC","with_z","year19","allhor","3Bands","Diagon","Horizo","Animal","Bird","Plants","Ships!","Crowns","NO_GRE","001BLU","002RED","003YEL","myrEQ","NoStar"]</v>
      </c>
      <c r="GT10" s="44" t="str">
        <f t="shared" si="76"/>
        <v>"cl_BLA",</v>
      </c>
      <c r="GU10" s="44" t="str">
        <f t="shared" si="76"/>
        <v>"cl_BLU",</v>
      </c>
      <c r="GV10" s="44" t="str">
        <f t="shared" si="76"/>
        <v/>
      </c>
      <c r="GW10" s="44" t="str">
        <f t="shared" si="76"/>
        <v>"cl_RED",</v>
      </c>
      <c r="GX10" s="44" t="str">
        <f t="shared" si="76"/>
        <v>"cl_YEL",</v>
      </c>
      <c r="GY10" s="44" t="str">
        <f t="shared" si="76"/>
        <v/>
      </c>
      <c r="GZ10" s="44" t="str">
        <f t="shared" si="76"/>
        <v>"cl_BRO",</v>
      </c>
      <c r="HA10" s="44" t="str">
        <f t="shared" si="76"/>
        <v/>
      </c>
      <c r="HB10" s="44" t="str">
        <f t="shared" si="76"/>
        <v>"cl_WHI",</v>
      </c>
      <c r="HC10" s="44" t="str">
        <f t="shared" si="77"/>
        <v>["cl_BLA","cl_BLU","cl_RED","cl_YEL","cl_BRO","cl_WHI"]</v>
      </c>
      <c r="HE10" s="64"/>
      <c r="HF10" s="65" t="str">
        <f t="shared" si="78"/>
        <v>{couname:"[NZE] Christchurch",year:"1976",region:"rgn_Oceania",Colors:["cl_BLA","cl_BLU","cl_RED","cl_YEL","cl_BRO","cl_WHI"],Items:["5+Colo","lets12","startC","with_z","year19","allhor","3Bands","Diagon","Horizo","Animal","Bird","Plants","Ships!","Crowns","NO_GRE","001BLU","002RED","003YEL","myrEQ","NoStar"],Flag:"https://upload.wikimedia.org/wikipedia/commons/thumb/6/62/Christchurch_heraldic_flag.svg/640px-Christchurch_heraldic_flag.svg.png",HDFlag:"https://upload.wikimedia.org/wikipedia/commons/thumb/6/62/Christchurch_heraldic_flag.svg/2560px-Christchurch_heraldic_flag.svg.png",type:"City", describe: "\nA banner of arms of Christchurch's coat of arms. Chevron Gules a Mitre between a Fleece and a Garbe of the first in base two Bars wavy Azure on a Chief of the last four Lymphads sails furled, also of the first And for the Crest on a Wreath Or and Azure a Kiwi proper ", isnew:".", links: "https://en.wikipedia.org/wiki/Christchurch"},</v>
      </c>
      <c r="HG10" s="66" t="str">
        <f t="shared" si="79"/>
        <v>{couname:"[NZE] Christchurch",year:"1976",region:"rgn_Oceania",Colors:["cl_BLA","cl_BLU","cl_RED","cl_YEL","cl_BRO","cl_WHI"],Items:["5+Colo","lets12","startC","with_z","year19","allhor","3Bands","Diagon","Horizo","Animal","Bird","Plants","Ships!","Crowns","NO_GRE","001BLU","002RED","003YEL","myrEQ","NoStar"],Flag:"https://upload.wikimedia.org/wikipedia/commons/thumb/6/62/Christchurch_heraldic_flag.svg/640px-Christchurch_heraldic_flag.svg.png",HDFlag:"https://upload.wikimedia.org/wikipedia/commons/thumb/6/62/Christchurch_heraldic_flag.svg/2560px-Christchurch_heraldic_flag.svg.png",type:"City", describe: "\nA banner of arms of Christchurch's coat of arms. Chevron Gules a Mitre between a Fleece and a Garbe of the first in base two Bars wavy Azure on a Chief of the last four Lymphads sails furled, also of the first And for the Crest on a Wreath Or and Azure a Kiwi proper ", links: "https://en.wikipedia.org/wiki/Christchurch"},</v>
      </c>
      <c r="HH10" s="44" t="str">
        <f t="shared" si="80"/>
        <v>"\nA banner of arms of Christchurch's coat of arms. Chevron Gules a Mitre between a Fleece and a Garbe of the first in base two Bars wavy Azure on a Chief of the last four Lymphads sails furled, also of the first And for the Crest on a Wreath Or and Azure a Kiwi proper "</v>
      </c>
      <c r="HI10" s="44" t="str">
        <f t="shared" si="81"/>
        <v>"\nA banner of arms of Christchurch's coat of arms. Chevron Gules a Mitre between a Fleece and a Garbe of the first in base two Bars wavy Azure on a Chief of the last four Lymphads sails furled, also of the first And for the Crest on a Wreath Or and Azure a Kiwi proper "</v>
      </c>
      <c r="HJ10" s="44" t="str">
        <f t="shared" si="82"/>
        <v>"1976"</v>
      </c>
      <c r="HL10" s="44" t="str">
        <f t="shared" si="83"/>
        <v>"https://en.wikipedia.org/wiki/Christchurch"</v>
      </c>
      <c r="HM10" s="65" t="str">
        <f t="shared" si="84"/>
        <v>{"couname":"[NZE] Christchurch","subtype":"[NZE] Canterbury","year":"1976","region":"rgn_Oceania","Colors":["cl_BLA","cl_BLU","cl_RED","cl_YEL","cl_BRO","cl_WHI"],"Items":["5+Colo","lets12","startC","with_z","year19","allhor","3Bands","Diagon","Horizo","Animal","Bird","Plants","Ships!","Crowns","NO_GRE","001BLU","002RED","003YEL","myrEQ","NoStar"],"Flag":"https://upload.wikimedia.org/wikipedia/commons/thumb/6/62/Christchurch_heraldic_flag.svg/640px-Christchurch_heraldic_flag.svg.png","HDFlag":"https://upload.wikimedia.org/wikipedia/commons/thumb/6/62/Christchurch_heraldic_flag.svg/2560px-Christchurch_heraldic_flag.svg.png","type":"City", "describe": "\nA banner of arms of Christchurch's coat of arms. Chevron Gules a Mitre between a Fleece and a Garbe of the first in base two Bars wavy Azure on a Chief of the last four Lymphads sails furled, also of the first And for the Crest on a Wreath Or and Azure a Kiwi proper ", "isnew": ".", "links": "https://en.wikipedia.org/wiki/Christchurch"},</v>
      </c>
      <c r="HN10" s="67" t="str">
        <f t="shared" si="85"/>
        <v>{"couname":"[NZE] Christchurch","subtype":"[NZE] Canterbury","year":"1976","region":"rgn_Oceania","Colors":["cl_BLA","cl_BLU","cl_RED","cl_YEL","cl_BRO","cl_WHI"],"Items":["5+Colo","lets12","startC","with_z","year19","allhor","3Bands","Diagon","Horizo","Animal","Bird","Plants","Ships!","Crowns","NO_GRE","001BLU","002RED","003YEL","myrEQ","NoStar"],"Flag":"https://upload.wikimedia.org/wikipedia/commons/thumb/6/62/Christchurch_heraldic_flag.svg/640px-Christchurch_heraldic_flag.svg.png","HDFlag":"https://upload.wikimedia.org/wikipedia/commons/thumb/6/62/Christchurch_heraldic_flag.svg/2560px-Christchurch_heraldic_flag.svg.png","type":"City", "describe": "\nA banner of arms of Christchurch's coat of arms. Chevron Gules a Mitre between a Fleece and a Garbe of the first in base two Bars wavy Azure on a Chief of the last four Lymphads sails furled, also of the first And for the Crest on a Wreath Or and Azure a Kiwi proper ", "isnew": ".", "links": "https://en.wikipedia.org/wiki/Christchurch"},</v>
      </c>
      <c r="HO10" s="71">
        <v>45596</v>
      </c>
      <c r="HP10" s="44" t="str" cm="1">
        <f t="array" ref="HP10">IF(_xlfn.TEXTJOIN(", ", TRUE, IF(ISNUMBER(SEARCH("BLA", BL10:BT10)), COLUMN(BL10:BT10) - COLUMN(BL10) + 1, ""))&lt;&gt;"","BLA","")</f>
        <v>BLA</v>
      </c>
      <c r="HQ10" s="44" t="str" cm="1">
        <f t="array" ref="HQ10">IF(_xlfn.TEXTJOIN(", ", TRUE, IF(ISNUMBER(SEARCH("BLU", BL10:BT10)), COLUMN(BL10:BT10) - COLUMN(BL10) + 1, ""))&lt;&gt;"","BLU","")</f>
        <v>BLU</v>
      </c>
      <c r="HR10" s="44" t="str" cm="1">
        <f t="array" ref="HR10">IF(_xlfn.TEXTJOIN(", ", TRUE, IF(ISNUMBER(SEARCH("GRE", BL10:BT10)), COLUMN(BL10:BT10) - COLUMN(BL10) + 1, ""))&lt;&gt;"","GRE","")</f>
        <v/>
      </c>
      <c r="HS10" s="44" t="str" cm="1">
        <f t="array" ref="HS10">IF(_xlfn.TEXTJOIN(", ", TRUE, IF(ISNUMBER(SEARCH("RED", BL10:BT10)), COLUMN(BL10:BT10) - COLUMN(BL10) + 1, ""))&lt;&gt;"","RED","")</f>
        <v>RED</v>
      </c>
      <c r="HT10" s="44" t="str" cm="1">
        <f t="array" ref="HT10">IF(_xlfn.TEXTJOIN(", ", TRUE, IF(ISNUMBER(SEARCH("YEL", BL10:BT10)), COLUMN(BL10:BT10) - COLUMN(BL10) + 1, ""))&lt;&gt;"","YEL","")</f>
        <v>YEL</v>
      </c>
      <c r="HU10" s="44" t="str" cm="1">
        <f t="array" ref="HU10">IF(_xlfn.TEXTJOIN(", ", TRUE, IF(ISNUMBER(SEARCH("ORA", BL10:BT10)), COLUMN(BL10:BT10) - COLUMN(BL10) + 1, ""))&lt;&gt;"","ORA","")</f>
        <v/>
      </c>
      <c r="HV10" s="44" t="str" cm="1">
        <f t="array" ref="HV10">IF(_xlfn.TEXTJOIN(", ", TRUE, IF(ISNUMBER(SEARCH("BRO", BL10:BT10)), COLUMN(BL10:BT10) - COLUMN(BL10) + 1, ""))&lt;&gt;"","BRO","")</f>
        <v>BRO</v>
      </c>
      <c r="HW10" s="44" t="str" cm="1">
        <f t="array" ref="HW10">IF(_xlfn.TEXTJOIN(", ", TRUE, IF(ISNUMBER(SEARCH("PUR", BL10:BT10)), COLUMN(BL10:BT10) - COLUMN(BL10) + 1, ""))&lt;&gt;"","PUR","")</f>
        <v/>
      </c>
      <c r="HX10" s="44" t="str" cm="1">
        <f t="array" ref="HX10">IF(_xlfn.TEXTJOIN(", ", TRUE, IF(ISNUMBER(SEARCH("WHI", BL10:BT10)), COLUMN(BL10:BT10) - COLUMN(BL10) + 1, ""))&lt;&gt;"","WHI","")</f>
        <v>WHI</v>
      </c>
      <c r="HY10" s="72"/>
      <c r="HZ10" s="72"/>
      <c r="IA10" s="5"/>
      <c r="IB10" s="5"/>
      <c r="IC10" s="68"/>
      <c r="ID10" s="68"/>
      <c r="IE10" s="68"/>
      <c r="IF10" s="68"/>
      <c r="IG10" s="68"/>
      <c r="IH10" s="68"/>
      <c r="II10" s="68"/>
      <c r="IJ10" s="68"/>
      <c r="IK10" s="68"/>
      <c r="IM10" s="42">
        <f t="shared" si="86"/>
        <v>-6</v>
      </c>
      <c r="IN10" s="69" t="str">
        <f t="shared" si="87"/>
        <v>http://mkweb.bcgsc.ca/color-summarizer/?url=https://upload.wikimedia.org/wikipedia/commons/thumb/6/62/Christchurch_heraldic_flag.svg/640px-Christchurch_heraldic_flag.svg.png&amp;precision=low&amp;num_clusters=6&amp;text=1</v>
      </c>
      <c r="IO10" s="44" t="str">
        <f t="shared" si="88"/>
        <v>"black"</v>
      </c>
      <c r="IP10" s="44" t="str">
        <f t="shared" si="89"/>
        <v>"blue"</v>
      </c>
      <c r="IQ10" s="44" t="str">
        <f t="shared" si="90"/>
        <v/>
      </c>
      <c r="IR10" s="44" t="str">
        <f t="shared" si="91"/>
        <v>"red"</v>
      </c>
      <c r="IS10" s="44" t="str">
        <f t="shared" si="92"/>
        <v>"yellow"</v>
      </c>
      <c r="IT10" s="44" t="str">
        <f t="shared" si="93"/>
        <v/>
      </c>
      <c r="IU10" s="44" t="str">
        <f t="shared" si="94"/>
        <v>"brown"</v>
      </c>
      <c r="IV10" s="44" t="str">
        <f t="shared" si="95"/>
        <v/>
      </c>
      <c r="IW10" s="44" t="str">
        <f t="shared" si="96"/>
        <v>"white"</v>
      </c>
      <c r="IX10" s="44" t="str">
        <f t="shared" si="97"/>
        <v>{"url":"http://mkweb.bcgsc.ca/color-summarizer/?url=https://upload.wikimedia.org/wikipedia/commons/thumb/6/62/Christchurch_heraldic_flag.svg/640px-Christchurch_heraldic_flag.svg.png&amp;precision=low&amp;num_clusters=6&amp;text=1","name":"[NZE] Christchurch"},</v>
      </c>
      <c r="IY10" s="44">
        <v>1367</v>
      </c>
    </row>
    <row r="11" spans="1:259" s="44" customFormat="1" ht="38.4" customHeight="1" thickBot="1" x14ac:dyDescent="0.35">
      <c r="A11" s="81" t="s">
        <v>745</v>
      </c>
      <c r="B11" s="78" t="e" vm="78">
        <v>#VALUE!</v>
      </c>
      <c r="C11" s="39">
        <v>3</v>
      </c>
      <c r="D11" s="70" t="s">
        <v>746</v>
      </c>
      <c r="E11" s="40" t="s">
        <v>747</v>
      </c>
      <c r="F11" s="41" t="s">
        <v>165</v>
      </c>
      <c r="G11" s="42">
        <f t="shared" si="0"/>
        <v>1</v>
      </c>
      <c r="H11" s="43" t="s">
        <v>1139</v>
      </c>
      <c r="I11" s="59" t="s">
        <v>748</v>
      </c>
      <c r="J11" s="44" t="str">
        <f>""</f>
        <v/>
      </c>
      <c r="K11" s="45"/>
      <c r="L11" s="46"/>
      <c r="M11" s="46"/>
      <c r="N11" s="47" t="s">
        <v>177</v>
      </c>
      <c r="O11" s="74">
        <v>2020</v>
      </c>
      <c r="P11" s="48" t="s">
        <v>749</v>
      </c>
      <c r="Q11" s="73">
        <v>1</v>
      </c>
      <c r="R11" s="49" t="s">
        <v>177</v>
      </c>
      <c r="S11" s="50">
        <v>7</v>
      </c>
      <c r="T11" s="51" t="s">
        <v>166</v>
      </c>
      <c r="U11" s="52" t="s">
        <v>166</v>
      </c>
      <c r="V11" s="52" t="s">
        <v>167</v>
      </c>
      <c r="W11" s="52" t="s">
        <v>166</v>
      </c>
      <c r="X11" s="52" t="s">
        <v>167</v>
      </c>
      <c r="Y11" s="52" t="s">
        <v>167</v>
      </c>
      <c r="Z11" s="52" t="s">
        <v>166</v>
      </c>
      <c r="AA11" s="52" t="s">
        <v>167</v>
      </c>
      <c r="AB11" s="52" t="s">
        <v>166</v>
      </c>
      <c r="AC11" s="52" t="s">
        <v>166</v>
      </c>
      <c r="AD11" s="52" t="s">
        <v>166</v>
      </c>
      <c r="AE11" s="52" t="s">
        <v>166</v>
      </c>
      <c r="AF11" s="53" t="s">
        <v>166</v>
      </c>
      <c r="AG11" s="53" t="s">
        <v>166</v>
      </c>
      <c r="AH11" s="53" t="s">
        <v>166</v>
      </c>
      <c r="AI11" s="53" t="s">
        <v>166</v>
      </c>
      <c r="AJ11" s="53" t="s">
        <v>166</v>
      </c>
      <c r="AK11" s="53" t="s">
        <v>166</v>
      </c>
      <c r="AL11" s="53" t="s">
        <v>166</v>
      </c>
      <c r="AM11" s="53" t="s">
        <v>166</v>
      </c>
      <c r="AN11" s="53" t="s">
        <v>166</v>
      </c>
      <c r="AO11" s="53" t="s">
        <v>166</v>
      </c>
      <c r="AP11" s="53" t="s">
        <v>166</v>
      </c>
      <c r="AQ11" s="53" t="s">
        <v>166</v>
      </c>
      <c r="AR11" s="53" t="s">
        <v>166</v>
      </c>
      <c r="AS11" s="53" t="s">
        <v>166</v>
      </c>
      <c r="AT11" s="54">
        <v>0</v>
      </c>
      <c r="AU11" s="53" t="s">
        <v>360</v>
      </c>
      <c r="AV11" s="53" t="str">
        <f t="shared" si="1"/>
        <v>[NZE]City[NZE] Napier</v>
      </c>
      <c r="AW11" s="53" t="str">
        <f t="shared" si="2"/>
        <v>3[NZE] Hawke's Bay[NZE] Napier</v>
      </c>
      <c r="AX11" s="55"/>
      <c r="AY11" s="55"/>
      <c r="AZ11" s="56" t="s">
        <v>231</v>
      </c>
      <c r="BA11" s="56" t="s">
        <v>231</v>
      </c>
      <c r="BB11" s="56"/>
      <c r="BC11" s="57"/>
      <c r="BD11" s="58" t="s">
        <v>169</v>
      </c>
      <c r="BE11" s="59"/>
      <c r="BF11" s="58" t="s">
        <v>161</v>
      </c>
      <c r="BG11" s="58" t="s">
        <v>154</v>
      </c>
      <c r="BH11" s="58" t="s">
        <v>161</v>
      </c>
      <c r="BI11" s="58"/>
      <c r="BJ11" s="58"/>
      <c r="BK11" s="59"/>
      <c r="BL11" s="58" t="s">
        <v>153</v>
      </c>
      <c r="BM11" s="58" t="s">
        <v>154</v>
      </c>
      <c r="BN11" s="58" t="s">
        <v>155</v>
      </c>
      <c r="BO11" s="58" t="s">
        <v>156</v>
      </c>
      <c r="BP11" s="58" t="s">
        <v>157</v>
      </c>
      <c r="BQ11" s="58" t="s">
        <v>231</v>
      </c>
      <c r="BR11" s="58" t="s">
        <v>159</v>
      </c>
      <c r="BS11" s="58" t="s">
        <v>231</v>
      </c>
      <c r="BT11" s="58" t="s">
        <v>161</v>
      </c>
      <c r="BU11" s="60"/>
      <c r="BV11" s="61"/>
      <c r="BW11" s="61">
        <v>0</v>
      </c>
      <c r="BX11" s="59"/>
      <c r="CB11" s="5"/>
      <c r="CC11" s="5"/>
      <c r="CD11" s="62">
        <v>0</v>
      </c>
      <c r="CE11" s="62">
        <v>0</v>
      </c>
      <c r="CF11" s="62" t="e">
        <v>#REF!</v>
      </c>
      <c r="CG11" s="75" cm="1">
        <f t="array" ref="CG11">SUMPRODUCT(--(LEN(TRIM(BL11:BT11))&gt;0))</f>
        <v>7</v>
      </c>
      <c r="CH11" s="53" t="str">
        <f t="shared" si="3"/>
        <v>n</v>
      </c>
      <c r="CI11" s="53" t="str">
        <f t="shared" si="4"/>
        <v>n</v>
      </c>
      <c r="CJ11" s="53" t="str">
        <f t="shared" si="5"/>
        <v>n</v>
      </c>
      <c r="CK11" s="53" t="str">
        <f t="shared" si="6"/>
        <v>y</v>
      </c>
      <c r="CL11" s="53" t="str">
        <f t="shared" si="7"/>
        <v>n</v>
      </c>
      <c r="CM11" s="53" t="str">
        <f t="shared" si="8"/>
        <v>n</v>
      </c>
      <c r="CN11" s="53" t="str">
        <f t="shared" si="9"/>
        <v>n</v>
      </c>
      <c r="CO11" s="53" t="str">
        <f t="shared" si="10"/>
        <v>y</v>
      </c>
      <c r="CP11" s="53" t="str">
        <f t="shared" si="11"/>
        <v>y</v>
      </c>
      <c r="CQ11" s="53" t="str">
        <f t="shared" si="12"/>
        <v>n</v>
      </c>
      <c r="CR11" s="53" t="str">
        <f t="shared" si="13"/>
        <v>n</v>
      </c>
      <c r="CS11" s="53" t="str">
        <f t="shared" si="14"/>
        <v>n</v>
      </c>
      <c r="CT11" s="38" t="str">
        <f t="shared" si="15"/>
        <v>"[NZE] Napier"</v>
      </c>
      <c r="CU11" s="63" t="str">
        <f t="shared" si="16"/>
        <v>"rgn_Oceania"</v>
      </c>
      <c r="CV11" s="44" t="str">
        <f t="shared" si="17"/>
        <v>"https://upload.wikimedia.org/wikipedia/commons/thumb/f/f8/Flag_of_Napier_City.svg/640px-Flag_of_Napier_City.svg.png"</v>
      </c>
      <c r="CW11" s="44" t="str">
        <f t="shared" si="18"/>
        <v/>
      </c>
      <c r="CX11" s="44" t="str">
        <f t="shared" si="18"/>
        <v/>
      </c>
      <c r="CY11" s="44" t="str">
        <f t="shared" si="18"/>
        <v/>
      </c>
      <c r="CZ11" s="44" t="str">
        <f t="shared" si="18"/>
        <v>"5+Colo",</v>
      </c>
      <c r="DA11" s="44" t="str">
        <f t="shared" si="19"/>
        <v/>
      </c>
      <c r="DB11" s="44" t="str">
        <f t="shared" si="20"/>
        <v/>
      </c>
      <c r="DD11" s="44" t="str">
        <f>IF(LEN(CHAR(34)&amp;"lets"&amp;LEN(SUBSTITUTE(SUBSTITUTE(IFERROR(TRIM(SUBSTITUTE(A11,MID(A11,FIND("[",A11),FIND("]",A11)-FIND("[",A11)+1),"")),A11)," ",""),"-",""))&amp;CHAR(34)&amp;",")=9,CHAR(34)&amp;"lets"&amp;LEN(SUBSTITUTE(SUBSTITUTE(IFERROR(TRIM(SUBSTITUTE(A11,MID(A11,FIND("[",A11),FIND("]",A11)-FIND("[",A11)+1),"")),A11)," ",""),"-",""))&amp;CHAR(34)&amp;",",CHAR(34)&amp;"lets0"&amp;LEN(SUBSTITUTE(SUBSTITUTE(IFERROR(TRIM(SUBSTITUTE(A11,MID(A11,FIND("[",A11),FIND("]",A11)-FIND("[",A11)+1),"")),A11)," ",""),"-",""))&amp;CHAR(34)&amp;",")</f>
        <v>"lets06",</v>
      </c>
      <c r="DE11" s="44" t="str">
        <f>CHAR(34)&amp;"start"&amp;IFERROR(LEFT(SUBSTITUTE(A11,"["&amp;MID(A11,FIND("[",A11)+1,FIND("]",A11)-FIND("[",A11)-1)&amp;"] ",""),1),LEFT(A11,1))&amp;CHAR(34)&amp;","</f>
        <v>"startN",</v>
      </c>
      <c r="DF11" s="44" t="str">
        <f t="shared" si="21"/>
        <v/>
      </c>
      <c r="DG11" s="44" t="str">
        <f t="shared" si="22"/>
        <v/>
      </c>
      <c r="DH11" s="44" t="str">
        <f t="shared" si="23"/>
        <v/>
      </c>
      <c r="DI11" s="44" t="str">
        <f t="shared" si="24"/>
        <v/>
      </c>
      <c r="DJ11" s="44" t="str">
        <f t="shared" si="25"/>
        <v/>
      </c>
      <c r="DK11" s="44" t="str">
        <f t="shared" si="26"/>
        <v>"with_z",</v>
      </c>
      <c r="DL11" s="44" t="str">
        <f t="shared" si="27"/>
        <v/>
      </c>
      <c r="DM11" s="44" t="str" cm="1">
        <f t="array" ref="DM11">IF(CG11=3,CHAR(34) &amp; _xlfn.TEXTJOIN("", TRUE, RIGHT(HP11:HX11, 2)) &amp; CHAR(34) &amp; ",", "")</f>
        <v/>
      </c>
      <c r="DN11" s="44" t="str">
        <f t="shared" si="28"/>
        <v/>
      </c>
      <c r="DO11" s="44" t="str">
        <f t="shared" si="29"/>
        <v/>
      </c>
      <c r="DP11" s="5" t="str">
        <f t="shared" si="30"/>
        <v>"year00",</v>
      </c>
      <c r="DQ11" s="5" t="str">
        <f t="shared" si="31"/>
        <v/>
      </c>
      <c r="DR11" s="5" t="str">
        <f t="shared" si="32"/>
        <v/>
      </c>
      <c r="DS11" s="5" t="str">
        <f t="shared" si="33"/>
        <v/>
      </c>
      <c r="DT11" s="5" t="str">
        <f t="shared" si="34"/>
        <v>"allhor",</v>
      </c>
      <c r="DU11" s="5" t="str">
        <f t="shared" si="35"/>
        <v/>
      </c>
      <c r="DW11" s="44" t="str">
        <f t="shared" si="36"/>
        <v/>
      </c>
      <c r="DX11" s="44" t="str">
        <f t="shared" si="36"/>
        <v/>
      </c>
      <c r="DY11" s="44" t="str">
        <f t="shared" si="36"/>
        <v/>
      </c>
      <c r="DZ11" s="44" t="str">
        <f t="shared" si="36"/>
        <v>"4+Band",</v>
      </c>
      <c r="EA11" s="44" t="str">
        <f t="shared" si="37"/>
        <v/>
      </c>
      <c r="EB11" s="44" t="str">
        <f t="shared" si="37"/>
        <v/>
      </c>
      <c r="EC11" s="44" t="str">
        <f t="shared" si="37"/>
        <v>"Horizo",</v>
      </c>
      <c r="ED11" s="44" t="str">
        <f t="shared" si="37"/>
        <v/>
      </c>
      <c r="EE11" s="44" t="str">
        <f t="shared" si="37"/>
        <v>"Circle",</v>
      </c>
      <c r="EF11" s="44" t="str">
        <f t="shared" si="38"/>
        <v>"Animal",</v>
      </c>
      <c r="EG11" s="44" t="str">
        <f t="shared" si="39"/>
        <v/>
      </c>
      <c r="EH11" s="44" t="str">
        <f t="shared" si="39"/>
        <v>"Plants",</v>
      </c>
      <c r="EI11" s="44" t="str">
        <f t="shared" si="39"/>
        <v/>
      </c>
      <c r="EJ11" s="44" t="str">
        <f t="shared" si="39"/>
        <v/>
      </c>
      <c r="EK11" s="44" t="str">
        <f t="shared" si="39"/>
        <v/>
      </c>
      <c r="EL11" s="44" t="str">
        <f t="shared" si="39"/>
        <v/>
      </c>
      <c r="EM11" s="44" t="str">
        <f t="shared" si="39"/>
        <v/>
      </c>
      <c r="EN11" s="44" t="str">
        <f t="shared" si="39"/>
        <v/>
      </c>
      <c r="EO11" s="44" t="str">
        <f t="shared" si="39"/>
        <v/>
      </c>
      <c r="EP11" s="44" t="str">
        <f t="shared" si="39"/>
        <v/>
      </c>
      <c r="EQ11" s="44" t="str">
        <f t="shared" si="39"/>
        <v/>
      </c>
      <c r="ER11" s="44" t="str">
        <f t="shared" si="39"/>
        <v/>
      </c>
      <c r="ES11" s="44" t="str">
        <f t="shared" si="39"/>
        <v/>
      </c>
      <c r="ET11" s="44" t="str">
        <f t="shared" si="39"/>
        <v/>
      </c>
      <c r="EU11" s="44" t="str">
        <f t="shared" si="39"/>
        <v/>
      </c>
      <c r="EV11" s="44" t="str">
        <f t="shared" si="39"/>
        <v/>
      </c>
      <c r="EW11" s="44" t="str">
        <f t="shared" si="40"/>
        <v/>
      </c>
      <c r="EX11" s="44" t="str">
        <f t="shared" si="40"/>
        <v/>
      </c>
      <c r="EY11" s="44" t="str">
        <f t="shared" si="40"/>
        <v/>
      </c>
      <c r="EZ11" s="44" t="str">
        <f t="shared" si="40"/>
        <v/>
      </c>
      <c r="FA11" s="44" t="str">
        <f t="shared" si="41"/>
        <v/>
      </c>
      <c r="FB11" s="44" t="str">
        <f t="shared" si="42"/>
        <v/>
      </c>
      <c r="FD11" s="44" t="str">
        <f t="shared" si="43"/>
        <v/>
      </c>
      <c r="FE11" s="44" t="str">
        <f t="shared" si="44"/>
        <v/>
      </c>
      <c r="FF11" s="44" t="str">
        <f t="shared" si="45"/>
        <v/>
      </c>
      <c r="FG11" s="44" t="str">
        <f t="shared" si="46"/>
        <v/>
      </c>
      <c r="FH11" s="44" t="str">
        <f t="shared" si="47"/>
        <v/>
      </c>
      <c r="FI11" s="44" t="str">
        <f t="shared" si="48"/>
        <v/>
      </c>
      <c r="FJ11" s="44" t="str">
        <f t="shared" si="49"/>
        <v/>
      </c>
      <c r="FK11" s="44" t="str">
        <f t="shared" si="50"/>
        <v/>
      </c>
      <c r="FL11" s="44" t="str">
        <f t="shared" si="51"/>
        <v/>
      </c>
      <c r="FM11" s="44" t="str">
        <f t="shared" si="52"/>
        <v/>
      </c>
      <c r="FN11" s="44" t="str">
        <f t="shared" si="53"/>
        <v/>
      </c>
      <c r="FO11" s="44" t="str">
        <f t="shared" si="54"/>
        <v/>
      </c>
      <c r="FP11" s="44" t="str">
        <f t="shared" si="55"/>
        <v/>
      </c>
      <c r="FQ11" s="44" t="str">
        <f t="shared" si="56"/>
        <v>"001WHI",</v>
      </c>
      <c r="FR11" s="44" t="str">
        <f t="shared" si="57"/>
        <v>"002BLU",</v>
      </c>
      <c r="FS11" s="44" t="str">
        <f t="shared" si="58"/>
        <v>"003WHI",</v>
      </c>
      <c r="FT11" s="44" t="str">
        <f t="shared" si="59"/>
        <v>"myrEQ",</v>
      </c>
      <c r="FU11" s="44" t="str">
        <f t="shared" si="60"/>
        <v/>
      </c>
      <c r="FV11" s="44" t="str">
        <f t="shared" si="61"/>
        <v/>
      </c>
      <c r="FW11" s="44" t="str">
        <f t="shared" si="62"/>
        <v/>
      </c>
      <c r="FY11" s="44" t="str">
        <f t="shared" si="63"/>
        <v/>
      </c>
      <c r="FZ11" s="44" t="str">
        <f t="shared" si="64"/>
        <v/>
      </c>
      <c r="GA11" s="44" t="str">
        <f t="shared" si="65"/>
        <v/>
      </c>
      <c r="GB11" s="44" t="str">
        <f t="shared" si="66"/>
        <v/>
      </c>
      <c r="GE11" s="44" t="str">
        <f t="shared" si="67"/>
        <v/>
      </c>
      <c r="GF11" s="44" t="str">
        <f t="shared" si="98"/>
        <v/>
      </c>
      <c r="GG11" s="44" t="str">
        <f t="shared" si="68"/>
        <v/>
      </c>
      <c r="GH11" s="44" t="str">
        <f t="shared" si="69"/>
        <v/>
      </c>
      <c r="GI11" s="44" t="str">
        <f t="shared" si="70"/>
        <v/>
      </c>
      <c r="GJ11" s="44" t="str">
        <f t="shared" si="71"/>
        <v>"NoStar",</v>
      </c>
      <c r="GK11" s="44" t="str">
        <f t="shared" si="72"/>
        <v/>
      </c>
      <c r="GL11" s="44" t="str">
        <f t="shared" si="73"/>
        <v/>
      </c>
      <c r="GM11" s="44" t="str">
        <f t="shared" si="73"/>
        <v/>
      </c>
      <c r="GN11" s="44" t="str">
        <f t="shared" si="73"/>
        <v/>
      </c>
      <c r="GP11" s="44" t="str">
        <f t="shared" si="74"/>
        <v>"City"</v>
      </c>
      <c r="GS11" s="44" t="str">
        <f t="shared" si="75"/>
        <v>["5+Colo","lets06","startN","with_z","year00","allhor","4+Band","Horizo","Circle","Animal","Plants","001WHI","002BLU","003WHI","myrEQ","NoStar"]</v>
      </c>
      <c r="GT11" s="44" t="str">
        <f t="shared" si="76"/>
        <v>"cl_BLA",</v>
      </c>
      <c r="GU11" s="44" t="str">
        <f t="shared" si="76"/>
        <v>"cl_BLU",</v>
      </c>
      <c r="GV11" s="44" t="str">
        <f t="shared" si="76"/>
        <v>"cl_GRE",</v>
      </c>
      <c r="GW11" s="44" t="str">
        <f t="shared" si="76"/>
        <v>"cl_RED",</v>
      </c>
      <c r="GX11" s="44" t="str">
        <f t="shared" si="76"/>
        <v>"cl_YEL",</v>
      </c>
      <c r="GY11" s="44" t="str">
        <f t="shared" si="76"/>
        <v/>
      </c>
      <c r="GZ11" s="44" t="str">
        <f t="shared" si="76"/>
        <v>"cl_BRO",</v>
      </c>
      <c r="HA11" s="44" t="str">
        <f t="shared" si="76"/>
        <v/>
      </c>
      <c r="HB11" s="44" t="str">
        <f t="shared" si="76"/>
        <v>"cl_WHI",</v>
      </c>
      <c r="HC11" s="44" t="str">
        <f t="shared" si="77"/>
        <v>["cl_BLA","cl_BLU","cl_GRE","cl_RED","cl_YEL","cl_BRO","cl_WHI"]</v>
      </c>
      <c r="HE11" s="64"/>
      <c r="HF11" s="65" t="str">
        <f t="shared" si="78"/>
        <v>{couname:"[NZE] Napier",year:"2020",region:"rgn_Oceania",Colors:["cl_BLA","cl_BLU","cl_GRE","cl_RED","cl_YEL","cl_BRO","cl_WHI"],Items:["5+Colo","lets06","startN","with_z","year00","allhor","4+Band","Horizo","Circle","Animal","Plants","001WHI","002BLU","003WHI","myrEQ","NoStar"],Flag:"https://upload.wikimedia.org/wikipedia/commons/thumb/f/f8/Flag_of_Napier_City.svg/640px-Flag_of_Napier_City.svg.png",HDFlag:"https://upload.wikimedia.org/wikipedia/commons/thumb/f/f8/Flag_of_Napier_City.svg/2560px-Flag_of_Napier_City.svg.png",type:"City", describe: "\nA banner of arms of Napier's coat of arms. Three red roses from the coat of arms of Lord Napier and Ettrick (a direct descendant of Sir Charles Napier after whom Napier was named). Blue wave bands symbolise status as a coastal city and the Golden Fleece is the heraldic symbol of the wool industry, which Napier was one of the largest wool centres in New Zealand. ", isnew:".", links: "https://en.wikipedia.org/wiki/Napier,_New_Zealand"},</v>
      </c>
      <c r="HG11" s="66" t="str">
        <f t="shared" si="79"/>
        <v>{couname:"[NZE] Napier",year:"2020",region:"rgn_Oceania",Colors:["cl_BLA","cl_BLU","cl_GRE","cl_RED","cl_YEL","cl_BRO","cl_WHI"],Items:["5+Colo","lets06","startN","with_z","year00","allhor","4+Band","Horizo","Circle","Animal","Plants","001WHI","002BLU","003WHI","myrEQ","NoStar"],Flag:"https://upload.wikimedia.org/wikipedia/commons/thumb/f/f8/Flag_of_Napier_City.svg/640px-Flag_of_Napier_City.svg.png",HDFlag:"https://upload.wikimedia.org/wikipedia/commons/thumb/f/f8/Flag_of_Napier_City.svg/2560px-Flag_of_Napier_City.svg.png",type:"City", describe: "\nA banner of arms of Napier's coat of arms. Three red roses from the coat of arms of Lord Napier and Ettrick (a direct descendant of Sir Charles Napier after whom Napier was named). Blue wave bands symbolise status as a coastal city and the Golden Fleece is the heraldic symbol of the wool industry, which Napier was one of the largest wool centres in New Zealand. ", links: "https://en.wikipedia.org/wiki/Napier,_New_Zealand"},</v>
      </c>
      <c r="HH11" s="44" t="str">
        <f t="shared" si="80"/>
        <v>"\nA banner of arms of Napier's coat of arms. Three red roses from the coat of arms of Lord Napier and Ettrick (a direct descendant of Sir Charles Napier after whom Napier was named). Blue wave bands symbolise status as a coastal city and the Golden Fleece is the heraldic symbol of the wool industry, which Napier was one of the largest wool centres in New Zealand. "</v>
      </c>
      <c r="HI11" s="44" t="str">
        <f t="shared" si="81"/>
        <v>"\nA banner of arms of Napier's coat of arms. Three red roses from the coat of arms of Lord Napier and Ettrick (a direct descendant of Sir Charles Napier after whom Napier was named). Blue wave bands symbolise status as a coastal city and the Golden Fleece is the heraldic symbol of the wool industry, which Napier was one of the largest wool centres in New Zealand. "</v>
      </c>
      <c r="HJ11" s="44" t="str">
        <f t="shared" si="82"/>
        <v>"2020"</v>
      </c>
      <c r="HL11" s="44" t="str">
        <f t="shared" si="83"/>
        <v>"https://en.wikipedia.org/wiki/Napier,_New_Zealand"</v>
      </c>
      <c r="HM11" s="65" t="str">
        <f t="shared" si="84"/>
        <v>{"couname":"[NZE] Napier","subtype":"[NZE] Hawke's Bay","year":"2020","region":"rgn_Oceania","Colors":["cl_BLA","cl_BLU","cl_GRE","cl_RED","cl_YEL","cl_BRO","cl_WHI"],"Items":["5+Colo","lets06","startN","with_z","year00","allhor","4+Band","Horizo","Circle","Animal","Plants","001WHI","002BLU","003WHI","myrEQ","NoStar"],"Flag":"https://upload.wikimedia.org/wikipedia/commons/thumb/f/f8/Flag_of_Napier_City.svg/640px-Flag_of_Napier_City.svg.png","HDFlag":"https://upload.wikimedia.org/wikipedia/commons/thumb/f/f8/Flag_of_Napier_City.svg/2560px-Flag_of_Napier_City.svg.png","type":"City", "describe": "\nA banner of arms of Napier's coat of arms. Three red roses from the coat of arms of Lord Napier and Ettrick (a direct descendant of Sir Charles Napier after whom Napier was named). Blue wave bands symbolise status as a coastal city and the Golden Fleece is the heraldic symbol of the wool industry, which Napier was one of the largest wool centres in New Zealand. ", "isnew": ".", "links": "https://en.wikipedia.org/wiki/Napier,_New_Zealand"},</v>
      </c>
      <c r="HN11" s="67" t="str">
        <f t="shared" si="85"/>
        <v>{"couname":"[NZE] Napier","subtype":"[NZE] Hawke's Bay","year":"2020","region":"rgn_Oceania","Colors":["cl_BLA","cl_BLU","cl_GRE","cl_RED","cl_YEL","cl_BRO","cl_WHI"],"Items":["5+Colo","lets06","startN","with_z","year00","allhor","4+Band","Horizo","Circle","Animal","Plants","001WHI","002BLU","003WHI","myrEQ","NoStar"],"Flag":"https://upload.wikimedia.org/wikipedia/commons/thumb/f/f8/Flag_of_Napier_City.svg/640px-Flag_of_Napier_City.svg.png","HDFlag":"https://upload.wikimedia.org/wikipedia/commons/thumb/f/f8/Flag_of_Napier_City.svg/2560px-Flag_of_Napier_City.svg.png","type":"City", "describe": "\nA banner of arms of Napier's coat of arms. Three red roses from the coat of arms of Lord Napier and Ettrick (a direct descendant of Sir Charles Napier after whom Napier was named). Blue wave bands symbolise status as a coastal city and the Golden Fleece is the heraldic symbol of the wool industry, which Napier was one of the largest wool centres in New Zealand. ", "isnew": ".", "links": "https://en.wikipedia.org/wiki/Napier,_New_Zealand"},</v>
      </c>
      <c r="HO11" s="71">
        <v>45596</v>
      </c>
      <c r="HP11" s="44" t="str" cm="1">
        <f t="array" ref="HP11">IF(_xlfn.TEXTJOIN(", ", TRUE, IF(ISNUMBER(SEARCH("BLA", BL11:BT11)), COLUMN(BL11:BT11) - COLUMN(BL11) + 1, ""))&lt;&gt;"","BLA","")</f>
        <v>BLA</v>
      </c>
      <c r="HQ11" s="44" t="str" cm="1">
        <f t="array" ref="HQ11">IF(_xlfn.TEXTJOIN(", ", TRUE, IF(ISNUMBER(SEARCH("BLU", BL11:BT11)), COLUMN(BL11:BT11) - COLUMN(BL11) + 1, ""))&lt;&gt;"","BLU","")</f>
        <v>BLU</v>
      </c>
      <c r="HR11" s="44" t="str" cm="1">
        <f t="array" ref="HR11">IF(_xlfn.TEXTJOIN(", ", TRUE, IF(ISNUMBER(SEARCH("GRE", BL11:BT11)), COLUMN(BL11:BT11) - COLUMN(BL11) + 1, ""))&lt;&gt;"","GRE","")</f>
        <v>GRE</v>
      </c>
      <c r="HS11" s="44" t="str" cm="1">
        <f t="array" ref="HS11">IF(_xlfn.TEXTJOIN(", ", TRUE, IF(ISNUMBER(SEARCH("RED", BL11:BT11)), COLUMN(BL11:BT11) - COLUMN(BL11) + 1, ""))&lt;&gt;"","RED","")</f>
        <v>RED</v>
      </c>
      <c r="HT11" s="44" t="str" cm="1">
        <f t="array" ref="HT11">IF(_xlfn.TEXTJOIN(", ", TRUE, IF(ISNUMBER(SEARCH("YEL", BL11:BT11)), COLUMN(BL11:BT11) - COLUMN(BL11) + 1, ""))&lt;&gt;"","YEL","")</f>
        <v>YEL</v>
      </c>
      <c r="HU11" s="44" t="str" cm="1">
        <f t="array" ref="HU11">IF(_xlfn.TEXTJOIN(", ", TRUE, IF(ISNUMBER(SEARCH("ORA", BL11:BT11)), COLUMN(BL11:BT11) - COLUMN(BL11) + 1, ""))&lt;&gt;"","ORA","")</f>
        <v/>
      </c>
      <c r="HV11" s="44" t="str" cm="1">
        <f t="array" ref="HV11">IF(_xlfn.TEXTJOIN(", ", TRUE, IF(ISNUMBER(SEARCH("BRO", BL11:BT11)), COLUMN(BL11:BT11) - COLUMN(BL11) + 1, ""))&lt;&gt;"","BRO","")</f>
        <v>BRO</v>
      </c>
      <c r="HW11" s="44" t="str" cm="1">
        <f t="array" ref="HW11">IF(_xlfn.TEXTJOIN(", ", TRUE, IF(ISNUMBER(SEARCH("PUR", BL11:BT11)), COLUMN(BL11:BT11) - COLUMN(BL11) + 1, ""))&lt;&gt;"","PUR","")</f>
        <v/>
      </c>
      <c r="HX11" s="44" t="str" cm="1">
        <f t="array" ref="HX11">IF(_xlfn.TEXTJOIN(", ", TRUE, IF(ISNUMBER(SEARCH("WHI", BL11:BT11)), COLUMN(BL11:BT11) - COLUMN(BL11) + 1, ""))&lt;&gt;"","WHI","")</f>
        <v>WHI</v>
      </c>
      <c r="HY11" s="72"/>
      <c r="HZ11" s="72"/>
      <c r="IA11" s="5"/>
      <c r="IB11" s="5"/>
      <c r="IC11" s="68"/>
      <c r="ID11" s="68"/>
      <c r="IE11" s="68"/>
      <c r="IF11" s="68"/>
      <c r="IG11" s="68"/>
      <c r="IH11" s="68"/>
      <c r="II11" s="68"/>
      <c r="IJ11" s="68"/>
      <c r="IK11" s="68"/>
      <c r="IM11" s="42">
        <f t="shared" si="86"/>
        <v>-7</v>
      </c>
      <c r="IN11" s="69" t="str">
        <f t="shared" si="87"/>
        <v>http://mkweb.bcgsc.ca/color-summarizer/?url=https://upload.wikimedia.org/wikipedia/commons/thumb/f/f8/Flag_of_Napier_City.svg/640px-Flag_of_Napier_City.svg.png&amp;precision=low&amp;num_clusters=7&amp;text=1</v>
      </c>
      <c r="IO11" s="44" t="str">
        <f t="shared" si="88"/>
        <v>"black"</v>
      </c>
      <c r="IP11" s="44" t="str">
        <f t="shared" si="89"/>
        <v>"blue"</v>
      </c>
      <c r="IQ11" s="44" t="str">
        <f t="shared" si="90"/>
        <v>"green"</v>
      </c>
      <c r="IR11" s="44" t="str">
        <f t="shared" si="91"/>
        <v>"red"</v>
      </c>
      <c r="IS11" s="44" t="str">
        <f t="shared" si="92"/>
        <v>"yellow"</v>
      </c>
      <c r="IT11" s="44" t="str">
        <f t="shared" si="93"/>
        <v/>
      </c>
      <c r="IU11" s="44" t="str">
        <f t="shared" si="94"/>
        <v>"brown"</v>
      </c>
      <c r="IV11" s="44" t="str">
        <f t="shared" si="95"/>
        <v/>
      </c>
      <c r="IW11" s="44" t="str">
        <f t="shared" si="96"/>
        <v>"white"</v>
      </c>
      <c r="IX11" s="44" t="str">
        <f t="shared" si="97"/>
        <v>{"url":"http://mkweb.bcgsc.ca/color-summarizer/?url=https://upload.wikimedia.org/wikipedia/commons/thumb/f/f8/Flag_of_Napier_City.svg/640px-Flag_of_Napier_City.svg.png&amp;precision=low&amp;num_clusters=7&amp;text=1","name":"[NZE] Napier"},</v>
      </c>
      <c r="IY11" s="44">
        <v>1368</v>
      </c>
    </row>
    <row r="12" spans="1:259" s="44" customFormat="1" ht="38.4" customHeight="1" thickBot="1" x14ac:dyDescent="0.35">
      <c r="A12" s="81" t="s">
        <v>458</v>
      </c>
      <c r="B12" s="78" t="e" vm="79">
        <v>#VALUE!</v>
      </c>
      <c r="C12" s="39">
        <v>3</v>
      </c>
      <c r="D12" s="70" t="s">
        <v>459</v>
      </c>
      <c r="E12" s="40" t="s">
        <v>460</v>
      </c>
      <c r="F12" s="41" t="s">
        <v>165</v>
      </c>
      <c r="G12" s="42">
        <f t="shared" si="0"/>
        <v>1</v>
      </c>
      <c r="H12" s="43" t="s">
        <v>1136</v>
      </c>
      <c r="I12" s="59" t="s">
        <v>461</v>
      </c>
      <c r="J12" s="44" t="str">
        <f>""</f>
        <v/>
      </c>
      <c r="K12" s="45"/>
      <c r="L12" s="46"/>
      <c r="M12" s="46"/>
      <c r="N12" s="47" t="s">
        <v>177</v>
      </c>
      <c r="O12" s="74" t="s">
        <v>403</v>
      </c>
      <c r="P12" s="48" t="s">
        <v>462</v>
      </c>
      <c r="Q12" s="73">
        <v>2</v>
      </c>
      <c r="R12" s="49" t="s">
        <v>177</v>
      </c>
      <c r="S12" s="50">
        <v>0</v>
      </c>
      <c r="T12" s="51" t="s">
        <v>167</v>
      </c>
      <c r="U12" s="52" t="s">
        <v>166</v>
      </c>
      <c r="V12" s="52" t="s">
        <v>166</v>
      </c>
      <c r="W12" s="52" t="s">
        <v>166</v>
      </c>
      <c r="X12" s="52" t="s">
        <v>166</v>
      </c>
      <c r="Y12" s="52" t="s">
        <v>167</v>
      </c>
      <c r="Z12" s="52" t="s">
        <v>167</v>
      </c>
      <c r="AA12" s="52" t="s">
        <v>167</v>
      </c>
      <c r="AB12" s="52" t="s">
        <v>166</v>
      </c>
      <c r="AC12" s="52" t="s">
        <v>167</v>
      </c>
      <c r="AD12" s="52" t="s">
        <v>166</v>
      </c>
      <c r="AE12" s="52" t="s">
        <v>166</v>
      </c>
      <c r="AF12" s="53" t="s">
        <v>166</v>
      </c>
      <c r="AG12" s="53" t="s">
        <v>166</v>
      </c>
      <c r="AH12" s="53" t="s">
        <v>166</v>
      </c>
      <c r="AI12" s="53" t="s">
        <v>166</v>
      </c>
      <c r="AJ12" s="53" t="s">
        <v>166</v>
      </c>
      <c r="AK12" s="53" t="s">
        <v>166</v>
      </c>
      <c r="AL12" s="53" t="s">
        <v>166</v>
      </c>
      <c r="AM12" s="53" t="s">
        <v>166</v>
      </c>
      <c r="AN12" s="53" t="s">
        <v>166</v>
      </c>
      <c r="AO12" s="53" t="s">
        <v>166</v>
      </c>
      <c r="AP12" s="53" t="s">
        <v>166</v>
      </c>
      <c r="AQ12" s="53" t="s">
        <v>166</v>
      </c>
      <c r="AR12" s="53" t="s">
        <v>166</v>
      </c>
      <c r="AS12" s="53" t="s">
        <v>166</v>
      </c>
      <c r="AT12" s="54">
        <v>0</v>
      </c>
      <c r="AU12" s="53" t="s">
        <v>354</v>
      </c>
      <c r="AV12" s="53" t="str">
        <f t="shared" si="1"/>
        <v>[NZE]Unofficial[NZE] Laser Kiwi</v>
      </c>
      <c r="AW12" s="53" t="str">
        <f t="shared" si="2"/>
        <v>3[NZE] Other[NZE] Laser Kiwi</v>
      </c>
      <c r="AX12" s="55"/>
      <c r="AY12" s="55"/>
      <c r="AZ12" s="56"/>
      <c r="BA12" s="56"/>
      <c r="BB12" s="56"/>
      <c r="BC12" s="57"/>
      <c r="BD12" s="58" t="s">
        <v>153</v>
      </c>
      <c r="BE12" s="59"/>
      <c r="BF12" s="58"/>
      <c r="BG12" s="58"/>
      <c r="BH12" s="58"/>
      <c r="BI12" s="58"/>
      <c r="BJ12" s="58"/>
      <c r="BK12" s="59"/>
      <c r="BL12" s="58" t="s">
        <v>153</v>
      </c>
      <c r="BM12" s="58" t="s">
        <v>159</v>
      </c>
      <c r="BN12" s="58" t="s">
        <v>155</v>
      </c>
      <c r="BO12" s="58" t="s">
        <v>161</v>
      </c>
      <c r="BP12" s="58"/>
      <c r="BQ12" s="58"/>
      <c r="BR12" s="58"/>
      <c r="BS12" s="58"/>
      <c r="BT12" s="58"/>
      <c r="BU12" s="60"/>
      <c r="BV12" s="61"/>
      <c r="BW12" s="61">
        <v>0</v>
      </c>
      <c r="BX12" s="59"/>
      <c r="BY12" s="44" t="s">
        <v>166</v>
      </c>
      <c r="CB12" s="5"/>
      <c r="CC12" s="5"/>
      <c r="CD12" s="62">
        <v>0</v>
      </c>
      <c r="CE12" s="62">
        <v>0</v>
      </c>
      <c r="CF12" s="62" t="e">
        <v>#REF!</v>
      </c>
      <c r="CG12" s="75" cm="1">
        <f t="array" ref="CG12">SUMPRODUCT(--(LEN(TRIM(BL12:BT12))&gt;0))</f>
        <v>4</v>
      </c>
      <c r="CH12" s="53" t="str">
        <f t="shared" si="3"/>
        <v>n</v>
      </c>
      <c r="CI12" s="53" t="str">
        <f t="shared" si="4"/>
        <v>n</v>
      </c>
      <c r="CJ12" s="53" t="str">
        <f t="shared" si="5"/>
        <v>y</v>
      </c>
      <c r="CK12" s="53" t="str">
        <f t="shared" si="6"/>
        <v>n</v>
      </c>
      <c r="CL12" s="53" t="str">
        <f t="shared" si="7"/>
        <v>y</v>
      </c>
      <c r="CM12" s="53" t="str">
        <f t="shared" si="8"/>
        <v>n</v>
      </c>
      <c r="CN12" s="53" t="str">
        <f t="shared" si="9"/>
        <v>n</v>
      </c>
      <c r="CO12" s="53" t="str">
        <f t="shared" si="10"/>
        <v>n</v>
      </c>
      <c r="CP12" s="53" t="str">
        <f t="shared" si="11"/>
        <v>y</v>
      </c>
      <c r="CQ12" s="53" t="str">
        <f t="shared" si="12"/>
        <v>n</v>
      </c>
      <c r="CR12" s="53" t="str">
        <f t="shared" si="13"/>
        <v>n</v>
      </c>
      <c r="CS12" s="53" t="str">
        <f t="shared" si="14"/>
        <v>n</v>
      </c>
      <c r="CT12" s="38" t="str">
        <f t="shared" si="15"/>
        <v>"[NZE] Laser Kiwi"</v>
      </c>
      <c r="CU12" s="63" t="str">
        <f t="shared" si="16"/>
        <v>"rgn_Oceania"</v>
      </c>
      <c r="CV12" s="44" t="str">
        <f t="shared" si="17"/>
        <v>"https://upload.wikimedia.org/wikipedia/en/thumb/f/f5/Fire_the_Lazer.svg/640px-Fire_the_Lazer.svg.png"</v>
      </c>
      <c r="CW12" s="44" t="str">
        <f t="shared" si="18"/>
        <v/>
      </c>
      <c r="CX12" s="44" t="str">
        <f t="shared" si="18"/>
        <v/>
      </c>
      <c r="CY12" s="44" t="str">
        <f t="shared" si="18"/>
        <v>"4Color",</v>
      </c>
      <c r="CZ12" s="44" t="str">
        <f t="shared" si="18"/>
        <v/>
      </c>
      <c r="DA12" s="44" t="str">
        <f t="shared" si="19"/>
        <v>"words2",</v>
      </c>
      <c r="DC12" s="44" t="str">
        <f>IF(Q12=2,CHAR(34)&amp;"exact2"&amp;CHAR(34)&amp;",","")</f>
        <v>"exact2",</v>
      </c>
      <c r="DD12" s="44" t="str">
        <f>IF(LEN(CHAR(34)&amp;"lets"&amp;LEN(SUBSTITUTE(SUBSTITUTE(IFERROR(TRIM(SUBSTITUTE(SUBSTITUTE(SUBSTITUTE(IFERROR(TRIM(SUBSTITUTE(A12,MID(A12,FIND("(",A12),FIND(")",A12)-FIND("(",A12)+1),"")),A12)," ",""),"-",""),MID(SUBSTITUTE(SUBSTITUTE(IFERROR(TRIM(SUBSTITUTE(A12,MID(A12,FIND("(",A12),FIND(")",A12)-FIND("(",A12)+1),"")),A12)," ",""),"-",""),FIND("[",SUBSTITUTE(SUBSTITUTE(IFERROR(TRIM(SUBSTITUTE(A12,MID(A12,FIND("(",A12),FIND(")",A12)-FIND("(",A12)+1),"")),A12)," ",""),"-","")),FIND("]",SUBSTITUTE(SUBSTITUTE(IFERROR(TRIM(SUBSTITUTE(A12,MID(A12,FIND("(",A12),FIND(")",A12)-FIND("(",A12)+1),"")),A12)," ",""),"-",""))-FIND("[",SUBSTITUTE(SUBSTITUTE(IFERROR(TRIM(SUBSTITUTE(A12,MID(A12,FIND("(",A12),FIND(")",A12)-FIND("(",A12)+1),"")),A12)," ",""),"-",""))+1),"")),SUBSTITUTE(SUBSTITUTE(IFERROR(TRIM(SUBSTITUTE(A12,MID(A12,FIND("(",A12),FIND(")",A12)-FIND("(",A12)+1),"")),A12)," ",""),"-",""))," ",""),"-",""))&amp;CHAR(34)&amp;",")=9,CHAR(34)&amp;"lets"&amp;LEN(SUBSTITUTE(SUBSTITUTE(IFERROR(TRIM(SUBSTITUTE(SUBSTITUTE(SUBSTITUTE(IFERROR(TRIM(SUBSTITUTE(A12,MID(A12,FIND("(",A12),FIND(")",A12)-FIND("(",A12)+1),"")),A12)," ",""),"-",""),MID(SUBSTITUTE(SUBSTITUTE(IFERROR(TRIM(SUBSTITUTE(A12,MID(A12,FIND("(",A12),FIND(")",A12)-FIND("(",A12)+1),"")),A12)," ",""),"-",""),FIND("[",SUBSTITUTE(SUBSTITUTE(IFERROR(TRIM(SUBSTITUTE(A12,MID(A12,FIND("(",A12),FIND(")",A12)-FIND("(",A12)+1),"")),A12)," ",""),"-","")),FIND("]",SUBSTITUTE(SUBSTITUTE(IFERROR(TRIM(SUBSTITUTE(A12,MID(A12,FIND("(",A12),FIND(")",A12)-FIND("(",A12)+1),"")),A12)," ",""),"-",""))-FIND("[",SUBSTITUTE(SUBSTITUTE(IFERROR(TRIM(SUBSTITUTE(A12,MID(A12,FIND("(",A12),FIND(")",A12)-FIND("(",A12)+1),"")),A12)," ",""),"-",""))+1),"")),SUBSTITUTE(SUBSTITUTE(IFERROR(TRIM(SUBSTITUTE(A12,MID(A12,FIND("(",A12),FIND(")",A12)-FIND("(",A12)+1),"")),A12)," ",""),"-",""))," ",""),"-",""))&amp;CHAR(34)&amp;",",CHAR(34)&amp;"lets0"&amp;LEN(SUBSTITUTE(SUBSTITUTE(IFERROR(TRIM(SUBSTITUTE(SUBSTITUTE(SUBSTITUTE(IFERROR(TRIM(SUBSTITUTE(A12,MID(A12,FIND("(",A12),FIND(")",A12)-FIND("(",A12)+1),"")),A12)," ",""),"-",""),MID(SUBSTITUTE(SUBSTITUTE(IFERROR(TRIM(SUBSTITUTE(A12,MID(A12,FIND("(",A12),FIND(")",A12)-FIND("(",A12)+1),"")),A12)," ",""),"-",""),FIND("[",SUBSTITUTE(SUBSTITUTE(IFERROR(TRIM(SUBSTITUTE(A12,MID(A12,FIND("(",A12),FIND(")",A12)-FIND("(",A12)+1),"")),A12)," ",""),"-","")),FIND("]",SUBSTITUTE(SUBSTITUTE(IFERROR(TRIM(SUBSTITUTE(A12,MID(A12,FIND("(",A12),FIND(")",A12)-FIND("(",A12)+1),"")),A12)," ",""),"-",""))-FIND("[",SUBSTITUTE(SUBSTITUTE(IFERROR(TRIM(SUBSTITUTE(A12,MID(A12,FIND("(",A12),FIND(")",A12)-FIND("(",A12)+1),"")),A12)," ",""),"-",""))+1),"")),SUBSTITUTE(SUBSTITUTE(IFERROR(TRIM(SUBSTITUTE(A12,MID(A12,FIND("(",A12),FIND(")",A12)-FIND("(",A12)+1),"")),A12)," ",""),"-",""))," ",""),"-",""))&amp;CHAR(34)&amp;",")</f>
        <v>"lets09",</v>
      </c>
      <c r="DE12" s="44" t="str">
        <f>IFERROR(CHAR(34)&amp;"start"&amp;LEFT(TRIM(SUBSTITUTE(SUBSTITUTE(TRIM(SUBSTITUTE(SUBSTITUTE(A12, MID(A12, FIND("[", A12), FIND("]", A12) - FIND("[", A12) + 1), ""), "  ", " ")), MID(TRIM(SUBSTITUTE(SUBSTITUTE(A12, MID(A12, FIND("[", A12), FIND("]", A12) - FIND("[", A12) + 1), ""), "  ", " ")), FIND("[", TRIM(SUBSTITUTE(SUBSTITUTE(A12, MID(A12, FIND("[", A12), FIND("]", A12) - FIND("[", A12) + 1), ""), "  ", " "))), FIND("]", TRIM(SUBSTITUTE(SUBSTITUTE(A12, MID(A12, FIND("[", A12), FIND("]", A12) - FIND("[", A12) + 1), ""), "  ", " "))) - FIND("[", TRIM(SUBSTITUTE(SUBSTITUTE(A12, MID(A12, FIND("[", A12), FIND("]", A12) - FIND("[", A12) + 1), ""), "  ", " "))) + 1), ""), "  ", " ")),1)&amp;CHAR(34)&amp;",",CHAR(34)&amp;"start"&amp;IFERROR(LEFT(SUBSTITUTE(A12,"["&amp;MID(A12,FIND("[",A12)+1,FIND("]",A12)-FIND("[",A12)-1)&amp;"] ",""),1),LEFT(A12,1))&amp;CHAR(34)&amp;",")</f>
        <v>"startL",</v>
      </c>
      <c r="DF12" s="44" t="str">
        <f t="shared" si="21"/>
        <v/>
      </c>
      <c r="DG12" s="44" t="str">
        <f t="shared" si="22"/>
        <v/>
      </c>
      <c r="DH12" s="44" t="str">
        <f t="shared" si="23"/>
        <v/>
      </c>
      <c r="DI12" s="44" t="str">
        <f t="shared" si="24"/>
        <v>"with_w",</v>
      </c>
      <c r="DJ12" s="44" t="str">
        <f t="shared" si="25"/>
        <v/>
      </c>
      <c r="DK12" s="44" t="str">
        <f t="shared" si="26"/>
        <v>"with_z",</v>
      </c>
      <c r="DL12" s="44" t="str">
        <f t="shared" si="27"/>
        <v/>
      </c>
      <c r="DM12" s="44" t="str" cm="1">
        <f t="array" ref="DM12">IF(CG12=3,CHAR(34) &amp; _xlfn.TEXTJOIN("", TRUE, RIGHT(HP12:HX12, 2)) &amp; CHAR(34) &amp; ",", "")</f>
        <v/>
      </c>
      <c r="DN12" s="44" t="str">
        <f t="shared" si="28"/>
        <v/>
      </c>
      <c r="DO12" s="44" t="str">
        <f t="shared" si="29"/>
        <v/>
      </c>
      <c r="DP12" s="5" t="str">
        <f t="shared" si="30"/>
        <v>"year00",</v>
      </c>
      <c r="DQ12" s="5" t="str">
        <f t="shared" si="31"/>
        <v/>
      </c>
      <c r="DR12" s="5" t="str">
        <f t="shared" si="32"/>
        <v/>
      </c>
      <c r="DS12" s="5" t="str">
        <f t="shared" si="33"/>
        <v/>
      </c>
      <c r="DT12" s="5" t="str">
        <f t="shared" si="34"/>
        <v/>
      </c>
      <c r="DU12" s="5" t="str">
        <f t="shared" si="35"/>
        <v/>
      </c>
      <c r="DV12" s="44" t="str">
        <f>IF(IA12&lt;&gt;"",(IF(IA12="y",CHAR(34)&amp;"largec"&amp;CHAR(34)&amp;",",CHAR(34)&amp;"smallc"&amp;CHAR(34)&amp;",")),"")</f>
        <v/>
      </c>
      <c r="DW12" s="44" t="str">
        <f t="shared" si="36"/>
        <v>"NoBand",</v>
      </c>
      <c r="DX12" s="44" t="str">
        <f t="shared" si="36"/>
        <v/>
      </c>
      <c r="DY12" s="44" t="str">
        <f t="shared" si="36"/>
        <v/>
      </c>
      <c r="DZ12" s="44" t="str">
        <f t="shared" si="36"/>
        <v/>
      </c>
      <c r="EA12" s="44" t="str">
        <f t="shared" si="37"/>
        <v>"Diagon",</v>
      </c>
      <c r="EB12" s="44" t="str">
        <f t="shared" si="37"/>
        <v/>
      </c>
      <c r="EC12" s="44" t="str">
        <f t="shared" si="37"/>
        <v/>
      </c>
      <c r="ED12" s="44" t="str">
        <f t="shared" si="37"/>
        <v/>
      </c>
      <c r="EE12" s="44" t="str">
        <f t="shared" si="37"/>
        <v/>
      </c>
      <c r="EF12" s="44" t="str">
        <f t="shared" si="38"/>
        <v>"Animal",</v>
      </c>
      <c r="EG12" s="44" t="str">
        <f t="shared" si="39"/>
        <v>"Bird",</v>
      </c>
      <c r="EH12" s="44" t="str">
        <f t="shared" si="39"/>
        <v>"Plants",</v>
      </c>
      <c r="EI12" s="44" t="str">
        <f t="shared" si="39"/>
        <v/>
      </c>
      <c r="EJ12" s="44" t="str">
        <f t="shared" si="39"/>
        <v>"Weapon",</v>
      </c>
      <c r="EK12" s="44" t="str">
        <f t="shared" si="39"/>
        <v/>
      </c>
      <c r="EL12" s="44" t="str">
        <f t="shared" si="39"/>
        <v/>
      </c>
      <c r="EM12" s="44" t="str">
        <f t="shared" si="39"/>
        <v/>
      </c>
      <c r="EN12" s="44" t="str">
        <f t="shared" si="39"/>
        <v/>
      </c>
      <c r="EO12" s="44" t="str">
        <f t="shared" si="39"/>
        <v/>
      </c>
      <c r="EP12" s="44" t="str">
        <f t="shared" si="39"/>
        <v/>
      </c>
      <c r="EQ12" s="44" t="str">
        <f t="shared" si="39"/>
        <v/>
      </c>
      <c r="ER12" s="44" t="str">
        <f t="shared" si="39"/>
        <v/>
      </c>
      <c r="ES12" s="44" t="str">
        <f t="shared" si="39"/>
        <v/>
      </c>
      <c r="ET12" s="44" t="str">
        <f t="shared" si="39"/>
        <v/>
      </c>
      <c r="EU12" s="44" t="str">
        <f t="shared" si="39"/>
        <v/>
      </c>
      <c r="EV12" s="44" t="str">
        <f t="shared" si="39"/>
        <v/>
      </c>
      <c r="EW12" s="44" t="str">
        <f t="shared" si="40"/>
        <v/>
      </c>
      <c r="EX12" s="44" t="str">
        <f t="shared" si="40"/>
        <v/>
      </c>
      <c r="EY12" s="44" t="str">
        <f t="shared" si="40"/>
        <v/>
      </c>
      <c r="EZ12" s="44" t="str">
        <f t="shared" si="40"/>
        <v/>
      </c>
      <c r="FA12" s="44" t="str">
        <f t="shared" si="41"/>
        <v/>
      </c>
      <c r="FB12" s="44" t="str">
        <f t="shared" si="42"/>
        <v/>
      </c>
      <c r="FC12" s="44" t="str">
        <f>IF(AND(AT12&gt;0,BB12&lt;&gt;""),CHAR(34)&amp;"sta"&amp;BB12&amp;CHAR(34)&amp;",","")</f>
        <v/>
      </c>
      <c r="FD12" s="44" t="str">
        <f t="shared" si="43"/>
        <v/>
      </c>
      <c r="FE12" s="44" t="str">
        <f t="shared" si="44"/>
        <v>"NO_BLU",</v>
      </c>
      <c r="FF12" s="44" t="str">
        <f t="shared" si="45"/>
        <v/>
      </c>
      <c r="FG12" s="44" t="str">
        <f t="shared" si="46"/>
        <v>"NO_RED",</v>
      </c>
      <c r="FH12" s="44" t="str">
        <f t="shared" si="47"/>
        <v/>
      </c>
      <c r="FI12" s="44" t="str">
        <f t="shared" si="48"/>
        <v>"NO_YEL",</v>
      </c>
      <c r="FJ12" s="44" t="str">
        <f t="shared" si="49"/>
        <v/>
      </c>
      <c r="FK12" s="44" t="str">
        <f t="shared" si="50"/>
        <v/>
      </c>
      <c r="FL12" s="44" t="str">
        <f t="shared" si="51"/>
        <v/>
      </c>
      <c r="FM12" s="44" t="str">
        <f t="shared" si="52"/>
        <v/>
      </c>
      <c r="FN12" s="44" t="str">
        <f t="shared" si="53"/>
        <v/>
      </c>
      <c r="FO12" s="44" t="str">
        <f t="shared" si="54"/>
        <v>"BLRENO",</v>
      </c>
      <c r="FP12" s="44" t="str">
        <f t="shared" si="55"/>
        <v/>
      </c>
      <c r="FQ12" s="44" t="str">
        <f t="shared" si="56"/>
        <v/>
      </c>
      <c r="FR12" s="44" t="str">
        <f t="shared" si="57"/>
        <v/>
      </c>
      <c r="FS12" s="44" t="str">
        <f t="shared" si="58"/>
        <v/>
      </c>
      <c r="FT12" s="44" t="str">
        <f t="shared" si="59"/>
        <v>"myrBLA",</v>
      </c>
      <c r="FU12" s="44" t="str">
        <f t="shared" si="60"/>
        <v/>
      </c>
      <c r="FV12" s="44" t="str">
        <f t="shared" si="61"/>
        <v/>
      </c>
      <c r="FW12" s="44" t="str">
        <f t="shared" si="62"/>
        <v/>
      </c>
      <c r="FX12" s="44" t="str">
        <f>SUBSTITUTE(IFERROR(SEARCH("[",A12),IFERROR(IF(AND(CA12&lt;&gt;"y",SEARCH("Europe",R12)&gt;0),CHAR(34)&amp;"noeuni"&amp;CHAR(34)&amp;",",""),"")),"1","")</f>
        <v/>
      </c>
      <c r="FY12" s="44" t="str">
        <f t="shared" si="63"/>
        <v/>
      </c>
      <c r="FZ12" s="44" t="str">
        <f t="shared" si="64"/>
        <v/>
      </c>
      <c r="GA12" s="44" t="str">
        <f t="shared" si="65"/>
        <v/>
      </c>
      <c r="GB12" s="44" t="str">
        <f t="shared" si="66"/>
        <v/>
      </c>
      <c r="GC12" s="44" t="str">
        <f>IFERROR(IF(SEARCH("Portuguese",CB12)&gt;0,CHAR(34)&amp;"portug"&amp;CHAR(34)&amp;",",""),"")</f>
        <v/>
      </c>
      <c r="GD12" s="44" t="str">
        <f>IFERROR(IF(SEARCH("German",CB12)&gt;0,CHAR(34)&amp;"german"&amp;CHAR(34)&amp;",",""),"")</f>
        <v/>
      </c>
      <c r="GE12" s="44" t="str">
        <f t="shared" si="67"/>
        <v/>
      </c>
      <c r="GF12" s="44" t="str">
        <f t="shared" si="98"/>
        <v/>
      </c>
      <c r="GG12" s="44" t="str">
        <f t="shared" si="68"/>
        <v/>
      </c>
      <c r="GH12" s="44" t="str">
        <f t="shared" si="69"/>
        <v/>
      </c>
      <c r="GI12" s="44" t="str">
        <f t="shared" si="70"/>
        <v/>
      </c>
      <c r="GJ12" s="44" t="str">
        <f t="shared" si="71"/>
        <v>"NoStar",</v>
      </c>
      <c r="GK12" s="44" t="str">
        <f t="shared" si="72"/>
        <v/>
      </c>
      <c r="GL12" s="44" t="str">
        <f t="shared" si="73"/>
        <v/>
      </c>
      <c r="GM12" s="44" t="str">
        <f t="shared" si="73"/>
        <v/>
      </c>
      <c r="GN12" s="44" t="str">
        <f t="shared" si="73"/>
        <v/>
      </c>
      <c r="GP12" s="44" t="str">
        <f t="shared" si="74"/>
        <v>"Unofficial"</v>
      </c>
      <c r="GS12" s="44" t="str">
        <f t="shared" si="75"/>
        <v>["4Color","words2","exact2","lets09","startL","with_w","with_z","year00","NoBand","Diagon","Animal","Bird","Plants","Weapon","NO_BLU","NO_RED","NO_YEL","BLRENO","myrBLA","NoStar"]</v>
      </c>
      <c r="GT12" s="44" t="str">
        <f t="shared" si="76"/>
        <v>"cl_BLA",</v>
      </c>
      <c r="GU12" s="44" t="str">
        <f t="shared" si="76"/>
        <v>"cl_BRO",</v>
      </c>
      <c r="GV12" s="44" t="str">
        <f t="shared" si="76"/>
        <v>"cl_GRE",</v>
      </c>
      <c r="GW12" s="44" t="str">
        <f t="shared" si="76"/>
        <v>"cl_WHI",</v>
      </c>
      <c r="GX12" s="44" t="str">
        <f t="shared" si="76"/>
        <v/>
      </c>
      <c r="GY12" s="44" t="str">
        <f t="shared" si="76"/>
        <v/>
      </c>
      <c r="GZ12" s="44" t="str">
        <f t="shared" si="76"/>
        <v/>
      </c>
      <c r="HA12" s="44" t="str">
        <f t="shared" si="76"/>
        <v/>
      </c>
      <c r="HB12" s="44" t="str">
        <f t="shared" si="76"/>
        <v/>
      </c>
      <c r="HC12" s="44" t="str">
        <f t="shared" si="77"/>
        <v>["cl_BLA","cl_BRO","cl_GRE","cl_WHI"]</v>
      </c>
      <c r="HE12" s="64"/>
      <c r="HF12" s="65" t="str">
        <f t="shared" si="78"/>
        <v>{couname:"[NZE] Laser Kiwi",year:"2015 ",region:"rgn_Oceania",Colors:["cl_BLA","cl_BRO","cl_GRE","cl_WHI"],Items:["4Color","words2","exact2","lets09","startL","with_w","with_z","year00","NoBand","Diagon","Animal","Bird","Plants","Weapon","NO_BLU","NO_RED","NO_YEL","BLRENO","myrBLA","NoStar"],Flag:"https://upload.wikimedia.org/wikipedia/en/thumb/f/f5/Fire_the_Lazer.svg/640px-Fire_the_Lazer.svg.png",HDFlag:"https://upload.wikimedia.org/wikipedia/en/thumb/f/f5/Fire_the_Lazer.svg/2560px-Fire_the_Lazer.svg.png",type:"Unofficial", describe: "\nThe Laser Kiwi flag, originally titled Fire the Lazar, was designed in 2015 by Lucy Gray as a proposed flag of New Zealand for the 2015–2016 New Zealand flag referendums. It has since become a social media phenomenon that has created ongoing interest in the design.", isnew:".", links: "https://en.wikipedia.org/wiki/Laser_Kiwi_flag"},</v>
      </c>
      <c r="HG12" s="66" t="str">
        <f t="shared" si="79"/>
        <v>{couname:"[NZE] Laser Kiwi",year:"2015 ",region:"rgn_Oceania",Colors:["cl_BLA","cl_BRO","cl_GRE","cl_WHI"],Items:["4Color","words2","exact2","lets09","startL","with_w","with_z","year00","NoBand","Diagon","Animal","Bird","Plants","Weapon","NO_BLU","NO_RED","NO_YEL","BLRENO","myrBLA","NoStar"],Flag:"https://upload.wikimedia.org/wikipedia/en/thumb/f/f5/Fire_the_Lazer.svg/640px-Fire_the_Lazer.svg.png",HDFlag:"https://upload.wikimedia.org/wikipedia/en/thumb/f/f5/Fire_the_Lazer.svg/2560px-Fire_the_Lazer.svg.png",type:"Unofficial", describe: "\nThe Laser Kiwi flag, originally titled Fire the Lazar, was designed in 2015 by Lucy Gray as a proposed flag of New Zealand for the 2015–2016 New Zealand flag referendums. It has since become a social media phenomenon that has created ongoing interest in the design.", links: "https://en.wikipedia.org/wiki/Laser_Kiwi_flag"},</v>
      </c>
      <c r="HH12" s="44" t="str">
        <f t="shared" si="80"/>
        <v>"\nThe Laser Kiwi flag, originally titled Fire the Lazar, was designed in 2015 by Lucy Gray as a proposed flag of New Zealand for the 2015–2016 New Zealand flag referendums. It has since become a social media phenomenon that has created ongoing interest in the design."</v>
      </c>
      <c r="HI12" s="44" t="str">
        <f t="shared" si="81"/>
        <v>"\nThe Laser Kiwi flag, originally titled Fire the Lazar, was designed in 2015 by Lucy Gray as a proposed flag of New Zealand for the 2015–2016 New Zealand flag referendums. It has since become a social media phenomenon that has created ongoing interest in the design."</v>
      </c>
      <c r="HJ12" s="44" t="str">
        <f t="shared" si="82"/>
        <v>"2015 "</v>
      </c>
      <c r="HL12" s="44" t="str">
        <f t="shared" si="83"/>
        <v>"https://en.wikipedia.org/wiki/Laser_Kiwi_flag"</v>
      </c>
      <c r="HM12" s="65" t="str">
        <f t="shared" si="84"/>
        <v>{"couname":"[NZE] Laser Kiwi","subtype":"[NZE] Other","year":"2015 ","region":"rgn_Oceania","Colors":["cl_BLA","cl_BRO","cl_GRE","cl_WHI"],"Items":["4Color","words2","exact2","lets09","startL","with_w","with_z","year00","NoBand","Diagon","Animal","Bird","Plants","Weapon","NO_BLU","NO_RED","NO_YEL","BLRENO","myrBLA","NoStar"],"Flag":"https://upload.wikimedia.org/wikipedia/en/thumb/f/f5/Fire_the_Lazer.svg/640px-Fire_the_Lazer.svg.png","HDFlag":"https://upload.wikimedia.org/wikipedia/en/thumb/f/f5/Fire_the_Lazer.svg/2560px-Fire_the_Lazer.svg.png","type":"Unofficial", "describe": "\nThe Laser Kiwi flag, originally titled Fire the Lazar, was designed in 2015 by Lucy Gray as a proposed flag of New Zealand for the 2015–2016 New Zealand flag referendums. It has since become a social media phenomenon that has created ongoing interest in the design.", "isnew": ".", "links": "https://en.wikipedia.org/wiki/Laser_Kiwi_flag"},</v>
      </c>
      <c r="HN12" s="67" t="str">
        <f t="shared" si="85"/>
        <v>{"couname":"[NZE] Laser Kiwi","subtype":"[NZE] Other","year":"2015 ","region":"rgn_Oceania","Colors":["cl_BLA","cl_BRO","cl_GRE","cl_WHI"],"Items":["4Color","words2","exact2","lets09","startL","with_w","with_z","year00","NoBand","Diagon","Animal","Bird","Plants","Weapon","NO_BLU","NO_RED","NO_YEL","BLRENO","myrBLA","NoStar"],"Flag":"https://upload.wikimedia.org/wikipedia/en/thumb/f/f5/Fire_the_Lazer.svg/640px-Fire_the_Lazer.svg.png","HDFlag":"https://upload.wikimedia.org/wikipedia/en/thumb/f/f5/Fire_the_Lazer.svg/2560px-Fire_the_Lazer.svg.png","type":"Unofficial", "describe": "\nThe Laser Kiwi flag, originally titled Fire the Lazar, was designed in 2015 by Lucy Gray as a proposed flag of New Zealand for the 2015–2016 New Zealand flag referendums. It has since become a social media phenomenon that has created ongoing interest in the design.", "isnew": ".", "links": "https://en.wikipedia.org/wiki/Laser_Kiwi_flag"},</v>
      </c>
      <c r="HO12" s="71"/>
      <c r="HP12" s="44" t="str" cm="1">
        <f t="array" ref="HP12">IF(_xlfn.TEXTJOIN(", ", TRUE, IF(ISNUMBER(SEARCH("BLA", BL12:BT12)), COLUMN(BL12:BT12) - COLUMN(BL12) + 1, ""))&lt;&gt;"","BLA","")</f>
        <v>BLA</v>
      </c>
      <c r="HQ12" s="44" t="str" cm="1">
        <f t="array" ref="HQ12">IF(_xlfn.TEXTJOIN(", ", TRUE, IF(ISNUMBER(SEARCH("BLU", BL12:BT12)), COLUMN(BL12:BT12) - COLUMN(BL12) + 1, ""))&lt;&gt;"","BLU","")</f>
        <v/>
      </c>
      <c r="HR12" s="44" t="str" cm="1">
        <f t="array" ref="HR12">IF(_xlfn.TEXTJOIN(", ", TRUE, IF(ISNUMBER(SEARCH("GRE", BL12:BT12)), COLUMN(BL12:BT12) - COLUMN(BL12) + 1, ""))&lt;&gt;"","GRE","")</f>
        <v>GRE</v>
      </c>
      <c r="HS12" s="44" t="str" cm="1">
        <f t="array" ref="HS12">IF(_xlfn.TEXTJOIN(", ", TRUE, IF(ISNUMBER(SEARCH("RED", BL12:BT12)), COLUMN(BL12:BT12) - COLUMN(BL12) + 1, ""))&lt;&gt;"","RED","")</f>
        <v/>
      </c>
      <c r="HT12" s="44" t="str" cm="1">
        <f t="array" ref="HT12">IF(_xlfn.TEXTJOIN(", ", TRUE, IF(ISNUMBER(SEARCH("YEL", BL12:BT12)), COLUMN(BL12:BT12) - COLUMN(BL12) + 1, ""))&lt;&gt;"","YEL","")</f>
        <v/>
      </c>
      <c r="HU12" s="44" t="str" cm="1">
        <f t="array" ref="HU12">IF(_xlfn.TEXTJOIN(", ", TRUE, IF(ISNUMBER(SEARCH("ORA", BL12:BT12)), COLUMN(BL12:BT12) - COLUMN(BL12) + 1, ""))&lt;&gt;"","ORA","")</f>
        <v/>
      </c>
      <c r="HV12" s="44" t="str" cm="1">
        <f t="array" ref="HV12">IF(_xlfn.TEXTJOIN(", ", TRUE, IF(ISNUMBER(SEARCH("BRO", BL12:BT12)), COLUMN(BL12:BT12) - COLUMN(BL12) + 1, ""))&lt;&gt;"","BRO","")</f>
        <v>BRO</v>
      </c>
      <c r="HW12" s="44" t="str" cm="1">
        <f t="array" ref="HW12">IF(_xlfn.TEXTJOIN(", ", TRUE, IF(ISNUMBER(SEARCH("PUR", BL12:BT12)), COLUMN(BL12:BT12) - COLUMN(BL12) + 1, ""))&lt;&gt;"","PUR","")</f>
        <v/>
      </c>
      <c r="HX12" s="44" t="str" cm="1">
        <f t="array" ref="HX12">IF(_xlfn.TEXTJOIN(", ", TRUE, IF(ISNUMBER(SEARCH("WHI", BL12:BT12)), COLUMN(BL12:BT12) - COLUMN(BL12) + 1, ""))&lt;&gt;"","WHI","")</f>
        <v>WHI</v>
      </c>
      <c r="HY12" s="72"/>
      <c r="HZ12" s="72"/>
      <c r="IA12" s="5"/>
      <c r="IB12" s="5"/>
      <c r="IC12" s="68"/>
      <c r="ID12" s="68"/>
      <c r="IE12" s="68"/>
      <c r="IF12" s="68"/>
      <c r="IG12" s="68"/>
      <c r="IH12" s="68"/>
      <c r="II12" s="68"/>
      <c r="IJ12" s="68"/>
      <c r="IK12" s="68"/>
      <c r="IL12" s="44">
        <f>SUM(IC12:IK12)</f>
        <v>0</v>
      </c>
      <c r="IM12" s="42">
        <f t="shared" si="86"/>
        <v>-4</v>
      </c>
      <c r="IN12" s="69" t="str">
        <f t="shared" si="87"/>
        <v>http://mkweb.bcgsc.ca/color-summarizer/?url=https://upload.wikimedia.org/wikipedia/en/thumb/f/f5/Fire_the_Lazer.svg/640px-Fire_the_Lazer.svg.png&amp;precision=low&amp;num_clusters=4&amp;text=1</v>
      </c>
      <c r="IO12" s="44" t="str">
        <f t="shared" si="88"/>
        <v>"black"</v>
      </c>
      <c r="IP12" s="44" t="str">
        <f t="shared" si="89"/>
        <v/>
      </c>
      <c r="IQ12" s="44" t="str">
        <f t="shared" si="90"/>
        <v>"green"</v>
      </c>
      <c r="IR12" s="44" t="str">
        <f t="shared" si="91"/>
        <v/>
      </c>
      <c r="IS12" s="44" t="str">
        <f t="shared" si="92"/>
        <v/>
      </c>
      <c r="IT12" s="44" t="str">
        <f t="shared" si="93"/>
        <v/>
      </c>
      <c r="IU12" s="44" t="str">
        <f t="shared" si="94"/>
        <v>"brown"</v>
      </c>
      <c r="IV12" s="44" t="str">
        <f t="shared" si="95"/>
        <v/>
      </c>
      <c r="IW12" s="44" t="str">
        <f t="shared" si="96"/>
        <v>"white"</v>
      </c>
      <c r="IX12" s="44" t="str">
        <f t="shared" si="97"/>
        <v>{"url":"http://mkweb.bcgsc.ca/color-summarizer/?url=https://upload.wikimedia.org/wikipedia/en/thumb/f/f5/Fire_the_Lazer.svg/640px-Fire_the_Lazer.svg.png&amp;precision=low&amp;num_clusters=4&amp;text=1","name":"[NZE] Laser Kiwi"},</v>
      </c>
      <c r="IY12" s="44">
        <v>683</v>
      </c>
    </row>
    <row r="13" spans="1:259" s="44" customFormat="1" ht="38.4" customHeight="1" thickBot="1" x14ac:dyDescent="0.35">
      <c r="A13" s="81" t="s">
        <v>444</v>
      </c>
      <c r="B13" s="78" t="e" vm="80">
        <v>#VALUE!</v>
      </c>
      <c r="C13" s="39">
        <v>3</v>
      </c>
      <c r="D13" s="70" t="s">
        <v>445</v>
      </c>
      <c r="E13" s="40" t="s">
        <v>446</v>
      </c>
      <c r="F13" s="41" t="s">
        <v>165</v>
      </c>
      <c r="G13" s="42">
        <f t="shared" si="0"/>
        <v>1</v>
      </c>
      <c r="H13" s="43" t="s">
        <v>1136</v>
      </c>
      <c r="I13" s="59" t="s">
        <v>447</v>
      </c>
      <c r="J13" s="44" t="str">
        <f>""</f>
        <v/>
      </c>
      <c r="K13" s="45"/>
      <c r="L13" s="46"/>
      <c r="M13" s="46"/>
      <c r="N13" s="47" t="s">
        <v>177</v>
      </c>
      <c r="O13" s="74">
        <v>2009</v>
      </c>
      <c r="P13" s="48" t="s">
        <v>448</v>
      </c>
      <c r="Q13" s="73">
        <v>3</v>
      </c>
      <c r="R13" s="49" t="s">
        <v>177</v>
      </c>
      <c r="S13" s="50">
        <v>3</v>
      </c>
      <c r="T13" s="51" t="s">
        <v>166</v>
      </c>
      <c r="U13" s="52" t="s">
        <v>166</v>
      </c>
      <c r="V13" s="52" t="s">
        <v>167</v>
      </c>
      <c r="W13" s="52" t="s">
        <v>166</v>
      </c>
      <c r="X13" s="52" t="s">
        <v>167</v>
      </c>
      <c r="Y13" s="52" t="s">
        <v>166</v>
      </c>
      <c r="Z13" s="52" t="s">
        <v>166</v>
      </c>
      <c r="AA13" s="52" t="s">
        <v>167</v>
      </c>
      <c r="AB13" s="52" t="s">
        <v>166</v>
      </c>
      <c r="AC13" s="52" t="s">
        <v>166</v>
      </c>
      <c r="AD13" s="52" t="s">
        <v>166</v>
      </c>
      <c r="AE13" s="52" t="s">
        <v>166</v>
      </c>
      <c r="AF13" s="53" t="s">
        <v>166</v>
      </c>
      <c r="AG13" s="53" t="s">
        <v>166</v>
      </c>
      <c r="AH13" s="53" t="s">
        <v>166</v>
      </c>
      <c r="AI13" s="53" t="s">
        <v>166</v>
      </c>
      <c r="AJ13" s="53" t="s">
        <v>166</v>
      </c>
      <c r="AK13" s="53" t="s">
        <v>166</v>
      </c>
      <c r="AL13" s="53" t="s">
        <v>166</v>
      </c>
      <c r="AM13" s="53" t="s">
        <v>166</v>
      </c>
      <c r="AN13" s="53" t="s">
        <v>166</v>
      </c>
      <c r="AO13" s="53" t="s">
        <v>166</v>
      </c>
      <c r="AP13" s="53" t="s">
        <v>166</v>
      </c>
      <c r="AQ13" s="53" t="s">
        <v>166</v>
      </c>
      <c r="AR13" s="53" t="s">
        <v>166</v>
      </c>
      <c r="AS13" s="53" t="s">
        <v>166</v>
      </c>
      <c r="AT13" s="54">
        <v>0</v>
      </c>
      <c r="AU13" s="53" t="s">
        <v>350</v>
      </c>
      <c r="AV13" s="53" t="str">
        <f t="shared" si="1"/>
        <v>[NZE]People[NZE] National Maori Flag</v>
      </c>
      <c r="AW13" s="53" t="str">
        <f t="shared" si="2"/>
        <v>3[NZE] Other[NZE] National Maori Flag</v>
      </c>
      <c r="AX13" s="55"/>
      <c r="AY13" s="55"/>
      <c r="AZ13" s="56" t="s">
        <v>231</v>
      </c>
      <c r="BA13" s="56"/>
      <c r="BB13" s="56"/>
      <c r="BC13" s="57"/>
      <c r="BD13" s="58" t="s">
        <v>153</v>
      </c>
      <c r="BE13" s="59"/>
      <c r="BF13" s="58" t="s">
        <v>153</v>
      </c>
      <c r="BG13" s="58" t="s">
        <v>161</v>
      </c>
      <c r="BH13" s="58" t="s">
        <v>156</v>
      </c>
      <c r="BI13" s="58"/>
      <c r="BJ13" s="58"/>
      <c r="BK13" s="59"/>
      <c r="BL13" s="58" t="s">
        <v>153</v>
      </c>
      <c r="BM13" s="58" t="s">
        <v>231</v>
      </c>
      <c r="BN13" s="58" t="s">
        <v>231</v>
      </c>
      <c r="BO13" s="58" t="s">
        <v>156</v>
      </c>
      <c r="BP13" s="58" t="s">
        <v>231</v>
      </c>
      <c r="BQ13" s="58" t="s">
        <v>231</v>
      </c>
      <c r="BR13" s="58" t="s">
        <v>231</v>
      </c>
      <c r="BS13" s="58" t="s">
        <v>231</v>
      </c>
      <c r="BT13" s="58" t="s">
        <v>161</v>
      </c>
      <c r="BU13" s="60"/>
      <c r="BV13" s="61"/>
      <c r="BW13" s="61">
        <v>0</v>
      </c>
      <c r="BX13" s="59"/>
      <c r="CB13" s="5"/>
      <c r="CC13" s="5"/>
      <c r="CD13" s="62">
        <v>0</v>
      </c>
      <c r="CE13" s="62">
        <v>0</v>
      </c>
      <c r="CF13" s="62" t="e">
        <v>#REF!</v>
      </c>
      <c r="CG13" s="75" cm="1">
        <f t="array" ref="CG13">SUMPRODUCT(--(LEN(TRIM(BL13:BT13))&gt;0))</f>
        <v>3</v>
      </c>
      <c r="CH13" s="53" t="str">
        <f t="shared" si="3"/>
        <v>n</v>
      </c>
      <c r="CI13" s="53" t="str">
        <f t="shared" si="4"/>
        <v>y</v>
      </c>
      <c r="CJ13" s="53" t="str">
        <f t="shared" si="5"/>
        <v>n</v>
      </c>
      <c r="CK13" s="53" t="str">
        <f t="shared" si="6"/>
        <v>n</v>
      </c>
      <c r="CL13" s="53" t="str">
        <f t="shared" si="7"/>
        <v>n</v>
      </c>
      <c r="CM13" s="53" t="str">
        <f t="shared" si="8"/>
        <v>n</v>
      </c>
      <c r="CN13" s="53" t="str">
        <f t="shared" si="9"/>
        <v>y</v>
      </c>
      <c r="CO13" s="53" t="str">
        <f t="shared" si="10"/>
        <v>n</v>
      </c>
      <c r="CP13" s="53" t="str">
        <f t="shared" si="11"/>
        <v>y</v>
      </c>
      <c r="CQ13" s="53" t="str">
        <f t="shared" si="12"/>
        <v>n</v>
      </c>
      <c r="CR13" s="53" t="str">
        <f t="shared" si="13"/>
        <v>n</v>
      </c>
      <c r="CS13" s="53" t="str">
        <f t="shared" si="14"/>
        <v>n</v>
      </c>
      <c r="CT13" s="38" t="str">
        <f t="shared" si="15"/>
        <v>"[NZE] National Maori Flag"</v>
      </c>
      <c r="CU13" s="63" t="str">
        <f t="shared" si="16"/>
        <v>"rgn_Oceania"</v>
      </c>
      <c r="CV13" s="44" t="str">
        <f t="shared" si="17"/>
        <v>"https://upload.wikimedia.org/wikipedia/commons/thumb/3/30/Tino_Rangatiratanga_Maori_sovereignty_movement_flag.svg/640px-Tino_Rangatiratanga_Maori_sovereignty_movement_flag.svg.png"</v>
      </c>
      <c r="CW13" s="44" t="str">
        <f t="shared" si="18"/>
        <v/>
      </c>
      <c r="CX13" s="44" t="str">
        <f t="shared" si="18"/>
        <v>"3Color",</v>
      </c>
      <c r="CY13" s="44" t="str">
        <f t="shared" si="18"/>
        <v/>
      </c>
      <c r="CZ13" s="44" t="str">
        <f t="shared" si="18"/>
        <v/>
      </c>
      <c r="DA13" s="44" t="str">
        <f t="shared" si="19"/>
        <v>"words2",</v>
      </c>
      <c r="DB13" s="44" t="str">
        <f>IF(Q13&gt;2,CHAR(34)&amp;"words3"&amp;CHAR(34)&amp;",","")</f>
        <v>"words3",</v>
      </c>
      <c r="DC13" s="44" t="str">
        <f>IF(Q13=2,CHAR(34)&amp;"exact2"&amp;CHAR(34)&amp;",","")</f>
        <v/>
      </c>
      <c r="DD13" s="44" t="str">
        <f>IF(LEN(CHAR(34)&amp;"lets"&amp;LEN(SUBSTITUTE(SUBSTITUTE(IFERROR(TRIM(SUBSTITUTE(SUBSTITUTE(SUBSTITUTE(IFERROR(TRIM(SUBSTITUTE(A13,MID(A13,FIND("(",A13),FIND(")",A13)-FIND("(",A13)+1),"")),A13)," ",""),"-",""),MID(SUBSTITUTE(SUBSTITUTE(IFERROR(TRIM(SUBSTITUTE(A13,MID(A13,FIND("(",A13),FIND(")",A13)-FIND("(",A13)+1),"")),A13)," ",""),"-",""),FIND("[",SUBSTITUTE(SUBSTITUTE(IFERROR(TRIM(SUBSTITUTE(A13,MID(A13,FIND("(",A13),FIND(")",A13)-FIND("(",A13)+1),"")),A13)," ",""),"-","")),FIND("]",SUBSTITUTE(SUBSTITUTE(IFERROR(TRIM(SUBSTITUTE(A13,MID(A13,FIND("(",A13),FIND(")",A13)-FIND("(",A13)+1),"")),A13)," ",""),"-",""))-FIND("[",SUBSTITUTE(SUBSTITUTE(IFERROR(TRIM(SUBSTITUTE(A13,MID(A13,FIND("(",A13),FIND(")",A13)-FIND("(",A13)+1),"")),A13)," ",""),"-",""))+1),"")),SUBSTITUTE(SUBSTITUTE(IFERROR(TRIM(SUBSTITUTE(A13,MID(A13,FIND("(",A13),FIND(")",A13)-FIND("(",A13)+1),"")),A13)," ",""),"-",""))," ",""),"-",""))&amp;CHAR(34)&amp;",")=9,CHAR(34)&amp;"lets"&amp;LEN(SUBSTITUTE(SUBSTITUTE(IFERROR(TRIM(SUBSTITUTE(SUBSTITUTE(SUBSTITUTE(IFERROR(TRIM(SUBSTITUTE(A13,MID(A13,FIND("(",A13),FIND(")",A13)-FIND("(",A13)+1),"")),A13)," ",""),"-",""),MID(SUBSTITUTE(SUBSTITUTE(IFERROR(TRIM(SUBSTITUTE(A13,MID(A13,FIND("(",A13),FIND(")",A13)-FIND("(",A13)+1),"")),A13)," ",""),"-",""),FIND("[",SUBSTITUTE(SUBSTITUTE(IFERROR(TRIM(SUBSTITUTE(A13,MID(A13,FIND("(",A13),FIND(")",A13)-FIND("(",A13)+1),"")),A13)," ",""),"-","")),FIND("]",SUBSTITUTE(SUBSTITUTE(IFERROR(TRIM(SUBSTITUTE(A13,MID(A13,FIND("(",A13),FIND(")",A13)-FIND("(",A13)+1),"")),A13)," ",""),"-",""))-FIND("[",SUBSTITUTE(SUBSTITUTE(IFERROR(TRIM(SUBSTITUTE(A13,MID(A13,FIND("(",A13),FIND(")",A13)-FIND("(",A13)+1),"")),A13)," ",""),"-",""))+1),"")),SUBSTITUTE(SUBSTITUTE(IFERROR(TRIM(SUBSTITUTE(A13,MID(A13,FIND("(",A13),FIND(")",A13)-FIND("(",A13)+1),"")),A13)," ",""),"-",""))," ",""),"-",""))&amp;CHAR(34)&amp;",",CHAR(34)&amp;"lets0"&amp;LEN(SUBSTITUTE(SUBSTITUTE(IFERROR(TRIM(SUBSTITUTE(SUBSTITUTE(SUBSTITUTE(IFERROR(TRIM(SUBSTITUTE(A13,MID(A13,FIND("(",A13),FIND(")",A13)-FIND("(",A13)+1),"")),A13)," ",""),"-",""),MID(SUBSTITUTE(SUBSTITUTE(IFERROR(TRIM(SUBSTITUTE(A13,MID(A13,FIND("(",A13),FIND(")",A13)-FIND("(",A13)+1),"")),A13)," ",""),"-",""),FIND("[",SUBSTITUTE(SUBSTITUTE(IFERROR(TRIM(SUBSTITUTE(A13,MID(A13,FIND("(",A13),FIND(")",A13)-FIND("(",A13)+1),"")),A13)," ",""),"-","")),FIND("]",SUBSTITUTE(SUBSTITUTE(IFERROR(TRIM(SUBSTITUTE(A13,MID(A13,FIND("(",A13),FIND(")",A13)-FIND("(",A13)+1),"")),A13)," ",""),"-",""))-FIND("[",SUBSTITUTE(SUBSTITUTE(IFERROR(TRIM(SUBSTITUTE(A13,MID(A13,FIND("(",A13),FIND(")",A13)-FIND("(",A13)+1),"")),A13)," ",""),"-",""))+1),"")),SUBSTITUTE(SUBSTITUTE(IFERROR(TRIM(SUBSTITUTE(A13,MID(A13,FIND("(",A13),FIND(")",A13)-FIND("(",A13)+1),"")),A13)," ",""),"-",""))," ",""),"-",""))&amp;CHAR(34)&amp;",")</f>
        <v>"lets17",</v>
      </c>
      <c r="DE13" s="44" t="str">
        <f>IFERROR(CHAR(34)&amp;"start"&amp;LEFT(TRIM(SUBSTITUTE(SUBSTITUTE(TRIM(SUBSTITUTE(SUBSTITUTE(A13, MID(A13, FIND("[", A13), FIND("]", A13) - FIND("[", A13) + 1), ""), "  ", " ")), MID(TRIM(SUBSTITUTE(SUBSTITUTE(A13, MID(A13, FIND("[", A13), FIND("]", A13) - FIND("[", A13) + 1), ""), "  ", " ")), FIND("[", TRIM(SUBSTITUTE(SUBSTITUTE(A13, MID(A13, FIND("[", A13), FIND("]", A13) - FIND("[", A13) + 1), ""), "  ", " "))), FIND("]", TRIM(SUBSTITUTE(SUBSTITUTE(A13, MID(A13, FIND("[", A13), FIND("]", A13) - FIND("[", A13) + 1), ""), "  ", " "))) - FIND("[", TRIM(SUBSTITUTE(SUBSTITUTE(A13, MID(A13, FIND("[", A13), FIND("]", A13) - FIND("[", A13) + 1), ""), "  ", " "))) + 1), ""), "  ", " ")),1)&amp;CHAR(34)&amp;",",CHAR(34)&amp;"start"&amp;IFERROR(LEFT(SUBSTITUTE(A13,"["&amp;MID(A13,FIND("[",A13)+1,FIND("]",A13)-FIND("[",A13)-1)&amp;"] ",""),1),LEFT(A13,1))&amp;CHAR(34)&amp;",")</f>
        <v>"startN",</v>
      </c>
      <c r="DF13" s="44" t="str">
        <f t="shared" si="21"/>
        <v/>
      </c>
      <c r="DG13" s="44" t="str">
        <f t="shared" si="22"/>
        <v/>
      </c>
      <c r="DH13" s="44" t="str">
        <f t="shared" si="23"/>
        <v/>
      </c>
      <c r="DI13" s="44" t="str">
        <f t="shared" si="24"/>
        <v/>
      </c>
      <c r="DJ13" s="44" t="str">
        <f t="shared" si="25"/>
        <v/>
      </c>
      <c r="DK13" s="44" t="str">
        <f t="shared" si="26"/>
        <v>"with_z",</v>
      </c>
      <c r="DL13" s="44" t="str">
        <f t="shared" si="27"/>
        <v/>
      </c>
      <c r="DM13" s="44" t="str" cm="1">
        <f t="array" ref="DM13">IF(CG13=3,CHAR(34) &amp; _xlfn.TEXTJOIN("", TRUE, RIGHT(HP13:HX13, 2)) &amp; CHAR(34) &amp; ",", "")</f>
        <v>"LAEDHI",</v>
      </c>
      <c r="DN13" s="44" t="str">
        <f t="shared" si="28"/>
        <v/>
      </c>
      <c r="DO13" s="44" t="str">
        <f t="shared" si="29"/>
        <v/>
      </c>
      <c r="DP13" s="5" t="str">
        <f t="shared" si="30"/>
        <v>"year00",</v>
      </c>
      <c r="DQ13" s="5" t="str">
        <f t="shared" si="31"/>
        <v/>
      </c>
      <c r="DR13" s="5" t="str">
        <f t="shared" si="32"/>
        <v/>
      </c>
      <c r="DS13" s="5" t="str">
        <f t="shared" si="33"/>
        <v/>
      </c>
      <c r="DT13" s="5" t="str">
        <f t="shared" si="34"/>
        <v>"allhor",</v>
      </c>
      <c r="DU13" s="5" t="str">
        <f t="shared" si="35"/>
        <v/>
      </c>
      <c r="DV13" s="44" t="str">
        <f>IF(IA13&lt;&gt;"",(IF(IA13="y",CHAR(34)&amp;"largec"&amp;CHAR(34)&amp;",",CHAR(34)&amp;"smallc"&amp;CHAR(34)&amp;",")),"")</f>
        <v/>
      </c>
      <c r="DW13" s="44" t="str">
        <f t="shared" si="36"/>
        <v/>
      </c>
      <c r="DX13" s="44" t="str">
        <f t="shared" si="36"/>
        <v/>
      </c>
      <c r="DY13" s="44" t="str">
        <f t="shared" si="36"/>
        <v>"3Bands",</v>
      </c>
      <c r="DZ13" s="44" t="str">
        <f t="shared" si="36"/>
        <v/>
      </c>
      <c r="EA13" s="44" t="str">
        <f t="shared" si="37"/>
        <v/>
      </c>
      <c r="EB13" s="44" t="str">
        <f t="shared" si="37"/>
        <v/>
      </c>
      <c r="EC13" s="44" t="str">
        <f t="shared" si="37"/>
        <v>"Horizo",</v>
      </c>
      <c r="ED13" s="44" t="str">
        <f t="shared" si="37"/>
        <v/>
      </c>
      <c r="EE13" s="44" t="str">
        <f t="shared" si="37"/>
        <v>"Circle",</v>
      </c>
      <c r="EF13" s="44" t="str">
        <f t="shared" si="38"/>
        <v/>
      </c>
      <c r="EG13" s="44" t="str">
        <f t="shared" si="39"/>
        <v/>
      </c>
      <c r="EH13" s="44" t="str">
        <f t="shared" si="39"/>
        <v>"Plants",</v>
      </c>
      <c r="EI13" s="44" t="str">
        <f t="shared" si="39"/>
        <v/>
      </c>
      <c r="EJ13" s="44" t="str">
        <f t="shared" si="39"/>
        <v/>
      </c>
      <c r="EK13" s="44" t="str">
        <f t="shared" si="39"/>
        <v/>
      </c>
      <c r="EL13" s="44" t="str">
        <f t="shared" si="39"/>
        <v/>
      </c>
      <c r="EM13" s="44" t="str">
        <f t="shared" si="39"/>
        <v/>
      </c>
      <c r="EN13" s="44" t="str">
        <f t="shared" si="39"/>
        <v/>
      </c>
      <c r="EO13" s="44" t="str">
        <f t="shared" si="39"/>
        <v/>
      </c>
      <c r="EP13" s="44" t="str">
        <f t="shared" si="39"/>
        <v/>
      </c>
      <c r="EQ13" s="44" t="str">
        <f t="shared" si="39"/>
        <v/>
      </c>
      <c r="ER13" s="44" t="str">
        <f t="shared" si="39"/>
        <v/>
      </c>
      <c r="ES13" s="44" t="str">
        <f t="shared" si="39"/>
        <v/>
      </c>
      <c r="ET13" s="44" t="str">
        <f t="shared" si="39"/>
        <v/>
      </c>
      <c r="EU13" s="44" t="str">
        <f t="shared" si="39"/>
        <v/>
      </c>
      <c r="EV13" s="44" t="str">
        <f t="shared" si="39"/>
        <v/>
      </c>
      <c r="EW13" s="44" t="str">
        <f t="shared" si="40"/>
        <v/>
      </c>
      <c r="EX13" s="44" t="str">
        <f t="shared" si="40"/>
        <v/>
      </c>
      <c r="EY13" s="44" t="str">
        <f t="shared" si="40"/>
        <v/>
      </c>
      <c r="EZ13" s="44" t="str">
        <f t="shared" si="40"/>
        <v/>
      </c>
      <c r="FA13" s="44" t="str">
        <f t="shared" si="41"/>
        <v/>
      </c>
      <c r="FB13" s="44" t="str">
        <f t="shared" si="42"/>
        <v/>
      </c>
      <c r="FC13" s="44" t="str">
        <f>IF(AND(AT13&gt;0,BB13&lt;&gt;""),CHAR(34)&amp;"sta"&amp;BB13&amp;CHAR(34)&amp;",","")</f>
        <v/>
      </c>
      <c r="FD13" s="44" t="str">
        <f t="shared" si="43"/>
        <v/>
      </c>
      <c r="FE13" s="44" t="str">
        <f t="shared" si="44"/>
        <v>"NO_BLU",</v>
      </c>
      <c r="FF13" s="44" t="str">
        <f t="shared" si="45"/>
        <v/>
      </c>
      <c r="FG13" s="44" t="str">
        <f t="shared" si="46"/>
        <v/>
      </c>
      <c r="FH13" s="44" t="str">
        <f t="shared" si="47"/>
        <v>"NO_GRE",</v>
      </c>
      <c r="FI13" s="44" t="str">
        <f t="shared" si="48"/>
        <v>"NO_YEL",</v>
      </c>
      <c r="FJ13" s="44" t="str">
        <f t="shared" si="49"/>
        <v/>
      </c>
      <c r="FK13" s="44" t="str">
        <f t="shared" si="50"/>
        <v/>
      </c>
      <c r="FL13" s="44" t="str">
        <f t="shared" si="51"/>
        <v/>
      </c>
      <c r="FM13" s="44" t="str">
        <f t="shared" si="52"/>
        <v/>
      </c>
      <c r="FN13" s="44" t="str">
        <f t="shared" si="53"/>
        <v/>
      </c>
      <c r="FO13" s="44" t="str">
        <f t="shared" si="54"/>
        <v/>
      </c>
      <c r="FP13" s="44" t="str">
        <f t="shared" si="55"/>
        <v/>
      </c>
      <c r="FQ13" s="44" t="str">
        <f t="shared" si="56"/>
        <v>"001BLA",</v>
      </c>
      <c r="FR13" s="44" t="str">
        <f t="shared" si="57"/>
        <v>"002WHI",</v>
      </c>
      <c r="FS13" s="44" t="str">
        <f t="shared" si="58"/>
        <v>"003RED",</v>
      </c>
      <c r="FT13" s="44" t="str">
        <f t="shared" si="59"/>
        <v>"myrBLA",</v>
      </c>
      <c r="FU13" s="44" t="str">
        <f t="shared" si="60"/>
        <v/>
      </c>
      <c r="FV13" s="44" t="str">
        <f t="shared" si="61"/>
        <v/>
      </c>
      <c r="FW13" s="44" t="str">
        <f t="shared" si="62"/>
        <v/>
      </c>
      <c r="FX13" s="44" t="str">
        <f>SUBSTITUTE(IFERROR(SEARCH("[",A13),IFERROR(IF(AND(CA13&lt;&gt;"y",SEARCH("Europe",R13)&gt;0),CHAR(34)&amp;"noeuni"&amp;CHAR(34)&amp;",",""),"")),"1","")</f>
        <v/>
      </c>
      <c r="FY13" s="44" t="str">
        <f t="shared" si="63"/>
        <v/>
      </c>
      <c r="FZ13" s="44" t="str">
        <f t="shared" si="64"/>
        <v/>
      </c>
      <c r="GA13" s="44" t="str">
        <f t="shared" si="65"/>
        <v/>
      </c>
      <c r="GB13" s="44" t="str">
        <f t="shared" si="66"/>
        <v/>
      </c>
      <c r="GC13" s="44" t="str">
        <f>IFERROR(IF(SEARCH("Portuguese",CB13)&gt;0,CHAR(34)&amp;"portug"&amp;CHAR(34)&amp;",",""),"")</f>
        <v/>
      </c>
      <c r="GD13" s="44" t="str">
        <f>IFERROR(IF(SEARCH("German",CB13)&gt;0,CHAR(34)&amp;"german"&amp;CHAR(34)&amp;",",""),"")</f>
        <v/>
      </c>
      <c r="GE13" s="44" t="str">
        <f t="shared" si="67"/>
        <v/>
      </c>
      <c r="GF13" s="44" t="str">
        <f t="shared" si="98"/>
        <v/>
      </c>
      <c r="GG13" s="44" t="str">
        <f t="shared" si="68"/>
        <v/>
      </c>
      <c r="GH13" s="44" t="str">
        <f t="shared" si="69"/>
        <v/>
      </c>
      <c r="GI13" s="44" t="str">
        <f t="shared" si="70"/>
        <v/>
      </c>
      <c r="GJ13" s="44" t="str">
        <f t="shared" si="71"/>
        <v>"NoStar",</v>
      </c>
      <c r="GK13" s="44" t="str">
        <f t="shared" si="72"/>
        <v/>
      </c>
      <c r="GL13" s="44" t="str">
        <f t="shared" si="73"/>
        <v/>
      </c>
      <c r="GM13" s="44" t="str">
        <f t="shared" si="73"/>
        <v/>
      </c>
      <c r="GN13" s="44" t="str">
        <f t="shared" si="73"/>
        <v/>
      </c>
      <c r="GP13" s="44" t="str">
        <f t="shared" si="74"/>
        <v>"People"</v>
      </c>
      <c r="GS13" s="44" t="str">
        <f t="shared" si="75"/>
        <v>["3Color","words2","words3","lets17","startN","with_z","LAEDHI","year00","allhor","3Bands","Horizo","Circle","Plants","NO_BLU","NO_GRE","NO_YEL","001BLA","002WHI","003RED","myrBLA","NoStar"]</v>
      </c>
      <c r="GT13" s="44" t="str">
        <f t="shared" si="76"/>
        <v>"cl_BLA",</v>
      </c>
      <c r="GU13" s="44" t="str">
        <f t="shared" si="76"/>
        <v/>
      </c>
      <c r="GV13" s="44" t="str">
        <f t="shared" si="76"/>
        <v/>
      </c>
      <c r="GW13" s="44" t="str">
        <f t="shared" si="76"/>
        <v>"cl_RED",</v>
      </c>
      <c r="GX13" s="44" t="str">
        <f t="shared" si="76"/>
        <v/>
      </c>
      <c r="GY13" s="44" t="str">
        <f t="shared" si="76"/>
        <v/>
      </c>
      <c r="GZ13" s="44" t="str">
        <f t="shared" si="76"/>
        <v/>
      </c>
      <c r="HA13" s="44" t="str">
        <f t="shared" si="76"/>
        <v/>
      </c>
      <c r="HB13" s="44" t="str">
        <f t="shared" si="76"/>
        <v>"cl_WHI",</v>
      </c>
      <c r="HC13" s="44" t="str">
        <f t="shared" si="77"/>
        <v>["cl_BLA","cl_RED","cl_WHI"]</v>
      </c>
      <c r="HE13" s="64"/>
      <c r="HF13" s="65" t="str">
        <f t="shared" si="78"/>
        <v>{couname:"[NZE] National Maori Flag",year:"2009",region:"rgn_Oceania",Colors:["cl_BLA","cl_RED","cl_WHI"],Items:["3Color","words2","words3","lets17","startN","with_z","LAEDHI","year00","allhor","3Bands","Horizo","Circle","Plants","NO_BLU","NO_GRE","NO_YEL","001BLA","002WHI","003RED","myrBLA","NoStar"],Flag:"https://upload.wikimedia.org/wikipedia/commons/thumb/3/30/Tino_Rangatiratanga_Maori_sovereignty_movement_flag.svg/640px-Tino_Rangatiratanga_Maori_sovereignty_movement_flag.svg.png",HDFlag:"https://upload.wikimedia.org/wikipedia/commons/thumb/3/30/Tino_Rangatiratanga_Maori_sovereignty_movement_flag.svg/2560px-Tino_Rangatiratanga_Maori_sovereignty_movement_flag.svg.png",type:"People", describe: "\nThe national Māori flag uses the national colours of New Zealand: black, red ochre, and white or silver. Each of the colours references a realm in the creation story of Māori mythology: black is Te Korekore (potential being), red is Te Whai Ao (coming into being), and white is Te Ao Mārama (the realm of being and light). The design features a koru (Māori for fern frond), a common design in Māori tattoo and sculpture. It symbolises renewal and hope for the future.", isnew:".", links: "https://en.wikipedia.org/wiki/National_Māori_flag"},</v>
      </c>
      <c r="HG13" s="66" t="str">
        <f t="shared" si="79"/>
        <v>{couname:"[NZE] National Maori Flag",year:"2009",region:"rgn_Oceania",Colors:["cl_BLA","cl_RED","cl_WHI"],Items:["3Color","words2","words3","lets17","startN","with_z","LAEDHI","year00","allhor","3Bands","Horizo","Circle","Plants","NO_BLU","NO_GRE","NO_YEL","001BLA","002WHI","003RED","myrBLA","NoStar"],Flag:"https://upload.wikimedia.org/wikipedia/commons/thumb/3/30/Tino_Rangatiratanga_Maori_sovereignty_movement_flag.svg/640px-Tino_Rangatiratanga_Maori_sovereignty_movement_flag.svg.png",HDFlag:"https://upload.wikimedia.org/wikipedia/commons/thumb/3/30/Tino_Rangatiratanga_Maori_sovereignty_movement_flag.svg/2560px-Tino_Rangatiratanga_Maori_sovereignty_movement_flag.svg.png",type:"People", describe: "\nThe national Māori flag uses the national colours of New Zealand: black, red ochre, and white or silver. Each of the colours references a realm in the creation story of Māori mythology: black is Te Korekore (potential being), red is Te Whai Ao (coming into being), and white is Te Ao Mārama (the realm of being and light). The design features a koru (Māori for fern frond), a common design in Māori tattoo and sculpture. It symbolises renewal and hope for the future.", links: "https://en.wikipedia.org/wiki/National_Māori_flag"},</v>
      </c>
      <c r="HH13" s="44" t="str">
        <f t="shared" si="80"/>
        <v>"\nThe national Māori flag uses the national colours of New Zealand: black, red ochre, and white or silver. Each of the colours references a realm in the creation story of Māori mythology: black is Te Korekore (potential being), red is Te Whai Ao (coming into being), and white is Te Ao Mārama (the realm of being and light). The design features a koru (Māori for fern frond), a common design in Māori tattoo and sculpture. It symbolises renewal and hope for the future."</v>
      </c>
      <c r="HI13" s="44" t="str">
        <f t="shared" si="81"/>
        <v>"\nThe national Māori flag uses the national colours of New Zealand: black, red ochre, and white or silver. Each of the colours references a realm in the creation story of Māori mythology: black is Te Korekore (potential being), red is Te Whai Ao (coming into being), and white is Te Ao Mārama (the realm of being and light). The design features a koru (Māori for fern frond), a common design in Māori tattoo and sculpture. It symbolises renewal and hope for the future."</v>
      </c>
      <c r="HJ13" s="44" t="str">
        <f t="shared" si="82"/>
        <v>"2009"</v>
      </c>
      <c r="HL13" s="44" t="str">
        <f t="shared" si="83"/>
        <v>"https://en.wikipedia.org/wiki/National_Māori_flag"</v>
      </c>
      <c r="HM13" s="65" t="str">
        <f t="shared" si="84"/>
        <v>{"couname":"[NZE] National Maori Flag","subtype":"[NZE] Other","year":"2009","region":"rgn_Oceania","Colors":["cl_BLA","cl_RED","cl_WHI"],"Items":["3Color","words2","words3","lets17","startN","with_z","LAEDHI","year00","allhor","3Bands","Horizo","Circle","Plants","NO_BLU","NO_GRE","NO_YEL","001BLA","002WHI","003RED","myrBLA","NoStar"],"Flag":"https://upload.wikimedia.org/wikipedia/commons/thumb/3/30/Tino_Rangatiratanga_Maori_sovereignty_movement_flag.svg/640px-Tino_Rangatiratanga_Maori_sovereignty_movement_flag.svg.png","HDFlag":"https://upload.wikimedia.org/wikipedia/commons/thumb/3/30/Tino_Rangatiratanga_Maori_sovereignty_movement_flag.svg/2560px-Tino_Rangatiratanga_Maori_sovereignty_movement_flag.svg.png","type":"People", "describe": "\nThe national Māori flag uses the national colours of New Zealand: black, red ochre, and white or silver. Each of the colours references a realm in the creation story of Māori mythology: black is Te Korekore (potential being), red is Te Whai Ao (coming into being), and white is Te Ao Mārama (the realm of being and light). The design features a koru (Māori for fern frond), a common design in Māori tattoo and sculpture. It symbolises renewal and hope for the future.", "isnew": ".", "links": "https://en.wikipedia.org/wiki/National_Māori_flag"},</v>
      </c>
      <c r="HN13" s="67" t="str">
        <f t="shared" si="85"/>
        <v>{"couname":"[NZE] National Maori Flag","subtype":"[NZE] Other","year":"2009","region":"rgn_Oceania","Colors":["cl_BLA","cl_RED","cl_WHI"],"Items":["3Color","words2","words3","lets17","startN","with_z","LAEDHI","year00","allhor","3Bands","Horizo","Circle","Plants","NO_BLU","NO_GRE","NO_YEL","001BLA","002WHI","003RED","myrBLA","NoStar"],"Flag":"https://upload.wikimedia.org/wikipedia/commons/thumb/3/30/Tino_Rangatiratanga_Maori_sovereignty_movement_flag.svg/640px-Tino_Rangatiratanga_Maori_sovereignty_movement_flag.svg.png","HDFlag":"https://upload.wikimedia.org/wikipedia/commons/thumb/3/30/Tino_Rangatiratanga_Maori_sovereignty_movement_flag.svg/2560px-Tino_Rangatiratanga_Maori_sovereignty_movement_flag.svg.png","type":"People", "describe": "\nThe national Māori flag uses the national colours of New Zealand: black, red ochre, and white or silver. Each of the colours references a realm in the creation story of Māori mythology: black is Te Korekore (potential being), red is Te Whai Ao (coming into being), and white is Te Ao Mārama (the realm of being and light). The design features a koru (Māori for fern frond), a common design in Māori tattoo and sculpture. It symbolises renewal and hope for the future.", "isnew": ".", "links": "https://en.wikipedia.org/wiki/National_Māori_flag"},</v>
      </c>
      <c r="HO13" s="71"/>
      <c r="HP13" s="44" t="str" cm="1">
        <f t="array" ref="HP13">IF(_xlfn.TEXTJOIN(", ", TRUE, IF(ISNUMBER(SEARCH("BLA", BL13:BT13)), COLUMN(BL13:BT13) - COLUMN(BL13) + 1, ""))&lt;&gt;"","BLA","")</f>
        <v>BLA</v>
      </c>
      <c r="HQ13" s="44" t="str" cm="1">
        <f t="array" ref="HQ13">IF(_xlfn.TEXTJOIN(", ", TRUE, IF(ISNUMBER(SEARCH("BLU", BL13:BT13)), COLUMN(BL13:BT13) - COLUMN(BL13) + 1, ""))&lt;&gt;"","BLU","")</f>
        <v/>
      </c>
      <c r="HR13" s="44" t="str" cm="1">
        <f t="array" ref="HR13">IF(_xlfn.TEXTJOIN(", ", TRUE, IF(ISNUMBER(SEARCH("GRE", BL13:BT13)), COLUMN(BL13:BT13) - COLUMN(BL13) + 1, ""))&lt;&gt;"","GRE","")</f>
        <v/>
      </c>
      <c r="HS13" s="44" t="str" cm="1">
        <f t="array" ref="HS13">IF(_xlfn.TEXTJOIN(", ", TRUE, IF(ISNUMBER(SEARCH("RED", BL13:BT13)), COLUMN(BL13:BT13) - COLUMN(BL13) + 1, ""))&lt;&gt;"","RED","")</f>
        <v>RED</v>
      </c>
      <c r="HT13" s="44" t="str" cm="1">
        <f t="array" ref="HT13">IF(_xlfn.TEXTJOIN(", ", TRUE, IF(ISNUMBER(SEARCH("YEL", BL13:BT13)), COLUMN(BL13:BT13) - COLUMN(BL13) + 1, ""))&lt;&gt;"","YEL","")</f>
        <v/>
      </c>
      <c r="HU13" s="44" t="str" cm="1">
        <f t="array" ref="HU13">IF(_xlfn.TEXTJOIN(", ", TRUE, IF(ISNUMBER(SEARCH("ORA", BL13:BT13)), COLUMN(BL13:BT13) - COLUMN(BL13) + 1, ""))&lt;&gt;"","ORA","")</f>
        <v/>
      </c>
      <c r="HV13" s="44" t="str" cm="1">
        <f t="array" ref="HV13">IF(_xlfn.TEXTJOIN(", ", TRUE, IF(ISNUMBER(SEARCH("BRO", BL13:BT13)), COLUMN(BL13:BT13) - COLUMN(BL13) + 1, ""))&lt;&gt;"","BRO","")</f>
        <v/>
      </c>
      <c r="HW13" s="44" t="str" cm="1">
        <f t="array" ref="HW13">IF(_xlfn.TEXTJOIN(", ", TRUE, IF(ISNUMBER(SEARCH("PUR", BL13:BT13)), COLUMN(BL13:BT13) - COLUMN(BL13) + 1, ""))&lt;&gt;"","PUR","")</f>
        <v/>
      </c>
      <c r="HX13" s="44" t="str" cm="1">
        <f t="array" ref="HX13">IF(_xlfn.TEXTJOIN(", ", TRUE, IF(ISNUMBER(SEARCH("WHI", BL13:BT13)), COLUMN(BL13:BT13) - COLUMN(BL13) + 1, ""))&lt;&gt;"","WHI","")</f>
        <v>WHI</v>
      </c>
      <c r="HY13" s="72"/>
      <c r="HZ13" s="72"/>
      <c r="IA13" s="5"/>
      <c r="IB13" s="5"/>
      <c r="IC13" s="68"/>
      <c r="ID13" s="68"/>
      <c r="IE13" s="68"/>
      <c r="IF13" s="68"/>
      <c r="IG13" s="68"/>
      <c r="IH13" s="68"/>
      <c r="II13" s="68"/>
      <c r="IJ13" s="68"/>
      <c r="IK13" s="68"/>
      <c r="IL13" s="44">
        <f>SUM(IC13:IK13)</f>
        <v>0</v>
      </c>
      <c r="IM13" s="42">
        <f t="shared" si="86"/>
        <v>-3</v>
      </c>
      <c r="IN13" s="69" t="str">
        <f t="shared" si="87"/>
        <v>http://mkweb.bcgsc.ca/color-summarizer/?url=https://upload.wikimedia.org/wikipedia/commons/thumb/3/30/Tino_Rangatiratanga_Maori_sovereignty_movement_flag.svg/640px-Tino_Rangatiratanga_Maori_sovereignty_movement_flag.svg.png&amp;precision=low&amp;num_clusters=3&amp;text=1</v>
      </c>
      <c r="IO13" s="44" t="str">
        <f t="shared" si="88"/>
        <v>"black"</v>
      </c>
      <c r="IP13" s="44" t="str">
        <f t="shared" si="89"/>
        <v/>
      </c>
      <c r="IQ13" s="44" t="str">
        <f t="shared" si="90"/>
        <v/>
      </c>
      <c r="IR13" s="44" t="str">
        <f t="shared" si="91"/>
        <v>"red"</v>
      </c>
      <c r="IS13" s="44" t="str">
        <f t="shared" si="92"/>
        <v/>
      </c>
      <c r="IT13" s="44" t="str">
        <f t="shared" si="93"/>
        <v/>
      </c>
      <c r="IU13" s="44" t="str">
        <f t="shared" si="94"/>
        <v/>
      </c>
      <c r="IV13" s="44" t="str">
        <f t="shared" si="95"/>
        <v/>
      </c>
      <c r="IW13" s="44" t="str">
        <f t="shared" si="96"/>
        <v>"white"</v>
      </c>
      <c r="IX13" s="44" t="str">
        <f t="shared" si="97"/>
        <v>{"url":"http://mkweb.bcgsc.ca/color-summarizer/?url=https://upload.wikimedia.org/wikipedia/commons/thumb/3/30/Tino_Rangatiratanga_Maori_sovereignty_movement_flag.svg/640px-Tino_Rangatiratanga_Maori_sovereignty_movement_flag.svg.png&amp;precision=low&amp;num_clusters=3&amp;text=1","name":"[NZE] National Maori Flag"},</v>
      </c>
      <c r="IY13" s="44">
        <v>679</v>
      </c>
    </row>
    <row r="14" spans="1:259" s="44" customFormat="1" ht="38.4" customHeight="1" thickBot="1" x14ac:dyDescent="0.35">
      <c r="A14" s="81" t="s">
        <v>768</v>
      </c>
      <c r="B14" s="78" t="e" vm="81">
        <v>#VALUE!</v>
      </c>
      <c r="C14" s="39">
        <v>3</v>
      </c>
      <c r="D14" s="70" t="s">
        <v>769</v>
      </c>
      <c r="E14" s="40" t="s">
        <v>769</v>
      </c>
      <c r="F14" s="41" t="s">
        <v>165</v>
      </c>
      <c r="G14" s="42">
        <f t="shared" si="0"/>
        <v>1</v>
      </c>
      <c r="H14" s="43" t="s">
        <v>1136</v>
      </c>
      <c r="I14" s="59" t="s">
        <v>770</v>
      </c>
      <c r="J14" s="44" t="str">
        <f>""</f>
        <v/>
      </c>
      <c r="K14" s="45"/>
      <c r="L14" s="46"/>
      <c r="M14" s="46"/>
      <c r="N14" s="47" t="s">
        <v>177</v>
      </c>
      <c r="O14" s="74" t="s">
        <v>230</v>
      </c>
      <c r="P14" s="48" t="s">
        <v>771</v>
      </c>
      <c r="Q14" s="73">
        <v>1</v>
      </c>
      <c r="R14" s="49" t="s">
        <v>177</v>
      </c>
      <c r="S14" s="50">
        <v>0</v>
      </c>
      <c r="T14" s="51" t="s">
        <v>166</v>
      </c>
      <c r="U14" s="52" t="s">
        <v>166</v>
      </c>
      <c r="V14" s="52" t="s">
        <v>166</v>
      </c>
      <c r="W14" s="52" t="s">
        <v>166</v>
      </c>
      <c r="X14" s="52" t="s">
        <v>167</v>
      </c>
      <c r="Y14" s="52" t="s">
        <v>166</v>
      </c>
      <c r="Z14" s="52" t="s">
        <v>166</v>
      </c>
      <c r="AA14" s="52" t="s">
        <v>166</v>
      </c>
      <c r="AB14" s="52" t="s">
        <v>167</v>
      </c>
      <c r="AC14" s="52" t="s">
        <v>166</v>
      </c>
      <c r="AD14" s="52" t="s">
        <v>166</v>
      </c>
      <c r="AE14" s="52" t="s">
        <v>166</v>
      </c>
      <c r="AF14" s="53" t="s">
        <v>166</v>
      </c>
      <c r="AG14" s="53" t="s">
        <v>166</v>
      </c>
      <c r="AH14" s="53" t="s">
        <v>166</v>
      </c>
      <c r="AI14" s="53" t="s">
        <v>166</v>
      </c>
      <c r="AJ14" s="53" t="s">
        <v>166</v>
      </c>
      <c r="AK14" s="53" t="s">
        <v>166</v>
      </c>
      <c r="AL14" s="53" t="s">
        <v>166</v>
      </c>
      <c r="AM14" s="53" t="s">
        <v>167</v>
      </c>
      <c r="AN14" s="53" t="s">
        <v>166</v>
      </c>
      <c r="AO14" s="53" t="s">
        <v>166</v>
      </c>
      <c r="AP14" s="53" t="s">
        <v>166</v>
      </c>
      <c r="AQ14" s="53" t="s">
        <v>166</v>
      </c>
      <c r="AR14" s="53" t="s">
        <v>166</v>
      </c>
      <c r="AS14" s="53" t="s">
        <v>166</v>
      </c>
      <c r="AT14" s="54">
        <v>0</v>
      </c>
      <c r="AU14" s="53" t="s">
        <v>353</v>
      </c>
      <c r="AV14" s="53" t="str">
        <f t="shared" si="1"/>
        <v>[NZE]Social[NZE] Tūhoe</v>
      </c>
      <c r="AW14" s="53" t="str">
        <f t="shared" si="2"/>
        <v>3[NZE] Other[NZE] Tūhoe</v>
      </c>
      <c r="AX14" s="55"/>
      <c r="AY14" s="55"/>
      <c r="AZ14" s="56" t="s">
        <v>231</v>
      </c>
      <c r="BA14" s="56" t="s">
        <v>231</v>
      </c>
      <c r="BB14" s="56"/>
      <c r="BC14" s="57"/>
      <c r="BD14" s="58" t="s">
        <v>169</v>
      </c>
      <c r="BE14" s="59"/>
      <c r="BF14" s="58" t="s">
        <v>231</v>
      </c>
      <c r="BG14" s="58" t="s">
        <v>231</v>
      </c>
      <c r="BH14" s="58" t="s">
        <v>231</v>
      </c>
      <c r="BI14" s="58"/>
      <c r="BJ14" s="58"/>
      <c r="BK14" s="59"/>
      <c r="BL14" s="58" t="s">
        <v>153</v>
      </c>
      <c r="BM14" s="58" t="s">
        <v>231</v>
      </c>
      <c r="BN14" s="58" t="s">
        <v>155</v>
      </c>
      <c r="BO14" s="58" t="s">
        <v>156</v>
      </c>
      <c r="BP14" s="58" t="s">
        <v>231</v>
      </c>
      <c r="BQ14" s="58" t="s">
        <v>231</v>
      </c>
      <c r="BR14" s="58" t="s">
        <v>231</v>
      </c>
      <c r="BS14" s="58" t="s">
        <v>231</v>
      </c>
      <c r="BT14" s="58" t="s">
        <v>161</v>
      </c>
      <c r="BU14" s="60"/>
      <c r="BV14" s="61"/>
      <c r="BW14" s="61">
        <v>0</v>
      </c>
      <c r="BX14" s="59"/>
      <c r="CB14" s="5"/>
      <c r="CC14" s="5"/>
      <c r="CD14" s="62">
        <v>0</v>
      </c>
      <c r="CE14" s="62">
        <v>0</v>
      </c>
      <c r="CF14" s="62" t="e">
        <v>#REF!</v>
      </c>
      <c r="CG14" s="75" cm="1">
        <f t="array" ref="CG14">SUMPRODUCT(--(LEN(TRIM(BL14:BT14))&gt;0))</f>
        <v>4</v>
      </c>
      <c r="CH14" s="53" t="str">
        <f t="shared" si="3"/>
        <v>n</v>
      </c>
      <c r="CI14" s="53" t="str">
        <f t="shared" si="4"/>
        <v>n</v>
      </c>
      <c r="CJ14" s="53" t="str">
        <f t="shared" si="5"/>
        <v>y</v>
      </c>
      <c r="CK14" s="53" t="str">
        <f t="shared" si="6"/>
        <v>n</v>
      </c>
      <c r="CL14" s="53" t="str">
        <f t="shared" si="7"/>
        <v>y</v>
      </c>
      <c r="CM14" s="53" t="str">
        <f t="shared" si="8"/>
        <v>n</v>
      </c>
      <c r="CN14" s="53" t="str">
        <f t="shared" si="9"/>
        <v>n</v>
      </c>
      <c r="CO14" s="53" t="str">
        <f t="shared" si="10"/>
        <v>n</v>
      </c>
      <c r="CP14" s="53" t="str">
        <f t="shared" si="11"/>
        <v>y</v>
      </c>
      <c r="CQ14" s="53" t="str">
        <f t="shared" si="12"/>
        <v>n</v>
      </c>
      <c r="CR14" s="53" t="str">
        <f t="shared" si="13"/>
        <v>n</v>
      </c>
      <c r="CS14" s="53" t="str">
        <f t="shared" si="14"/>
        <v>n</v>
      </c>
      <c r="CT14" s="38" t="str">
        <f t="shared" si="15"/>
        <v>"[NZE] Tūhoe"</v>
      </c>
      <c r="CU14" s="63" t="str">
        <f t="shared" si="16"/>
        <v>"rgn_Oceania"</v>
      </c>
      <c r="CV14" s="44" t="str">
        <f t="shared" si="17"/>
        <v>"https://www.fotw.info/images/n/nz_tmmt2.gif"</v>
      </c>
      <c r="CW14" s="44" t="str">
        <f t="shared" si="18"/>
        <v/>
      </c>
      <c r="CX14" s="44" t="str">
        <f t="shared" si="18"/>
        <v/>
      </c>
      <c r="CY14" s="44" t="str">
        <f t="shared" si="18"/>
        <v>"4Color",</v>
      </c>
      <c r="CZ14" s="44" t="str">
        <f t="shared" si="18"/>
        <v/>
      </c>
      <c r="DA14" s="44" t="str">
        <f t="shared" si="19"/>
        <v/>
      </c>
      <c r="DB14" s="44" t="str">
        <f>IF(Q14&gt;2,CHAR(34)&amp;"words3"&amp;CHAR(34)&amp;",","")</f>
        <v/>
      </c>
      <c r="DD14" s="44" t="str">
        <f>IF(LEN(CHAR(34)&amp;"lets"&amp;LEN(SUBSTITUTE(SUBSTITUTE(IFERROR(TRIM(SUBSTITUTE(A14,MID(A14,FIND("[",A14),FIND("]",A14)-FIND("[",A14)+1),"")),A14)," ",""),"-",""))&amp;CHAR(34)&amp;",")=9,CHAR(34)&amp;"lets"&amp;LEN(SUBSTITUTE(SUBSTITUTE(IFERROR(TRIM(SUBSTITUTE(A14,MID(A14,FIND("[",A14),FIND("]",A14)-FIND("[",A14)+1),"")),A14)," ",""),"-",""))&amp;CHAR(34)&amp;",",CHAR(34)&amp;"lets0"&amp;LEN(SUBSTITUTE(SUBSTITUTE(IFERROR(TRIM(SUBSTITUTE(A14,MID(A14,FIND("[",A14),FIND("]",A14)-FIND("[",A14)+1),"")),A14)," ",""),"-",""))&amp;CHAR(34)&amp;",")</f>
        <v>"lets05",</v>
      </c>
      <c r="DE14" s="44" t="str">
        <f>CHAR(34)&amp;"start"&amp;IFERROR(LEFT(SUBSTITUTE(A14,"["&amp;MID(A14,FIND("[",A14)+1,FIND("]",A14)-FIND("[",A14)-1)&amp;"] ",""),1),LEFT(A14,1))&amp;CHAR(34)&amp;","</f>
        <v>"startT",</v>
      </c>
      <c r="DF14" s="44" t="str">
        <f t="shared" si="21"/>
        <v/>
      </c>
      <c r="DG14" s="44" t="str">
        <f t="shared" si="22"/>
        <v/>
      </c>
      <c r="DH14" s="44" t="str">
        <f t="shared" si="23"/>
        <v/>
      </c>
      <c r="DI14" s="44" t="str">
        <f t="shared" si="24"/>
        <v/>
      </c>
      <c r="DJ14" s="44" t="str">
        <f t="shared" si="25"/>
        <v/>
      </c>
      <c r="DK14" s="44" t="str">
        <f t="shared" si="26"/>
        <v>"with_z",</v>
      </c>
      <c r="DL14" s="44" t="str">
        <f t="shared" si="27"/>
        <v/>
      </c>
      <c r="DM14" s="44" t="str" cm="1">
        <f t="array" ref="DM14">IF(CG14=3,CHAR(34) &amp; _xlfn.TEXTJOIN("", TRUE, RIGHT(HP14:HX14, 2)) &amp; CHAR(34) &amp; ",", "")</f>
        <v/>
      </c>
      <c r="DN14" s="44" t="str">
        <f t="shared" si="28"/>
        <v/>
      </c>
      <c r="DO14" s="44" t="str">
        <f t="shared" si="29"/>
        <v/>
      </c>
      <c r="DP14" s="5" t="str">
        <f t="shared" si="30"/>
        <v/>
      </c>
      <c r="DQ14" s="5" t="str">
        <f t="shared" si="31"/>
        <v/>
      </c>
      <c r="DR14" s="5" t="str">
        <f t="shared" si="32"/>
        <v/>
      </c>
      <c r="DS14" s="5" t="str">
        <f t="shared" si="33"/>
        <v/>
      </c>
      <c r="DT14" s="5" t="str">
        <f t="shared" si="34"/>
        <v/>
      </c>
      <c r="DU14" s="5" t="str">
        <f t="shared" si="35"/>
        <v/>
      </c>
      <c r="DW14" s="44" t="str">
        <f t="shared" si="36"/>
        <v>"NoBand",</v>
      </c>
      <c r="DX14" s="44" t="str">
        <f t="shared" si="36"/>
        <v/>
      </c>
      <c r="DY14" s="44" t="str">
        <f t="shared" si="36"/>
        <v/>
      </c>
      <c r="DZ14" s="44" t="str">
        <f t="shared" si="36"/>
        <v/>
      </c>
      <c r="EA14" s="44" t="str">
        <f t="shared" si="37"/>
        <v/>
      </c>
      <c r="EB14" s="44" t="str">
        <f t="shared" si="37"/>
        <v/>
      </c>
      <c r="EC14" s="44" t="str">
        <f t="shared" si="37"/>
        <v/>
      </c>
      <c r="ED14" s="44" t="str">
        <f t="shared" si="37"/>
        <v/>
      </c>
      <c r="EE14" s="44" t="str">
        <f t="shared" si="37"/>
        <v>"Circle",</v>
      </c>
      <c r="EF14" s="44" t="str">
        <f t="shared" si="38"/>
        <v/>
      </c>
      <c r="EG14" s="44" t="str">
        <f t="shared" si="39"/>
        <v/>
      </c>
      <c r="EH14" s="44" t="str">
        <f t="shared" si="39"/>
        <v/>
      </c>
      <c r="EI14" s="44" t="str">
        <f t="shared" si="39"/>
        <v>"Texted",</v>
      </c>
      <c r="EJ14" s="44" t="str">
        <f t="shared" si="39"/>
        <v/>
      </c>
      <c r="EK14" s="44" t="str">
        <f t="shared" si="39"/>
        <v/>
      </c>
      <c r="EL14" s="44" t="str">
        <f t="shared" si="39"/>
        <v/>
      </c>
      <c r="EM14" s="44" t="str">
        <f t="shared" si="39"/>
        <v/>
      </c>
      <c r="EN14" s="44" t="str">
        <f t="shared" si="39"/>
        <v/>
      </c>
      <c r="EO14" s="44" t="str">
        <f t="shared" si="39"/>
        <v/>
      </c>
      <c r="EP14" s="44" t="str">
        <f t="shared" si="39"/>
        <v/>
      </c>
      <c r="EQ14" s="44" t="str">
        <f t="shared" si="39"/>
        <v/>
      </c>
      <c r="ER14" s="44" t="str">
        <f t="shared" si="39"/>
        <v/>
      </c>
      <c r="ES14" s="44" t="str">
        <f t="shared" si="39"/>
        <v/>
      </c>
      <c r="ET14" s="44" t="str">
        <f t="shared" si="39"/>
        <v>"Geogrh",</v>
      </c>
      <c r="EU14" s="44" t="str">
        <f t="shared" si="39"/>
        <v/>
      </c>
      <c r="EV14" s="44" t="str">
        <f t="shared" si="39"/>
        <v/>
      </c>
      <c r="EW14" s="44" t="str">
        <f t="shared" si="40"/>
        <v/>
      </c>
      <c r="EX14" s="44" t="str">
        <f t="shared" si="40"/>
        <v/>
      </c>
      <c r="EY14" s="44" t="str">
        <f t="shared" si="40"/>
        <v/>
      </c>
      <c r="EZ14" s="44" t="str">
        <f t="shared" si="40"/>
        <v/>
      </c>
      <c r="FA14" s="44" t="str">
        <f t="shared" si="41"/>
        <v/>
      </c>
      <c r="FB14" s="44" t="str">
        <f t="shared" si="42"/>
        <v/>
      </c>
      <c r="FD14" s="44" t="str">
        <f t="shared" si="43"/>
        <v/>
      </c>
      <c r="FE14" s="44" t="str">
        <f t="shared" si="44"/>
        <v>"NO_BLU",</v>
      </c>
      <c r="FF14" s="44" t="str">
        <f t="shared" si="45"/>
        <v/>
      </c>
      <c r="FG14" s="44" t="str">
        <f t="shared" si="46"/>
        <v/>
      </c>
      <c r="FH14" s="44" t="str">
        <f t="shared" si="47"/>
        <v/>
      </c>
      <c r="FI14" s="44" t="str">
        <f t="shared" si="48"/>
        <v>"NO_YEL",</v>
      </c>
      <c r="FJ14" s="44" t="str">
        <f t="shared" si="49"/>
        <v/>
      </c>
      <c r="FK14" s="44" t="str">
        <f t="shared" si="50"/>
        <v/>
      </c>
      <c r="FL14" s="44" t="str">
        <f t="shared" si="51"/>
        <v/>
      </c>
      <c r="FM14" s="44" t="str">
        <f t="shared" si="52"/>
        <v/>
      </c>
      <c r="FN14" s="44" t="str">
        <f t="shared" si="53"/>
        <v/>
      </c>
      <c r="FO14" s="44" t="str">
        <f t="shared" si="54"/>
        <v/>
      </c>
      <c r="FP14" s="44" t="str">
        <f t="shared" si="55"/>
        <v/>
      </c>
      <c r="FQ14" s="44" t="str">
        <f t="shared" si="56"/>
        <v/>
      </c>
      <c r="FR14" s="44" t="str">
        <f t="shared" si="57"/>
        <v/>
      </c>
      <c r="FS14" s="44" t="str">
        <f t="shared" si="58"/>
        <v/>
      </c>
      <c r="FT14" s="44" t="str">
        <f t="shared" si="59"/>
        <v>"myrEQ",</v>
      </c>
      <c r="FU14" s="44" t="str">
        <f t="shared" si="60"/>
        <v/>
      </c>
      <c r="FV14" s="44" t="str">
        <f t="shared" si="61"/>
        <v/>
      </c>
      <c r="FW14" s="44" t="str">
        <f t="shared" si="62"/>
        <v/>
      </c>
      <c r="FY14" s="44" t="str">
        <f t="shared" si="63"/>
        <v/>
      </c>
      <c r="FZ14" s="44" t="str">
        <f t="shared" si="64"/>
        <v/>
      </c>
      <c r="GA14" s="44" t="str">
        <f t="shared" si="65"/>
        <v/>
      </c>
      <c r="GB14" s="44" t="str">
        <f t="shared" si="66"/>
        <v/>
      </c>
      <c r="GE14" s="44" t="str">
        <f t="shared" si="67"/>
        <v/>
      </c>
      <c r="GF14" s="44" t="str">
        <f t="shared" si="98"/>
        <v/>
      </c>
      <c r="GG14" s="44" t="str">
        <f t="shared" si="68"/>
        <v/>
      </c>
      <c r="GH14" s="44" t="str">
        <f t="shared" si="69"/>
        <v/>
      </c>
      <c r="GI14" s="44" t="str">
        <f t="shared" si="70"/>
        <v/>
      </c>
      <c r="GJ14" s="44" t="str">
        <f t="shared" si="71"/>
        <v>"NoStar",</v>
      </c>
      <c r="GK14" s="44" t="str">
        <f t="shared" si="72"/>
        <v/>
      </c>
      <c r="GL14" s="44" t="str">
        <f t="shared" si="73"/>
        <v/>
      </c>
      <c r="GM14" s="44" t="str">
        <f t="shared" si="73"/>
        <v/>
      </c>
      <c r="GN14" s="44" t="str">
        <f t="shared" si="73"/>
        <v/>
      </c>
      <c r="GP14" s="44" t="str">
        <f t="shared" si="74"/>
        <v>"Social"</v>
      </c>
      <c r="GS14" s="44" t="str">
        <f t="shared" si="75"/>
        <v>["4Color","lets05","startT","with_z","NoBand","Circle","Texted","Geogrh","NO_BLU","NO_YEL","myrEQ","NoStar"]</v>
      </c>
      <c r="GT14" s="44" t="str">
        <f t="shared" si="76"/>
        <v>"cl_BLA",</v>
      </c>
      <c r="GU14" s="44" t="str">
        <f t="shared" si="76"/>
        <v/>
      </c>
      <c r="GV14" s="44" t="str">
        <f t="shared" si="76"/>
        <v>"cl_GRE",</v>
      </c>
      <c r="GW14" s="44" t="str">
        <f t="shared" si="76"/>
        <v>"cl_RED",</v>
      </c>
      <c r="GX14" s="44" t="str">
        <f t="shared" si="76"/>
        <v/>
      </c>
      <c r="GY14" s="44" t="str">
        <f t="shared" si="76"/>
        <v/>
      </c>
      <c r="GZ14" s="44" t="str">
        <f t="shared" si="76"/>
        <v/>
      </c>
      <c r="HA14" s="44" t="str">
        <f t="shared" si="76"/>
        <v/>
      </c>
      <c r="HB14" s="44" t="str">
        <f t="shared" si="76"/>
        <v>"cl_WHI",</v>
      </c>
      <c r="HC14" s="44" t="str">
        <f t="shared" si="77"/>
        <v>["cl_BLA","cl_GRE","cl_RED","cl_WHI"]</v>
      </c>
      <c r="HE14" s="64"/>
      <c r="HF14" s="65" t="str">
        <f t="shared" si="78"/>
        <v>{couname:"[NZE] Tūhoe",year:"???",region:"rgn_Oceania",Colors:["cl_BLA","cl_GRE","cl_RED","cl_WHI"],Items:["4Color","lets05","startT","with_z","NoBand","Circle","Texted","Geogrh","NO_BLU","NO_YEL","myrEQ","NoStar"],Flag:"https://www.fotw.info/images/n/nz_tmmt2.gif",HDFlag:"https://www.fotw.info/images/n/nz_tmmt2.gif",type:"Social", describe: "\nFlag of the sovereignty movement of Tūhoe, a Māori iwi in the northeast of New Zealand's North Island. Black, white, and red are traditional Māori colours, with the green representing Te Urewera, the mountainous and heavily forested area which forms the core of Tūhoe's territory. The words 'Te Mana Motukahe o Tuhoe' (the sovereignty of Tūhoe) are written across the bottom of the flag.", isnew:".", links: "https://en.wikipedia.org/wiki/Ng%C4%81i_T%C5%ABhoe"},</v>
      </c>
      <c r="HG14" s="66" t="str">
        <f t="shared" si="79"/>
        <v>{couname:"[NZE] Tūhoe",year:"???",region:"rgn_Oceania",Colors:["cl_BLA","cl_GRE","cl_RED","cl_WHI"],Items:["4Color","lets05","startT","with_z","NoBand","Circle","Texted","Geogrh","NO_BLU","NO_YEL","myrEQ","NoStar"],Flag:"https://www.fotw.info/images/n/nz_tmmt2.gif",HDFlag:"https://www.fotw.info/images/n/nz_tmmt2.gif",type:"Social", describe: "\nFlag of the sovereignty movement of Tūhoe, a Māori iwi in the northeast of New Zealand's North Island. Black, white, and red are traditional Māori colours, with the green representing Te Urewera, the mountainous and heavily forested area which forms the core of Tūhoe's territory. The words 'Te Mana Motukahe o Tuhoe' (the sovereignty of Tūhoe) are written across the bottom of the flag.", links: "https://en.wikipedia.org/wiki/Ng%C4%81i_T%C5%ABhoe"},</v>
      </c>
      <c r="HH14" s="44" t="str">
        <f t="shared" si="80"/>
        <v>"\nFlag of the sovereignty movement of Tūhoe, a Māori iwi in the northeast of New Zealand's North Island. Black, white, and red are traditional Māori colours, with the green representing Te Urewera, the mountainous and heavily forested area which forms the core of Tūhoe's territory. The words 'Te Mana Motukahe o Tuhoe' (the sovereignty of Tūhoe) are written across the bottom of the flag."</v>
      </c>
      <c r="HI14" s="44" t="str">
        <f t="shared" si="81"/>
        <v>"\nFlag of the sovereignty movement of Tūhoe, a Māori iwi in the northeast of New Zealand's North Island. Black, white, and red are traditional Māori colours, with the green representing Te Urewera, the mountainous and heavily forested area which forms the core of Tūhoe's territory. The words 'Te Mana Motukahe o Tuhoe' (the sovereignty of Tūhoe) are written across the bottom of the flag."</v>
      </c>
      <c r="HJ14" s="44" t="str">
        <f t="shared" si="82"/>
        <v>"???"</v>
      </c>
      <c r="HL14" s="44" t="str">
        <f t="shared" si="83"/>
        <v>"https://en.wikipedia.org/wiki/Ng%C4%81i_T%C5%ABhoe"</v>
      </c>
      <c r="HM14" s="65" t="str">
        <f t="shared" si="84"/>
        <v>{"couname":"[NZE] Tūhoe","subtype":"[NZE] Other","year":"???","region":"rgn_Oceania","Colors":["cl_BLA","cl_GRE","cl_RED","cl_WHI"],"Items":["4Color","lets05","startT","with_z","NoBand","Circle","Texted","Geogrh","NO_BLU","NO_YEL","myrEQ","NoStar"],"Flag":"https://www.fotw.info/images/n/nz_tmmt2.gif","HDFlag":"https://www.fotw.info/images/n/nz_tmmt2.gif","type":"Social", "describe": "\nFlag of the sovereignty movement of Tūhoe, a Māori iwi in the northeast of New Zealand's North Island. Black, white, and red are traditional Māori colours, with the green representing Te Urewera, the mountainous and heavily forested area which forms the core of Tūhoe's territory. The words 'Te Mana Motukahe o Tuhoe' (the sovereignty of Tūhoe) are written across the bottom of the flag.", "isnew": ".", "links": "https://en.wikipedia.org/wiki/Ng%C4%81i_T%C5%ABhoe"},</v>
      </c>
      <c r="HN14" s="67" t="str">
        <f t="shared" si="85"/>
        <v>{"couname":"[NZE] Tūhoe","subtype":"[NZE] Other","year":"???","region":"rgn_Oceania","Colors":["cl_BLA","cl_GRE","cl_RED","cl_WHI"],"Items":["4Color","lets05","startT","with_z","NoBand","Circle","Texted","Geogrh","NO_BLU","NO_YEL","myrEQ","NoStar"],"Flag":"https://www.fotw.info/images/n/nz_tmmt2.gif","HDFlag":"https://www.fotw.info/images/n/nz_tmmt2.gif","type":"Social", "describe": "\nFlag of the sovereignty movement of Tūhoe, a Māori iwi in the northeast of New Zealand's North Island. Black, white, and red are traditional Māori colours, with the green representing Te Urewera, the mountainous and heavily forested area which forms the core of Tūhoe's territory. The words 'Te Mana Motukahe o Tuhoe' (the sovereignty of Tūhoe) are written across the bottom of the flag.", "isnew": ".", "links": "https://en.wikipedia.org/wiki/Ng%C4%81i_T%C5%ABhoe"},</v>
      </c>
      <c r="HO14" s="71">
        <v>45644</v>
      </c>
      <c r="HP14" s="44" t="str" cm="1">
        <f t="array" ref="HP14">IF(_xlfn.TEXTJOIN(", ", TRUE, IF(ISNUMBER(SEARCH("BLA", BL14:BT14)), COLUMN(BL14:BT14) - COLUMN(BL14) + 1, ""))&lt;&gt;"","BLA","")</f>
        <v>BLA</v>
      </c>
      <c r="HQ14" s="44" t="str" cm="1">
        <f t="array" ref="HQ14">IF(_xlfn.TEXTJOIN(", ", TRUE, IF(ISNUMBER(SEARCH("BLU", BL14:BT14)), COLUMN(BL14:BT14) - COLUMN(BL14) + 1, ""))&lt;&gt;"","BLU","")</f>
        <v/>
      </c>
      <c r="HR14" s="44" t="str" cm="1">
        <f t="array" ref="HR14">IF(_xlfn.TEXTJOIN(", ", TRUE, IF(ISNUMBER(SEARCH("GRE", BL14:BT14)), COLUMN(BL14:BT14) - COLUMN(BL14) + 1, ""))&lt;&gt;"","GRE","")</f>
        <v>GRE</v>
      </c>
      <c r="HS14" s="44" t="str" cm="1">
        <f t="array" ref="HS14">IF(_xlfn.TEXTJOIN(", ", TRUE, IF(ISNUMBER(SEARCH("RED", BL14:BT14)), COLUMN(BL14:BT14) - COLUMN(BL14) + 1, ""))&lt;&gt;"","RED","")</f>
        <v>RED</v>
      </c>
      <c r="HT14" s="44" t="str" cm="1">
        <f t="array" ref="HT14">IF(_xlfn.TEXTJOIN(", ", TRUE, IF(ISNUMBER(SEARCH("YEL", BL14:BT14)), COLUMN(BL14:BT14) - COLUMN(BL14) + 1, ""))&lt;&gt;"","YEL","")</f>
        <v/>
      </c>
      <c r="HU14" s="44" t="str" cm="1">
        <f t="array" ref="HU14">IF(_xlfn.TEXTJOIN(", ", TRUE, IF(ISNUMBER(SEARCH("ORA", BL14:BT14)), COLUMN(BL14:BT14) - COLUMN(BL14) + 1, ""))&lt;&gt;"","ORA","")</f>
        <v/>
      </c>
      <c r="HV14" s="44" t="str" cm="1">
        <f t="array" ref="HV14">IF(_xlfn.TEXTJOIN(", ", TRUE, IF(ISNUMBER(SEARCH("BRO", BL14:BT14)), COLUMN(BL14:BT14) - COLUMN(BL14) + 1, ""))&lt;&gt;"","BRO","")</f>
        <v/>
      </c>
      <c r="HW14" s="44" t="str" cm="1">
        <f t="array" ref="HW14">IF(_xlfn.TEXTJOIN(", ", TRUE, IF(ISNUMBER(SEARCH("PUR", BL14:BT14)), COLUMN(BL14:BT14) - COLUMN(BL14) + 1, ""))&lt;&gt;"","PUR","")</f>
        <v/>
      </c>
      <c r="HX14" s="44" t="str" cm="1">
        <f t="array" ref="HX14">IF(_xlfn.TEXTJOIN(", ", TRUE, IF(ISNUMBER(SEARCH("WHI", BL14:BT14)), COLUMN(BL14:BT14) - COLUMN(BL14) + 1, ""))&lt;&gt;"","WHI","")</f>
        <v>WHI</v>
      </c>
      <c r="HY14" s="72"/>
      <c r="HZ14" s="72"/>
      <c r="IA14" s="5"/>
      <c r="IB14" s="5"/>
      <c r="IC14" s="68"/>
      <c r="ID14" s="68"/>
      <c r="IE14" s="68"/>
      <c r="IF14" s="68"/>
      <c r="IG14" s="68"/>
      <c r="IH14" s="68"/>
      <c r="II14" s="68"/>
      <c r="IJ14" s="68"/>
      <c r="IK14" s="68"/>
      <c r="IM14" s="42">
        <f t="shared" si="86"/>
        <v>-4</v>
      </c>
      <c r="IN14" s="69" t="str">
        <f t="shared" si="87"/>
        <v>http://mkweb.bcgsc.ca/color-summarizer/?url=https://www.fotw.info/images/n/nz_tmmt2.gif&amp;precision=low&amp;num_clusters=4&amp;text=1</v>
      </c>
      <c r="IO14" s="44" t="str">
        <f t="shared" si="88"/>
        <v>"black"</v>
      </c>
      <c r="IP14" s="44" t="str">
        <f t="shared" si="89"/>
        <v/>
      </c>
      <c r="IQ14" s="44" t="str">
        <f t="shared" si="90"/>
        <v>"green"</v>
      </c>
      <c r="IR14" s="44" t="str">
        <f t="shared" si="91"/>
        <v>"red"</v>
      </c>
      <c r="IS14" s="44" t="str">
        <f t="shared" si="92"/>
        <v/>
      </c>
      <c r="IT14" s="44" t="str">
        <f t="shared" si="93"/>
        <v/>
      </c>
      <c r="IU14" s="44" t="str">
        <f t="shared" si="94"/>
        <v/>
      </c>
      <c r="IV14" s="44" t="str">
        <f t="shared" si="95"/>
        <v/>
      </c>
      <c r="IW14" s="44" t="str">
        <f t="shared" si="96"/>
        <v>"white"</v>
      </c>
      <c r="IX14" s="44" t="str">
        <f t="shared" si="97"/>
        <v>{"url":"http://mkweb.bcgsc.ca/color-summarizer/?url=https://www.fotw.info/images/n/nz_tmmt2.gif&amp;precision=low&amp;num_clusters=4&amp;text=1","name":"[NZE] Tūhoe"},</v>
      </c>
      <c r="IY14" s="44">
        <v>1503</v>
      </c>
    </row>
    <row r="15" spans="1:259" s="44" customFormat="1" ht="38.4" customHeight="1" thickBot="1" x14ac:dyDescent="0.35">
      <c r="A15" s="81" t="s">
        <v>621</v>
      </c>
      <c r="B15" s="78" t="e" vm="82">
        <v>#VALUE!</v>
      </c>
      <c r="C15" s="39">
        <v>3</v>
      </c>
      <c r="D15" s="70" t="s">
        <v>622</v>
      </c>
      <c r="E15" s="40" t="s">
        <v>623</v>
      </c>
      <c r="F15" s="41" t="s">
        <v>165</v>
      </c>
      <c r="G15" s="42">
        <f t="shared" si="0"/>
        <v>1</v>
      </c>
      <c r="H15" s="43" t="s">
        <v>1136</v>
      </c>
      <c r="I15" s="59" t="s">
        <v>624</v>
      </c>
      <c r="J15" s="44" t="str">
        <f>""</f>
        <v/>
      </c>
      <c r="K15" s="45"/>
      <c r="L15" s="46"/>
      <c r="M15" s="46"/>
      <c r="N15" s="47" t="s">
        <v>177</v>
      </c>
      <c r="O15" s="74">
        <v>1834</v>
      </c>
      <c r="P15" s="48" t="s">
        <v>625</v>
      </c>
      <c r="Q15" s="73">
        <v>5</v>
      </c>
      <c r="R15" s="49" t="s">
        <v>177</v>
      </c>
      <c r="S15" s="50">
        <v>2</v>
      </c>
      <c r="T15" s="51" t="s">
        <v>166</v>
      </c>
      <c r="U15" s="52" t="s">
        <v>167</v>
      </c>
      <c r="V15" s="52" t="s">
        <v>167</v>
      </c>
      <c r="W15" s="52" t="s">
        <v>167</v>
      </c>
      <c r="X15" s="52" t="s">
        <v>166</v>
      </c>
      <c r="Y15" s="52" t="s">
        <v>166</v>
      </c>
      <c r="Z15" s="52" t="s">
        <v>166</v>
      </c>
      <c r="AA15" s="52" t="s">
        <v>166</v>
      </c>
      <c r="AB15" s="52" t="s">
        <v>166</v>
      </c>
      <c r="AC15" s="52" t="s">
        <v>166</v>
      </c>
      <c r="AD15" s="52" t="s">
        <v>166</v>
      </c>
      <c r="AE15" s="52" t="s">
        <v>166</v>
      </c>
      <c r="AF15" s="53" t="s">
        <v>166</v>
      </c>
      <c r="AG15" s="53" t="s">
        <v>166</v>
      </c>
      <c r="AH15" s="53" t="s">
        <v>166</v>
      </c>
      <c r="AI15" s="53" t="s">
        <v>167</v>
      </c>
      <c r="AJ15" s="53" t="s">
        <v>166</v>
      </c>
      <c r="AK15" s="53" t="s">
        <v>166</v>
      </c>
      <c r="AL15" s="53" t="s">
        <v>166</v>
      </c>
      <c r="AM15" s="53" t="s">
        <v>166</v>
      </c>
      <c r="AN15" s="53" t="s">
        <v>166</v>
      </c>
      <c r="AO15" s="53" t="s">
        <v>166</v>
      </c>
      <c r="AP15" s="53" t="s">
        <v>166</v>
      </c>
      <c r="AQ15" s="53" t="s">
        <v>166</v>
      </c>
      <c r="AR15" s="53" t="s">
        <v>166</v>
      </c>
      <c r="AS15" s="53" t="s">
        <v>166</v>
      </c>
      <c r="AT15" s="54">
        <v>4</v>
      </c>
      <c r="AU15" s="53" t="s">
        <v>349</v>
      </c>
      <c r="AV15" s="53" t="str">
        <f t="shared" si="1"/>
        <v>[NZE]Historical[NZE] United Tribes of New Zealand (Black)</v>
      </c>
      <c r="AW15" s="53" t="str">
        <f t="shared" si="2"/>
        <v>3[NZE] Other[NZE] United Tribes of New Zealand (Black)</v>
      </c>
      <c r="AX15" s="55"/>
      <c r="AY15" s="55"/>
      <c r="AZ15" s="56" t="s">
        <v>161</v>
      </c>
      <c r="BA15" s="56" t="s">
        <v>231</v>
      </c>
      <c r="BB15" s="56"/>
      <c r="BC15" s="57"/>
      <c r="BD15" s="58" t="s">
        <v>161</v>
      </c>
      <c r="BE15" s="59"/>
      <c r="BF15" s="58" t="s">
        <v>231</v>
      </c>
      <c r="BG15" s="58"/>
      <c r="BH15" s="58" t="s">
        <v>231</v>
      </c>
      <c r="BI15" s="58"/>
      <c r="BJ15" s="58"/>
      <c r="BK15" s="59"/>
      <c r="BL15" s="58" t="s">
        <v>153</v>
      </c>
      <c r="BM15" s="58" t="s">
        <v>154</v>
      </c>
      <c r="BN15" s="58" t="s">
        <v>231</v>
      </c>
      <c r="BO15" s="58" t="s">
        <v>156</v>
      </c>
      <c r="BP15" s="58" t="s">
        <v>231</v>
      </c>
      <c r="BQ15" s="58" t="s">
        <v>231</v>
      </c>
      <c r="BR15" s="58" t="s">
        <v>231</v>
      </c>
      <c r="BS15" s="58" t="s">
        <v>231</v>
      </c>
      <c r="BT15" s="58" t="s">
        <v>161</v>
      </c>
      <c r="BU15" s="60" t="s">
        <v>166</v>
      </c>
      <c r="BV15" s="61"/>
      <c r="BW15" s="61">
        <v>0</v>
      </c>
      <c r="BX15" s="59"/>
      <c r="CB15" s="5"/>
      <c r="CC15" s="5"/>
      <c r="CD15" s="62">
        <v>0</v>
      </c>
      <c r="CE15" s="62">
        <v>0</v>
      </c>
      <c r="CF15" s="62" t="e">
        <v>#REF!</v>
      </c>
      <c r="CG15" s="75" cm="1">
        <f t="array" ref="CG15">SUMPRODUCT(--(LEN(TRIM(BL15:BT15))&gt;0))</f>
        <v>4</v>
      </c>
      <c r="CH15" s="53" t="str">
        <f t="shared" si="3"/>
        <v>n</v>
      </c>
      <c r="CI15" s="53" t="str">
        <f t="shared" si="4"/>
        <v>n</v>
      </c>
      <c r="CJ15" s="53" t="str">
        <f t="shared" si="5"/>
        <v>y</v>
      </c>
      <c r="CK15" s="53" t="str">
        <f t="shared" si="6"/>
        <v>n</v>
      </c>
      <c r="CL15" s="53" t="str">
        <f t="shared" si="7"/>
        <v>n</v>
      </c>
      <c r="CM15" s="53" t="str">
        <f t="shared" si="8"/>
        <v>y</v>
      </c>
      <c r="CN15" s="53" t="str">
        <f t="shared" si="9"/>
        <v>n</v>
      </c>
      <c r="CO15" s="53" t="str">
        <f t="shared" si="10"/>
        <v>n</v>
      </c>
      <c r="CP15" s="53" t="str">
        <f t="shared" si="11"/>
        <v>n</v>
      </c>
      <c r="CQ15" s="53" t="str">
        <f t="shared" si="12"/>
        <v>n</v>
      </c>
      <c r="CR15" s="53" t="str">
        <f t="shared" si="13"/>
        <v>n</v>
      </c>
      <c r="CS15" s="53" t="str">
        <f t="shared" si="14"/>
        <v>y</v>
      </c>
      <c r="CT15" s="38" t="str">
        <f t="shared" si="15"/>
        <v>"[NZE] United Tribes of New Zealand (Black)"</v>
      </c>
      <c r="CU15" s="63" t="str">
        <f t="shared" si="16"/>
        <v>"rgn_Oceania"</v>
      </c>
      <c r="CV15" s="44" t="str">
        <f t="shared" si="17"/>
        <v>"https://upload.wikimedia.org/wikipedia/commons/thumb/8/82/UnitedTribesUnofficial.svg/640px-UnitedTribesUnofficial.svg.png"</v>
      </c>
      <c r="CW15" s="44" t="str">
        <f t="shared" si="18"/>
        <v/>
      </c>
      <c r="CX15" s="44" t="str">
        <f t="shared" si="18"/>
        <v/>
      </c>
      <c r="CY15" s="44" t="str">
        <f t="shared" si="18"/>
        <v>"4Color",</v>
      </c>
      <c r="CZ15" s="44" t="str">
        <f t="shared" si="18"/>
        <v/>
      </c>
      <c r="DA15" s="44" t="str">
        <f t="shared" si="19"/>
        <v>"words2",</v>
      </c>
      <c r="DB15" s="44" t="str">
        <f>IF(Q15&gt;2,CHAR(34)&amp;"words3"&amp;CHAR(34)&amp;",","")</f>
        <v>"words3",</v>
      </c>
      <c r="DD15" s="44" t="str">
        <f>IF(LEN(CHAR(34)&amp;"lets"&amp;LEN(SUBSTITUTE(SUBSTITUTE(IFERROR(TRIM(SUBSTITUTE(A15,MID(A15,FIND("[",A15),FIND("]",A15)-FIND("[",A15)+1),"")),A15)," ",""),"-",""))&amp;CHAR(34)&amp;",")=9,CHAR(34)&amp;"lets"&amp;LEN(SUBSTITUTE(SUBSTITUTE(IFERROR(TRIM(SUBSTITUTE(A15,MID(A15,FIND("[",A15),FIND("]",A15)-FIND("[",A15)+1),"")),A15)," ",""),"-",""))&amp;CHAR(34)&amp;",",CHAR(34)&amp;"lets0"&amp;LEN(SUBSTITUTE(SUBSTITUTE(IFERROR(TRIM(SUBSTITUTE(A15,MID(A15,FIND("[",A15),FIND("]",A15)-FIND("[",A15)+1),"")),A15)," ",""),"-",""))&amp;CHAR(34)&amp;",")</f>
        <v>"lets31",</v>
      </c>
      <c r="DE15" s="44" t="str">
        <f>CHAR(34)&amp;"start"&amp;IFERROR(LEFT(SUBSTITUTE(A15,"["&amp;MID(A15,FIND("[",A15)+1,FIND("]",A15)-FIND("[",A15)-1)&amp;"] ",""),1),LEFT(A15,1))&amp;CHAR(34)&amp;","</f>
        <v>"startU",</v>
      </c>
      <c r="DF15" s="44" t="str">
        <f t="shared" si="21"/>
        <v/>
      </c>
      <c r="DG15" s="44" t="str">
        <f t="shared" si="22"/>
        <v/>
      </c>
      <c r="DH15" s="44" t="str">
        <f t="shared" si="23"/>
        <v/>
      </c>
      <c r="DI15" s="44" t="str">
        <f t="shared" si="24"/>
        <v>"with_w",</v>
      </c>
      <c r="DJ15" s="44" t="str">
        <f t="shared" si="25"/>
        <v/>
      </c>
      <c r="DK15" s="44" t="str">
        <f t="shared" si="26"/>
        <v>"with_z",</v>
      </c>
      <c r="DL15" s="44" t="str">
        <f t="shared" si="27"/>
        <v/>
      </c>
      <c r="DM15" s="44" t="str" cm="1">
        <f t="array" ref="DM15">IF(CG15=3,CHAR(34) &amp; _xlfn.TEXTJOIN("", TRUE, RIGHT(HP15:HX15, 2)) &amp; CHAR(34) &amp; ",", "")</f>
        <v/>
      </c>
      <c r="DN15" s="44" t="str">
        <f t="shared" si="28"/>
        <v>"year18",</v>
      </c>
      <c r="DO15" s="44" t="str">
        <f t="shared" si="29"/>
        <v/>
      </c>
      <c r="DP15" s="5" t="str">
        <f t="shared" si="30"/>
        <v/>
      </c>
      <c r="DQ15" s="5" t="str">
        <f t="shared" si="31"/>
        <v/>
      </c>
      <c r="DR15" s="5" t="str">
        <f t="shared" si="32"/>
        <v/>
      </c>
      <c r="DS15" s="5" t="str">
        <f t="shared" si="33"/>
        <v/>
      </c>
      <c r="DT15" s="5" t="str">
        <f t="shared" si="34"/>
        <v/>
      </c>
      <c r="DU15" s="5" t="str">
        <f t="shared" si="35"/>
        <v/>
      </c>
      <c r="DW15" s="44" t="str">
        <f t="shared" si="36"/>
        <v/>
      </c>
      <c r="DX15" s="44" t="str">
        <f t="shared" si="36"/>
        <v>"2Bands",</v>
      </c>
      <c r="DY15" s="44" t="str">
        <f t="shared" si="36"/>
        <v/>
      </c>
      <c r="DZ15" s="44" t="str">
        <f t="shared" si="36"/>
        <v/>
      </c>
      <c r="EA15" s="44" t="str">
        <f t="shared" si="37"/>
        <v/>
      </c>
      <c r="EB15" s="44" t="str">
        <f t="shared" si="37"/>
        <v>"Crosse",</v>
      </c>
      <c r="EC15" s="44" t="str">
        <f t="shared" si="37"/>
        <v>"Horizo",</v>
      </c>
      <c r="ED15" s="44" t="str">
        <f t="shared" si="37"/>
        <v>"Vertic",</v>
      </c>
      <c r="EE15" s="44" t="str">
        <f t="shared" si="37"/>
        <v/>
      </c>
      <c r="EF15" s="44" t="str">
        <f t="shared" si="38"/>
        <v/>
      </c>
      <c r="EG15" s="44" t="str">
        <f t="shared" si="39"/>
        <v/>
      </c>
      <c r="EH15" s="44" t="str">
        <f t="shared" si="39"/>
        <v/>
      </c>
      <c r="EI15" s="44" t="str">
        <f t="shared" si="39"/>
        <v/>
      </c>
      <c r="EJ15" s="44" t="str">
        <f t="shared" si="39"/>
        <v/>
      </c>
      <c r="EK15" s="44" t="str">
        <f t="shared" si="39"/>
        <v/>
      </c>
      <c r="EL15" s="44" t="str">
        <f t="shared" si="39"/>
        <v/>
      </c>
      <c r="EM15" s="44" t="str">
        <f t="shared" si="39"/>
        <v/>
      </c>
      <c r="EN15" s="44" t="str">
        <f t="shared" si="39"/>
        <v/>
      </c>
      <c r="EO15" s="44" t="str">
        <f t="shared" si="39"/>
        <v/>
      </c>
      <c r="EP15" s="44" t="str">
        <f t="shared" si="39"/>
        <v>"Canton",</v>
      </c>
      <c r="EQ15" s="44" t="str">
        <f t="shared" si="39"/>
        <v/>
      </c>
      <c r="ER15" s="44" t="str">
        <f t="shared" si="39"/>
        <v/>
      </c>
      <c r="ES15" s="44" t="str">
        <f t="shared" si="39"/>
        <v/>
      </c>
      <c r="ET15" s="44" t="str">
        <f t="shared" si="39"/>
        <v/>
      </c>
      <c r="EU15" s="44" t="str">
        <f t="shared" si="39"/>
        <v/>
      </c>
      <c r="EV15" s="44" t="str">
        <f t="shared" si="39"/>
        <v/>
      </c>
      <c r="EW15" s="44" t="str">
        <f t="shared" si="40"/>
        <v/>
      </c>
      <c r="EX15" s="44" t="str">
        <f t="shared" si="40"/>
        <v/>
      </c>
      <c r="EY15" s="44" t="str">
        <f t="shared" si="40"/>
        <v/>
      </c>
      <c r="EZ15" s="44" t="str">
        <f t="shared" si="40"/>
        <v/>
      </c>
      <c r="FA15" s="44" t="str">
        <f t="shared" si="41"/>
        <v>"staWHI",</v>
      </c>
      <c r="FB15" s="44" t="str">
        <f t="shared" si="42"/>
        <v/>
      </c>
      <c r="FD15" s="44" t="str">
        <f t="shared" si="43"/>
        <v/>
      </c>
      <c r="FE15" s="44" t="str">
        <f t="shared" si="44"/>
        <v/>
      </c>
      <c r="FF15" s="44" t="str">
        <f t="shared" si="45"/>
        <v/>
      </c>
      <c r="FG15" s="44" t="str">
        <f t="shared" si="46"/>
        <v/>
      </c>
      <c r="FH15" s="44" t="str">
        <f t="shared" si="47"/>
        <v>"NO_GRE",</v>
      </c>
      <c r="FI15" s="44" t="str">
        <f t="shared" si="48"/>
        <v>"NO_YEL",</v>
      </c>
      <c r="FJ15" s="44" t="str">
        <f t="shared" si="49"/>
        <v/>
      </c>
      <c r="FK15" s="44" t="str">
        <f t="shared" si="50"/>
        <v/>
      </c>
      <c r="FL15" s="44" t="str">
        <f t="shared" si="51"/>
        <v/>
      </c>
      <c r="FM15" s="44" t="str">
        <f t="shared" si="52"/>
        <v/>
      </c>
      <c r="FN15" s="44" t="str">
        <f t="shared" si="53"/>
        <v/>
      </c>
      <c r="FO15" s="44" t="str">
        <f t="shared" si="54"/>
        <v/>
      </c>
      <c r="FP15" s="44" t="str">
        <f t="shared" si="55"/>
        <v/>
      </c>
      <c r="FQ15" s="44" t="str">
        <f t="shared" si="56"/>
        <v/>
      </c>
      <c r="FR15" s="44" t="str">
        <f t="shared" si="57"/>
        <v/>
      </c>
      <c r="FS15" s="44" t="str">
        <f t="shared" si="58"/>
        <v/>
      </c>
      <c r="FT15" s="44" t="str">
        <f t="shared" si="59"/>
        <v>"myrWHI",</v>
      </c>
      <c r="FU15" s="44" t="str">
        <f t="shared" si="60"/>
        <v/>
      </c>
      <c r="FV15" s="44" t="str">
        <f t="shared" si="61"/>
        <v/>
      </c>
      <c r="FW15" s="44" t="str">
        <f t="shared" si="62"/>
        <v/>
      </c>
      <c r="FY15" s="44" t="str">
        <f t="shared" si="63"/>
        <v/>
      </c>
      <c r="FZ15" s="44" t="str">
        <f t="shared" si="64"/>
        <v/>
      </c>
      <c r="GA15" s="44" t="str">
        <f t="shared" si="65"/>
        <v/>
      </c>
      <c r="GB15" s="44" t="str">
        <f t="shared" si="66"/>
        <v/>
      </c>
      <c r="GE15" s="44" t="str">
        <f t="shared" si="67"/>
        <v/>
      </c>
      <c r="GF15" s="44" t="str">
        <f t="shared" si="98"/>
        <v>"histor",</v>
      </c>
      <c r="GG15" s="44" t="str">
        <f t="shared" si="68"/>
        <v/>
      </c>
      <c r="GH15" s="44" t="str">
        <f t="shared" si="69"/>
        <v/>
      </c>
      <c r="GI15" s="44" t="str">
        <f t="shared" si="70"/>
        <v/>
      </c>
      <c r="GJ15" s="44" t="str">
        <f t="shared" si="71"/>
        <v/>
      </c>
      <c r="GK15" s="44" t="str">
        <f t="shared" si="72"/>
        <v>"HasSta",</v>
      </c>
      <c r="GL15" s="44" t="str">
        <f t="shared" si="73"/>
        <v/>
      </c>
      <c r="GM15" s="44" t="str">
        <f t="shared" si="73"/>
        <v/>
      </c>
      <c r="GN15" s="44" t="str">
        <f t="shared" si="73"/>
        <v>"3+Star",</v>
      </c>
      <c r="GP15" s="44" t="str">
        <f t="shared" si="74"/>
        <v>"Historical"</v>
      </c>
      <c r="GS15" s="44" t="str">
        <f t="shared" si="75"/>
        <v>["4Color","words2","words3","lets31","startU","with_w","with_z","year18","2Bands","Crosse","Horizo","Vertic","Canton","staWHI","NO_GRE","NO_YEL","myrWHI","histor","HasSta","3+Star"]</v>
      </c>
      <c r="GT15" s="44" t="str">
        <f t="shared" si="76"/>
        <v>"cl_BLA",</v>
      </c>
      <c r="GU15" s="44" t="str">
        <f t="shared" si="76"/>
        <v>"cl_BLU",</v>
      </c>
      <c r="GV15" s="44" t="str">
        <f t="shared" si="76"/>
        <v/>
      </c>
      <c r="GW15" s="44" t="str">
        <f t="shared" si="76"/>
        <v>"cl_RED",</v>
      </c>
      <c r="GX15" s="44" t="str">
        <f t="shared" si="76"/>
        <v/>
      </c>
      <c r="GY15" s="44" t="str">
        <f t="shared" si="76"/>
        <v/>
      </c>
      <c r="GZ15" s="44" t="str">
        <f t="shared" si="76"/>
        <v/>
      </c>
      <c r="HA15" s="44" t="str">
        <f t="shared" si="76"/>
        <v/>
      </c>
      <c r="HB15" s="44" t="str">
        <f t="shared" si="76"/>
        <v>"cl_WHI",</v>
      </c>
      <c r="HC15" s="44" t="str">
        <f t="shared" si="77"/>
        <v>["cl_BLA","cl_BLU","cl_RED","cl_WHI"]</v>
      </c>
      <c r="HE15" s="64"/>
      <c r="HF15" s="65" t="str">
        <f t="shared" si="78"/>
        <v>{couname:"[NZE] United Tribes of New Zealand (Black)",year:"1834",region:"rgn_Oceania",Colors:["cl_BLA","cl_BLU","cl_RED","cl_WHI"],Items:["4Color","words2","words3","lets31","startU","with_w","with_z","year18","2Bands","Crosse","Horizo","Vertic","Canton","staWHI","NO_GRE","NO_YEL","myrWHI","histor","HasSta","3+Star"],Flag:"https://upload.wikimedia.org/wikipedia/commons/thumb/8/82/UnitedTribesUnofficial.svg/640px-UnitedTribesUnofficial.svg.png",HDFlag:"https://upload.wikimedia.org/wikipedia/commons/thumb/8/82/UnitedTribesUnofficial.svg/2560px-UnitedTribesUnofficial.svg.png",type:"Historical", describe: "\nA variant United Tribes flag design consisting of a St. George's cross with the canton consisting of a blue field, another St. George's cross with black fimbriation, and a white, eight-pointed star in each of the quarters. The St. George's cross may represent the designer's affiliation with the Church of England, while the stars represent either the Southern Cross or the stars of England. The variant design continues to be used by Māori groups to this day", isnew:".", links: "https://en.wikipedia.org/wiki/Flag_of_the_United_Tribes_of_New_Zealand"},</v>
      </c>
      <c r="HG15" s="66" t="str">
        <f t="shared" si="79"/>
        <v>{couname:"[NZE] United Tribes of New Zealand (Black)",year:"1834",region:"rgn_Oceania",Colors:["cl_BLA","cl_BLU","cl_RED","cl_WHI"],Items:["4Color","words2","words3","lets31","startU","with_w","with_z","year18","2Bands","Crosse","Horizo","Vertic","Canton","staWHI","NO_GRE","NO_YEL","myrWHI","histor","HasSta","3+Star"],Flag:"https://upload.wikimedia.org/wikipedia/commons/thumb/8/82/UnitedTribesUnofficial.svg/640px-UnitedTribesUnofficial.svg.png",HDFlag:"https://upload.wikimedia.org/wikipedia/commons/thumb/8/82/UnitedTribesUnofficial.svg/2560px-UnitedTribesUnofficial.svg.png",type:"Historical", describe: "\nA variant United Tribes flag design consisting of a St. George's cross with the canton consisting of a blue field, another St. George's cross with black fimbriation, and a white, eight-pointed star in each of the quarters. The St. George's cross may represent the designer's affiliation with the Church of England, while the stars represent either the Southern Cross or the stars of England. The variant design continues to be used by Māori groups to this day", links: "https://en.wikipedia.org/wiki/Flag_of_the_United_Tribes_of_New_Zealand"},</v>
      </c>
      <c r="HH15" s="44" t="str">
        <f t="shared" si="80"/>
        <v>"\nA variant United Tribes flag design consisting of a St. George's cross with the canton consisting of a blue field, another St. George's cross with black fimbriation, and a white, eight-pointed star in each of the quarters. The St. George's cross may represent the designer's affiliation with the Church of England, while the stars represent either the Southern Cross or the stars of England. The variant design continues to be used by Māori groups to this day"</v>
      </c>
      <c r="HI15" s="44" t="str">
        <f t="shared" si="81"/>
        <v>"\nA variant United Tribes flag design consisting of a St. George's cross with the canton consisting of a blue field, another St. George's cross with black fimbriation, and a white, eight-pointed star in each of the quarters. The St. George's cross may represent the designer's affiliation with the Church of England, while the stars represent either the Southern Cross or the stars of England. The variant design continues to be used by Māori groups to this day"</v>
      </c>
      <c r="HJ15" s="44" t="str">
        <f t="shared" si="82"/>
        <v>"1834"</v>
      </c>
      <c r="HL15" s="44" t="str">
        <f t="shared" si="83"/>
        <v>"https://en.wikipedia.org/wiki/Flag_of_the_United_Tribes_of_New_Zealand"</v>
      </c>
      <c r="HM15" s="65" t="str">
        <f t="shared" si="84"/>
        <v>{"couname":"[NZE] United Tribes of New Zealand (Black)","subtype":"[NZE] Other","year":"1834","region":"rgn_Oceania","Colors":["cl_BLA","cl_BLU","cl_RED","cl_WHI"],"Items":["4Color","words2","words3","lets31","startU","with_w","with_z","year18","2Bands","Crosse","Horizo","Vertic","Canton","staWHI","NO_GRE","NO_YEL","myrWHI","histor","HasSta","3+Star"],"Flag":"https://upload.wikimedia.org/wikipedia/commons/thumb/8/82/UnitedTribesUnofficial.svg/640px-UnitedTribesUnofficial.svg.png","HDFlag":"https://upload.wikimedia.org/wikipedia/commons/thumb/8/82/UnitedTribesUnofficial.svg/2560px-UnitedTribesUnofficial.svg.png","type":"Historical", "describe": "\nA variant United Tribes flag design consisting of a St. George's cross with the canton consisting of a blue field, another St. George's cross with black fimbriation, and a white, eight-pointed star in each of the quarters. The St. George's cross may represent the designer's affiliation with the Church of England, while the stars represent either the Southern Cross or the stars of England. The variant design continues to be used by Māori groups to this day", "isnew": ".", "links": "https://en.wikipedia.org/wiki/Flag_of_the_United_Tribes_of_New_Zealand"},</v>
      </c>
      <c r="HN15" s="67" t="str">
        <f t="shared" si="85"/>
        <v>{"couname":"[NZE] United Tribes of New Zealand (Black)","subtype":"[NZE] Other","year":"1834","region":"rgn_Oceania","Colors":["cl_BLA","cl_BLU","cl_RED","cl_WHI"],"Items":["4Color","words2","words3","lets31","startU","with_w","with_z","year18","2Bands","Crosse","Horizo","Vertic","Canton","staWHI","NO_GRE","NO_YEL","myrWHI","histor","HasSta","3+Star"],"Flag":"https://upload.wikimedia.org/wikipedia/commons/thumb/8/82/UnitedTribesUnofficial.svg/640px-UnitedTribesUnofficial.svg.png","HDFlag":"https://upload.wikimedia.org/wikipedia/commons/thumb/8/82/UnitedTribesUnofficial.svg/2560px-UnitedTribesUnofficial.svg.png","type":"Historical", "describe": "\nA variant United Tribes flag design consisting of a St. George's cross with the canton consisting of a blue field, another St. George's cross with black fimbriation, and a white, eight-pointed star in each of the quarters. The St. George's cross may represent the designer's affiliation with the Church of England, while the stars represent either the Southern Cross or the stars of England. The variant design continues to be used by Māori groups to this day", "isnew": ".", "links": "https://en.wikipedia.org/wiki/Flag_of_the_United_Tribes_of_New_Zealand"},</v>
      </c>
      <c r="HO15" s="71">
        <v>45618</v>
      </c>
      <c r="HP15" s="44" t="str" cm="1">
        <f t="array" ref="HP15">IF(_xlfn.TEXTJOIN(", ", TRUE, IF(ISNUMBER(SEARCH("BLA", BL15:BT15)), COLUMN(BL15:BT15) - COLUMN(BL15) + 1, ""))&lt;&gt;"","BLA","")</f>
        <v>BLA</v>
      </c>
      <c r="HQ15" s="44" t="str" cm="1">
        <f t="array" ref="HQ15">IF(_xlfn.TEXTJOIN(", ", TRUE, IF(ISNUMBER(SEARCH("BLU", BL15:BT15)), COLUMN(BL15:BT15) - COLUMN(BL15) + 1, ""))&lt;&gt;"","BLU","")</f>
        <v>BLU</v>
      </c>
      <c r="HR15" s="44" t="str" cm="1">
        <f t="array" ref="HR15">IF(_xlfn.TEXTJOIN(", ", TRUE, IF(ISNUMBER(SEARCH("GRE", BL15:BT15)), COLUMN(BL15:BT15) - COLUMN(BL15) + 1, ""))&lt;&gt;"","GRE","")</f>
        <v/>
      </c>
      <c r="HS15" s="44" t="str" cm="1">
        <f t="array" ref="HS15">IF(_xlfn.TEXTJOIN(", ", TRUE, IF(ISNUMBER(SEARCH("RED", BL15:BT15)), COLUMN(BL15:BT15) - COLUMN(BL15) + 1, ""))&lt;&gt;"","RED","")</f>
        <v>RED</v>
      </c>
      <c r="HT15" s="44" t="str" cm="1">
        <f t="array" ref="HT15">IF(_xlfn.TEXTJOIN(", ", TRUE, IF(ISNUMBER(SEARCH("YEL", BL15:BT15)), COLUMN(BL15:BT15) - COLUMN(BL15) + 1, ""))&lt;&gt;"","YEL","")</f>
        <v/>
      </c>
      <c r="HU15" s="44" t="str" cm="1">
        <f t="array" ref="HU15">IF(_xlfn.TEXTJOIN(", ", TRUE, IF(ISNUMBER(SEARCH("ORA", BL15:BT15)), COLUMN(BL15:BT15) - COLUMN(BL15) + 1, ""))&lt;&gt;"","ORA","")</f>
        <v/>
      </c>
      <c r="HV15" s="44" t="str" cm="1">
        <f t="array" ref="HV15">IF(_xlfn.TEXTJOIN(", ", TRUE, IF(ISNUMBER(SEARCH("BRO", BL15:BT15)), COLUMN(BL15:BT15) - COLUMN(BL15) + 1, ""))&lt;&gt;"","BRO","")</f>
        <v/>
      </c>
      <c r="HW15" s="44" t="str" cm="1">
        <f t="array" ref="HW15">IF(_xlfn.TEXTJOIN(", ", TRUE, IF(ISNUMBER(SEARCH("PUR", BL15:BT15)), COLUMN(BL15:BT15) - COLUMN(BL15) + 1, ""))&lt;&gt;"","PUR","")</f>
        <v/>
      </c>
      <c r="HX15" s="44" t="str" cm="1">
        <f t="array" ref="HX15">IF(_xlfn.TEXTJOIN(", ", TRUE, IF(ISNUMBER(SEARCH("WHI", BL15:BT15)), COLUMN(BL15:BT15) - COLUMN(BL15) + 1, ""))&lt;&gt;"","WHI","")</f>
        <v>WHI</v>
      </c>
      <c r="HY15" s="72"/>
      <c r="HZ15" s="72"/>
      <c r="IA15" s="5"/>
      <c r="IB15" s="5"/>
      <c r="IC15" s="68"/>
      <c r="ID15" s="68"/>
      <c r="IE15" s="68"/>
      <c r="IF15" s="68"/>
      <c r="IG15" s="68"/>
      <c r="IH15" s="68"/>
      <c r="II15" s="68"/>
      <c r="IJ15" s="68"/>
      <c r="IK15" s="68"/>
      <c r="IM15" s="42">
        <f t="shared" si="86"/>
        <v>-4</v>
      </c>
      <c r="IN15" s="69" t="str">
        <f t="shared" si="87"/>
        <v>http://mkweb.bcgsc.ca/color-summarizer/?url=https://upload.wikimedia.org/wikipedia/commons/thumb/8/82/UnitedTribesUnofficial.svg/640px-UnitedTribesUnofficial.svg.png&amp;precision=low&amp;num_clusters=4&amp;text=1</v>
      </c>
      <c r="IO15" s="44" t="str">
        <f t="shared" si="88"/>
        <v>"black"</v>
      </c>
      <c r="IP15" s="44" t="str">
        <f t="shared" si="89"/>
        <v>"blue"</v>
      </c>
      <c r="IQ15" s="44" t="str">
        <f t="shared" si="90"/>
        <v/>
      </c>
      <c r="IR15" s="44" t="str">
        <f t="shared" si="91"/>
        <v>"red"</v>
      </c>
      <c r="IS15" s="44" t="str">
        <f t="shared" si="92"/>
        <v/>
      </c>
      <c r="IT15" s="44" t="str">
        <f t="shared" si="93"/>
        <v/>
      </c>
      <c r="IU15" s="44" t="str">
        <f t="shared" si="94"/>
        <v/>
      </c>
      <c r="IV15" s="44" t="str">
        <f t="shared" si="95"/>
        <v/>
      </c>
      <c r="IW15" s="44" t="str">
        <f t="shared" si="96"/>
        <v>"white"</v>
      </c>
      <c r="IX15" s="44" t="str">
        <f t="shared" si="97"/>
        <v>{"url":"http://mkweb.bcgsc.ca/color-summarizer/?url=https://upload.wikimedia.org/wikipedia/commons/thumb/8/82/UnitedTribesUnofficial.svg/640px-UnitedTribesUnofficial.svg.png&amp;precision=low&amp;num_clusters=4&amp;text=1","name":"[NZE] United Tribes of New Zealand (Black)"},</v>
      </c>
      <c r="IY15" s="44">
        <v>1050</v>
      </c>
    </row>
    <row r="16" spans="1:259" s="44" customFormat="1" ht="38.4" customHeight="1" thickBot="1" x14ac:dyDescent="0.35">
      <c r="A16" s="81" t="s">
        <v>1137</v>
      </c>
      <c r="B16" s="78" t="e" vm="83">
        <v>#VALUE!</v>
      </c>
      <c r="C16" s="39">
        <v>3</v>
      </c>
      <c r="D16" s="70" t="s">
        <v>760</v>
      </c>
      <c r="E16" s="40" t="s">
        <v>761</v>
      </c>
      <c r="F16" s="41" t="s">
        <v>165</v>
      </c>
      <c r="G16" s="42">
        <f t="shared" si="0"/>
        <v>1</v>
      </c>
      <c r="H16" s="43" t="s">
        <v>1136</v>
      </c>
      <c r="I16" s="59" t="s">
        <v>624</v>
      </c>
      <c r="J16" s="44" t="str">
        <f>""</f>
        <v/>
      </c>
      <c r="K16" s="45"/>
      <c r="L16" s="46"/>
      <c r="M16" s="46"/>
      <c r="N16" s="47" t="s">
        <v>177</v>
      </c>
      <c r="O16" s="74">
        <v>1834</v>
      </c>
      <c r="P16" s="48" t="s">
        <v>762</v>
      </c>
      <c r="Q16" s="73">
        <v>5</v>
      </c>
      <c r="R16" s="49" t="s">
        <v>177</v>
      </c>
      <c r="S16" s="50">
        <v>2</v>
      </c>
      <c r="T16" s="51" t="s">
        <v>166</v>
      </c>
      <c r="U16" s="52" t="s">
        <v>167</v>
      </c>
      <c r="V16" s="52" t="s">
        <v>167</v>
      </c>
      <c r="W16" s="52" t="s">
        <v>167</v>
      </c>
      <c r="X16" s="52" t="s">
        <v>166</v>
      </c>
      <c r="Y16" s="52" t="s">
        <v>166</v>
      </c>
      <c r="Z16" s="52" t="s">
        <v>166</v>
      </c>
      <c r="AA16" s="52" t="s">
        <v>166</v>
      </c>
      <c r="AB16" s="52" t="s">
        <v>166</v>
      </c>
      <c r="AC16" s="52" t="s">
        <v>166</v>
      </c>
      <c r="AD16" s="52" t="s">
        <v>166</v>
      </c>
      <c r="AE16" s="52" t="s">
        <v>166</v>
      </c>
      <c r="AF16" s="53" t="s">
        <v>166</v>
      </c>
      <c r="AG16" s="53" t="s">
        <v>166</v>
      </c>
      <c r="AH16" s="53" t="s">
        <v>166</v>
      </c>
      <c r="AI16" s="53" t="s">
        <v>167</v>
      </c>
      <c r="AJ16" s="53" t="s">
        <v>166</v>
      </c>
      <c r="AK16" s="53" t="s">
        <v>166</v>
      </c>
      <c r="AL16" s="53" t="s">
        <v>166</v>
      </c>
      <c r="AM16" s="53" t="s">
        <v>166</v>
      </c>
      <c r="AN16" s="53" t="s">
        <v>166</v>
      </c>
      <c r="AO16" s="53" t="s">
        <v>166</v>
      </c>
      <c r="AP16" s="53" t="s">
        <v>166</v>
      </c>
      <c r="AQ16" s="53" t="s">
        <v>166</v>
      </c>
      <c r="AR16" s="53" t="s">
        <v>166</v>
      </c>
      <c r="AS16" s="53" t="s">
        <v>166</v>
      </c>
      <c r="AT16" s="54">
        <v>4</v>
      </c>
      <c r="AU16" s="53" t="s">
        <v>349</v>
      </c>
      <c r="AV16" s="53" t="str">
        <f t="shared" si="1"/>
        <v>[NZE]Historical[NZE] United Tribes of New Zealand (White)</v>
      </c>
      <c r="AW16" s="53" t="str">
        <f t="shared" si="2"/>
        <v>3[NZE] Other[NZE] United Tribes of New Zealand (White)</v>
      </c>
      <c r="AX16" s="55"/>
      <c r="AY16" s="55"/>
      <c r="AZ16" s="56" t="s">
        <v>161</v>
      </c>
      <c r="BA16" s="56" t="s">
        <v>231</v>
      </c>
      <c r="BB16" s="56"/>
      <c r="BC16" s="57"/>
      <c r="BD16" s="58" t="s">
        <v>161</v>
      </c>
      <c r="BE16" s="59"/>
      <c r="BF16" s="58" t="s">
        <v>231</v>
      </c>
      <c r="BG16" s="58"/>
      <c r="BH16" s="58" t="s">
        <v>231</v>
      </c>
      <c r="BI16" s="58"/>
      <c r="BJ16" s="58"/>
      <c r="BK16" s="59"/>
      <c r="BL16" s="58" t="s">
        <v>231</v>
      </c>
      <c r="BM16" s="58" t="s">
        <v>154</v>
      </c>
      <c r="BN16" s="58" t="s">
        <v>231</v>
      </c>
      <c r="BO16" s="58" t="s">
        <v>156</v>
      </c>
      <c r="BP16" s="58" t="s">
        <v>231</v>
      </c>
      <c r="BQ16" s="58" t="s">
        <v>231</v>
      </c>
      <c r="BR16" s="58" t="s">
        <v>231</v>
      </c>
      <c r="BS16" s="58" t="s">
        <v>231</v>
      </c>
      <c r="BT16" s="58" t="s">
        <v>161</v>
      </c>
      <c r="BU16" s="60" t="s">
        <v>166</v>
      </c>
      <c r="BV16" s="61"/>
      <c r="BW16" s="61">
        <v>0</v>
      </c>
      <c r="BX16" s="59"/>
      <c r="CB16" s="5"/>
      <c r="CC16" s="5"/>
      <c r="CD16" s="62">
        <v>0</v>
      </c>
      <c r="CE16" s="62">
        <v>0</v>
      </c>
      <c r="CF16" s="62" t="e">
        <v>#REF!</v>
      </c>
      <c r="CG16" s="75" cm="1">
        <f t="array" ref="CG16">SUMPRODUCT(--(LEN(TRIM(BL16:BT16))&gt;0))</f>
        <v>3</v>
      </c>
      <c r="CH16" s="53" t="str">
        <f t="shared" si="3"/>
        <v>n</v>
      </c>
      <c r="CI16" s="53" t="str">
        <f t="shared" si="4"/>
        <v>y</v>
      </c>
      <c r="CJ16" s="53" t="str">
        <f t="shared" si="5"/>
        <v>n</v>
      </c>
      <c r="CK16" s="53" t="str">
        <f t="shared" si="6"/>
        <v>n</v>
      </c>
      <c r="CL16" s="53" t="str">
        <f t="shared" si="7"/>
        <v>n</v>
      </c>
      <c r="CM16" s="53" t="str">
        <f t="shared" si="8"/>
        <v>y</v>
      </c>
      <c r="CN16" s="53" t="str">
        <f t="shared" si="9"/>
        <v>n</v>
      </c>
      <c r="CO16" s="53" t="str">
        <f t="shared" si="10"/>
        <v>n</v>
      </c>
      <c r="CP16" s="53" t="str">
        <f t="shared" si="11"/>
        <v>n</v>
      </c>
      <c r="CQ16" s="53" t="str">
        <f t="shared" si="12"/>
        <v>n</v>
      </c>
      <c r="CR16" s="53" t="str">
        <f t="shared" si="13"/>
        <v>n</v>
      </c>
      <c r="CS16" s="53" t="str">
        <f t="shared" si="14"/>
        <v>y</v>
      </c>
      <c r="CT16" s="38" t="str">
        <f t="shared" si="15"/>
        <v>"[NZE] United Tribes of New Zealand (White)"</v>
      </c>
      <c r="CU16" s="63" t="str">
        <f t="shared" si="16"/>
        <v>"rgn_Oceania"</v>
      </c>
      <c r="CV16" s="44" t="str">
        <f t="shared" si="17"/>
        <v>"https://upload.wikimedia.org/wikipedia/commons/thumb/5/5d/Flag_of_the_United_Tribes_of_New_Zealand.svg/640px-Flag_of_the_United_Tribes_of_New_Zealand.svg.png"</v>
      </c>
      <c r="CW16" s="44" t="str">
        <f t="shared" si="18"/>
        <v/>
      </c>
      <c r="CX16" s="44" t="str">
        <f t="shared" si="18"/>
        <v>"3Color",</v>
      </c>
      <c r="CY16" s="44" t="str">
        <f t="shared" si="18"/>
        <v/>
      </c>
      <c r="CZ16" s="44" t="str">
        <f t="shared" si="18"/>
        <v/>
      </c>
      <c r="DA16" s="44" t="str">
        <f t="shared" si="19"/>
        <v>"words2",</v>
      </c>
      <c r="DB16" s="44" t="str">
        <f>IF(Q16&gt;2,CHAR(34)&amp;"words3"&amp;CHAR(34)&amp;",","")</f>
        <v>"words3",</v>
      </c>
      <c r="DD16" s="44" t="str">
        <f>IF(LEN(CHAR(34)&amp;"lets"&amp;LEN(SUBSTITUTE(SUBSTITUTE(IFERROR(TRIM(SUBSTITUTE(A16,MID(A16,FIND("[",A16),FIND("]",A16)-FIND("[",A16)+1),"")),A16)," ",""),"-",""))&amp;CHAR(34)&amp;",")=9,CHAR(34)&amp;"lets"&amp;LEN(SUBSTITUTE(SUBSTITUTE(IFERROR(TRIM(SUBSTITUTE(A16,MID(A16,FIND("[",A16),FIND("]",A16)-FIND("[",A16)+1),"")),A16)," ",""),"-",""))&amp;CHAR(34)&amp;",",CHAR(34)&amp;"lets0"&amp;LEN(SUBSTITUTE(SUBSTITUTE(IFERROR(TRIM(SUBSTITUTE(A16,MID(A16,FIND("[",A16),FIND("]",A16)-FIND("[",A16)+1),"")),A16)," ",""),"-",""))&amp;CHAR(34)&amp;",")</f>
        <v>"lets31",</v>
      </c>
      <c r="DE16" s="44" t="str">
        <f>CHAR(34)&amp;"start"&amp;IFERROR(LEFT(SUBSTITUTE(A16,"["&amp;MID(A16,FIND("[",A16)+1,FIND("]",A16)-FIND("[",A16)-1)&amp;"] ",""),1),LEFT(A16,1))&amp;CHAR(34)&amp;","</f>
        <v>"startU",</v>
      </c>
      <c r="DF16" s="44" t="str">
        <f t="shared" si="21"/>
        <v/>
      </c>
      <c r="DG16" s="44" t="str">
        <f t="shared" si="22"/>
        <v/>
      </c>
      <c r="DH16" s="44" t="str">
        <f t="shared" si="23"/>
        <v/>
      </c>
      <c r="DI16" s="44" t="str">
        <f t="shared" si="24"/>
        <v>"with_w",</v>
      </c>
      <c r="DJ16" s="44" t="str">
        <f t="shared" si="25"/>
        <v/>
      </c>
      <c r="DK16" s="44" t="str">
        <f t="shared" si="26"/>
        <v>"with_z",</v>
      </c>
      <c r="DL16" s="44" t="str">
        <f t="shared" si="27"/>
        <v/>
      </c>
      <c r="DM16" s="44" t="str" cm="1">
        <f t="array" ref="DM16">IF(CG16=3,CHAR(34) &amp; _xlfn.TEXTJOIN("", TRUE, RIGHT(HP16:HX16, 2)) &amp; CHAR(34) &amp; ",", "")</f>
        <v>"LUEDHI",</v>
      </c>
      <c r="DN16" s="44" t="str">
        <f t="shared" si="28"/>
        <v>"year18",</v>
      </c>
      <c r="DO16" s="44" t="str">
        <f t="shared" si="29"/>
        <v/>
      </c>
      <c r="DP16" s="5" t="str">
        <f t="shared" si="30"/>
        <v/>
      </c>
      <c r="DQ16" s="5" t="str">
        <f t="shared" si="31"/>
        <v/>
      </c>
      <c r="DR16" s="5" t="str">
        <f t="shared" si="32"/>
        <v/>
      </c>
      <c r="DS16" s="5" t="str">
        <f t="shared" si="33"/>
        <v/>
      </c>
      <c r="DT16" s="5" t="str">
        <f t="shared" si="34"/>
        <v/>
      </c>
      <c r="DU16" s="5" t="str">
        <f t="shared" si="35"/>
        <v/>
      </c>
      <c r="DW16" s="44" t="str">
        <f t="shared" si="36"/>
        <v/>
      </c>
      <c r="DX16" s="44" t="str">
        <f t="shared" si="36"/>
        <v>"2Bands",</v>
      </c>
      <c r="DY16" s="44" t="str">
        <f t="shared" si="36"/>
        <v/>
      </c>
      <c r="DZ16" s="44" t="str">
        <f t="shared" si="36"/>
        <v/>
      </c>
      <c r="EA16" s="44" t="str">
        <f t="shared" si="37"/>
        <v/>
      </c>
      <c r="EB16" s="44" t="str">
        <f t="shared" si="37"/>
        <v>"Crosse",</v>
      </c>
      <c r="EC16" s="44" t="str">
        <f t="shared" si="37"/>
        <v>"Horizo",</v>
      </c>
      <c r="ED16" s="44" t="str">
        <f t="shared" si="37"/>
        <v>"Vertic",</v>
      </c>
      <c r="EE16" s="44" t="str">
        <f t="shared" si="37"/>
        <v/>
      </c>
      <c r="EF16" s="44" t="str">
        <f t="shared" si="38"/>
        <v/>
      </c>
      <c r="EG16" s="44" t="str">
        <f t="shared" si="39"/>
        <v/>
      </c>
      <c r="EH16" s="44" t="str">
        <f t="shared" si="39"/>
        <v/>
      </c>
      <c r="EI16" s="44" t="str">
        <f t="shared" si="39"/>
        <v/>
      </c>
      <c r="EJ16" s="44" t="str">
        <f t="shared" si="39"/>
        <v/>
      </c>
      <c r="EK16" s="44" t="str">
        <f t="shared" si="39"/>
        <v/>
      </c>
      <c r="EL16" s="44" t="str">
        <f t="shared" si="39"/>
        <v/>
      </c>
      <c r="EM16" s="44" t="str">
        <f t="shared" si="39"/>
        <v/>
      </c>
      <c r="EN16" s="44" t="str">
        <f t="shared" si="39"/>
        <v/>
      </c>
      <c r="EO16" s="44" t="str">
        <f t="shared" si="39"/>
        <v/>
      </c>
      <c r="EP16" s="44" t="str">
        <f t="shared" si="39"/>
        <v>"Canton",</v>
      </c>
      <c r="EQ16" s="44" t="str">
        <f t="shared" si="39"/>
        <v/>
      </c>
      <c r="ER16" s="44" t="str">
        <f t="shared" si="39"/>
        <v/>
      </c>
      <c r="ES16" s="44" t="str">
        <f t="shared" si="39"/>
        <v/>
      </c>
      <c r="ET16" s="44" t="str">
        <f t="shared" si="39"/>
        <v/>
      </c>
      <c r="EU16" s="44" t="str">
        <f t="shared" si="39"/>
        <v/>
      </c>
      <c r="EV16" s="44" t="str">
        <f t="shared" si="39"/>
        <v/>
      </c>
      <c r="EW16" s="44" t="str">
        <f t="shared" si="40"/>
        <v/>
      </c>
      <c r="EX16" s="44" t="str">
        <f t="shared" si="40"/>
        <v/>
      </c>
      <c r="EY16" s="44" t="str">
        <f t="shared" si="40"/>
        <v/>
      </c>
      <c r="EZ16" s="44" t="str">
        <f t="shared" si="40"/>
        <v/>
      </c>
      <c r="FA16" s="44" t="str">
        <f t="shared" si="41"/>
        <v>"staWHI",</v>
      </c>
      <c r="FB16" s="44" t="str">
        <f t="shared" si="42"/>
        <v/>
      </c>
      <c r="FD16" s="44" t="str">
        <f t="shared" si="43"/>
        <v/>
      </c>
      <c r="FE16" s="44" t="str">
        <f t="shared" si="44"/>
        <v/>
      </c>
      <c r="FF16" s="44" t="str">
        <f t="shared" si="45"/>
        <v/>
      </c>
      <c r="FG16" s="44" t="str">
        <f t="shared" si="46"/>
        <v/>
      </c>
      <c r="FH16" s="44" t="str">
        <f t="shared" si="47"/>
        <v>"NO_GRE",</v>
      </c>
      <c r="FI16" s="44" t="str">
        <f t="shared" si="48"/>
        <v>"NO_YEL",</v>
      </c>
      <c r="FJ16" s="44" t="str">
        <f t="shared" si="49"/>
        <v>"NO_BLA",</v>
      </c>
      <c r="FK16" s="44" t="str">
        <f t="shared" si="50"/>
        <v/>
      </c>
      <c r="FL16" s="44" t="str">
        <f t="shared" si="51"/>
        <v/>
      </c>
      <c r="FM16" s="44" t="str">
        <f t="shared" si="52"/>
        <v/>
      </c>
      <c r="FN16" s="44" t="str">
        <f t="shared" si="53"/>
        <v/>
      </c>
      <c r="FO16" s="44" t="str">
        <f t="shared" si="54"/>
        <v/>
      </c>
      <c r="FP16" s="44" t="str">
        <f t="shared" si="55"/>
        <v/>
      </c>
      <c r="FQ16" s="44" t="str">
        <f t="shared" si="56"/>
        <v/>
      </c>
      <c r="FR16" s="44" t="str">
        <f t="shared" si="57"/>
        <v/>
      </c>
      <c r="FS16" s="44" t="str">
        <f t="shared" si="58"/>
        <v/>
      </c>
      <c r="FT16" s="44" t="str">
        <f t="shared" si="59"/>
        <v>"myrWHI",</v>
      </c>
      <c r="FU16" s="44" t="str">
        <f t="shared" si="60"/>
        <v/>
      </c>
      <c r="FV16" s="44" t="str">
        <f t="shared" si="61"/>
        <v/>
      </c>
      <c r="FW16" s="44" t="str">
        <f t="shared" si="62"/>
        <v/>
      </c>
      <c r="FY16" s="44" t="str">
        <f t="shared" si="63"/>
        <v/>
      </c>
      <c r="FZ16" s="44" t="str">
        <f t="shared" si="64"/>
        <v/>
      </c>
      <c r="GA16" s="44" t="str">
        <f t="shared" si="65"/>
        <v/>
      </c>
      <c r="GB16" s="44" t="str">
        <f t="shared" si="66"/>
        <v/>
      </c>
      <c r="GE16" s="44" t="str">
        <f t="shared" si="67"/>
        <v/>
      </c>
      <c r="GF16" s="44" t="str">
        <f t="shared" si="98"/>
        <v>"histor",</v>
      </c>
      <c r="GG16" s="44" t="str">
        <f t="shared" si="68"/>
        <v/>
      </c>
      <c r="GH16" s="44" t="str">
        <f t="shared" si="69"/>
        <v/>
      </c>
      <c r="GI16" s="44" t="str">
        <f t="shared" si="70"/>
        <v/>
      </c>
      <c r="GJ16" s="44" t="str">
        <f t="shared" si="71"/>
        <v/>
      </c>
      <c r="GK16" s="44" t="str">
        <f t="shared" si="72"/>
        <v>"HasSta",</v>
      </c>
      <c r="GL16" s="44" t="str">
        <f t="shared" si="73"/>
        <v/>
      </c>
      <c r="GM16" s="44" t="str">
        <f t="shared" si="73"/>
        <v/>
      </c>
      <c r="GN16" s="44" t="str">
        <f t="shared" si="73"/>
        <v>"3+Star",</v>
      </c>
      <c r="GP16" s="44" t="str">
        <f t="shared" si="74"/>
        <v>"Historical"</v>
      </c>
      <c r="GS16" s="44" t="str">
        <f t="shared" si="75"/>
        <v>["3Color","words2","words3","lets31","startU","with_w","with_z","LUEDHI","year18","2Bands","Crosse","Horizo","Vertic","Canton","staWHI","NO_GRE","NO_YEL","NO_BLA","myrWHI","histor","HasSta","3+Star"]</v>
      </c>
      <c r="GT16" s="44" t="str">
        <f t="shared" si="76"/>
        <v/>
      </c>
      <c r="GU16" s="44" t="str">
        <f t="shared" si="76"/>
        <v>"cl_BLU",</v>
      </c>
      <c r="GV16" s="44" t="str">
        <f t="shared" si="76"/>
        <v/>
      </c>
      <c r="GW16" s="44" t="str">
        <f t="shared" si="76"/>
        <v>"cl_RED",</v>
      </c>
      <c r="GX16" s="44" t="str">
        <f t="shared" si="76"/>
        <v/>
      </c>
      <c r="GY16" s="44" t="str">
        <f t="shared" si="76"/>
        <v/>
      </c>
      <c r="GZ16" s="44" t="str">
        <f t="shared" si="76"/>
        <v/>
      </c>
      <c r="HA16" s="44" t="str">
        <f t="shared" si="76"/>
        <v/>
      </c>
      <c r="HB16" s="44" t="str">
        <f t="shared" si="76"/>
        <v>"cl_WHI",</v>
      </c>
      <c r="HC16" s="44" t="str">
        <f t="shared" si="77"/>
        <v>["cl_BLU","cl_RED","cl_WHI"]</v>
      </c>
      <c r="HE16" s="64"/>
      <c r="HF16" s="65" t="str">
        <f t="shared" si="78"/>
        <v>{couname:"[NZE] United Tribes of New Zealand (White)",year:"1834",region:"rgn_Oceania",Colors:["cl_BLU","cl_RED","cl_WHI"],Items:["3Color","words2","words3","lets31","startU","with_w","with_z","LUEDHI","year18","2Bands","Crosse","Horizo","Vertic","Canton","staWHI","NO_GRE","NO_YEL","NO_BLA","myrWHI","histor","HasSta","3+Star"],Flag:"https://upload.wikimedia.org/wikipedia/commons/thumb/5/5d/Flag_of_the_United_Tribes_of_New_Zealand.svg/640px-Flag_of_the_United_Tribes_of_New_Zealand.svg.png",HDFlag:"https://upload.wikimedia.org/wikipedia/commons/thumb/5/5d/Flag_of_the_United_Tribes_of_New_Zealand.svg/2560px-Flag_of_the_United_Tribes_of_New_Zealand.svg.png",type:"Historical", describe: "\nA St. George's cross with the canton consisting of a blue field, another St. George's cross with white fimbriation, and a white, eight-pointed star in each of the quarters. The St. George's cross may represent the designer's affiliation with the Church of England, while the stars are speculated to either represent the Southern Cross or the stars of England.", isnew:".", links: "https://en.wikipedia.org/wiki/Flag_of_the_United_Tribes_of_New_Zealand"},</v>
      </c>
      <c r="HG16" s="66" t="str">
        <f t="shared" si="79"/>
        <v>{couname:"[NZE] United Tribes of New Zealand (White)",year:"1834",region:"rgn_Oceania",Colors:["cl_BLU","cl_RED","cl_WHI"],Items:["3Color","words2","words3","lets31","startU","with_w","with_z","LUEDHI","year18","2Bands","Crosse","Horizo","Vertic","Canton","staWHI","NO_GRE","NO_YEL","NO_BLA","myrWHI","histor","HasSta","3+Star"],Flag:"https://upload.wikimedia.org/wikipedia/commons/thumb/5/5d/Flag_of_the_United_Tribes_of_New_Zealand.svg/640px-Flag_of_the_United_Tribes_of_New_Zealand.svg.png",HDFlag:"https://upload.wikimedia.org/wikipedia/commons/thumb/5/5d/Flag_of_the_United_Tribes_of_New_Zealand.svg/2560px-Flag_of_the_United_Tribes_of_New_Zealand.svg.png",type:"Historical", describe: "\nA St. George's cross with the canton consisting of a blue field, another St. George's cross with white fimbriation, and a white, eight-pointed star in each of the quarters. The St. George's cross may represent the designer's affiliation with the Church of England, while the stars are speculated to either represent the Southern Cross or the stars of England.", links: "https://en.wikipedia.org/wiki/Flag_of_the_United_Tribes_of_New_Zealand"},</v>
      </c>
      <c r="HH16" s="44" t="str">
        <f t="shared" si="80"/>
        <v>"\nA St. George's cross with the canton consisting of a blue field, another St. George's cross with white fimbriation, and a white, eight-pointed star in each of the quarters. The St. George's cross may represent the designer's affiliation with the Church of England, while the stars are speculated to either represent the Southern Cross or the stars of England."</v>
      </c>
      <c r="HI16" s="44" t="str">
        <f t="shared" si="81"/>
        <v>"\nA St. George's cross with the canton consisting of a blue field, another St. George's cross with white fimbriation, and a white, eight-pointed star in each of the quarters. The St. George's cross may represent the designer's affiliation with the Church of England, while the stars are speculated to either represent the Southern Cross or the stars of England."</v>
      </c>
      <c r="HJ16" s="44" t="str">
        <f t="shared" si="82"/>
        <v>"1834"</v>
      </c>
      <c r="HL16" s="44" t="str">
        <f t="shared" si="83"/>
        <v>"https://en.wikipedia.org/wiki/Flag_of_the_United_Tribes_of_New_Zealand"</v>
      </c>
      <c r="HM16" s="65" t="str">
        <f t="shared" si="84"/>
        <v>{"couname":"[NZE] United Tribes of New Zealand (White)","subtype":"[NZE] Other","year":"1834","region":"rgn_Oceania","Colors":["cl_BLU","cl_RED","cl_WHI"],"Items":["3Color","words2","words3","lets31","startU","with_w","with_z","LUEDHI","year18","2Bands","Crosse","Horizo","Vertic","Canton","staWHI","NO_GRE","NO_YEL","NO_BLA","myrWHI","histor","HasSta","3+Star"],"Flag":"https://upload.wikimedia.org/wikipedia/commons/thumb/5/5d/Flag_of_the_United_Tribes_of_New_Zealand.svg/640px-Flag_of_the_United_Tribes_of_New_Zealand.svg.png","HDFlag":"https://upload.wikimedia.org/wikipedia/commons/thumb/5/5d/Flag_of_the_United_Tribes_of_New_Zealand.svg/2560px-Flag_of_the_United_Tribes_of_New_Zealand.svg.png","type":"Historical", "describe": "\nA St. George's cross with the canton consisting of a blue field, another St. George's cross with white fimbriation, and a white, eight-pointed star in each of the quarters. The St. George's cross may represent the designer's affiliation with the Church of England, while the stars are speculated to either represent the Southern Cross or the stars of England.", "isnew": ".", "links": "https://en.wikipedia.org/wiki/Flag_of_the_United_Tribes_of_New_Zealand"},</v>
      </c>
      <c r="HN16" s="67" t="str">
        <f t="shared" si="85"/>
        <v>{"couname":"[NZE] United Tribes of New Zealand (White)","subtype":"[NZE] Other","year":"1834","region":"rgn_Oceania","Colors":["cl_BLU","cl_RED","cl_WHI"],"Items":["3Color","words2","words3","lets31","startU","with_w","with_z","LUEDHI","year18","2Bands","Crosse","Horizo","Vertic","Canton","staWHI","NO_GRE","NO_YEL","NO_BLA","myrWHI","histor","HasSta","3+Star"],"Flag":"https://upload.wikimedia.org/wikipedia/commons/thumb/5/5d/Flag_of_the_United_Tribes_of_New_Zealand.svg/640px-Flag_of_the_United_Tribes_of_New_Zealand.svg.png","HDFlag":"https://upload.wikimedia.org/wikipedia/commons/thumb/5/5d/Flag_of_the_United_Tribes_of_New_Zealand.svg/2560px-Flag_of_the_United_Tribes_of_New_Zealand.svg.png","type":"Historical", "describe": "\nA St. George's cross with the canton consisting of a blue field, another St. George's cross with white fimbriation, and a white, eight-pointed star in each of the quarters. The St. George's cross may represent the designer's affiliation with the Church of England, while the stars are speculated to either represent the Southern Cross or the stars of England.", "isnew": ".", "links": "https://en.wikipedia.org/wiki/Flag_of_the_United_Tribes_of_New_Zealand"},</v>
      </c>
      <c r="HO16" s="71">
        <v>45596</v>
      </c>
      <c r="HP16" s="44" t="str" cm="1">
        <f t="array" ref="HP16">IF(_xlfn.TEXTJOIN(", ", TRUE, IF(ISNUMBER(SEARCH("BLA", BL16:BT16)), COLUMN(BL16:BT16) - COLUMN(BL16) + 1, ""))&lt;&gt;"","BLA","")</f>
        <v/>
      </c>
      <c r="HQ16" s="44" t="str" cm="1">
        <f t="array" ref="HQ16">IF(_xlfn.TEXTJOIN(", ", TRUE, IF(ISNUMBER(SEARCH("BLU", BL16:BT16)), COLUMN(BL16:BT16) - COLUMN(BL16) + 1, ""))&lt;&gt;"","BLU","")</f>
        <v>BLU</v>
      </c>
      <c r="HR16" s="44" t="str" cm="1">
        <f t="array" ref="HR16">IF(_xlfn.TEXTJOIN(", ", TRUE, IF(ISNUMBER(SEARCH("GRE", BL16:BT16)), COLUMN(BL16:BT16) - COLUMN(BL16) + 1, ""))&lt;&gt;"","GRE","")</f>
        <v/>
      </c>
      <c r="HS16" s="44" t="str" cm="1">
        <f t="array" ref="HS16">IF(_xlfn.TEXTJOIN(", ", TRUE, IF(ISNUMBER(SEARCH("RED", BL16:BT16)), COLUMN(BL16:BT16) - COLUMN(BL16) + 1, ""))&lt;&gt;"","RED","")</f>
        <v>RED</v>
      </c>
      <c r="HT16" s="44" t="str" cm="1">
        <f t="array" ref="HT16">IF(_xlfn.TEXTJOIN(", ", TRUE, IF(ISNUMBER(SEARCH("YEL", BL16:BT16)), COLUMN(BL16:BT16) - COLUMN(BL16) + 1, ""))&lt;&gt;"","YEL","")</f>
        <v/>
      </c>
      <c r="HU16" s="44" t="str" cm="1">
        <f t="array" ref="HU16">IF(_xlfn.TEXTJOIN(", ", TRUE, IF(ISNUMBER(SEARCH("ORA", BL16:BT16)), COLUMN(BL16:BT16) - COLUMN(BL16) + 1, ""))&lt;&gt;"","ORA","")</f>
        <v/>
      </c>
      <c r="HV16" s="44" t="str" cm="1">
        <f t="array" ref="HV16">IF(_xlfn.TEXTJOIN(", ", TRUE, IF(ISNUMBER(SEARCH("BRO", BL16:BT16)), COLUMN(BL16:BT16) - COLUMN(BL16) + 1, ""))&lt;&gt;"","BRO","")</f>
        <v/>
      </c>
      <c r="HW16" s="44" t="str" cm="1">
        <f t="array" ref="HW16">IF(_xlfn.TEXTJOIN(", ", TRUE, IF(ISNUMBER(SEARCH("PUR", BL16:BT16)), COLUMN(BL16:BT16) - COLUMN(BL16) + 1, ""))&lt;&gt;"","PUR","")</f>
        <v/>
      </c>
      <c r="HX16" s="44" t="str" cm="1">
        <f t="array" ref="HX16">IF(_xlfn.TEXTJOIN(", ", TRUE, IF(ISNUMBER(SEARCH("WHI", BL16:BT16)), COLUMN(BL16:BT16) - COLUMN(BL16) + 1, ""))&lt;&gt;"","WHI","")</f>
        <v>WHI</v>
      </c>
      <c r="HY16" s="72"/>
      <c r="HZ16" s="72"/>
      <c r="IA16" s="5"/>
      <c r="IB16" s="5"/>
      <c r="IC16" s="68"/>
      <c r="ID16" s="68"/>
      <c r="IE16" s="68"/>
      <c r="IF16" s="68"/>
      <c r="IG16" s="68"/>
      <c r="IH16" s="68"/>
      <c r="II16" s="68"/>
      <c r="IJ16" s="68"/>
      <c r="IK16" s="68"/>
      <c r="IM16" s="42">
        <f t="shared" si="86"/>
        <v>-3</v>
      </c>
      <c r="IN16" s="69" t="str">
        <f t="shared" si="87"/>
        <v>http://mkweb.bcgsc.ca/color-summarizer/?url=https://upload.wikimedia.org/wikipedia/commons/thumb/5/5d/Flag_of_the_United_Tribes_of_New_Zealand.svg/640px-Flag_of_the_United_Tribes_of_New_Zealand.svg.png&amp;precision=low&amp;num_clusters=3&amp;text=1</v>
      </c>
      <c r="IO16" s="44" t="str">
        <f t="shared" si="88"/>
        <v/>
      </c>
      <c r="IP16" s="44" t="str">
        <f t="shared" si="89"/>
        <v>"blue"</v>
      </c>
      <c r="IQ16" s="44" t="str">
        <f t="shared" si="90"/>
        <v/>
      </c>
      <c r="IR16" s="44" t="str">
        <f t="shared" si="91"/>
        <v>"red"</v>
      </c>
      <c r="IS16" s="44" t="str">
        <f t="shared" si="92"/>
        <v/>
      </c>
      <c r="IT16" s="44" t="str">
        <f t="shared" si="93"/>
        <v/>
      </c>
      <c r="IU16" s="44" t="str">
        <f t="shared" si="94"/>
        <v/>
      </c>
      <c r="IV16" s="44" t="str">
        <f t="shared" si="95"/>
        <v/>
      </c>
      <c r="IW16" s="44" t="str">
        <f t="shared" si="96"/>
        <v>"white"</v>
      </c>
      <c r="IX16" s="44" t="str">
        <f t="shared" si="97"/>
        <v>{"url":"http://mkweb.bcgsc.ca/color-summarizer/?url=https://upload.wikimedia.org/wikipedia/commons/thumb/5/5d/Flag_of_the_United_Tribes_of_New_Zealand.svg/640px-Flag_of_the_United_Tribes_of_New_Zealand.svg.png&amp;precision=low&amp;num_clusters=3&amp;text=1","name":"[NZE] United Tribes of New Zealand (White)"},</v>
      </c>
      <c r="IY16" s="44">
        <v>1371</v>
      </c>
    </row>
    <row r="17" spans="10:191" ht="38.4" customHeight="1" x14ac:dyDescent="0.3">
      <c r="J17" s="44" t="str">
        <f>""</f>
        <v/>
      </c>
      <c r="BW17" s="82">
        <v>0</v>
      </c>
      <c r="CE17" s="82">
        <v>0</v>
      </c>
      <c r="CF17" s="82" t="e">
        <v>#REF!</v>
      </c>
      <c r="GE17" s="82" t="str">
        <f t="shared" si="67"/>
        <v/>
      </c>
      <c r="GG17" s="82" t="str">
        <f t="shared" si="68"/>
        <v/>
      </c>
      <c r="GH17" s="82" t="str">
        <f t="shared" si="69"/>
        <v/>
      </c>
      <c r="GI17" s="82" t="str">
        <f t="shared" si="70"/>
        <v/>
      </c>
    </row>
  </sheetData>
  <autoFilter ref="A1:IY2" xr:uid="{A1051193-A95B-4CFB-A73C-F0184620C81F}">
    <sortState xmlns:xlrd2="http://schemas.microsoft.com/office/spreadsheetml/2017/richdata2" ref="A2:IY2">
      <sortCondition ref="AW1:AW2"/>
    </sortState>
  </autoFilter>
  <conditionalFormatting sqref="H1 CW1:GS1 IA1:IB1">
    <cfRule type="cellIs" dxfId="787" priority="139" operator="greaterThan">
      <formula>0</formula>
    </cfRule>
  </conditionalFormatting>
  <conditionalFormatting sqref="H1:H1048576">
    <cfRule type="cellIs" dxfId="786" priority="79" stopIfTrue="1" operator="notEqual">
      <formula>""</formula>
    </cfRule>
  </conditionalFormatting>
  <conditionalFormatting sqref="T1:BK1">
    <cfRule type="cellIs" dxfId="785" priority="142" operator="greaterThan">
      <formula>0</formula>
    </cfRule>
  </conditionalFormatting>
  <conditionalFormatting sqref="BV1:BW1048576">
    <cfRule type="cellIs" dxfId="784" priority="141" operator="equal">
      <formula>"nc"</formula>
    </cfRule>
  </conditionalFormatting>
  <conditionalFormatting sqref="HF1:HG1">
    <cfRule type="cellIs" dxfId="783" priority="143" operator="greaterThan">
      <formula>0</formula>
    </cfRule>
  </conditionalFormatting>
  <conditionalFormatting sqref="HK1">
    <cfRule type="cellIs" dxfId="782" priority="140" operator="greaterThan">
      <formula>0</formula>
    </cfRule>
  </conditionalFormatting>
  <conditionalFormatting sqref="HP1:HX1">
    <cfRule type="cellIs" dxfId="781" priority="94" operator="equal">
      <formula>"PIN"</formula>
    </cfRule>
    <cfRule type="cellIs" dxfId="780" priority="95" operator="equal">
      <formula>"ORA"</formula>
    </cfRule>
    <cfRule type="cellIs" dxfId="779" priority="96" operator="equal">
      <formula>"GRA"</formula>
    </cfRule>
    <cfRule type="cellIs" dxfId="778" priority="97" operator="equal">
      <formula>"PUR"</formula>
    </cfRule>
    <cfRule type="cellIs" dxfId="777" priority="98" operator="equal">
      <formula>"BRO"</formula>
    </cfRule>
    <cfRule type="cellIs" dxfId="776" priority="99" operator="equal">
      <formula>"YEL"</formula>
    </cfRule>
    <cfRule type="cellIs" dxfId="775" priority="100" operator="equal">
      <formula>"BLU"</formula>
    </cfRule>
    <cfRule type="cellIs" dxfId="774" priority="101" operator="equal">
      <formula>"WHI"</formula>
    </cfRule>
    <cfRule type="cellIs" dxfId="773" priority="102" operator="equal">
      <formula>"GRE"</formula>
    </cfRule>
    <cfRule type="cellIs" dxfId="772" priority="103" operator="equal">
      <formula>"RED"</formula>
    </cfRule>
    <cfRule type="cellIs" dxfId="771" priority="104" operator="equal">
      <formula>"BLA"</formula>
    </cfRule>
  </conditionalFormatting>
  <conditionalFormatting sqref="IC1:IK1">
    <cfRule type="cellIs" dxfId="770" priority="106" operator="equal">
      <formula>"PIN"</formula>
    </cfRule>
    <cfRule type="cellIs" dxfId="769" priority="107" operator="equal">
      <formula>"ORA"</formula>
    </cfRule>
    <cfRule type="cellIs" dxfId="768" priority="108" operator="equal">
      <formula>"GRA"</formula>
    </cfRule>
    <cfRule type="cellIs" dxfId="767" priority="109" operator="equal">
      <formula>"PUR"</formula>
    </cfRule>
    <cfRule type="cellIs" dxfId="766" priority="110" operator="equal">
      <formula>"BRO"</formula>
    </cfRule>
    <cfRule type="cellIs" dxfId="765" priority="111" operator="equal">
      <formula>"YEL"</formula>
    </cfRule>
    <cfRule type="cellIs" dxfId="764" priority="112" operator="equal">
      <formula>"BLU"</formula>
    </cfRule>
    <cfRule type="cellIs" dxfId="763" priority="113" operator="equal">
      <formula>"WHI"</formula>
    </cfRule>
    <cfRule type="cellIs" dxfId="762" priority="114" operator="equal">
      <formula>"GRE"</formula>
    </cfRule>
    <cfRule type="cellIs" dxfId="761" priority="115" operator="equal">
      <formula>"RED"</formula>
    </cfRule>
    <cfRule type="cellIs" dxfId="760" priority="116" operator="equal">
      <formula>"BLA"</formula>
    </cfRule>
  </conditionalFormatting>
  <conditionalFormatting sqref="IO1:IW1">
    <cfRule type="cellIs" dxfId="759" priority="83" operator="equal">
      <formula>"PIN"</formula>
    </cfRule>
    <cfRule type="cellIs" dxfId="758" priority="84" operator="equal">
      <formula>"ORA"</formula>
    </cfRule>
    <cfRule type="cellIs" dxfId="757" priority="85" operator="equal">
      <formula>"GRA"</formula>
    </cfRule>
    <cfRule type="cellIs" dxfId="756" priority="86" operator="equal">
      <formula>"PUR"</formula>
    </cfRule>
    <cfRule type="cellIs" dxfId="755" priority="87" operator="equal">
      <formula>"BRO"</formula>
    </cfRule>
    <cfRule type="cellIs" dxfId="754" priority="88" operator="equal">
      <formula>"YEL"</formula>
    </cfRule>
    <cfRule type="cellIs" dxfId="753" priority="89" operator="equal">
      <formula>"BLU"</formula>
    </cfRule>
    <cfRule type="cellIs" dxfId="752" priority="90" operator="equal">
      <formula>"WHI"</formula>
    </cfRule>
    <cfRule type="cellIs" dxfId="751" priority="91" operator="equal">
      <formula>"GRE"</formula>
    </cfRule>
    <cfRule type="cellIs" dxfId="750" priority="92" operator="equal">
      <formula>"RED"</formula>
    </cfRule>
    <cfRule type="cellIs" dxfId="749" priority="93" operator="equal">
      <formula>"BLA"</formula>
    </cfRule>
  </conditionalFormatting>
  <conditionalFormatting sqref="R2:R16 CU2:CU16">
    <cfRule type="cellIs" dxfId="748" priority="8" operator="greaterThan">
      <formula>0</formula>
    </cfRule>
  </conditionalFormatting>
  <conditionalFormatting sqref="T2:AS16 CH2:CS16">
    <cfRule type="cellIs" dxfId="747" priority="3" stopIfTrue="1" operator="equal">
      <formula>"n"</formula>
    </cfRule>
    <cfRule type="cellIs" dxfId="746" priority="4" stopIfTrue="1" operator="equal">
      <formula>"y"</formula>
    </cfRule>
    <cfRule type="cellIs" dxfId="745" priority="5" operator="greaterThan">
      <formula>0</formula>
    </cfRule>
  </conditionalFormatting>
  <conditionalFormatting sqref="AZ2:BB16">
    <cfRule type="expression" dxfId="744" priority="2">
      <formula>$AT2=0</formula>
    </cfRule>
  </conditionalFormatting>
  <conditionalFormatting sqref="AZ2:BU16">
    <cfRule type="cellIs" dxfId="743" priority="44" operator="equal">
      <formula>"PIN"</formula>
    </cfRule>
    <cfRule type="cellIs" dxfId="742" priority="45" operator="equal">
      <formula>"ORA"</formula>
    </cfRule>
    <cfRule type="cellIs" dxfId="741" priority="46" operator="equal">
      <formula>"GRA"</formula>
    </cfRule>
    <cfRule type="cellIs" dxfId="740" priority="47" operator="equal">
      <formula>"PUR"</formula>
    </cfRule>
    <cfRule type="cellIs" dxfId="739" priority="48" operator="equal">
      <formula>"BRO"</formula>
    </cfRule>
    <cfRule type="cellIs" dxfId="738" priority="49" operator="equal">
      <formula>"YEL"</formula>
    </cfRule>
    <cfRule type="cellIs" dxfId="737" priority="50" operator="equal">
      <formula>"BLU"</formula>
    </cfRule>
    <cfRule type="cellIs" dxfId="736" priority="51" operator="equal">
      <formula>"WHI"</formula>
    </cfRule>
    <cfRule type="cellIs" dxfId="735" priority="52" operator="equal">
      <formula>"GRE"</formula>
    </cfRule>
    <cfRule type="cellIs" dxfId="734" priority="53" operator="equal">
      <formula>"RED"</formula>
    </cfRule>
    <cfRule type="cellIs" dxfId="733" priority="54" operator="equal">
      <formula>"BLA"</formula>
    </cfRule>
  </conditionalFormatting>
  <conditionalFormatting sqref="BX2:CA16 CD2:CF16">
    <cfRule type="cellIs" dxfId="732" priority="7" operator="equal">
      <formula>"y"</formula>
    </cfRule>
    <cfRule type="cellIs" dxfId="731" priority="55" operator="equal">
      <formula>"PIN"</formula>
    </cfRule>
    <cfRule type="cellIs" dxfId="730" priority="56" operator="equal">
      <formula>"ORA"</formula>
    </cfRule>
    <cfRule type="cellIs" dxfId="729" priority="57" operator="equal">
      <formula>"GRA"</formula>
    </cfRule>
    <cfRule type="cellIs" dxfId="728" priority="58" operator="equal">
      <formula>"PUR"</formula>
    </cfRule>
    <cfRule type="cellIs" dxfId="727" priority="59" operator="equal">
      <formula>"BRO"</formula>
    </cfRule>
    <cfRule type="cellIs" dxfId="726" priority="60" operator="equal">
      <formula>"YEL"</formula>
    </cfRule>
    <cfRule type="cellIs" dxfId="725" priority="61" operator="equal">
      <formula>"BLU"</formula>
    </cfRule>
    <cfRule type="cellIs" dxfId="724" priority="62" operator="equal">
      <formula>"WHI"</formula>
    </cfRule>
    <cfRule type="cellIs" dxfId="723" priority="63" operator="equal">
      <formula>"GRE"</formula>
    </cfRule>
    <cfRule type="cellIs" dxfId="722" priority="64" operator="equal">
      <formula>"RED"</formula>
    </cfRule>
    <cfRule type="cellIs" dxfId="721" priority="65" operator="equal">
      <formula>"BLA"</formula>
    </cfRule>
  </conditionalFormatting>
  <conditionalFormatting sqref="BZ2:CA16 CD2:CF16">
    <cfRule type="cellIs" dxfId="720" priority="9" operator="greaterThan">
      <formula>0</formula>
    </cfRule>
  </conditionalFormatting>
  <conditionalFormatting sqref="IC2:IK16">
    <cfRule type="expression" dxfId="719" priority="32">
      <formula>$IL2&gt;0</formula>
    </cfRule>
  </conditionalFormatting>
  <conditionalFormatting sqref="S2:S16">
    <cfRule type="colorScale" priority="71">
      <colorScale>
        <cfvo type="min"/>
        <cfvo type="max"/>
        <color rgb="FFFCFCFF"/>
        <color rgb="FF754BFB"/>
      </colorScale>
    </cfRule>
  </conditionalFormatting>
  <conditionalFormatting sqref="AT2:AT16">
    <cfRule type="colorScale" priority="72">
      <colorScale>
        <cfvo type="min"/>
        <cfvo type="max"/>
        <color rgb="FFFCFCFF"/>
        <color theme="8" tint="0.39997558519241921"/>
      </colorScale>
    </cfRule>
  </conditionalFormatting>
  <conditionalFormatting sqref="CG2:CG16">
    <cfRule type="colorScale" priority="73">
      <colorScale>
        <cfvo type="min"/>
        <cfvo type="max"/>
        <color rgb="FFFCFCFF"/>
        <color rgb="FF63BE7B"/>
      </colorScale>
    </cfRule>
  </conditionalFormatting>
  <conditionalFormatting sqref="J2:J17">
    <cfRule type="colorScale" priority="4768">
      <colorScale>
        <cfvo type="min"/>
        <cfvo type="percentile" val="50"/>
        <cfvo type="max"/>
        <color rgb="FFF8696B"/>
        <color rgb="FFFFEB84"/>
        <color rgb="FF63BE7B"/>
      </colorScale>
    </cfRule>
  </conditionalFormatting>
  <hyperlinks>
    <hyperlink ref="A2" r:id="rId1" display="https://fbref.com/en/country/NZL/New-Zealand-Football" xr:uid="{9F5BD798-A851-4C2A-A91F-3CD49043C698}"/>
    <hyperlink ref="E9" r:id="rId2" xr:uid="{673C8B00-F600-42A0-8FDC-03A8A89462CC}"/>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52225" r:id="rId6" name="Button 1">
              <controlPr defaultSize="0" print="0" autoFill="0" autoPict="0" macro="[0]!InsertImagesFromSelectedRange">
                <anchor moveWithCells="1" sizeWithCells="1">
                  <from>
                    <xdr:col>1</xdr:col>
                    <xdr:colOff>76200</xdr:colOff>
                    <xdr:row>0</xdr:row>
                    <xdr:rowOff>7620</xdr:rowOff>
                  </from>
                  <to>
                    <xdr:col>2</xdr:col>
                    <xdr:colOff>0</xdr:colOff>
                    <xdr:row>1</xdr:row>
                    <xdr:rowOff>0</xdr:rowOff>
                  </to>
                </anchor>
              </controlPr>
            </control>
          </mc:Choice>
        </mc:AlternateContent>
        <mc:AlternateContent xmlns:mc="http://schemas.openxmlformats.org/markup-compatibility/2006">
          <mc:Choice Requires="x14">
            <control shapeId="52226" r:id="rId7" name="Button 2">
              <controlPr defaultSize="0" print="0" autoFill="0" autoPict="0" macro="[0]!ReplaceLineBreaksWithNewLineManualRange">
                <anchor moveWithCells="1" sizeWithCells="1">
                  <from>
                    <xdr:col>7</xdr:col>
                    <xdr:colOff>15240</xdr:colOff>
                    <xdr:row>0</xdr:row>
                    <xdr:rowOff>45720</xdr:rowOff>
                  </from>
                  <to>
                    <xdr:col>7</xdr:col>
                    <xdr:colOff>685800</xdr:colOff>
                    <xdr:row>0</xdr:row>
                    <xdr:rowOff>403860</xdr:rowOff>
                  </to>
                </anchor>
              </controlPr>
            </control>
          </mc:Choice>
        </mc:AlternateContent>
        <mc:AlternateContent xmlns:mc="http://schemas.openxmlformats.org/markup-compatibility/2006">
          <mc:Choice Requires="x14">
            <control shapeId="52227" r:id="rId8" name="Button 3">
              <controlPr defaultSize="0" print="0" autoFill="0" autoPict="0" macro="[0]!GoToSheet">
                <anchor moveWithCells="1" sizeWithCells="1">
                  <from>
                    <xdr:col>0</xdr:col>
                    <xdr:colOff>137160</xdr:colOff>
                    <xdr:row>0</xdr:row>
                    <xdr:rowOff>114300</xdr:rowOff>
                  </from>
                  <to>
                    <xdr:col>0</xdr:col>
                    <xdr:colOff>762000</xdr:colOff>
                    <xdr:row>0</xdr:row>
                    <xdr:rowOff>419100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0F71F2-21A3-4D56-944D-833A3DBEB20B}">
  <sheetPr codeName="Sheet7"/>
  <dimension ref="A1:IY13"/>
  <sheetViews>
    <sheetView zoomScale="70" zoomScaleNormal="70" workbookViewId="0">
      <pane xSplit="5" ySplit="1" topLeftCell="F2" activePane="bottomRight" state="frozen"/>
      <selection activeCell="A2" sqref="A2"/>
      <selection pane="topRight" activeCell="A2" sqref="A2"/>
      <selection pane="bottomLeft" activeCell="A2" sqref="A2"/>
      <selection pane="bottomRight" activeCell="B11" sqref="B11"/>
    </sheetView>
  </sheetViews>
  <sheetFormatPr defaultRowHeight="38.4" customHeight="1" x14ac:dyDescent="0.3"/>
  <cols>
    <col min="1" max="1" width="52.44140625" style="82" bestFit="1" customWidth="1"/>
    <col min="2" max="2" width="10.109375" style="82" customWidth="1"/>
    <col min="3" max="3" width="7.44140625" style="83" customWidth="1"/>
    <col min="4" max="4" width="4.77734375" style="84" customWidth="1"/>
    <col min="5" max="5" width="4.5546875" style="84" customWidth="1"/>
    <col min="6" max="6" width="5.77734375" style="84" customWidth="1"/>
    <col min="7" max="7" width="7.44140625" style="82" customWidth="1"/>
    <col min="8" max="8" width="11.44140625" style="82" customWidth="1"/>
    <col min="9" max="9" width="10" style="82" customWidth="1"/>
    <col min="10" max="10" width="4.21875" style="82" customWidth="1"/>
    <col min="11" max="11" width="5.6640625" style="84" customWidth="1"/>
    <col min="12" max="12" width="2.88671875" style="84" customWidth="1"/>
    <col min="13" max="13" width="6.44140625" style="84" customWidth="1"/>
    <col min="14" max="14" width="4.5546875" style="84" customWidth="1"/>
    <col min="15" max="15" width="10.5546875" style="85" customWidth="1"/>
    <col min="16" max="16" width="6.88671875" style="84" customWidth="1"/>
    <col min="17" max="17" width="4.77734375" style="84" customWidth="1"/>
    <col min="18" max="18" width="13.109375" style="83" customWidth="1"/>
    <col min="19" max="19" width="6.77734375" style="83" customWidth="1"/>
    <col min="20" max="46" width="8.44140625" style="82" customWidth="1"/>
    <col min="47" max="47" width="24.5546875" style="82" customWidth="1"/>
    <col min="48" max="51" width="16.6640625" style="82" customWidth="1"/>
    <col min="52" max="52" width="6.5546875" style="82" customWidth="1"/>
    <col min="53" max="54" width="5.88671875" style="82" customWidth="1"/>
    <col min="55" max="55" width="1.33203125" style="82" customWidth="1"/>
    <col min="56" max="56" width="7.44140625" style="82" customWidth="1"/>
    <col min="57" max="57" width="2.33203125" style="82" customWidth="1"/>
    <col min="58" max="62" width="6.109375" style="82" customWidth="1"/>
    <col min="63" max="63" width="2.33203125" style="82" customWidth="1"/>
    <col min="64" max="64" width="7" style="82" bestFit="1" customWidth="1"/>
    <col min="65" max="65" width="6.44140625" style="82" bestFit="1" customWidth="1"/>
    <col min="66" max="66" width="7.109375" style="82" bestFit="1" customWidth="1"/>
    <col min="67" max="71" width="6.44140625" style="82" bestFit="1" customWidth="1"/>
    <col min="72" max="73" width="6.44140625" style="82" customWidth="1"/>
    <col min="74" max="75" width="13.44140625" style="82" customWidth="1"/>
    <col min="76" max="84" width="14.6640625" style="82" customWidth="1"/>
    <col min="85" max="85" width="6.44140625" style="82" customWidth="1"/>
    <col min="86" max="87" width="11.6640625" style="82" bestFit="1" customWidth="1"/>
    <col min="88" max="88" width="11.6640625" style="82" customWidth="1"/>
    <col min="89" max="89" width="12.77734375" style="82" bestFit="1" customWidth="1"/>
    <col min="90" max="90" width="16.44140625" style="83" bestFit="1" customWidth="1"/>
    <col min="91" max="92" width="14.88671875" style="83" bestFit="1" customWidth="1"/>
    <col min="93" max="93" width="16" style="83" bestFit="1" customWidth="1"/>
    <col min="94" max="97" width="7.77734375" style="82" customWidth="1"/>
    <col min="98" max="98" width="33.21875" style="82" customWidth="1"/>
    <col min="99" max="99" width="18" style="82" customWidth="1"/>
    <col min="100" max="100" width="75.6640625" style="82" customWidth="1"/>
    <col min="101" max="125" width="33" style="82" customWidth="1"/>
    <col min="126" max="126" width="8.88671875" style="82"/>
    <col min="127" max="128" width="9.44140625" style="82" bestFit="1" customWidth="1"/>
    <col min="129" max="129" width="10.77734375" style="82" bestFit="1" customWidth="1"/>
    <col min="130" max="134" width="10.77734375" style="82" customWidth="1"/>
    <col min="135" max="135" width="10.109375" style="82" bestFit="1" customWidth="1"/>
    <col min="136" max="136" width="7.77734375" style="82" bestFit="1" customWidth="1"/>
    <col min="137" max="137" width="7.77734375" style="82" customWidth="1"/>
    <col min="138" max="138" width="9" style="82" bestFit="1" customWidth="1"/>
    <col min="139" max="139" width="11.33203125" style="82" bestFit="1" customWidth="1"/>
    <col min="140" max="140" width="9.109375" style="82" bestFit="1" customWidth="1"/>
    <col min="141" max="141" width="9" style="82" bestFit="1" customWidth="1"/>
    <col min="142" max="142" width="12" style="82" bestFit="1" customWidth="1"/>
    <col min="143" max="166" width="12" style="82" customWidth="1"/>
    <col min="167" max="167" width="17.21875" style="82" customWidth="1"/>
    <col min="168" max="191" width="12" style="82" customWidth="1"/>
    <col min="192" max="192" width="8.5546875" style="82" bestFit="1" customWidth="1"/>
    <col min="193" max="193" width="8.5546875" style="82" customWidth="1"/>
    <col min="194" max="194" width="7.109375" style="82" bestFit="1" customWidth="1"/>
    <col min="195" max="195" width="7.5546875" style="82" bestFit="1" customWidth="1"/>
    <col min="196" max="196" width="8.5546875" style="82" bestFit="1" customWidth="1"/>
    <col min="197" max="200" width="8.5546875" style="82" customWidth="1"/>
    <col min="201" max="201" width="188.88671875" style="82" customWidth="1"/>
    <col min="202" max="202" width="9.5546875" style="82" bestFit="1" customWidth="1"/>
    <col min="203" max="203" width="10.44140625" style="82" bestFit="1" customWidth="1"/>
    <col min="204" max="204" width="11.109375" style="82" bestFit="1" customWidth="1"/>
    <col min="205" max="205" width="10.44140625" style="82" bestFit="1" customWidth="1"/>
    <col min="206" max="210" width="10.44140625" style="82" customWidth="1"/>
    <col min="211" max="211" width="45.44140625" style="82" customWidth="1"/>
    <col min="212" max="212" width="47.5546875" style="82" bestFit="1" customWidth="1"/>
    <col min="213" max="213" width="9.33203125" style="86" customWidth="1"/>
    <col min="214" max="214" width="119.5546875" style="82" customWidth="1"/>
    <col min="215" max="215" width="69.6640625" style="82" customWidth="1"/>
    <col min="216" max="218" width="8.88671875" style="82"/>
    <col min="219" max="219" width="37.109375" style="82" customWidth="1"/>
    <col min="220" max="220" width="16.33203125" style="82" customWidth="1"/>
    <col min="221" max="222" width="8.88671875" style="82"/>
    <col min="223" max="223" width="10.109375" style="82" bestFit="1" customWidth="1"/>
    <col min="224" max="232" width="10.88671875" style="82" customWidth="1"/>
    <col min="233" max="234" width="30.77734375" style="82" customWidth="1"/>
    <col min="235" max="235" width="5.109375" style="82" customWidth="1"/>
    <col min="236" max="236" width="3" style="82" customWidth="1"/>
    <col min="237" max="245" width="6.77734375" style="76" customWidth="1"/>
    <col min="246" max="247" width="8.88671875" style="82"/>
    <col min="248" max="248" width="61.5546875" style="82" customWidth="1"/>
    <col min="249" max="253" width="8.88671875" style="82"/>
    <col min="254" max="254" width="9" style="82" customWidth="1"/>
    <col min="255" max="16384" width="8.88671875" style="82"/>
  </cols>
  <sheetData>
    <row r="1" spans="1:259" s="5" customFormat="1" ht="38.4" customHeight="1" thickBot="1" x14ac:dyDescent="0.35">
      <c r="A1" s="1" t="s">
        <v>0</v>
      </c>
      <c r="B1" s="79" t="s">
        <v>1</v>
      </c>
      <c r="C1" s="2" t="s">
        <v>2</v>
      </c>
      <c r="D1" s="3"/>
      <c r="E1" s="3" t="s">
        <v>3</v>
      </c>
      <c r="F1" s="4"/>
      <c r="H1" s="6" t="s">
        <v>4</v>
      </c>
      <c r="J1" s="5" t="s">
        <v>5</v>
      </c>
      <c r="K1" s="7" t="s">
        <v>6</v>
      </c>
      <c r="L1" s="8" t="s">
        <v>7</v>
      </c>
      <c r="M1" s="8" t="s">
        <v>8</v>
      </c>
      <c r="N1" s="9" t="s">
        <v>9</v>
      </c>
      <c r="O1" s="10" t="s">
        <v>10</v>
      </c>
      <c r="P1" s="11" t="s">
        <v>11</v>
      </c>
      <c r="Q1" s="11" t="s">
        <v>12</v>
      </c>
      <c r="R1" s="12" t="s">
        <v>0</v>
      </c>
      <c r="S1" s="13" t="s">
        <v>13</v>
      </c>
      <c r="T1" s="14" t="s">
        <v>14</v>
      </c>
      <c r="U1" s="14" t="s">
        <v>15</v>
      </c>
      <c r="V1" s="15" t="s">
        <v>16</v>
      </c>
      <c r="W1" s="14" t="s">
        <v>17</v>
      </c>
      <c r="X1" s="14" t="s">
        <v>18</v>
      </c>
      <c r="Y1" s="14" t="s">
        <v>19</v>
      </c>
      <c r="Z1" s="14" t="s">
        <v>20</v>
      </c>
      <c r="AA1" s="14" t="s">
        <v>21</v>
      </c>
      <c r="AB1" s="14" t="s">
        <v>22</v>
      </c>
      <c r="AC1" s="14" t="s">
        <v>23</v>
      </c>
      <c r="AD1" s="14" t="s">
        <v>24</v>
      </c>
      <c r="AE1" s="14" t="s">
        <v>25</v>
      </c>
      <c r="AF1" s="16" t="s">
        <v>26</v>
      </c>
      <c r="AG1" s="16" t="s">
        <v>27</v>
      </c>
      <c r="AH1" s="16" t="s">
        <v>28</v>
      </c>
      <c r="AI1" s="16" t="s">
        <v>29</v>
      </c>
      <c r="AJ1" s="16" t="s">
        <v>30</v>
      </c>
      <c r="AK1" s="16" t="s">
        <v>31</v>
      </c>
      <c r="AL1" s="16" t="s">
        <v>32</v>
      </c>
      <c r="AM1" s="16" t="s">
        <v>33</v>
      </c>
      <c r="AN1" s="16" t="s">
        <v>34</v>
      </c>
      <c r="AO1" s="16" t="s">
        <v>35</v>
      </c>
      <c r="AP1" s="16" t="s">
        <v>36</v>
      </c>
      <c r="AQ1" s="16" t="s">
        <v>37</v>
      </c>
      <c r="AR1" s="16" t="s">
        <v>38</v>
      </c>
      <c r="AS1" s="16" t="s">
        <v>39</v>
      </c>
      <c r="AT1" s="17" t="s">
        <v>40</v>
      </c>
      <c r="AU1" s="18" t="s">
        <v>41</v>
      </c>
      <c r="AV1" s="18" t="s">
        <v>42</v>
      </c>
      <c r="AW1" s="18" t="s">
        <v>43</v>
      </c>
      <c r="AX1" s="19"/>
      <c r="AY1" s="20" t="s">
        <v>44</v>
      </c>
      <c r="AZ1" s="19" t="s">
        <v>45</v>
      </c>
      <c r="BA1" s="19"/>
      <c r="BB1" s="19"/>
      <c r="BC1" s="21"/>
      <c r="BD1" s="19" t="s">
        <v>46</v>
      </c>
      <c r="BE1" s="21"/>
      <c r="BF1" s="19" t="s">
        <v>47</v>
      </c>
      <c r="BG1" s="19" t="s">
        <v>48</v>
      </c>
      <c r="BH1" s="19" t="s">
        <v>49</v>
      </c>
      <c r="BI1" s="19" t="s">
        <v>50</v>
      </c>
      <c r="BJ1" s="19" t="s">
        <v>51</v>
      </c>
      <c r="BK1" s="21"/>
      <c r="BL1" s="22" t="s">
        <v>52</v>
      </c>
      <c r="BM1" s="22"/>
      <c r="BN1" s="22"/>
      <c r="BO1" s="22"/>
      <c r="BP1" s="22"/>
      <c r="BQ1" s="22"/>
      <c r="BR1" s="22"/>
      <c r="BS1" s="22"/>
      <c r="BT1" s="23"/>
      <c r="BU1" s="23" t="s">
        <v>53</v>
      </c>
      <c r="BV1" s="23" t="s">
        <v>54</v>
      </c>
      <c r="BW1" s="23" t="s">
        <v>55</v>
      </c>
      <c r="BX1" s="23"/>
      <c r="BY1" s="23" t="s">
        <v>56</v>
      </c>
      <c r="BZ1" s="23" t="s">
        <v>57</v>
      </c>
      <c r="CA1" s="23" t="s">
        <v>58</v>
      </c>
      <c r="CB1" s="23" t="s">
        <v>59</v>
      </c>
      <c r="CC1" s="23" t="s">
        <v>60</v>
      </c>
      <c r="CD1" s="23" t="s">
        <v>61</v>
      </c>
      <c r="CE1" s="23" t="s">
        <v>62</v>
      </c>
      <c r="CF1" s="23" t="s">
        <v>63</v>
      </c>
      <c r="CG1" s="23"/>
      <c r="CH1" s="23" t="s">
        <v>64</v>
      </c>
      <c r="CI1" s="23" t="s">
        <v>65</v>
      </c>
      <c r="CJ1" s="23" t="s">
        <v>66</v>
      </c>
      <c r="CK1" s="23" t="s">
        <v>67</v>
      </c>
      <c r="CL1" s="24" t="s">
        <v>68</v>
      </c>
      <c r="CM1" s="24" t="s">
        <v>69</v>
      </c>
      <c r="CN1" s="24" t="s">
        <v>70</v>
      </c>
      <c r="CO1" s="24" t="s">
        <v>71</v>
      </c>
      <c r="CP1" s="24" t="s">
        <v>72</v>
      </c>
      <c r="CQ1" s="24" t="s">
        <v>73</v>
      </c>
      <c r="CR1" s="24" t="s">
        <v>74</v>
      </c>
      <c r="CS1" s="24" t="s">
        <v>75</v>
      </c>
      <c r="CT1" s="1" t="s">
        <v>76</v>
      </c>
      <c r="CU1" s="25" t="s">
        <v>0</v>
      </c>
      <c r="CV1" s="5" t="s">
        <v>77</v>
      </c>
      <c r="CW1" s="14" t="s">
        <v>78</v>
      </c>
      <c r="CX1" s="14" t="s">
        <v>79</v>
      </c>
      <c r="CY1" s="14" t="s">
        <v>66</v>
      </c>
      <c r="CZ1" s="14" t="s">
        <v>80</v>
      </c>
      <c r="DA1" s="14" t="s">
        <v>81</v>
      </c>
      <c r="DB1" s="14" t="s">
        <v>82</v>
      </c>
      <c r="DC1" s="14" t="s">
        <v>83</v>
      </c>
      <c r="DD1" s="14" t="s">
        <v>84</v>
      </c>
      <c r="DE1" s="14" t="s">
        <v>85</v>
      </c>
      <c r="DF1" s="14" t="s">
        <v>86</v>
      </c>
      <c r="DG1" s="14" t="s">
        <v>87</v>
      </c>
      <c r="DH1" s="14" t="s">
        <v>88</v>
      </c>
      <c r="DI1" s="14" t="s">
        <v>89</v>
      </c>
      <c r="DJ1" s="14" t="s">
        <v>90</v>
      </c>
      <c r="DK1" s="14" t="s">
        <v>91</v>
      </c>
      <c r="DL1" s="14" t="s">
        <v>92</v>
      </c>
      <c r="DM1" s="14" t="s">
        <v>93</v>
      </c>
      <c r="DN1" s="14" t="s">
        <v>94</v>
      </c>
      <c r="DO1" s="14" t="s">
        <v>95</v>
      </c>
      <c r="DP1" s="14" t="s">
        <v>96</v>
      </c>
      <c r="DQ1" s="14" t="s">
        <v>97</v>
      </c>
      <c r="DR1" s="14" t="s">
        <v>56</v>
      </c>
      <c r="DS1" s="14" t="s">
        <v>98</v>
      </c>
      <c r="DT1" s="14" t="s">
        <v>99</v>
      </c>
      <c r="DU1" s="14" t="s">
        <v>100</v>
      </c>
      <c r="DV1" s="14" t="s">
        <v>101</v>
      </c>
      <c r="DW1" s="14" t="s">
        <v>102</v>
      </c>
      <c r="DX1" s="14" t="s">
        <v>103</v>
      </c>
      <c r="DY1" s="14" t="s">
        <v>104</v>
      </c>
      <c r="DZ1" s="14" t="s">
        <v>105</v>
      </c>
      <c r="EA1" s="14" t="s">
        <v>106</v>
      </c>
      <c r="EB1" s="14" t="s">
        <v>107</v>
      </c>
      <c r="EC1" s="14" t="s">
        <v>108</v>
      </c>
      <c r="ED1" s="14" t="s">
        <v>109</v>
      </c>
      <c r="EE1" s="15" t="s">
        <v>18</v>
      </c>
      <c r="EF1" s="14" t="s">
        <v>19</v>
      </c>
      <c r="EG1" s="14" t="s">
        <v>20</v>
      </c>
      <c r="EH1" s="14" t="s">
        <v>21</v>
      </c>
      <c r="EI1" s="14" t="s">
        <v>110</v>
      </c>
      <c r="EJ1" s="14" t="s">
        <v>23</v>
      </c>
      <c r="EK1" s="14" t="s">
        <v>111</v>
      </c>
      <c r="EL1" s="14" t="s">
        <v>112</v>
      </c>
      <c r="EM1" s="14" t="s">
        <v>26</v>
      </c>
      <c r="EN1" s="16" t="s">
        <v>27</v>
      </c>
      <c r="EO1" s="16" t="s">
        <v>28</v>
      </c>
      <c r="EP1" s="16" t="s">
        <v>29</v>
      </c>
      <c r="EQ1" s="16" t="s">
        <v>113</v>
      </c>
      <c r="ER1" s="16" t="s">
        <v>31</v>
      </c>
      <c r="ES1" s="16" t="s">
        <v>32</v>
      </c>
      <c r="ET1" s="16" t="s">
        <v>114</v>
      </c>
      <c r="EU1" s="16" t="s">
        <v>34</v>
      </c>
      <c r="EV1" s="16" t="s">
        <v>35</v>
      </c>
      <c r="EW1" s="16" t="s">
        <v>115</v>
      </c>
      <c r="EX1" s="16" t="s">
        <v>37</v>
      </c>
      <c r="EY1" s="16" t="s">
        <v>38</v>
      </c>
      <c r="EZ1" s="16" t="s">
        <v>39</v>
      </c>
      <c r="FA1" s="16" t="s">
        <v>116</v>
      </c>
      <c r="FB1" s="16" t="s">
        <v>117</v>
      </c>
      <c r="FC1" s="16" t="s">
        <v>118</v>
      </c>
      <c r="FD1" s="16" t="s">
        <v>54</v>
      </c>
      <c r="FE1" s="16" t="s">
        <v>119</v>
      </c>
      <c r="FF1" s="16" t="s">
        <v>120</v>
      </c>
      <c r="FG1" s="16" t="s">
        <v>121</v>
      </c>
      <c r="FH1" s="16" t="s">
        <v>122</v>
      </c>
      <c r="FI1" s="16" t="s">
        <v>123</v>
      </c>
      <c r="FJ1" s="16" t="s">
        <v>124</v>
      </c>
      <c r="FK1" s="16" t="s">
        <v>125</v>
      </c>
      <c r="FL1" s="16" t="s">
        <v>126</v>
      </c>
      <c r="FM1" s="16" t="s">
        <v>127</v>
      </c>
      <c r="FN1" s="16" t="s">
        <v>128</v>
      </c>
      <c r="FO1" s="16" t="s">
        <v>129</v>
      </c>
      <c r="FP1" s="16" t="s">
        <v>130</v>
      </c>
      <c r="FQ1" s="16" t="s">
        <v>131</v>
      </c>
      <c r="FR1" s="16" t="s">
        <v>132</v>
      </c>
      <c r="FS1" s="16" t="s">
        <v>133</v>
      </c>
      <c r="FT1" s="16" t="s">
        <v>134</v>
      </c>
      <c r="FU1" s="16" t="s">
        <v>44</v>
      </c>
      <c r="FV1" s="16" t="s">
        <v>135</v>
      </c>
      <c r="FW1" s="16" t="s">
        <v>58</v>
      </c>
      <c r="FX1" s="16" t="s">
        <v>136</v>
      </c>
      <c r="FY1" s="16" t="s">
        <v>137</v>
      </c>
      <c r="FZ1" s="16" t="s">
        <v>138</v>
      </c>
      <c r="GA1" s="16" t="s">
        <v>139</v>
      </c>
      <c r="GB1" s="16" t="s">
        <v>140</v>
      </c>
      <c r="GC1" s="16" t="s">
        <v>141</v>
      </c>
      <c r="GD1" s="16" t="s">
        <v>142</v>
      </c>
      <c r="GE1" s="16" t="s">
        <v>143</v>
      </c>
      <c r="GF1" s="16" t="s">
        <v>144</v>
      </c>
      <c r="GG1" s="16" t="s">
        <v>145</v>
      </c>
      <c r="GH1" s="16" t="s">
        <v>61</v>
      </c>
      <c r="GI1" s="16" t="s">
        <v>62</v>
      </c>
      <c r="GJ1" s="14" t="s">
        <v>146</v>
      </c>
      <c r="GK1" s="14" t="s">
        <v>147</v>
      </c>
      <c r="GL1" s="14" t="s">
        <v>148</v>
      </c>
      <c r="GM1" s="17" t="s">
        <v>149</v>
      </c>
      <c r="GN1" s="26" t="s">
        <v>150</v>
      </c>
      <c r="GO1" s="26" t="s">
        <v>151</v>
      </c>
      <c r="GP1" s="18" t="s">
        <v>41</v>
      </c>
      <c r="GQ1" s="18" t="s">
        <v>42</v>
      </c>
      <c r="GR1" s="18" t="s">
        <v>43</v>
      </c>
      <c r="GS1" s="21"/>
      <c r="GT1" s="27" t="s">
        <v>52</v>
      </c>
      <c r="GU1" s="27"/>
      <c r="GV1" s="27"/>
      <c r="GW1" s="27"/>
      <c r="GX1" s="28"/>
      <c r="GY1" s="28"/>
      <c r="GZ1" s="28"/>
      <c r="HA1" s="28"/>
      <c r="HB1" s="28"/>
      <c r="HC1" s="28"/>
      <c r="HD1" s="29" t="s">
        <v>13</v>
      </c>
      <c r="HE1" s="30" t="s">
        <v>152</v>
      </c>
      <c r="HF1" s="31"/>
      <c r="HG1" s="32"/>
      <c r="HK1" s="32" t="s">
        <v>4</v>
      </c>
      <c r="HP1" s="33" t="s">
        <v>153</v>
      </c>
      <c r="HQ1" s="33" t="s">
        <v>154</v>
      </c>
      <c r="HR1" s="33" t="s">
        <v>155</v>
      </c>
      <c r="HS1" s="33" t="s">
        <v>156</v>
      </c>
      <c r="HT1" s="33" t="s">
        <v>157</v>
      </c>
      <c r="HU1" s="33" t="s">
        <v>158</v>
      </c>
      <c r="HV1" s="33" t="s">
        <v>159</v>
      </c>
      <c r="HW1" s="33" t="s">
        <v>160</v>
      </c>
      <c r="HX1" s="34" t="s">
        <v>161</v>
      </c>
      <c r="IA1" s="14" t="s">
        <v>162</v>
      </c>
      <c r="IB1" s="35" t="s">
        <v>163</v>
      </c>
      <c r="IC1" s="36" t="s">
        <v>153</v>
      </c>
      <c r="ID1" s="36" t="s">
        <v>154</v>
      </c>
      <c r="IE1" s="36" t="s">
        <v>156</v>
      </c>
      <c r="IF1" s="37" t="s">
        <v>161</v>
      </c>
      <c r="IG1" s="36" t="s">
        <v>157</v>
      </c>
      <c r="IH1" s="36" t="s">
        <v>158</v>
      </c>
      <c r="II1" s="36" t="s">
        <v>155</v>
      </c>
      <c r="IJ1" s="36" t="s">
        <v>159</v>
      </c>
      <c r="IK1" s="36" t="s">
        <v>160</v>
      </c>
      <c r="IO1" s="33" t="s">
        <v>153</v>
      </c>
      <c r="IP1" s="33" t="s">
        <v>154</v>
      </c>
      <c r="IQ1" s="33" t="s">
        <v>155</v>
      </c>
      <c r="IR1" s="33" t="s">
        <v>156</v>
      </c>
      <c r="IS1" s="33" t="s">
        <v>157</v>
      </c>
      <c r="IT1" s="33" t="s">
        <v>158</v>
      </c>
      <c r="IU1" s="33" t="s">
        <v>159</v>
      </c>
      <c r="IV1" s="33" t="s">
        <v>160</v>
      </c>
      <c r="IW1" s="34" t="s">
        <v>161</v>
      </c>
      <c r="IY1" s="5" t="s">
        <v>164</v>
      </c>
    </row>
    <row r="2" spans="1:259" s="44" customFormat="1" ht="38.4" customHeight="1" thickBot="1" x14ac:dyDescent="0.35">
      <c r="A2" s="77" t="s">
        <v>291</v>
      </c>
      <c r="B2" s="78" t="e" vm="84">
        <v>#VALUE!</v>
      </c>
      <c r="C2" s="39">
        <v>1</v>
      </c>
      <c r="D2" s="70" t="s">
        <v>292</v>
      </c>
      <c r="E2" s="40" t="s">
        <v>293</v>
      </c>
      <c r="F2" s="41" t="s">
        <v>165</v>
      </c>
      <c r="G2" s="42">
        <f t="shared" ref="G2:G11" si="0">COUNTIF($A$1:$A$8249,A2)</f>
        <v>1</v>
      </c>
      <c r="H2" s="43"/>
      <c r="I2" s="59" t="s">
        <v>294</v>
      </c>
      <c r="J2" s="44" t="str">
        <f>""</f>
        <v/>
      </c>
      <c r="K2" s="45">
        <v>18058</v>
      </c>
      <c r="L2" s="46">
        <v>41277</v>
      </c>
      <c r="M2" s="46" t="s">
        <v>1154</v>
      </c>
      <c r="N2" s="47" t="s">
        <v>177</v>
      </c>
      <c r="O2" s="74" t="s">
        <v>187</v>
      </c>
      <c r="P2" s="48" t="s">
        <v>295</v>
      </c>
      <c r="Q2" s="73">
        <v>1</v>
      </c>
      <c r="R2" s="49" t="s">
        <v>177</v>
      </c>
      <c r="S2" s="50">
        <v>0</v>
      </c>
      <c r="T2" s="51" t="s">
        <v>166</v>
      </c>
      <c r="U2" s="52" t="s">
        <v>166</v>
      </c>
      <c r="V2" s="52" t="s">
        <v>166</v>
      </c>
      <c r="W2" s="52" t="s">
        <v>166</v>
      </c>
      <c r="X2" s="52" t="s">
        <v>167</v>
      </c>
      <c r="Y2" s="52" t="s">
        <v>166</v>
      </c>
      <c r="Z2" s="52" t="s">
        <v>166</v>
      </c>
      <c r="AA2" s="52" t="s">
        <v>166</v>
      </c>
      <c r="AB2" s="52" t="s">
        <v>166</v>
      </c>
      <c r="AC2" s="52" t="s">
        <v>166</v>
      </c>
      <c r="AD2" s="52" t="s">
        <v>166</v>
      </c>
      <c r="AE2" s="52" t="s">
        <v>167</v>
      </c>
      <c r="AF2" s="53" t="s">
        <v>166</v>
      </c>
      <c r="AG2" s="53" t="s">
        <v>166</v>
      </c>
      <c r="AH2" s="53" t="s">
        <v>166</v>
      </c>
      <c r="AI2" s="53" t="s">
        <v>166</v>
      </c>
      <c r="AJ2" s="53" t="s">
        <v>166</v>
      </c>
      <c r="AK2" s="53" t="s">
        <v>166</v>
      </c>
      <c r="AL2" s="53" t="s">
        <v>166</v>
      </c>
      <c r="AM2" s="53" t="s">
        <v>166</v>
      </c>
      <c r="AN2" s="53" t="s">
        <v>166</v>
      </c>
      <c r="AO2" s="53" t="s">
        <v>166</v>
      </c>
      <c r="AP2" s="53" t="s">
        <v>166</v>
      </c>
      <c r="AQ2" s="53" t="s">
        <v>166</v>
      </c>
      <c r="AR2" s="53" t="s">
        <v>166</v>
      </c>
      <c r="AS2" s="53" t="s">
        <v>166</v>
      </c>
      <c r="AT2" s="54">
        <v>0</v>
      </c>
      <c r="AU2" s="53"/>
      <c r="AV2" s="53" t="str">
        <f t="shared" ref="AV2:AV11" si="1">IF(LEFT(A2,1)="[",LEFT(A2,5)&amp;AU2&amp;A2,"")</f>
        <v/>
      </c>
      <c r="AW2" s="53" t="str">
        <f t="shared" ref="AW2:AW11" si="2">C2&amp;H2&amp;A2</f>
        <v>1Palau</v>
      </c>
      <c r="AX2" s="55" t="str">
        <f>_xlfn.TEXTJOIN(";",TRUE,AU2:AW2)</f>
        <v>1Palau</v>
      </c>
      <c r="AY2" s="55" t="s">
        <v>167</v>
      </c>
      <c r="AZ2" s="56"/>
      <c r="BA2" s="56"/>
      <c r="BB2" s="56"/>
      <c r="BC2" s="57"/>
      <c r="BD2" s="58" t="s">
        <v>154</v>
      </c>
      <c r="BE2" s="59"/>
      <c r="BF2" s="58"/>
      <c r="BG2" s="58"/>
      <c r="BH2" s="58"/>
      <c r="BI2" s="58"/>
      <c r="BJ2" s="58"/>
      <c r="BK2" s="59"/>
      <c r="BL2" s="58" t="s">
        <v>154</v>
      </c>
      <c r="BM2" s="58" t="s">
        <v>157</v>
      </c>
      <c r="BN2" s="58"/>
      <c r="BO2" s="58"/>
      <c r="BP2" s="58"/>
      <c r="BQ2" s="58"/>
      <c r="BR2" s="58"/>
      <c r="BS2" s="58"/>
      <c r="BT2" s="58"/>
      <c r="BU2" s="60"/>
      <c r="BV2" s="61" t="s">
        <v>168</v>
      </c>
      <c r="BW2" s="61">
        <v>0</v>
      </c>
      <c r="BX2" s="59"/>
      <c r="CB2" s="5" t="s">
        <v>296</v>
      </c>
      <c r="CC2" s="5"/>
      <c r="CD2" s="62">
        <v>0</v>
      </c>
      <c r="CE2" s="62">
        <v>0</v>
      </c>
      <c r="CF2" s="62" t="e">
        <v>#REF!</v>
      </c>
      <c r="CG2" s="75" cm="1">
        <f t="array" ref="CG2">SUMPRODUCT(--(LEN(TRIM(BL2:BT2))&gt;0))</f>
        <v>2</v>
      </c>
      <c r="CH2" s="53" t="str">
        <f t="shared" ref="CH2:CH11" si="3">IF(CG2=2,"y","n")</f>
        <v>y</v>
      </c>
      <c r="CI2" s="53" t="str">
        <f t="shared" ref="CI2:CI11" si="4">IF(CG2=3,"y","n")</f>
        <v>n</v>
      </c>
      <c r="CJ2" s="53" t="str">
        <f t="shared" ref="CJ2:CJ11" si="5">IF(CG2=4,"y","n")</f>
        <v>n</v>
      </c>
      <c r="CK2" s="53" t="str">
        <f t="shared" ref="CK2:CK11" si="6">IF(CG2&gt;4,"y","n")</f>
        <v>n</v>
      </c>
      <c r="CL2" s="53" t="str">
        <f t="shared" ref="CL2:CL11" si="7">IF(S2=0,"y","n")</f>
        <v>y</v>
      </c>
      <c r="CM2" s="53" t="str">
        <f t="shared" ref="CM2:CM11" si="8">IF(S2=2,"y","n")</f>
        <v>n</v>
      </c>
      <c r="CN2" s="53" t="str">
        <f t="shared" ref="CN2:CN11" si="9">IF(S2=3,"y","n")</f>
        <v>n</v>
      </c>
      <c r="CO2" s="53" t="str">
        <f t="shared" ref="CO2:CO11" si="10">IF(S2&gt;=4,"y","n")</f>
        <v>n</v>
      </c>
      <c r="CP2" s="53" t="str">
        <f t="shared" ref="CP2:CP11" si="11">IF(AT2=0,"y","n")</f>
        <v>y</v>
      </c>
      <c r="CQ2" s="53" t="str">
        <f t="shared" ref="CQ2:CQ11" si="12">IF(AT2=1,"y","n")</f>
        <v>n</v>
      </c>
      <c r="CR2" s="53" t="str">
        <f t="shared" ref="CR2:CR11" si="13">IF(AT2=2,"y","n")</f>
        <v>n</v>
      </c>
      <c r="CS2" s="53" t="str">
        <f t="shared" ref="CS2:CS11" si="14">IF(AT2&gt;=3,"y","n")</f>
        <v>n</v>
      </c>
      <c r="CT2" s="38" t="str">
        <f t="shared" ref="CT2:CT11" si="15">CHAR(34)&amp;A2&amp;CHAR(34)</f>
        <v>"Palau"</v>
      </c>
      <c r="CU2" s="63" t="str">
        <f t="shared" ref="CU2:CU11" si="16">CHAR(34)&amp;"rgn_"&amp;R2&amp;CHAR(34)</f>
        <v>"rgn_Oceania"</v>
      </c>
      <c r="CV2" s="44" t="str">
        <f t="shared" ref="CV2:CV11" si="17">CHAR(34)&amp;D2&amp;CHAR(34)</f>
        <v>"https://i.ibb.co/v1H7J0V/Palau-Flag.png"</v>
      </c>
      <c r="CW2" s="44" t="str">
        <f t="shared" ref="CW2:CW11" si="18">IF(CH2="y",CHAR(34)&amp;CH$1&amp;CHAR(34)&amp;",","")</f>
        <v>"2Color",</v>
      </c>
      <c r="CX2" s="44" t="str">
        <f t="shared" ref="CX2:CX11" si="19">IF(CI2="y",CHAR(34)&amp;CI$1&amp;CHAR(34)&amp;",","")</f>
        <v/>
      </c>
      <c r="CY2" s="44" t="str">
        <f t="shared" ref="CY2:CY11" si="20">IF(CJ2="y",CHAR(34)&amp;CJ$1&amp;CHAR(34)&amp;",","")</f>
        <v/>
      </c>
      <c r="CZ2" s="44" t="str">
        <f t="shared" ref="CZ2:CZ11" si="21">IF(CK2="y",CHAR(34)&amp;CK$1&amp;CHAR(34)&amp;",","")</f>
        <v/>
      </c>
      <c r="DA2" s="44" t="str">
        <f t="shared" ref="DA2:DA11" si="22">IF(Q2&gt;1,CHAR(34)&amp;"words2"&amp;CHAR(34)&amp;",","")</f>
        <v/>
      </c>
      <c r="DB2" s="44" t="str">
        <f t="shared" ref="DB2:DB11" si="23">IF(Q2&gt;2,CHAR(34)&amp;"words3"&amp;CHAR(34)&amp;",","")</f>
        <v/>
      </c>
      <c r="DC2" s="44" t="str">
        <f t="shared" ref="DC2:DC9" si="24">IF(Q2=2,CHAR(34)&amp;"exact2"&amp;CHAR(34)&amp;",","")</f>
        <v/>
      </c>
      <c r="DD2" s="44" t="str">
        <f t="shared" ref="DD2:DD9" si="25">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"lets05",</v>
      </c>
      <c r="DE2" s="44" t="str">
        <f t="shared" ref="DE2:DE9" si="26">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"startP",</v>
      </c>
      <c r="DF2" s="44" t="str">
        <f t="shared" ref="DF2:DF11" si="27">IFERROR(IF(SEARCH("tan",A2)&gt;0,CHAR(34)&amp;"withtn"&amp;CHAR(34)&amp;",",""),"")</f>
        <v/>
      </c>
      <c r="DG2" s="44" t="str">
        <f t="shared" ref="DG2:DG11" si="28">IFERROR(IF(SEARCH("q",A2)&gt;0,CHAR(34)&amp;"with_q"&amp;CHAR(34)&amp;",",""),"")</f>
        <v/>
      </c>
      <c r="DH2" s="44" t="str">
        <f t="shared" ref="DH2:DH11" si="29">IFERROR(IF(SEARCH("v",A2)&gt;0,CHAR(34)&amp;"with_v"&amp;CHAR(34)&amp;",",""),"")</f>
        <v/>
      </c>
      <c r="DI2" s="44" t="str">
        <f t="shared" ref="DI2:DI11" si="30">IFERROR(IF(SEARCH("w",A2)&gt;0,CHAR(34)&amp;"with_w"&amp;CHAR(34)&amp;",",""),"")</f>
        <v/>
      </c>
      <c r="DJ2" s="44" t="str">
        <f t="shared" ref="DJ2:DJ11" si="31">IFERROR(IF(SEARCH("y",A2)&gt;0,CHAR(34)&amp;"with_y"&amp;CHAR(34)&amp;",",""),"")</f>
        <v/>
      </c>
      <c r="DK2" s="44" t="str">
        <f t="shared" ref="DK2:DK11" si="32">IFERROR(IF(SEARCH("z",A2)&gt;0,CHAR(34)&amp;"with_z"&amp;CHAR(34)&amp;",",""),"")</f>
        <v/>
      </c>
      <c r="DL2" s="44" t="str">
        <f t="shared" ref="DL2:DL11" si="33">IF(CG2=2, CHAR(34) &amp; _xlfn.TEXTJOIN("", TRUE, _xlfn._xlws.SORT(HP2:HX2)) &amp; CHAR(34) &amp; ",", "")</f>
        <v>"BLUYEL",</v>
      </c>
      <c r="DM2" s="44" t="str" cm="1">
        <f t="array" ref="DM2">IF(CG2=3,CHAR(34) &amp; _xlfn.TEXTJOIN("", TRUE, RIGHT(HP2:HX2, 2)) &amp; CHAR(34) &amp; ",", "")</f>
        <v/>
      </c>
      <c r="DN2" s="44" t="str">
        <f t="shared" ref="DN2:DN11" si="34">IF(AND(ISNUMBER(SEARCH("18", O2)), ISERROR(SEARCH("1918", O2)), ISERROR(SEARCH("2018", O2))), CHAR(34) &amp; "year18" &amp; CHAR(34) &amp; ",", "")</f>
        <v/>
      </c>
      <c r="DO2" s="44" t="str">
        <f t="shared" ref="DO2:DO11" si="35">IF(AND(ISNUMBER(SEARCH("19", O2)), ISERROR(SEARCH("1819", O2)),  ISERROR(SEARCH("1219", O2)),ISERROR(SEARCH("1119", O2)),ISERROR(SEARCH("1190", O2)),ISERROR(SEARCH("2019", O2))), CHAR(34) &amp; "year19" &amp; CHAR(34) &amp; ",", "")</f>
        <v>"year19",</v>
      </c>
      <c r="DP2" s="5" t="str">
        <f t="shared" ref="DP2:DP11" si="36">IF(AND(ISNUMBER(SEARCH("20", O2)), ISERROR(SEARCH("1920", O2))), CHAR(34)&amp;"year00"&amp;CHAR(34)&amp;",", "")</f>
        <v/>
      </c>
      <c r="DQ2" s="5" t="str">
        <f t="shared" ref="DQ2:DQ11" si="37">IF(CC2="y",CHAR(34)&amp;"soviet"&amp;CHAR(34)&amp;",","")</f>
        <v/>
      </c>
      <c r="DR2" s="5" t="str">
        <f t="shared" ref="DR2:DR11" si="38">IF(BY2="y",CHAR(34)&amp;"dgband"&amp;CHAR(34)&amp;",","")</f>
        <v/>
      </c>
      <c r="DS2" s="5" t="str">
        <f t="shared" ref="DS2:DS11" si="39">IF(W2="y",IF(AND(V2="n",BY2&lt;&gt;"y"),CHAR(34)&amp;"allver"&amp;CHAR(34)&amp;",",""),"")</f>
        <v/>
      </c>
      <c r="DT2" s="5" t="str">
        <f t="shared" ref="DT2:DT11" si="40">IF(V2="y",IF(AND(W2="n",BY2&lt;&gt;"y"),CHAR(34)&amp;"allhor"&amp;CHAR(34)&amp;",",""),"")</f>
        <v/>
      </c>
      <c r="DU2" s="5" t="str">
        <f t="shared" ref="DU2:DU11" si="41">IF(BY2="y",IF(AND(W2="n",V2="n"),CHAR(34)&amp;"alldia"&amp;CHAR(34)&amp;",",""),"")</f>
        <v/>
      </c>
      <c r="DV2" s="44" t="str">
        <f t="shared" ref="DV2:DV9" si="42">IF(IA2&lt;&gt;"",(IF(IA2="y",CHAR(34)&amp;"largec"&amp;CHAR(34)&amp;",",CHAR(34)&amp;"smallc"&amp;CHAR(34)&amp;",")),"")</f>
        <v/>
      </c>
      <c r="DW2" s="44" t="str">
        <f t="shared" ref="DW2:DW11" si="43">IF(CL2="y",CHAR(34)&amp;CL$1&amp;CHAR(34)&amp;",","")</f>
        <v>"NoBand",</v>
      </c>
      <c r="DX2" s="44" t="str">
        <f t="shared" ref="DX2:DX11" si="44">IF(CM2="y",CHAR(34)&amp;CM$1&amp;CHAR(34)&amp;",","")</f>
        <v/>
      </c>
      <c r="DY2" s="44" t="str">
        <f t="shared" ref="DY2:DY11" si="45">IF(CN2="y",CHAR(34)&amp;CN$1&amp;CHAR(34)&amp;",","")</f>
        <v/>
      </c>
      <c r="DZ2" s="44" t="str">
        <f t="shared" ref="DZ2:DZ11" si="46">IF(CO2="y",CHAR(34)&amp;CO$1&amp;CHAR(34)&amp;",","")</f>
        <v/>
      </c>
      <c r="EA2" s="44" t="str">
        <f t="shared" ref="EA2:EA11" si="47">IF(T2="y",CHAR(34)&amp;T$1&amp;CHAR(34)&amp;",","")</f>
        <v/>
      </c>
      <c r="EB2" s="44" t="str">
        <f t="shared" ref="EB2:EB11" si="48">IF(U2="y",CHAR(34)&amp;U$1&amp;CHAR(34)&amp;",","")</f>
        <v/>
      </c>
      <c r="EC2" s="44" t="str">
        <f t="shared" ref="EC2:EC11" si="49">IF(V2="y",CHAR(34)&amp;V$1&amp;CHAR(34)&amp;",","")</f>
        <v/>
      </c>
      <c r="ED2" s="44" t="str">
        <f t="shared" ref="ED2:ED11" si="50">IF(W2="y",CHAR(34)&amp;W$1&amp;CHAR(34)&amp;",","")</f>
        <v/>
      </c>
      <c r="EE2" s="44" t="str">
        <f t="shared" ref="EE2:EE11" si="51">IF(X2="y",CHAR(34)&amp;X$1&amp;CHAR(34)&amp;",","")</f>
        <v>"Circle",</v>
      </c>
      <c r="EF2" s="44" t="str">
        <f t="shared" ref="EF2:EF11" si="52">IF(AND(Y2&lt;&gt;"n",Y2&lt;&gt;""),CHAR(34)&amp;Y$1&amp;CHAR(34)&amp;",","")</f>
        <v/>
      </c>
      <c r="EG2" s="44" t="str">
        <f t="shared" ref="EG2:EG11" si="53">IF(Z2="y",CHAR(34)&amp;Z$1&amp;CHAR(34)&amp;",","")</f>
        <v/>
      </c>
      <c r="EH2" s="44" t="str">
        <f t="shared" ref="EH2:EH11" si="54">IF(AA2="y",CHAR(34)&amp;AA$1&amp;CHAR(34)&amp;",","")</f>
        <v/>
      </c>
      <c r="EI2" s="44" t="str">
        <f t="shared" ref="EI2:EI11" si="55">IF(AB2="y",CHAR(34)&amp;AB$1&amp;CHAR(34)&amp;",","")</f>
        <v/>
      </c>
      <c r="EJ2" s="44" t="str">
        <f t="shared" ref="EJ2:EJ11" si="56">IF(AC2="y",CHAR(34)&amp;AC$1&amp;CHAR(34)&amp;",","")</f>
        <v/>
      </c>
      <c r="EK2" s="44" t="str">
        <f t="shared" ref="EK2:EK11" si="57">IF(AD2="y",CHAR(34)&amp;AD$1&amp;CHAR(34)&amp;",","")</f>
        <v/>
      </c>
      <c r="EL2" s="44" t="str">
        <f t="shared" ref="EL2:EL11" si="58">IF(AE2="y",CHAR(34)&amp;AE$1&amp;CHAR(34)&amp;",","")</f>
        <v>"IsMoon",</v>
      </c>
      <c r="EM2" s="44" t="str">
        <f t="shared" ref="EM2:EM11" si="59">IF(AF2="y",CHAR(34)&amp;AF$1&amp;CHAR(34)&amp;",","")</f>
        <v/>
      </c>
      <c r="EN2" s="44" t="str">
        <f t="shared" ref="EN2:EN11" si="60">IF(AG2="y",CHAR(34)&amp;AG$1&amp;CHAR(34)&amp;",","")</f>
        <v/>
      </c>
      <c r="EO2" s="44" t="str">
        <f t="shared" ref="EO2:EO11" si="61">IF(AH2="y",CHAR(34)&amp;AH$1&amp;CHAR(34)&amp;",","")</f>
        <v/>
      </c>
      <c r="EP2" s="44" t="str">
        <f t="shared" ref="EP2:EP11" si="62">IF(AI2="y",CHAR(34)&amp;AI$1&amp;CHAR(34)&amp;",","")</f>
        <v/>
      </c>
      <c r="EQ2" s="44" t="str">
        <f t="shared" ref="EQ2:EQ11" si="63">IF(AJ2="y",CHAR(34)&amp;AJ$1&amp;CHAR(34)&amp;",","")</f>
        <v/>
      </c>
      <c r="ER2" s="44" t="str">
        <f t="shared" ref="ER2:ER11" si="64">IF(AK2="y",CHAR(34)&amp;AK$1&amp;CHAR(34)&amp;",","")</f>
        <v/>
      </c>
      <c r="ES2" s="44" t="str">
        <f t="shared" ref="ES2:ES11" si="65">IF(AL2="y",CHAR(34)&amp;AL$1&amp;CHAR(34)&amp;",","")</f>
        <v/>
      </c>
      <c r="ET2" s="44" t="str">
        <f t="shared" ref="ET2:ET11" si="66">IF(AM2="y",CHAR(34)&amp;AM$1&amp;CHAR(34)&amp;",","")</f>
        <v/>
      </c>
      <c r="EU2" s="44" t="str">
        <f t="shared" ref="EU2:EU11" si="67">IF(AN2="y",CHAR(34)&amp;AN$1&amp;CHAR(34)&amp;",","")</f>
        <v/>
      </c>
      <c r="EV2" s="44" t="str">
        <f t="shared" ref="EV2:EV11" si="68">IF(AO2="y",CHAR(34)&amp;AO$1&amp;CHAR(34)&amp;",","")</f>
        <v/>
      </c>
      <c r="EW2" s="44" t="str">
        <f t="shared" ref="EW2:EW11" si="69">IF(AP2="y",CHAR(34)&amp;AP$1&amp;CHAR(34)&amp;",","")</f>
        <v/>
      </c>
      <c r="EX2" s="44" t="str">
        <f t="shared" ref="EX2:EX11" si="70">IF(AQ2="y",CHAR(34)&amp;AQ$1&amp;CHAR(34)&amp;",","")</f>
        <v/>
      </c>
      <c r="EY2" s="44" t="str">
        <f t="shared" ref="EY2:EY11" si="71">IF(AR2="y",CHAR(34)&amp;AR$1&amp;CHAR(34)&amp;",","")</f>
        <v/>
      </c>
      <c r="EZ2" s="44" t="str">
        <f t="shared" ref="EZ2:EZ11" si="72">IF(AS2="y",CHAR(34)&amp;AS$1&amp;CHAR(34)&amp;",","")</f>
        <v/>
      </c>
      <c r="FA2" s="44" t="str">
        <f t="shared" ref="FA2:FA11" si="73">IF(AT2&gt;0,CHAR(34)&amp;"sta"&amp;AZ2&amp;CHAR(34)&amp;",","")</f>
        <v/>
      </c>
      <c r="FB2" s="44" t="str">
        <f t="shared" ref="FB2:FB11" si="74">IF(AND(AT2&gt;0,BA2&lt;&gt;""),CHAR(34)&amp;"sta"&amp;BA2&amp;CHAR(34)&amp;",","")</f>
        <v/>
      </c>
      <c r="FC2" s="44" t="str">
        <f t="shared" ref="FC2:FC9" si="75">IF(AND(AT2&gt;0,BB2&lt;&gt;""),CHAR(34)&amp;"sta"&amp;BB2&amp;CHAR(34)&amp;",","")</f>
        <v/>
      </c>
      <c r="FD2" s="44" t="str">
        <f t="shared" ref="FD2:FD11" si="76">IF(BV2="n",CHAR(34)&amp;"tcWHYE"&amp;CHAR(34)&amp;",",IF(BV2="y",CHAR(34)&amp;FD$1&amp;CHAR(34)&amp;",",""))</f>
        <v/>
      </c>
      <c r="FE2" s="44" t="str">
        <f t="shared" ref="FE2:FE11" si="77">IF(COUNTIF(BL2:BT2,"BLU")=0,CHAR(34)&amp;"NO_BLU"&amp;CHAR(34)&amp;",", "")</f>
        <v/>
      </c>
      <c r="FF2" s="44" t="str">
        <f t="shared" ref="FF2:FF11" si="78">IF(COUNTIF(BL2:BT2,"WHI")=0,CHAR(34)&amp;"NO_WHI"&amp;CHAR(34)&amp;",", "")</f>
        <v>"NO_WHI",</v>
      </c>
      <c r="FG2" s="44" t="str">
        <f t="shared" ref="FG2:FG11" si="79">IF(COUNTIF(BL2:BT2,"RED")=0,CHAR(34)&amp;"NO_RED"&amp;CHAR(34)&amp;",", "")</f>
        <v>"NO_RED",</v>
      </c>
      <c r="FH2" s="44" t="str">
        <f t="shared" ref="FH2:FH11" si="80">IF(COUNTIF(BL2:BS2,"GRE")=0,CHAR(34)&amp;"NO_GRE"&amp;CHAR(34)&amp;",", "")</f>
        <v>"NO_GRE",</v>
      </c>
      <c r="FI2" s="44" t="str">
        <f t="shared" ref="FI2:FI11" si="81">IF(COUNTIF(BL2:BT2,"YEL")=0,CHAR(34)&amp;"NO_YEL"&amp;CHAR(34)&amp;",", "")</f>
        <v/>
      </c>
      <c r="FJ2" s="44" t="str">
        <f t="shared" ref="FJ2:FJ11" si="82">IF(COUNTIF(BL2:BT2,"BLA")=0,CHAR(34)&amp;"NO_BLA"&amp;CHAR(34)&amp;",", "")</f>
        <v>"NO_BLA",</v>
      </c>
      <c r="FK2" s="44" t="str">
        <f t="shared" ref="FK2:FK11" si="83">IF(AND(FH2&lt;&gt;"",FF2&lt;&gt;""),CHAR(34)&amp;"WHGRNO"&amp;CHAR(34)&amp;",","")</f>
        <v>"WHGRNO",</v>
      </c>
      <c r="FL2" s="44" t="str">
        <f t="shared" ref="FL2:FL11" si="84">IF(AND(FI2&lt;&gt;"",FF2&lt;&gt;""),CHAR(34)&amp;"WHYENO"&amp;CHAR(34)&amp;",","")</f>
        <v/>
      </c>
      <c r="FM2" s="44" t="str">
        <f t="shared" ref="FM2:FM11" si="85">IF(AND(FJ2&lt;&gt;"",FF2&lt;&gt;""),CHAR(34)&amp;"BAWHNO"&amp;CHAR(34)&amp;",","")</f>
        <v>"BAWHNO",</v>
      </c>
      <c r="FN2" s="44" t="str">
        <f t="shared" ref="FN2:FN11" si="86">IF(AND(FE2&lt;&gt;"",FF2&lt;&gt;""),CHAR(34)&amp;"BLWHNO"&amp;CHAR(34)&amp;",","")</f>
        <v/>
      </c>
      <c r="FO2" s="44" t="str">
        <f t="shared" ref="FO2:FO11" si="87">IF(AND(FE2&lt;&gt;"",FG2&lt;&gt;""),CHAR(34)&amp;"BLRENO"&amp;CHAR(34)&amp;",","")</f>
        <v/>
      </c>
      <c r="FP2" s="44" t="str">
        <f t="shared" ref="FP2:FP11" si="88">IF(AND(FF2&lt;&gt;"",FF2&lt;&gt;""),CHAR(34)&amp;"WHRENO"&amp;CHAR(34)&amp;",","")</f>
        <v>"WHRENO",</v>
      </c>
      <c r="FQ2" s="44" t="str">
        <f t="shared" ref="FQ2:FQ11" si="89">IF(LEN(BF2)=3,CHAR(34)&amp;"001"&amp;BF2&amp;CHAR(34)&amp;",","")</f>
        <v/>
      </c>
      <c r="FR2" s="44" t="str">
        <f t="shared" ref="FR2:FR11" si="90">IF(LEN(BG2)=3,CHAR(34)&amp;"002"&amp;BG2&amp;CHAR(34)&amp;",","")</f>
        <v/>
      </c>
      <c r="FS2" s="44" t="str">
        <f t="shared" ref="FS2:FS11" si="91">IF(LEN(BH2)=3,CHAR(34)&amp;"003"&amp;BH2&amp;CHAR(34)&amp;",","")</f>
        <v/>
      </c>
      <c r="FT2" s="44" t="str">
        <f t="shared" ref="FT2:FT11" si="92">CHAR(34)&amp;"myr"&amp;BD2&amp;CHAR(34)&amp;","</f>
        <v>"myrBLU",</v>
      </c>
      <c r="FU2" s="44" t="str">
        <f t="shared" ref="FU2:FU11" si="93">IF(AY2="y",CHAR(34)&amp;"island"&amp;CHAR(34)&amp;",","")</f>
        <v>"island",</v>
      </c>
      <c r="FV2" s="44" t="str">
        <f t="shared" ref="FV2:FV11" si="94">IF(BZ2="y",CHAR(34)&amp;"landlo"&amp;CHAR(34)&amp;",","")</f>
        <v/>
      </c>
      <c r="FW2" s="44" t="str">
        <f t="shared" ref="FW2:FW11" si="95">IF(CA2="y",CHAR(34)&amp;"eunion"&amp;CHAR(34)&amp;",","")</f>
        <v/>
      </c>
      <c r="FX2" s="44" t="str">
        <f t="shared" ref="FX2:FX9" si="96">SUBSTITUTE(IFERROR(SEARCH("[",A2),IFERROR(IF(AND(CA2&lt;&gt;"y",SEARCH("Europe",R2)&gt;0),CHAR(34)&amp;"noeuni"&amp;CHAR(34)&amp;",",""),"")),"1","")</f>
        <v/>
      </c>
      <c r="FY2" s="44" t="str">
        <f t="shared" ref="FY2:FY11" si="97">IFERROR(IF(SEARCH("Arabic",CB2)&gt;0,CHAR(34)&amp;"arabic"&amp;CHAR(34)&amp;",",""),"")</f>
        <v/>
      </c>
      <c r="FZ2" s="44" t="str">
        <f t="shared" ref="FZ2:FZ11" si="98">IFERROR(IF(SEARCH("English",CB2)&gt;0,CHAR(34)&amp;"englis"&amp;CHAR(34)&amp;",",""),"")</f>
        <v>"englis",</v>
      </c>
      <c r="GA2" s="44" t="str">
        <f t="shared" ref="GA2:GA11" si="99">IFERROR(IF(SEARCH("French",CB2)&gt;0,CHAR(34)&amp;"french"&amp;CHAR(34)&amp;",",""),"")</f>
        <v/>
      </c>
      <c r="GB2" s="44" t="str">
        <f t="shared" ref="GB2:GB11" si="100">IFERROR(IF(SEARCH("Spanish",CB2)&gt;0,CHAR(34)&amp;"spanis"&amp;CHAR(34)&amp;",",""),"")</f>
        <v/>
      </c>
      <c r="GC2" s="44" t="str">
        <f t="shared" ref="GC2:GC9" si="101">IFERROR(IF(SEARCH("Portuguese",CB2)&gt;0,CHAR(34)&amp;"portug"&amp;CHAR(34)&amp;",",""),"")</f>
        <v/>
      </c>
      <c r="GD2" s="44" t="str">
        <f t="shared" ref="GD2:GD9" si="102">IFERROR(IF(SEARCH("German",CB2)&gt;0,CHAR(34)&amp;"german"&amp;CHAR(34)&amp;",",""),"")</f>
        <v/>
      </c>
      <c r="GE2" s="44" t="str">
        <f t="shared" ref="GE2:GE11" si="103">IFERROR(IF(SEARCH("Dutch",CB2)&gt;0,CHAR(34)&amp;"dutchs"&amp;CHAR(34)&amp;",",""),"")</f>
        <v/>
      </c>
      <c r="GF2" s="44" t="str">
        <f>IFERROR(IF(SEARCH("Histor",AU2)&gt;0,CHAR(34)&amp;"histor"&amp;CHAR(34)&amp;",",""),"")</f>
        <v/>
      </c>
      <c r="GG2" s="44" t="str">
        <f t="shared" ref="GG2:GG11" si="104">IF(BU2="y",CHAR(34)&amp;"unjack"&amp;CHAR(34)&amp;",","")</f>
        <v/>
      </c>
      <c r="GH2" s="44" t="str">
        <f t="shared" ref="GH2:GH11" si="105">IF(CD2=1,CHAR(34)&amp;"southc"&amp;CHAR(34)&amp;",","")</f>
        <v/>
      </c>
      <c r="GI2" s="44" t="str">
        <f t="shared" ref="GI2:GI11" si="106">IF(CE2=1,CHAR(34)&amp;"hasmap"&amp;CHAR(34)&amp;",","")</f>
        <v/>
      </c>
      <c r="GJ2" s="44" t="str">
        <f t="shared" ref="GJ2:GJ11" si="107">IF(CP2="y",CHAR(34)&amp;CP$1&amp;CHAR(34)&amp;",","")</f>
        <v>"NoStar",</v>
      </c>
      <c r="GK2" s="44" t="str">
        <f t="shared" ref="GK2:GK11" si="108">IF(GJ2="",CHAR(34)&amp;"HasSta"&amp;CHAR(34)&amp;",","")</f>
        <v/>
      </c>
      <c r="GL2" s="44" t="str">
        <f t="shared" ref="GL2:GL11" si="109">IF(CQ2="y",CHAR(34)&amp;CQ$1&amp;CHAR(34)&amp;",","")</f>
        <v/>
      </c>
      <c r="GM2" s="44" t="str">
        <f t="shared" ref="GM2:GM11" si="110">IF(CR2="y",CHAR(34)&amp;CR$1&amp;CHAR(34)&amp;",","")</f>
        <v/>
      </c>
      <c r="GN2" s="44" t="str">
        <f t="shared" ref="GN2:GN11" si="111">IF(CS2="y",CHAR(34)&amp;CS$1&amp;CHAR(34)&amp;",","")</f>
        <v/>
      </c>
      <c r="GP2" s="44" t="str">
        <f t="shared" ref="GP2:GP11" si="112">CHAR(34)&amp;AU2&amp;CHAR(34)</f>
        <v>""</v>
      </c>
      <c r="GS2" s="44" t="str">
        <f t="shared" ref="GS2:GS11" si="113">SUBSTITUTE("["&amp;_xlfn.CONCAT(CW2:GN2)&amp;"]",",]","]")</f>
        <v>["2Color","lets05","startP","BLUYEL","year19","NoBand","Circle","IsMoon","NO_WHI","NO_RED","NO_GRE","NO_BLA","WHGRNO","BAWHNO","WHRENO","myrBLU","island","englis","NoStar"]</v>
      </c>
      <c r="GT2" s="44" t="str">
        <f t="shared" ref="GT2:GT11" si="114">IF(BL2&lt;&gt;"",CHAR(34)&amp;"cl_"&amp;BL2&amp;CHAR(34)&amp;",","")</f>
        <v>"cl_BLU",</v>
      </c>
      <c r="GU2" s="44" t="str">
        <f t="shared" ref="GU2:GU11" si="115">IF(BM2&lt;&gt;"",CHAR(34)&amp;"cl_"&amp;BM2&amp;CHAR(34)&amp;",","")</f>
        <v>"cl_YEL",</v>
      </c>
      <c r="GV2" s="44" t="str">
        <f t="shared" ref="GV2:GV11" si="116">IF(BN2&lt;&gt;"",CHAR(34)&amp;"cl_"&amp;BN2&amp;CHAR(34)&amp;",","")</f>
        <v/>
      </c>
      <c r="GW2" s="44" t="str">
        <f t="shared" ref="GW2:GW11" si="117">IF(BO2&lt;&gt;"",CHAR(34)&amp;"cl_"&amp;BO2&amp;CHAR(34)&amp;",","")</f>
        <v/>
      </c>
      <c r="GX2" s="44" t="str">
        <f t="shared" ref="GX2:GX11" si="118">IF(BP2&lt;&gt;"",CHAR(34)&amp;"cl_"&amp;BP2&amp;CHAR(34)&amp;",","")</f>
        <v/>
      </c>
      <c r="GY2" s="44" t="str">
        <f t="shared" ref="GY2:GY11" si="119">IF(BQ2&lt;&gt;"",CHAR(34)&amp;"cl_"&amp;BQ2&amp;CHAR(34)&amp;",","")</f>
        <v/>
      </c>
      <c r="GZ2" s="44" t="str">
        <f t="shared" ref="GZ2:GZ11" si="120">IF(BR2&lt;&gt;"",CHAR(34)&amp;"cl_"&amp;BR2&amp;CHAR(34)&amp;",","")</f>
        <v/>
      </c>
      <c r="HA2" s="44" t="str">
        <f t="shared" ref="HA2:HA11" si="121">IF(BS2&lt;&gt;"",CHAR(34)&amp;"cl_"&amp;BS2&amp;CHAR(34)&amp;",","")</f>
        <v/>
      </c>
      <c r="HB2" s="44" t="str">
        <f t="shared" ref="HB2:HB11" si="122">IF(BT2&lt;&gt;"",CHAR(34)&amp;"cl_"&amp;BT2&amp;CHAR(34)&amp;",","")</f>
        <v/>
      </c>
      <c r="HC2" s="44" t="str">
        <f t="shared" ref="HC2:HC11" si="123">SUBSTITUTE("["&amp;_xlfn.CONCAT(GT2:HB2)&amp;"]",",]","]")</f>
        <v>["cl_BLU","cl_YEL"]</v>
      </c>
      <c r="HE2" s="64"/>
      <c r="HF2" s="65" t="str">
        <f t="shared" ref="HF2:HF11" si="124">"{couname:"&amp;CT2&amp;(IF(HK2&lt;&gt;"",",subtype:"&amp;CHAR(34)&amp;HK2&amp;CHAR(34),""))&amp;",year:"&amp;HJ2&amp;",region:"&amp;CU2&amp;",Colors:"&amp;HC2&amp;",Items:"&amp;GS2&amp;",Flag:"&amp;CV2&amp;",HDFlag:"&amp;CHAR(34)&amp;E2&amp;CHAR(34)&amp;",type:"&amp;GP2&amp;", describe: "&amp;HH2&amp;", isnew:"&amp;CHAR(34)&amp;F2&amp;CHAR(34)&amp;", links: "&amp;HL2&amp;"},"</f>
        <v>{couname:"Palau",year:"1981 ",region:"rgn_Oceania",Colors:["cl_BLU","cl_YEL"],Items:["2Color","lets05","startP","BLUYEL","year19","NoBand","Circle","IsMoon","NO_WHI","NO_RED","NO_GRE","NO_BLA","WHGRNO","BAWHNO","WHRENO","myrBLU","island","englis","NoStar"],Flag:"https://i.ibb.co/v1H7J0V/Palau-Flag.png",HDFlag:"https://upload.wikimedia.org/wikipedia/commons/thumb/4/48/Flag_of_Palau.svg/2560px-Flag_of_Palau.svg.png",type:"", describe: "\nThe light blue of the field symbolizes the Pacific Ocean, and also represents the transition from foreign domination to self-government. The golden disk, which sits slightly off-center toward the hoist, represents the full moon. The Palauans consider the full moon to be the optimum time for human activity.", isnew:".", links: "https://en.wikipedia.org/wiki/Flag_of_Palau"},</v>
      </c>
      <c r="HG2" s="66" t="str">
        <f t="shared" ref="HG2:HG11" si="125">"{couname:"&amp;CT2&amp;(IF(HK2&lt;&gt;"",",subtype:"&amp;CHAR(34)&amp;HK2&amp;CHAR(34),""))&amp;",year:"&amp;HJ2&amp;",region:"&amp;CU2&amp;",Colors:"&amp;HC2&amp;",Items:"&amp;GS2&amp;",Flag:"&amp;CV2&amp;",HDFlag:"&amp;CHAR(34)&amp;E2&amp;CHAR(34)&amp;",type:"&amp;GP2&amp;", describe: "&amp;HI2&amp;", links: "&amp;HL2&amp;"},"</f>
        <v>{couname:"Palau",year:"1981 ",region:"rgn_Oceania",Colors:["cl_BLU","cl_YEL"],Items:["2Color","lets05","startP","BLUYEL","year19","NoBand","Circle","IsMoon","NO_WHI","NO_RED","NO_GRE","NO_BLA","WHGRNO","BAWHNO","WHRENO","myrBLU","island","englis","NoStar"],Flag:"https://i.ibb.co/v1H7J0V/Palau-Flag.png",HDFlag:"https://upload.wikimedia.org/wikipedia/commons/thumb/4/48/Flag_of_Palau.svg/2560px-Flag_of_Palau.svg.png",type:"", describe: "\nThe light blue of the field symbolizes the Pacific Ocean, and also represents the transition from foreign domination to self-government. The golden disk, which sits slightly off-center toward the hoist, represents the full moon. The Palauans consider the full moon to be the optimum time for human activity.", links: "https://en.wikipedia.org/wiki/Flag_of_Palau"},</v>
      </c>
      <c r="HH2" s="44" t="str">
        <f t="shared" ref="HH2:HH11" si="126">IF(P2&lt;&gt;"",CHAR(34)&amp;"\n"&amp;P2&amp;CHAR(34),CHAR(34)&amp;CHAR(34))</f>
        <v>"\nThe light blue of the field symbolizes the Pacific Ocean, and also represents the transition from foreign domination to self-government. The golden disk, which sits slightly off-center toward the hoist, represents the full moon. The Palauans consider the full moon to be the optimum time for human activity."</v>
      </c>
      <c r="HI2" s="44" t="str">
        <f t="shared" ref="HI2:HI11" si="127">IF(J2=0,CHAR(34)&amp;CHAR(34),HH2)</f>
        <v>"\nThe light blue of the field symbolizes the Pacific Ocean, and also represents the transition from foreign domination to self-government. The golden disk, which sits slightly off-center toward the hoist, represents the full moon. The Palauans consider the full moon to be the optimum time for human activity."</v>
      </c>
      <c r="HJ2" s="44" t="str">
        <f t="shared" ref="HJ2:HJ11" si="128">CHAR(34)&amp;O2&amp;CHAR(34)</f>
        <v>"1981 "</v>
      </c>
      <c r="HL2" s="44" t="str">
        <f t="shared" ref="HL2:HL11" si="129">CHAR(34)&amp;I2&amp;CHAR(34)</f>
        <v>"https://en.wikipedia.org/wiki/Flag_of_Palau"</v>
      </c>
      <c r="HM2" s="65" t="str">
        <f t="shared" ref="HM2:HM11" si="130">"{"&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{"couname":"Palau","year":"1981 ","region":"rgn_Oceania","Colors":["cl_BLU","cl_YEL"],"Items":["2Color","lets05","startP","BLUYEL","year19","NoBand","Circle","IsMoon","NO_WHI","NO_RED","NO_GRE","NO_BLA","WHGRNO","BAWHNO","WHRENO","myrBLU","island","englis","NoStar"],"Flag":"https://i.ibb.co/v1H7J0V/Palau-Flag.png","HDFlag":"https://upload.wikimedia.org/wikipedia/commons/thumb/4/48/Flag_of_Palau.svg/2560px-Flag_of_Palau.svg.png","type":"", "describe": "\nThe light blue of the field symbolizes the Pacific Ocean, and also represents the transition from foreign domination to self-government. The golden disk, which sits slightly off-center toward the hoist, represents the full moon. The Palauans consider the full moon to be the optimum time for human activity.", "isnew": ".", "links": "https://en.wikipedia.org/wiki/Flag_of_Palau"},</v>
      </c>
      <c r="HN2" s="67" t="str">
        <f t="shared" ref="HN2:HN11" si="131">"{"&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{"couname":"Palau","year":"1981 ","region":"rgn_Oceania","Colors":["cl_BLU","cl_YEL"],"Items":["2Color","lets05","startP","BLUYEL","year19","NoBand","Circle","IsMoon","NO_WHI","NO_RED","NO_GRE","NO_BLA","WHGRNO","BAWHNO","WHRENO","myrBLU","island","englis","NoStar"],"Flag":"https://i.ibb.co/v1H7J0V/Palau-Flag.png","HDFlag":"https://upload.wikimedia.org/wikipedia/commons/thumb/4/48/Flag_of_Palau.svg/2560px-Flag_of_Palau.svg.png","type":"", "describe": "\nThe light blue of the field symbolizes the Pacific Ocean, and also represents the transition from foreign domination to self-government. The golden disk, which sits slightly off-center toward the hoist, represents the full moon. The Palauans consider the full moon to be the optimum time for human activity.", "isnew": ".", "links": "https://en.wikipedia.org/wiki/Flag_of_Palau"},</v>
      </c>
      <c r="HO2" s="71"/>
      <c r="HP2" s="44" t="str" cm="1">
        <f t="array" ref="HP2">IF(_xlfn.TEXTJOIN(", ", TRUE, IF(ISNUMBER(SEARCH("BLA", BL2:BT2)), COLUMN(BL2:BT2) - COLUMN(BL2) + 1, ""))&lt;&gt;"","BLA","")</f>
        <v/>
      </c>
      <c r="HQ2" s="44" t="str" cm="1">
        <f t="array" ref="HQ2">IF(_xlfn.TEXTJOIN(", ", TRUE, IF(ISNUMBER(SEARCH("BLU", BL2:BT2)), COLUMN(BL2:BT2) - COLUMN(BL2) + 1, ""))&lt;&gt;"","BLU","")</f>
        <v>BLU</v>
      </c>
      <c r="HR2" s="44" t="str" cm="1">
        <f t="array" ref="HR2">IF(_xlfn.TEXTJOIN(", ", TRUE, IF(ISNUMBER(SEARCH("GRE", BL2:BT2)), COLUMN(BL2:BT2) - COLUMN(BL2) + 1, ""))&lt;&gt;"","GRE","")</f>
        <v/>
      </c>
      <c r="HS2" s="44" t="str" cm="1">
        <f t="array" ref="HS2">IF(_xlfn.TEXTJOIN(", ", TRUE, IF(ISNUMBER(SEARCH("RED", BL2:BT2)), COLUMN(BL2:BT2) - COLUMN(BL2) + 1, ""))&lt;&gt;"","RED","")</f>
        <v/>
      </c>
      <c r="HT2" s="44" t="str" cm="1">
        <f t="array" ref="HT2">IF(_xlfn.TEXTJOIN(", ", TRUE, IF(ISNUMBER(SEARCH("YEL", BL2:BT2)), COLUMN(BL2:BT2) - COLUMN(BL2) + 1, ""))&lt;&gt;"","YEL","")</f>
        <v>YEL</v>
      </c>
      <c r="HU2" s="44" t="str" cm="1">
        <f t="array" ref="HU2">IF(_xlfn.TEXTJOIN(", ", TRUE, IF(ISNUMBER(SEARCH("ORA", BL2:BT2)), COLUMN(BL2:BT2) - COLUMN(BL2) + 1, ""))&lt;&gt;"","ORA","")</f>
        <v/>
      </c>
      <c r="HV2" s="44" t="str" cm="1">
        <f t="array" ref="HV2">IF(_xlfn.TEXTJOIN(", ", TRUE, IF(ISNUMBER(SEARCH("BRO", BL2:BT2)), COLUMN(BL2:BT2) - COLUMN(BL2) + 1, ""))&lt;&gt;"","BRO","")</f>
        <v/>
      </c>
      <c r="HW2" s="44" t="str" cm="1">
        <f t="array" ref="HW2">IF(_xlfn.TEXTJOIN(", ", TRUE, IF(ISNUMBER(SEARCH("PUR", BL2:BT2)), COLUMN(BL2:BT2) - COLUMN(BL2) + 1, ""))&lt;&gt;"","PUR","")</f>
        <v/>
      </c>
      <c r="HX2" s="44" t="str" cm="1">
        <f t="array" ref="HX2">IF(_xlfn.TEXTJOIN(", ", TRUE, IF(ISNUMBER(SEARCH("WHI", BL2:BT2)), COLUMN(BL2:BT2) - COLUMN(BL2) + 1, ""))&lt;&gt;"","WHI","")</f>
        <v/>
      </c>
      <c r="HY2" s="72"/>
      <c r="HZ2" s="72"/>
      <c r="IA2" s="5"/>
      <c r="IB2" s="5"/>
      <c r="IC2" s="68"/>
      <c r="ID2" s="68"/>
      <c r="IE2" s="68"/>
      <c r="IF2" s="68"/>
      <c r="IG2" s="68"/>
      <c r="IH2" s="68"/>
      <c r="II2" s="68"/>
      <c r="IJ2" s="68"/>
      <c r="IK2" s="68"/>
      <c r="IL2" s="44">
        <f t="shared" ref="IL2:IL9" si="132">SUM(IC2:IK2)</f>
        <v>0</v>
      </c>
      <c r="IM2" s="42">
        <f t="shared" ref="IM2:IM11" si="133">COUNTIF(IC2:IK2,"&gt;0")-CG2</f>
        <v>-2</v>
      </c>
      <c r="IN2" s="69" t="str">
        <f t="shared" ref="IN2:IN11" si="134">"http://mkweb.bcgsc.ca/color-summarizer/?url="&amp;D2&amp;"&amp;precision=low&amp;num_clusters="&amp;CG2&amp;"&amp;text=1"</f>
        <v>http://mkweb.bcgsc.ca/color-summarizer/?url=https://i.ibb.co/v1H7J0V/Palau-Flag.png&amp;precision=low&amp;num_clusters=2&amp;text=1</v>
      </c>
      <c r="IO2" s="44" t="str">
        <f t="shared" ref="IO2:IO11" si="135">IF(HP2&lt;&gt;"",CHAR(34)&amp;"black"&amp;CHAR(34),"")</f>
        <v/>
      </c>
      <c r="IP2" s="44" t="str">
        <f t="shared" ref="IP2:IP11" si="136">IF(HQ2&lt;&gt;"",CHAR(34)&amp;"blue"&amp;CHAR(34),"")</f>
        <v>"blue"</v>
      </c>
      <c r="IQ2" s="44" t="str">
        <f t="shared" ref="IQ2:IQ11" si="137">IF(HR2&lt;&gt;"",CHAR(34)&amp;"green"&amp;CHAR(34),"")</f>
        <v/>
      </c>
      <c r="IR2" s="44" t="str">
        <f t="shared" ref="IR2:IR11" si="138">IF(HS2&lt;&gt;"",CHAR(34)&amp;"red"&amp;CHAR(34),"")</f>
        <v/>
      </c>
      <c r="IS2" s="44" t="str">
        <f t="shared" ref="IS2:IS11" si="139">IF(HT2&lt;&gt;"",CHAR(34)&amp;"yellow"&amp;CHAR(34),"")</f>
        <v>"yellow"</v>
      </c>
      <c r="IT2" s="44" t="str">
        <f t="shared" ref="IT2:IT11" si="140">IF(HU2&lt;&gt;"",CHAR(34)&amp;"orange"&amp;CHAR(34),"")</f>
        <v/>
      </c>
      <c r="IU2" s="44" t="str">
        <f t="shared" ref="IU2:IU11" si="141">IF(HV2&lt;&gt;"",CHAR(34)&amp;"brown"&amp;CHAR(34),"")</f>
        <v/>
      </c>
      <c r="IV2" s="44" t="str">
        <f t="shared" ref="IV2:IV11" si="142">IF(HW2&lt;&gt;"",CHAR(34)&amp;"purple"&amp;CHAR(34),"")</f>
        <v/>
      </c>
      <c r="IW2" s="44" t="str">
        <f t="shared" ref="IW2:IW11" si="143">IF(HX2&lt;&gt;"",CHAR(34)&amp;"white"&amp;CHAR(34),"")</f>
        <v/>
      </c>
      <c r="IX2" s="44" t="str">
        <f t="shared" ref="IX2:IX11" si="144">"{"&amp;CHAR(34)&amp;"url"&amp;CHAR(34)&amp;":"&amp;CHAR(34)&amp;IN2&amp;CHAR(34)&amp;","&amp;CHAR(34)&amp;"name"&amp;CHAR(34)&amp;":"&amp;CHAR(34)&amp;A2&amp;CHAR(34)&amp;"},"</f>
        <v>{"url":"http://mkweb.bcgsc.ca/color-summarizer/?url=https://i.ibb.co/v1H7J0V/Palau-Flag.png&amp;precision=low&amp;num_clusters=2&amp;text=1","name":"Palau"},</v>
      </c>
      <c r="IY2" s="44">
        <v>166</v>
      </c>
    </row>
    <row r="3" spans="1:259" s="44" customFormat="1" ht="38.4" customHeight="1" thickBot="1" x14ac:dyDescent="0.35">
      <c r="A3" s="80" t="s">
        <v>463</v>
      </c>
      <c r="B3" s="78" t="e" vm="85">
        <v>#VALUE!</v>
      </c>
      <c r="C3" s="39">
        <v>2</v>
      </c>
      <c r="D3" s="70" t="s">
        <v>464</v>
      </c>
      <c r="E3" s="40" t="s">
        <v>465</v>
      </c>
      <c r="F3" s="41" t="s">
        <v>165</v>
      </c>
      <c r="G3" s="42">
        <f t="shared" si="0"/>
        <v>1</v>
      </c>
      <c r="H3" s="43"/>
      <c r="I3" s="59" t="s">
        <v>466</v>
      </c>
      <c r="J3" s="44" t="str">
        <f>""</f>
        <v/>
      </c>
      <c r="K3" s="45"/>
      <c r="L3" s="46"/>
      <c r="M3" s="46"/>
      <c r="N3" s="47" t="s">
        <v>177</v>
      </c>
      <c r="O3" s="74" t="s">
        <v>230</v>
      </c>
      <c r="P3" s="48" t="s">
        <v>467</v>
      </c>
      <c r="Q3" s="73">
        <v>1</v>
      </c>
      <c r="R3" s="49" t="s">
        <v>177</v>
      </c>
      <c r="S3" s="50">
        <v>3</v>
      </c>
      <c r="T3" s="51" t="s">
        <v>166</v>
      </c>
      <c r="U3" s="52" t="s">
        <v>166</v>
      </c>
      <c r="V3" s="52" t="s">
        <v>167</v>
      </c>
      <c r="W3" s="52" t="s">
        <v>166</v>
      </c>
      <c r="X3" s="52" t="s">
        <v>166</v>
      </c>
      <c r="Y3" s="52" t="s">
        <v>166</v>
      </c>
      <c r="Z3" s="52" t="s">
        <v>166</v>
      </c>
      <c r="AA3" s="52" t="s">
        <v>166</v>
      </c>
      <c r="AB3" s="52" t="s">
        <v>166</v>
      </c>
      <c r="AC3" s="52" t="s">
        <v>166</v>
      </c>
      <c r="AD3" s="52" t="s">
        <v>166</v>
      </c>
      <c r="AE3" s="52" t="s">
        <v>166</v>
      </c>
      <c r="AF3" s="53" t="s">
        <v>166</v>
      </c>
      <c r="AG3" s="53" t="s">
        <v>167</v>
      </c>
      <c r="AH3" s="53" t="s">
        <v>167</v>
      </c>
      <c r="AI3" s="53" t="s">
        <v>166</v>
      </c>
      <c r="AJ3" s="53" t="s">
        <v>166</v>
      </c>
      <c r="AK3" s="53" t="s">
        <v>166</v>
      </c>
      <c r="AL3" s="53" t="s">
        <v>166</v>
      </c>
      <c r="AM3" s="53" t="s">
        <v>166</v>
      </c>
      <c r="AN3" s="53" t="s">
        <v>166</v>
      </c>
      <c r="AO3" s="53" t="s">
        <v>166</v>
      </c>
      <c r="AP3" s="53" t="s">
        <v>166</v>
      </c>
      <c r="AQ3" s="53" t="s">
        <v>166</v>
      </c>
      <c r="AR3" s="53" t="s">
        <v>166</v>
      </c>
      <c r="AS3" s="53" t="s">
        <v>166</v>
      </c>
      <c r="AT3" s="54">
        <v>5</v>
      </c>
      <c r="AU3" s="53" t="s">
        <v>377</v>
      </c>
      <c r="AV3" s="53" t="str">
        <f t="shared" si="1"/>
        <v>[PAU]State[PAU] Aimelik</v>
      </c>
      <c r="AW3" s="53" t="str">
        <f t="shared" si="2"/>
        <v>2[PAU] Aimelik</v>
      </c>
      <c r="AX3" s="55"/>
      <c r="AY3" s="55"/>
      <c r="AZ3" s="56" t="s">
        <v>161</v>
      </c>
      <c r="BA3" s="56"/>
      <c r="BB3" s="56"/>
      <c r="BC3" s="57"/>
      <c r="BD3" s="58" t="s">
        <v>169</v>
      </c>
      <c r="BE3" s="59"/>
      <c r="BF3" s="58" t="s">
        <v>155</v>
      </c>
      <c r="BG3" s="58" t="s">
        <v>153</v>
      </c>
      <c r="BH3" s="58" t="s">
        <v>154</v>
      </c>
      <c r="BI3" s="58"/>
      <c r="BJ3" s="58"/>
      <c r="BK3" s="59"/>
      <c r="BL3" s="58" t="s">
        <v>153</v>
      </c>
      <c r="BM3" s="58" t="s">
        <v>154</v>
      </c>
      <c r="BN3" s="58" t="s">
        <v>155</v>
      </c>
      <c r="BO3" s="58" t="s">
        <v>231</v>
      </c>
      <c r="BP3" s="58" t="s">
        <v>231</v>
      </c>
      <c r="BQ3" s="58" t="s">
        <v>231</v>
      </c>
      <c r="BR3" s="58" t="s">
        <v>231</v>
      </c>
      <c r="BS3" s="58" t="s">
        <v>231</v>
      </c>
      <c r="BT3" s="58" t="s">
        <v>161</v>
      </c>
      <c r="BU3" s="60"/>
      <c r="BV3" s="61"/>
      <c r="BW3" s="61">
        <v>0</v>
      </c>
      <c r="BX3" s="59"/>
      <c r="CB3" s="5"/>
      <c r="CC3" s="5"/>
      <c r="CD3" s="62">
        <v>0</v>
      </c>
      <c r="CE3" s="62">
        <v>0</v>
      </c>
      <c r="CF3" s="62" t="e">
        <v>#REF!</v>
      </c>
      <c r="CG3" s="75" cm="1">
        <f t="array" ref="CG3">SUMPRODUCT(--(LEN(TRIM(BL3:BT3))&gt;0))</f>
        <v>4</v>
      </c>
      <c r="CH3" s="53" t="str">
        <f t="shared" si="3"/>
        <v>n</v>
      </c>
      <c r="CI3" s="53" t="str">
        <f t="shared" si="4"/>
        <v>n</v>
      </c>
      <c r="CJ3" s="53" t="str">
        <f t="shared" si="5"/>
        <v>y</v>
      </c>
      <c r="CK3" s="53" t="str">
        <f t="shared" si="6"/>
        <v>n</v>
      </c>
      <c r="CL3" s="53" t="str">
        <f t="shared" si="7"/>
        <v>n</v>
      </c>
      <c r="CM3" s="53" t="str">
        <f t="shared" si="8"/>
        <v>n</v>
      </c>
      <c r="CN3" s="53" t="str">
        <f t="shared" si="9"/>
        <v>y</v>
      </c>
      <c r="CO3" s="53" t="str">
        <f t="shared" si="10"/>
        <v>n</v>
      </c>
      <c r="CP3" s="53" t="str">
        <f t="shared" si="11"/>
        <v>n</v>
      </c>
      <c r="CQ3" s="53" t="str">
        <f t="shared" si="12"/>
        <v>n</v>
      </c>
      <c r="CR3" s="53" t="str">
        <f t="shared" si="13"/>
        <v>n</v>
      </c>
      <c r="CS3" s="53" t="str">
        <f t="shared" si="14"/>
        <v>y</v>
      </c>
      <c r="CT3" s="38" t="str">
        <f t="shared" si="15"/>
        <v>"[PAU] Aimelik"</v>
      </c>
      <c r="CU3" s="63" t="str">
        <f t="shared" si="16"/>
        <v>"rgn_Oceania"</v>
      </c>
      <c r="CV3" s="44" t="str">
        <f t="shared" si="17"/>
        <v>"https://upload.wikimedia.org/wikipedia/commons/thumb/3/31/Flag_of_Aimeliik.svg/1024px-Flag_of_Aimeliik.svg.png"</v>
      </c>
      <c r="CW3" s="44" t="str">
        <f t="shared" si="18"/>
        <v/>
      </c>
      <c r="CX3" s="44" t="str">
        <f t="shared" si="19"/>
        <v/>
      </c>
      <c r="CY3" s="44" t="str">
        <f t="shared" si="20"/>
        <v>"4Color",</v>
      </c>
      <c r="CZ3" s="44" t="str">
        <f t="shared" si="21"/>
        <v/>
      </c>
      <c r="DA3" s="44" t="str">
        <f t="shared" si="22"/>
        <v/>
      </c>
      <c r="DB3" s="44" t="str">
        <f t="shared" si="23"/>
        <v/>
      </c>
      <c r="DC3" s="44" t="str">
        <f t="shared" si="24"/>
        <v/>
      </c>
      <c r="DD3" s="44" t="str">
        <f t="shared" si="25"/>
        <v>"lets07",</v>
      </c>
      <c r="DE3" s="44" t="str">
        <f t="shared" si="26"/>
        <v>"startA",</v>
      </c>
      <c r="DF3" s="44" t="str">
        <f t="shared" si="27"/>
        <v/>
      </c>
      <c r="DG3" s="44" t="str">
        <f t="shared" si="28"/>
        <v/>
      </c>
      <c r="DH3" s="44" t="str">
        <f t="shared" si="29"/>
        <v/>
      </c>
      <c r="DI3" s="44" t="str">
        <f t="shared" si="30"/>
        <v/>
      </c>
      <c r="DJ3" s="44" t="str">
        <f t="shared" si="31"/>
        <v/>
      </c>
      <c r="DK3" s="44" t="str">
        <f t="shared" si="32"/>
        <v/>
      </c>
      <c r="DL3" s="44" t="str">
        <f t="shared" si="33"/>
        <v/>
      </c>
      <c r="DM3" s="44" t="str" cm="1">
        <f t="array" ref="DM3">IF(CG3=3,CHAR(34) &amp; _xlfn.TEXTJOIN("", TRUE, RIGHT(HP3:HX3, 2)) &amp; CHAR(34) &amp; ",", "")</f>
        <v/>
      </c>
      <c r="DN3" s="44" t="str">
        <f t="shared" si="34"/>
        <v/>
      </c>
      <c r="DO3" s="44" t="str">
        <f t="shared" si="35"/>
        <v/>
      </c>
      <c r="DP3" s="5" t="str">
        <f t="shared" si="36"/>
        <v/>
      </c>
      <c r="DQ3" s="5" t="str">
        <f t="shared" si="37"/>
        <v/>
      </c>
      <c r="DR3" s="5" t="str">
        <f t="shared" si="38"/>
        <v/>
      </c>
      <c r="DS3" s="5" t="str">
        <f t="shared" si="39"/>
        <v/>
      </c>
      <c r="DT3" s="5" t="str">
        <f t="shared" si="40"/>
        <v>"allhor",</v>
      </c>
      <c r="DU3" s="5" t="str">
        <f t="shared" si="41"/>
        <v/>
      </c>
      <c r="DV3" s="44" t="str">
        <f t="shared" si="42"/>
        <v/>
      </c>
      <c r="DW3" s="44" t="str">
        <f t="shared" si="43"/>
        <v/>
      </c>
      <c r="DX3" s="44" t="str">
        <f t="shared" si="44"/>
        <v/>
      </c>
      <c r="DY3" s="44" t="str">
        <f t="shared" si="45"/>
        <v>"3Bands",</v>
      </c>
      <c r="DZ3" s="44" t="str">
        <f t="shared" si="46"/>
        <v/>
      </c>
      <c r="EA3" s="44" t="str">
        <f t="shared" si="47"/>
        <v/>
      </c>
      <c r="EB3" s="44" t="str">
        <f t="shared" si="48"/>
        <v/>
      </c>
      <c r="EC3" s="44" t="str">
        <f t="shared" si="49"/>
        <v>"Horizo",</v>
      </c>
      <c r="ED3" s="44" t="str">
        <f t="shared" si="50"/>
        <v/>
      </c>
      <c r="EE3" s="44" t="str">
        <f t="shared" si="51"/>
        <v/>
      </c>
      <c r="EF3" s="44" t="str">
        <f t="shared" si="52"/>
        <v/>
      </c>
      <c r="EG3" s="44" t="str">
        <f t="shared" si="53"/>
        <v/>
      </c>
      <c r="EH3" s="44" t="str">
        <f t="shared" si="54"/>
        <v/>
      </c>
      <c r="EI3" s="44" t="str">
        <f t="shared" si="55"/>
        <v/>
      </c>
      <c r="EJ3" s="44" t="str">
        <f t="shared" si="56"/>
        <v/>
      </c>
      <c r="EK3" s="44" t="str">
        <f t="shared" si="57"/>
        <v/>
      </c>
      <c r="EL3" s="44" t="str">
        <f t="shared" si="58"/>
        <v/>
      </c>
      <c r="EM3" s="44" t="str">
        <f t="shared" si="59"/>
        <v/>
      </c>
      <c r="EN3" s="44" t="str">
        <f t="shared" si="60"/>
        <v>"Unequa",</v>
      </c>
      <c r="EO3" s="44" t="str">
        <f t="shared" si="61"/>
        <v>"Center",</v>
      </c>
      <c r="EP3" s="44" t="str">
        <f t="shared" si="62"/>
        <v/>
      </c>
      <c r="EQ3" s="44" t="str">
        <f t="shared" si="63"/>
        <v/>
      </c>
      <c r="ER3" s="44" t="str">
        <f t="shared" si="64"/>
        <v/>
      </c>
      <c r="ES3" s="44" t="str">
        <f t="shared" si="65"/>
        <v/>
      </c>
      <c r="ET3" s="44" t="str">
        <f t="shared" si="66"/>
        <v/>
      </c>
      <c r="EU3" s="44" t="str">
        <f t="shared" si="67"/>
        <v/>
      </c>
      <c r="EV3" s="44" t="str">
        <f t="shared" si="68"/>
        <v/>
      </c>
      <c r="EW3" s="44" t="str">
        <f t="shared" si="69"/>
        <v/>
      </c>
      <c r="EX3" s="44" t="str">
        <f t="shared" si="70"/>
        <v/>
      </c>
      <c r="EY3" s="44" t="str">
        <f t="shared" si="71"/>
        <v/>
      </c>
      <c r="EZ3" s="44" t="str">
        <f t="shared" si="72"/>
        <v/>
      </c>
      <c r="FA3" s="44" t="str">
        <f t="shared" si="73"/>
        <v>"staWHI",</v>
      </c>
      <c r="FB3" s="44" t="str">
        <f t="shared" si="74"/>
        <v/>
      </c>
      <c r="FC3" s="44" t="str">
        <f t="shared" si="75"/>
        <v/>
      </c>
      <c r="FD3" s="44" t="str">
        <f t="shared" si="76"/>
        <v/>
      </c>
      <c r="FE3" s="44" t="str">
        <f t="shared" si="77"/>
        <v/>
      </c>
      <c r="FF3" s="44" t="str">
        <f t="shared" si="78"/>
        <v/>
      </c>
      <c r="FG3" s="44" t="str">
        <f t="shared" si="79"/>
        <v>"NO_RED",</v>
      </c>
      <c r="FH3" s="44" t="str">
        <f t="shared" si="80"/>
        <v/>
      </c>
      <c r="FI3" s="44" t="str">
        <f t="shared" si="81"/>
        <v>"NO_YEL",</v>
      </c>
      <c r="FJ3" s="44" t="str">
        <f t="shared" si="82"/>
        <v/>
      </c>
      <c r="FK3" s="44" t="str">
        <f t="shared" si="83"/>
        <v/>
      </c>
      <c r="FL3" s="44" t="str">
        <f t="shared" si="84"/>
        <v/>
      </c>
      <c r="FM3" s="44" t="str">
        <f t="shared" si="85"/>
        <v/>
      </c>
      <c r="FN3" s="44" t="str">
        <f t="shared" si="86"/>
        <v/>
      </c>
      <c r="FO3" s="44" t="str">
        <f t="shared" si="87"/>
        <v/>
      </c>
      <c r="FP3" s="44" t="str">
        <f t="shared" si="88"/>
        <v/>
      </c>
      <c r="FQ3" s="44" t="str">
        <f t="shared" si="89"/>
        <v>"001GRE",</v>
      </c>
      <c r="FR3" s="44" t="str">
        <f t="shared" si="90"/>
        <v>"002BLA",</v>
      </c>
      <c r="FS3" s="44" t="str">
        <f t="shared" si="91"/>
        <v>"003BLU",</v>
      </c>
      <c r="FT3" s="44" t="str">
        <f t="shared" si="92"/>
        <v>"myrEQ",</v>
      </c>
      <c r="FU3" s="44" t="str">
        <f t="shared" si="93"/>
        <v/>
      </c>
      <c r="FV3" s="44" t="str">
        <f t="shared" si="94"/>
        <v/>
      </c>
      <c r="FW3" s="44" t="str">
        <f t="shared" si="95"/>
        <v/>
      </c>
      <c r="FX3" s="44" t="str">
        <f t="shared" si="96"/>
        <v/>
      </c>
      <c r="FY3" s="44" t="str">
        <f t="shared" si="97"/>
        <v/>
      </c>
      <c r="FZ3" s="44" t="str">
        <f t="shared" si="98"/>
        <v/>
      </c>
      <c r="GA3" s="44" t="str">
        <f t="shared" si="99"/>
        <v/>
      </c>
      <c r="GB3" s="44" t="str">
        <f t="shared" si="100"/>
        <v/>
      </c>
      <c r="GC3" s="44" t="str">
        <f t="shared" si="101"/>
        <v/>
      </c>
      <c r="GD3" s="44" t="str">
        <f t="shared" si="102"/>
        <v/>
      </c>
      <c r="GE3" s="44" t="str">
        <f t="shared" si="103"/>
        <v/>
      </c>
      <c r="GF3" s="44" t="str">
        <f t="shared" ref="GF3:GF11" si="145">IFERROR(IF(SEARCH("Historical",AU3)&gt;0,CHAR(34)&amp;"histor"&amp;CHAR(34)&amp;",",""),"")</f>
        <v/>
      </c>
      <c r="GG3" s="44" t="str">
        <f t="shared" si="104"/>
        <v/>
      </c>
      <c r="GH3" s="44" t="str">
        <f t="shared" si="105"/>
        <v/>
      </c>
      <c r="GI3" s="44" t="str">
        <f t="shared" si="106"/>
        <v/>
      </c>
      <c r="GJ3" s="44" t="str">
        <f t="shared" si="107"/>
        <v/>
      </c>
      <c r="GK3" s="44" t="str">
        <f t="shared" si="108"/>
        <v>"HasSta",</v>
      </c>
      <c r="GL3" s="44" t="str">
        <f t="shared" si="109"/>
        <v/>
      </c>
      <c r="GM3" s="44" t="str">
        <f t="shared" si="110"/>
        <v/>
      </c>
      <c r="GN3" s="44" t="str">
        <f t="shared" si="111"/>
        <v>"3+Star",</v>
      </c>
      <c r="GP3" s="44" t="str">
        <f t="shared" si="112"/>
        <v>"State"</v>
      </c>
      <c r="GS3" s="44" t="str">
        <f t="shared" si="113"/>
        <v>["4Color","lets07","startA","allhor","3Bands","Horizo","Unequa","Center","staWHI","NO_RED","NO_YEL","001GRE","002BLA","003BLU","myrEQ","HasSta","3+Star"]</v>
      </c>
      <c r="GT3" s="44" t="str">
        <f t="shared" si="114"/>
        <v>"cl_BLA",</v>
      </c>
      <c r="GU3" s="44" t="str">
        <f t="shared" si="115"/>
        <v>"cl_BLU",</v>
      </c>
      <c r="GV3" s="44" t="str">
        <f t="shared" si="116"/>
        <v>"cl_GRE",</v>
      </c>
      <c r="GW3" s="44" t="str">
        <f t="shared" si="117"/>
        <v/>
      </c>
      <c r="GX3" s="44" t="str">
        <f t="shared" si="118"/>
        <v/>
      </c>
      <c r="GY3" s="44" t="str">
        <f t="shared" si="119"/>
        <v/>
      </c>
      <c r="GZ3" s="44" t="str">
        <f t="shared" si="120"/>
        <v/>
      </c>
      <c r="HA3" s="44" t="str">
        <f t="shared" si="121"/>
        <v/>
      </c>
      <c r="HB3" s="44" t="str">
        <f t="shared" si="122"/>
        <v>"cl_WHI",</v>
      </c>
      <c r="HC3" s="44" t="str">
        <f t="shared" si="123"/>
        <v>["cl_BLA","cl_BLU","cl_GRE","cl_WHI"]</v>
      </c>
      <c r="HE3" s="64"/>
      <c r="HF3" s="65" t="str">
        <f t="shared" si="124"/>
        <v>{couname:"[PAU] Aimelik",year:"???",region:"rgn_Oceania",Colors:["cl_BLA","cl_BLU","cl_GRE","cl_WHI"],Items:["4Color","lets07","startA","allhor","3Bands","Horizo","Unequa","Center","staWHI","NO_RED","NO_YEL","001GRE","002BLA","003BLU","myrEQ","HasSta","3+Star"],Flag:"https://upload.wikimedia.org/wikipedia/commons/thumb/3/31/Flag_of_Aimeliik.svg/1024px-Flag_of_Aimeliik.svg.png",HDFlag:"https://upload.wikimedia.org/wikipedia/commons/thumb/3/31/Flag_of_Aimeliik.svg/2560px-Flag_of_Aimeliik.svg.png",type:"State", describe: "\nThe five stars represent the five hamlets of Aimeliik. The green stripe represents Aimeliik's rainforest, the black stripe represents the fact that it was not conquered and the blue represents Aimeliik's large fishing area.", isnew:".", links: "https://en.wikipedia.org/wiki/Flags_of_the_states_of_Palau#"},</v>
      </c>
      <c r="HG3" s="66" t="str">
        <f t="shared" si="125"/>
        <v>{couname:"[PAU] Aimelik",year:"???",region:"rgn_Oceania",Colors:["cl_BLA","cl_BLU","cl_GRE","cl_WHI"],Items:["4Color","lets07","startA","allhor","3Bands","Horizo","Unequa","Center","staWHI","NO_RED","NO_YEL","001GRE","002BLA","003BLU","myrEQ","HasSta","3+Star"],Flag:"https://upload.wikimedia.org/wikipedia/commons/thumb/3/31/Flag_of_Aimeliik.svg/1024px-Flag_of_Aimeliik.svg.png",HDFlag:"https://upload.wikimedia.org/wikipedia/commons/thumb/3/31/Flag_of_Aimeliik.svg/2560px-Flag_of_Aimeliik.svg.png",type:"State", describe: "\nThe five stars represent the five hamlets of Aimeliik. The green stripe represents Aimeliik's rainforest, the black stripe represents the fact that it was not conquered and the blue represents Aimeliik's large fishing area.", links: "https://en.wikipedia.org/wiki/Flags_of_the_states_of_Palau#"},</v>
      </c>
      <c r="HH3" s="44" t="str">
        <f t="shared" si="126"/>
        <v>"\nThe five stars represent the five hamlets of Aimeliik. The green stripe represents Aimeliik's rainforest, the black stripe represents the fact that it was not conquered and the blue represents Aimeliik's large fishing area."</v>
      </c>
      <c r="HI3" s="44" t="str">
        <f t="shared" si="127"/>
        <v>"\nThe five stars represent the five hamlets of Aimeliik. The green stripe represents Aimeliik's rainforest, the black stripe represents the fact that it was not conquered and the blue represents Aimeliik's large fishing area."</v>
      </c>
      <c r="HJ3" s="44" t="str">
        <f t="shared" si="128"/>
        <v>"???"</v>
      </c>
      <c r="HL3" s="44" t="str">
        <f t="shared" si="129"/>
        <v>"https://en.wikipedia.org/wiki/Flags_of_the_states_of_Palau#"</v>
      </c>
      <c r="HM3" s="65" t="str">
        <f t="shared" si="130"/>
        <v>{"couname":"[PAU] Aimelik","year":"???","region":"rgn_Oceania","Colors":["cl_BLA","cl_BLU","cl_GRE","cl_WHI"],"Items":["4Color","lets07","startA","allhor","3Bands","Horizo","Unequa","Center","staWHI","NO_RED","NO_YEL","001GRE","002BLA","003BLU","myrEQ","HasSta","3+Star"],"Flag":"https://upload.wikimedia.org/wikipedia/commons/thumb/3/31/Flag_of_Aimeliik.svg/1024px-Flag_of_Aimeliik.svg.png","HDFlag":"https://upload.wikimedia.org/wikipedia/commons/thumb/3/31/Flag_of_Aimeliik.svg/2560px-Flag_of_Aimeliik.svg.png","type":"State", "describe": "\nThe five stars represent the five hamlets of Aimeliik. The green stripe represents Aimeliik's rainforest, the black stripe represents the fact that it was not conquered and the blue represents Aimeliik's large fishing area.", "isnew": ".", "links": "https://en.wikipedia.org/wiki/Flags_of_the_states_of_Palau#"},</v>
      </c>
      <c r="HN3" s="67" t="str">
        <f t="shared" si="131"/>
        <v>{"couname":"[PAU] Aimelik","year":"???","region":"rgn_Oceania","Colors":["cl_BLA","cl_BLU","cl_GRE","cl_WHI"],"Items":["4Color","lets07","startA","allhor","3Bands","Horizo","Unequa","Center","staWHI","NO_RED","NO_YEL","001GRE","002BLA","003BLU","myrEQ","HasSta","3+Star"],"Flag":"https://upload.wikimedia.org/wikipedia/commons/thumb/3/31/Flag_of_Aimeliik.svg/1024px-Flag_of_Aimeliik.svg.png","HDFlag":"https://upload.wikimedia.org/wikipedia/commons/thumb/3/31/Flag_of_Aimeliik.svg/2560px-Flag_of_Aimeliik.svg.png","type":"State", "describe": "\nThe five stars represent the five hamlets of Aimeliik. The green stripe represents Aimeliik's rainforest, the black stripe represents the fact that it was not conquered and the blue represents Aimeliik's large fishing area.", "isnew": ".", "links": "https://en.wikipedia.org/wiki/Flags_of_the_states_of_Palau#"},</v>
      </c>
      <c r="HO3" s="71"/>
      <c r="HP3" s="44" t="str" cm="1">
        <f t="array" ref="HP3">IF(_xlfn.TEXTJOIN(", ", TRUE, IF(ISNUMBER(SEARCH("BLA", BL3:BT3)), COLUMN(BL3:BT3) - COLUMN(BL3) + 1, ""))&lt;&gt;"","BLA","")</f>
        <v>BLA</v>
      </c>
      <c r="HQ3" s="44" t="str" cm="1">
        <f t="array" ref="HQ3">IF(_xlfn.TEXTJOIN(", ", TRUE, IF(ISNUMBER(SEARCH("BLU", BL3:BT3)), COLUMN(BL3:BT3) - COLUMN(BL3) + 1, ""))&lt;&gt;"","BLU","")</f>
        <v>BLU</v>
      </c>
      <c r="HR3" s="44" t="str" cm="1">
        <f t="array" ref="HR3">IF(_xlfn.TEXTJOIN(", ", TRUE, IF(ISNUMBER(SEARCH("GRE", BL3:BT3)), COLUMN(BL3:BT3) - COLUMN(BL3) + 1, ""))&lt;&gt;"","GRE","")</f>
        <v>GRE</v>
      </c>
      <c r="HS3" s="44" t="str" cm="1">
        <f t="array" ref="HS3">IF(_xlfn.TEXTJOIN(", ", TRUE, IF(ISNUMBER(SEARCH("RED", BL3:BT3)), COLUMN(BL3:BT3) - COLUMN(BL3) + 1, ""))&lt;&gt;"","RED","")</f>
        <v/>
      </c>
      <c r="HT3" s="44" t="str" cm="1">
        <f t="array" ref="HT3">IF(_xlfn.TEXTJOIN(", ", TRUE, IF(ISNUMBER(SEARCH("YEL", BL3:BT3)), COLUMN(BL3:BT3) - COLUMN(BL3) + 1, ""))&lt;&gt;"","YEL","")</f>
        <v/>
      </c>
      <c r="HU3" s="44" t="str" cm="1">
        <f t="array" ref="HU3">IF(_xlfn.TEXTJOIN(", ", TRUE, IF(ISNUMBER(SEARCH("ORA", BL3:BT3)), COLUMN(BL3:BT3) - COLUMN(BL3) + 1, ""))&lt;&gt;"","ORA","")</f>
        <v/>
      </c>
      <c r="HV3" s="44" t="str" cm="1">
        <f t="array" ref="HV3">IF(_xlfn.TEXTJOIN(", ", TRUE, IF(ISNUMBER(SEARCH("BRO", BL3:BT3)), COLUMN(BL3:BT3) - COLUMN(BL3) + 1, ""))&lt;&gt;"","BRO","")</f>
        <v/>
      </c>
      <c r="HW3" s="44" t="str" cm="1">
        <f t="array" ref="HW3">IF(_xlfn.TEXTJOIN(", ", TRUE, IF(ISNUMBER(SEARCH("PUR", BL3:BT3)), COLUMN(BL3:BT3) - COLUMN(BL3) + 1, ""))&lt;&gt;"","PUR","")</f>
        <v/>
      </c>
      <c r="HX3" s="44" t="str" cm="1">
        <f t="array" ref="HX3">IF(_xlfn.TEXTJOIN(", ", TRUE, IF(ISNUMBER(SEARCH("WHI", BL3:BT3)), COLUMN(BL3:BT3) - COLUMN(BL3) + 1, ""))&lt;&gt;"","WHI","")</f>
        <v>WHI</v>
      </c>
      <c r="HY3" s="72"/>
      <c r="HZ3" s="72"/>
      <c r="IA3" s="5"/>
      <c r="IB3" s="5"/>
      <c r="IC3" s="68"/>
      <c r="ID3" s="68"/>
      <c r="IE3" s="68"/>
      <c r="IF3" s="68"/>
      <c r="IG3" s="68"/>
      <c r="IH3" s="68"/>
      <c r="II3" s="68"/>
      <c r="IJ3" s="68"/>
      <c r="IK3" s="68"/>
      <c r="IL3" s="44">
        <f t="shared" si="132"/>
        <v>0</v>
      </c>
      <c r="IM3" s="42">
        <f t="shared" si="133"/>
        <v>-4</v>
      </c>
      <c r="IN3" s="69" t="str">
        <f t="shared" si="134"/>
        <v>http://mkweb.bcgsc.ca/color-summarizer/?url=https://upload.wikimedia.org/wikipedia/commons/thumb/3/31/Flag_of_Aimeliik.svg/1024px-Flag_of_Aimeliik.svg.png&amp;precision=low&amp;num_clusters=4&amp;text=1</v>
      </c>
      <c r="IO3" s="44" t="str">
        <f t="shared" si="135"/>
        <v>"black"</v>
      </c>
      <c r="IP3" s="44" t="str">
        <f t="shared" si="136"/>
        <v>"blue"</v>
      </c>
      <c r="IQ3" s="44" t="str">
        <f t="shared" si="137"/>
        <v>"green"</v>
      </c>
      <c r="IR3" s="44" t="str">
        <f t="shared" si="138"/>
        <v/>
      </c>
      <c r="IS3" s="44" t="str">
        <f t="shared" si="139"/>
        <v/>
      </c>
      <c r="IT3" s="44" t="str">
        <f t="shared" si="140"/>
        <v/>
      </c>
      <c r="IU3" s="44" t="str">
        <f t="shared" si="141"/>
        <v/>
      </c>
      <c r="IV3" s="44" t="str">
        <f t="shared" si="142"/>
        <v/>
      </c>
      <c r="IW3" s="44" t="str">
        <f t="shared" si="143"/>
        <v>"white"</v>
      </c>
      <c r="IX3" s="44" t="str">
        <f t="shared" si="144"/>
        <v>{"url":"http://mkweb.bcgsc.ca/color-summarizer/?url=https://upload.wikimedia.org/wikipedia/commons/thumb/3/31/Flag_of_Aimeliik.svg/1024px-Flag_of_Aimeliik.svg.png&amp;precision=low&amp;num_clusters=4&amp;text=1","name":"[PAU] Aimelik"},</v>
      </c>
      <c r="IY3" s="44">
        <v>685</v>
      </c>
    </row>
    <row r="4" spans="1:259" s="44" customFormat="1" ht="38.4" customHeight="1" thickBot="1" x14ac:dyDescent="0.35">
      <c r="A4" s="80" t="s">
        <v>468</v>
      </c>
      <c r="B4" s="78" t="e" vm="86">
        <v>#VALUE!</v>
      </c>
      <c r="C4" s="39">
        <v>2</v>
      </c>
      <c r="D4" s="70" t="s">
        <v>469</v>
      </c>
      <c r="E4" s="40" t="s">
        <v>470</v>
      </c>
      <c r="F4" s="41" t="s">
        <v>165</v>
      </c>
      <c r="G4" s="42">
        <f t="shared" si="0"/>
        <v>1</v>
      </c>
      <c r="H4" s="43"/>
      <c r="I4" s="59" t="s">
        <v>466</v>
      </c>
      <c r="J4" s="44" t="str">
        <f>""</f>
        <v/>
      </c>
      <c r="K4" s="45"/>
      <c r="L4" s="46"/>
      <c r="M4" s="46"/>
      <c r="N4" s="47" t="s">
        <v>177</v>
      </c>
      <c r="O4" s="74" t="s">
        <v>230</v>
      </c>
      <c r="P4" s="48" t="s">
        <v>471</v>
      </c>
      <c r="Q4" s="73">
        <v>1</v>
      </c>
      <c r="R4" s="49" t="s">
        <v>177</v>
      </c>
      <c r="S4" s="50">
        <v>0</v>
      </c>
      <c r="T4" s="51" t="s">
        <v>166</v>
      </c>
      <c r="U4" s="52" t="s">
        <v>166</v>
      </c>
      <c r="V4" s="52" t="s">
        <v>166</v>
      </c>
      <c r="W4" s="52" t="s">
        <v>166</v>
      </c>
      <c r="X4" s="52" t="s">
        <v>167</v>
      </c>
      <c r="Y4" s="52" t="s">
        <v>167</v>
      </c>
      <c r="Z4" s="52" t="s">
        <v>166</v>
      </c>
      <c r="AA4" s="52" t="s">
        <v>167</v>
      </c>
      <c r="AB4" s="52" t="s">
        <v>166</v>
      </c>
      <c r="AC4" s="52" t="s">
        <v>166</v>
      </c>
      <c r="AD4" s="52" t="s">
        <v>166</v>
      </c>
      <c r="AE4" s="52" t="s">
        <v>166</v>
      </c>
      <c r="AF4" s="53" t="s">
        <v>166</v>
      </c>
      <c r="AG4" s="53" t="s">
        <v>166</v>
      </c>
      <c r="AH4" s="53" t="s">
        <v>167</v>
      </c>
      <c r="AI4" s="53" t="s">
        <v>166</v>
      </c>
      <c r="AJ4" s="53" t="s">
        <v>166</v>
      </c>
      <c r="AK4" s="53" t="s">
        <v>166</v>
      </c>
      <c r="AL4" s="53" t="s">
        <v>166</v>
      </c>
      <c r="AM4" s="53" t="s">
        <v>166</v>
      </c>
      <c r="AN4" s="53" t="s">
        <v>166</v>
      </c>
      <c r="AO4" s="53" t="s">
        <v>166</v>
      </c>
      <c r="AP4" s="53" t="s">
        <v>166</v>
      </c>
      <c r="AQ4" s="53" t="s">
        <v>166</v>
      </c>
      <c r="AR4" s="53" t="s">
        <v>166</v>
      </c>
      <c r="AS4" s="53" t="s">
        <v>166</v>
      </c>
      <c r="AT4" s="54">
        <v>6</v>
      </c>
      <c r="AU4" s="53" t="s">
        <v>377</v>
      </c>
      <c r="AV4" s="53" t="str">
        <f t="shared" si="1"/>
        <v>[PAU]State[PAU] Airai</v>
      </c>
      <c r="AW4" s="53" t="str">
        <f t="shared" si="2"/>
        <v>2[PAU] Airai</v>
      </c>
      <c r="AX4" s="55"/>
      <c r="AY4" s="55"/>
      <c r="AZ4" s="56" t="s">
        <v>157</v>
      </c>
      <c r="BA4" s="56"/>
      <c r="BB4" s="56"/>
      <c r="BC4" s="57"/>
      <c r="BD4" s="58" t="s">
        <v>154</v>
      </c>
      <c r="BE4" s="59"/>
      <c r="BF4" s="58" t="s">
        <v>231</v>
      </c>
      <c r="BG4" s="58" t="s">
        <v>231</v>
      </c>
      <c r="BH4" s="58" t="s">
        <v>231</v>
      </c>
      <c r="BI4" s="58"/>
      <c r="BJ4" s="58"/>
      <c r="BK4" s="59"/>
      <c r="BL4" s="58" t="s">
        <v>153</v>
      </c>
      <c r="BM4" s="58" t="s">
        <v>154</v>
      </c>
      <c r="BN4" s="58" t="s">
        <v>231</v>
      </c>
      <c r="BO4" s="58" t="s">
        <v>156</v>
      </c>
      <c r="BP4" s="58" t="s">
        <v>157</v>
      </c>
      <c r="BQ4" s="58" t="s">
        <v>231</v>
      </c>
      <c r="BR4" s="58" t="s">
        <v>231</v>
      </c>
      <c r="BS4" s="58" t="s">
        <v>231</v>
      </c>
      <c r="BT4" s="58" t="s">
        <v>161</v>
      </c>
      <c r="BU4" s="60"/>
      <c r="BV4" s="61"/>
      <c r="BW4" s="61">
        <v>0</v>
      </c>
      <c r="BX4" s="59"/>
      <c r="CB4" s="5"/>
      <c r="CC4" s="5"/>
      <c r="CD4" s="62">
        <v>0</v>
      </c>
      <c r="CE4" s="62">
        <v>0</v>
      </c>
      <c r="CF4" s="62" t="e">
        <v>#REF!</v>
      </c>
      <c r="CG4" s="75" cm="1">
        <f t="array" ref="CG4">SUMPRODUCT(--(LEN(TRIM(BL4:BT4))&gt;0))</f>
        <v>5</v>
      </c>
      <c r="CH4" s="53" t="str">
        <f t="shared" si="3"/>
        <v>n</v>
      </c>
      <c r="CI4" s="53" t="str">
        <f t="shared" si="4"/>
        <v>n</v>
      </c>
      <c r="CJ4" s="53" t="str">
        <f t="shared" si="5"/>
        <v>n</v>
      </c>
      <c r="CK4" s="53" t="str">
        <f t="shared" si="6"/>
        <v>y</v>
      </c>
      <c r="CL4" s="53" t="str">
        <f t="shared" si="7"/>
        <v>y</v>
      </c>
      <c r="CM4" s="53" t="str">
        <f t="shared" si="8"/>
        <v>n</v>
      </c>
      <c r="CN4" s="53" t="str">
        <f t="shared" si="9"/>
        <v>n</v>
      </c>
      <c r="CO4" s="53" t="str">
        <f t="shared" si="10"/>
        <v>n</v>
      </c>
      <c r="CP4" s="53" t="str">
        <f t="shared" si="11"/>
        <v>n</v>
      </c>
      <c r="CQ4" s="53" t="str">
        <f t="shared" si="12"/>
        <v>n</v>
      </c>
      <c r="CR4" s="53" t="str">
        <f t="shared" si="13"/>
        <v>n</v>
      </c>
      <c r="CS4" s="53" t="str">
        <f t="shared" si="14"/>
        <v>y</v>
      </c>
      <c r="CT4" s="38" t="str">
        <f t="shared" si="15"/>
        <v>"[PAU] Airai"</v>
      </c>
      <c r="CU4" s="63" t="str">
        <f t="shared" si="16"/>
        <v>"rgn_Oceania"</v>
      </c>
      <c r="CV4" s="44" t="str">
        <f t="shared" si="17"/>
        <v>"https://upload.wikimedia.org/wikipedia/commons/thumb/d/d8/Flag_of_Airai_State.png/640px-Flag_of_Airai_State.png"</v>
      </c>
      <c r="CW4" s="44" t="str">
        <f t="shared" si="18"/>
        <v/>
      </c>
      <c r="CX4" s="44" t="str">
        <f t="shared" si="19"/>
        <v/>
      </c>
      <c r="CY4" s="44" t="str">
        <f t="shared" si="20"/>
        <v/>
      </c>
      <c r="CZ4" s="44" t="str">
        <f t="shared" si="21"/>
        <v>"5+Colo",</v>
      </c>
      <c r="DA4" s="44" t="str">
        <f t="shared" si="22"/>
        <v/>
      </c>
      <c r="DB4" s="44" t="str">
        <f t="shared" si="23"/>
        <v/>
      </c>
      <c r="DC4" s="44" t="str">
        <f t="shared" si="24"/>
        <v/>
      </c>
      <c r="DD4" s="44" t="str">
        <f t="shared" si="25"/>
        <v>"lets05",</v>
      </c>
      <c r="DE4" s="44" t="str">
        <f t="shared" si="26"/>
        <v>"startA",</v>
      </c>
      <c r="DF4" s="44" t="str">
        <f t="shared" si="27"/>
        <v/>
      </c>
      <c r="DG4" s="44" t="str">
        <f t="shared" si="28"/>
        <v/>
      </c>
      <c r="DH4" s="44" t="str">
        <f t="shared" si="29"/>
        <v/>
      </c>
      <c r="DI4" s="44" t="str">
        <f t="shared" si="30"/>
        <v/>
      </c>
      <c r="DJ4" s="44" t="str">
        <f t="shared" si="31"/>
        <v/>
      </c>
      <c r="DK4" s="44" t="str">
        <f t="shared" si="32"/>
        <v/>
      </c>
      <c r="DL4" s="44" t="str">
        <f t="shared" si="33"/>
        <v/>
      </c>
      <c r="DM4" s="44" t="str" cm="1">
        <f t="array" ref="DM4">IF(CG4=3,CHAR(34) &amp; _xlfn.TEXTJOIN("", TRUE, RIGHT(HP4:HX4, 2)) &amp; CHAR(34) &amp; ",", "")</f>
        <v/>
      </c>
      <c r="DN4" s="44" t="str">
        <f t="shared" si="34"/>
        <v/>
      </c>
      <c r="DO4" s="44" t="str">
        <f t="shared" si="35"/>
        <v/>
      </c>
      <c r="DP4" s="5" t="str">
        <f t="shared" si="36"/>
        <v/>
      </c>
      <c r="DQ4" s="5" t="str">
        <f t="shared" si="37"/>
        <v/>
      </c>
      <c r="DR4" s="5" t="str">
        <f t="shared" si="38"/>
        <v/>
      </c>
      <c r="DS4" s="5" t="str">
        <f t="shared" si="39"/>
        <v/>
      </c>
      <c r="DT4" s="5" t="str">
        <f t="shared" si="40"/>
        <v/>
      </c>
      <c r="DU4" s="5" t="str">
        <f t="shared" si="41"/>
        <v/>
      </c>
      <c r="DV4" s="44" t="str">
        <f t="shared" si="42"/>
        <v/>
      </c>
      <c r="DW4" s="44" t="str">
        <f t="shared" si="43"/>
        <v>"NoBand",</v>
      </c>
      <c r="DX4" s="44" t="str">
        <f t="shared" si="44"/>
        <v/>
      </c>
      <c r="DY4" s="44" t="str">
        <f t="shared" si="45"/>
        <v/>
      </c>
      <c r="DZ4" s="44" t="str">
        <f t="shared" si="46"/>
        <v/>
      </c>
      <c r="EA4" s="44" t="str">
        <f t="shared" si="47"/>
        <v/>
      </c>
      <c r="EB4" s="44" t="str">
        <f t="shared" si="48"/>
        <v/>
      </c>
      <c r="EC4" s="44" t="str">
        <f t="shared" si="49"/>
        <v/>
      </c>
      <c r="ED4" s="44" t="str">
        <f t="shared" si="50"/>
        <v/>
      </c>
      <c r="EE4" s="44" t="str">
        <f t="shared" si="51"/>
        <v>"Circle",</v>
      </c>
      <c r="EF4" s="44" t="str">
        <f t="shared" si="52"/>
        <v>"Animal",</v>
      </c>
      <c r="EG4" s="44" t="str">
        <f t="shared" si="53"/>
        <v/>
      </c>
      <c r="EH4" s="44" t="str">
        <f t="shared" si="54"/>
        <v>"Plants",</v>
      </c>
      <c r="EI4" s="44" t="str">
        <f t="shared" si="55"/>
        <v/>
      </c>
      <c r="EJ4" s="44" t="str">
        <f t="shared" si="56"/>
        <v/>
      </c>
      <c r="EK4" s="44" t="str">
        <f t="shared" si="57"/>
        <v/>
      </c>
      <c r="EL4" s="44" t="str">
        <f t="shared" si="58"/>
        <v/>
      </c>
      <c r="EM4" s="44" t="str">
        <f t="shared" si="59"/>
        <v/>
      </c>
      <c r="EN4" s="44" t="str">
        <f t="shared" si="60"/>
        <v/>
      </c>
      <c r="EO4" s="44" t="str">
        <f t="shared" si="61"/>
        <v>"Center",</v>
      </c>
      <c r="EP4" s="44" t="str">
        <f t="shared" si="62"/>
        <v/>
      </c>
      <c r="EQ4" s="44" t="str">
        <f t="shared" si="63"/>
        <v/>
      </c>
      <c r="ER4" s="44" t="str">
        <f t="shared" si="64"/>
        <v/>
      </c>
      <c r="ES4" s="44" t="str">
        <f t="shared" si="65"/>
        <v/>
      </c>
      <c r="ET4" s="44" t="str">
        <f t="shared" si="66"/>
        <v/>
      </c>
      <c r="EU4" s="44" t="str">
        <f t="shared" si="67"/>
        <v/>
      </c>
      <c r="EV4" s="44" t="str">
        <f t="shared" si="68"/>
        <v/>
      </c>
      <c r="EW4" s="44" t="str">
        <f t="shared" si="69"/>
        <v/>
      </c>
      <c r="EX4" s="44" t="str">
        <f t="shared" si="70"/>
        <v/>
      </c>
      <c r="EY4" s="44" t="str">
        <f t="shared" si="71"/>
        <v/>
      </c>
      <c r="EZ4" s="44" t="str">
        <f t="shared" si="72"/>
        <v/>
      </c>
      <c r="FA4" s="44" t="str">
        <f t="shared" si="73"/>
        <v>"staYEL",</v>
      </c>
      <c r="FB4" s="44" t="str">
        <f t="shared" si="74"/>
        <v/>
      </c>
      <c r="FC4" s="44" t="str">
        <f t="shared" si="75"/>
        <v/>
      </c>
      <c r="FD4" s="44" t="str">
        <f t="shared" si="76"/>
        <v/>
      </c>
      <c r="FE4" s="44" t="str">
        <f t="shared" si="77"/>
        <v/>
      </c>
      <c r="FF4" s="44" t="str">
        <f t="shared" si="78"/>
        <v/>
      </c>
      <c r="FG4" s="44" t="str">
        <f t="shared" si="79"/>
        <v/>
      </c>
      <c r="FH4" s="44" t="str">
        <f t="shared" si="80"/>
        <v>"NO_GRE",</v>
      </c>
      <c r="FI4" s="44" t="str">
        <f t="shared" si="81"/>
        <v/>
      </c>
      <c r="FJ4" s="44" t="str">
        <f t="shared" si="82"/>
        <v/>
      </c>
      <c r="FK4" s="44" t="str">
        <f t="shared" si="83"/>
        <v/>
      </c>
      <c r="FL4" s="44" t="str">
        <f t="shared" si="84"/>
        <v/>
      </c>
      <c r="FM4" s="44" t="str">
        <f t="shared" si="85"/>
        <v/>
      </c>
      <c r="FN4" s="44" t="str">
        <f t="shared" si="86"/>
        <v/>
      </c>
      <c r="FO4" s="44" t="str">
        <f t="shared" si="87"/>
        <v/>
      </c>
      <c r="FP4" s="44" t="str">
        <f t="shared" si="88"/>
        <v/>
      </c>
      <c r="FQ4" s="44" t="str">
        <f t="shared" si="89"/>
        <v/>
      </c>
      <c r="FR4" s="44" t="str">
        <f t="shared" si="90"/>
        <v/>
      </c>
      <c r="FS4" s="44" t="str">
        <f t="shared" si="91"/>
        <v/>
      </c>
      <c r="FT4" s="44" t="str">
        <f t="shared" si="92"/>
        <v>"myrBLU",</v>
      </c>
      <c r="FU4" s="44" t="str">
        <f t="shared" si="93"/>
        <v/>
      </c>
      <c r="FV4" s="44" t="str">
        <f t="shared" si="94"/>
        <v/>
      </c>
      <c r="FW4" s="44" t="str">
        <f t="shared" si="95"/>
        <v/>
      </c>
      <c r="FX4" s="44" t="str">
        <f t="shared" si="96"/>
        <v/>
      </c>
      <c r="FY4" s="44" t="str">
        <f t="shared" si="97"/>
        <v/>
      </c>
      <c r="FZ4" s="44" t="str">
        <f t="shared" si="98"/>
        <v/>
      </c>
      <c r="GA4" s="44" t="str">
        <f t="shared" si="99"/>
        <v/>
      </c>
      <c r="GB4" s="44" t="str">
        <f t="shared" si="100"/>
        <v/>
      </c>
      <c r="GC4" s="44" t="str">
        <f t="shared" si="101"/>
        <v/>
      </c>
      <c r="GD4" s="44" t="str">
        <f t="shared" si="102"/>
        <v/>
      </c>
      <c r="GE4" s="44" t="str">
        <f t="shared" si="103"/>
        <v/>
      </c>
      <c r="GF4" s="44" t="str">
        <f t="shared" si="145"/>
        <v/>
      </c>
      <c r="GG4" s="44" t="str">
        <f t="shared" si="104"/>
        <v/>
      </c>
      <c r="GH4" s="44" t="str">
        <f t="shared" si="105"/>
        <v/>
      </c>
      <c r="GI4" s="44" t="str">
        <f t="shared" si="106"/>
        <v/>
      </c>
      <c r="GJ4" s="44" t="str">
        <f t="shared" si="107"/>
        <v/>
      </c>
      <c r="GK4" s="44" t="str">
        <f t="shared" si="108"/>
        <v>"HasSta",</v>
      </c>
      <c r="GL4" s="44" t="str">
        <f t="shared" si="109"/>
        <v/>
      </c>
      <c r="GM4" s="44" t="str">
        <f t="shared" si="110"/>
        <v/>
      </c>
      <c r="GN4" s="44" t="str">
        <f t="shared" si="111"/>
        <v>"3+Star",</v>
      </c>
      <c r="GP4" s="44" t="str">
        <f t="shared" si="112"/>
        <v>"State"</v>
      </c>
      <c r="GS4" s="44" t="str">
        <f t="shared" si="113"/>
        <v>["5+Colo","lets05","startA","NoBand","Circle","Animal","Plants","Center","staYEL","NO_GRE","myrBLU","HasSta","3+Star"]</v>
      </c>
      <c r="GT4" s="44" t="str">
        <f t="shared" si="114"/>
        <v>"cl_BLA",</v>
      </c>
      <c r="GU4" s="44" t="str">
        <f t="shared" si="115"/>
        <v>"cl_BLU",</v>
      </c>
      <c r="GV4" s="44" t="str">
        <f t="shared" si="116"/>
        <v/>
      </c>
      <c r="GW4" s="44" t="str">
        <f t="shared" si="117"/>
        <v>"cl_RED",</v>
      </c>
      <c r="GX4" s="44" t="str">
        <f t="shared" si="118"/>
        <v>"cl_YEL",</v>
      </c>
      <c r="GY4" s="44" t="str">
        <f t="shared" si="119"/>
        <v/>
      </c>
      <c r="GZ4" s="44" t="str">
        <f t="shared" si="120"/>
        <v/>
      </c>
      <c r="HA4" s="44" t="str">
        <f t="shared" si="121"/>
        <v/>
      </c>
      <c r="HB4" s="44" t="str">
        <f t="shared" si="122"/>
        <v>"cl_WHI",</v>
      </c>
      <c r="HC4" s="44" t="str">
        <f t="shared" si="123"/>
        <v>["cl_BLA","cl_BLU","cl_RED","cl_YEL","cl_WHI"]</v>
      </c>
      <c r="HE4" s="64"/>
      <c r="HF4" s="65" t="str">
        <f t="shared" si="124"/>
        <v>{couname:"[PAU] Airai",year:"???",region:"rgn_Oceania",Colors:["cl_BLA","cl_BLU","cl_RED","cl_YEL","cl_WHI"],Items:["5+Colo","lets05","startA","NoBand","Circle","Animal","Plants","Center","staYEL","NO_GRE","myrBLU","HasSta","3+Star"],Flag:"https://upload.wikimedia.org/wikipedia/commons/thumb/d/d8/Flag_of_Airai_State.png/640px-Flag_of_Airai_State.png",HDFlag:"https://upload.wikimedia.org/wikipedia/commons/d/d8/Flag_of_Airai_State.png",type:"State", describe: "\nThe blue background represents the ocean and the white circle represents peace. The six stars stand for the six hamlets of Airai and the six fish for the six chiefs. In the centre is a ti plant", isnew:".", links: "https://en.wikipedia.org/wiki/Flags_of_the_states_of_Palau#"},</v>
      </c>
      <c r="HG4" s="66" t="str">
        <f t="shared" si="125"/>
        <v>{couname:"[PAU] Airai",year:"???",region:"rgn_Oceania",Colors:["cl_BLA","cl_BLU","cl_RED","cl_YEL","cl_WHI"],Items:["5+Colo","lets05","startA","NoBand","Circle","Animal","Plants","Center","staYEL","NO_GRE","myrBLU","HasSta","3+Star"],Flag:"https://upload.wikimedia.org/wikipedia/commons/thumb/d/d8/Flag_of_Airai_State.png/640px-Flag_of_Airai_State.png",HDFlag:"https://upload.wikimedia.org/wikipedia/commons/d/d8/Flag_of_Airai_State.png",type:"State", describe: "\nThe blue background represents the ocean and the white circle represents peace. The six stars stand for the six hamlets of Airai and the six fish for the six chiefs. In the centre is a ti plant", links: "https://en.wikipedia.org/wiki/Flags_of_the_states_of_Palau#"},</v>
      </c>
      <c r="HH4" s="44" t="str">
        <f t="shared" si="126"/>
        <v>"\nThe blue background represents the ocean and the white circle represents peace. The six stars stand for the six hamlets of Airai and the six fish for the six chiefs. In the centre is a ti plant"</v>
      </c>
      <c r="HI4" s="44" t="str">
        <f t="shared" si="127"/>
        <v>"\nThe blue background represents the ocean and the white circle represents peace. The six stars stand for the six hamlets of Airai and the six fish for the six chiefs. In the centre is a ti plant"</v>
      </c>
      <c r="HJ4" s="44" t="str">
        <f t="shared" si="128"/>
        <v>"???"</v>
      </c>
      <c r="HL4" s="44" t="str">
        <f t="shared" si="129"/>
        <v>"https://en.wikipedia.org/wiki/Flags_of_the_states_of_Palau#"</v>
      </c>
      <c r="HM4" s="65" t="str">
        <f t="shared" si="130"/>
        <v>{"couname":"[PAU] Airai","year":"???","region":"rgn_Oceania","Colors":["cl_BLA","cl_BLU","cl_RED","cl_YEL","cl_WHI"],"Items":["5+Colo","lets05","startA","NoBand","Circle","Animal","Plants","Center","staYEL","NO_GRE","myrBLU","HasSta","3+Star"],"Flag":"https://upload.wikimedia.org/wikipedia/commons/thumb/d/d8/Flag_of_Airai_State.png/640px-Flag_of_Airai_State.png","HDFlag":"https://upload.wikimedia.org/wikipedia/commons/d/d8/Flag_of_Airai_State.png","type":"State", "describe": "\nThe blue background represents the ocean and the white circle represents peace. The six stars stand for the six hamlets of Airai and the six fish for the six chiefs. In the centre is a ti plant", "isnew": ".", "links": "https://en.wikipedia.org/wiki/Flags_of_the_states_of_Palau#"},</v>
      </c>
      <c r="HN4" s="67" t="str">
        <f t="shared" si="131"/>
        <v>{"couname":"[PAU] Airai","year":"???","region":"rgn_Oceania","Colors":["cl_BLA","cl_BLU","cl_RED","cl_YEL","cl_WHI"],"Items":["5+Colo","lets05","startA","NoBand","Circle","Animal","Plants","Center","staYEL","NO_GRE","myrBLU","HasSta","3+Star"],"Flag":"https://upload.wikimedia.org/wikipedia/commons/thumb/d/d8/Flag_of_Airai_State.png/640px-Flag_of_Airai_State.png","HDFlag":"https://upload.wikimedia.org/wikipedia/commons/d/d8/Flag_of_Airai_State.png","type":"State", "describe": "\nThe blue background represents the ocean and the white circle represents peace. The six stars stand for the six hamlets of Airai and the six fish for the six chiefs. In the centre is a ti plant", "isnew": ".", "links": "https://en.wikipedia.org/wiki/Flags_of_the_states_of_Palau#"},</v>
      </c>
      <c r="HO4" s="71"/>
      <c r="HP4" s="44" t="str" cm="1">
        <f t="array" ref="HP4">IF(_xlfn.TEXTJOIN(", ", TRUE, IF(ISNUMBER(SEARCH("BLA", BL4:BT4)), COLUMN(BL4:BT4) - COLUMN(BL4) + 1, ""))&lt;&gt;"","BLA","")</f>
        <v>BLA</v>
      </c>
      <c r="HQ4" s="44" t="str" cm="1">
        <f t="array" ref="HQ4">IF(_xlfn.TEXTJOIN(", ", TRUE, IF(ISNUMBER(SEARCH("BLU", BL4:BT4)), COLUMN(BL4:BT4) - COLUMN(BL4) + 1, ""))&lt;&gt;"","BLU","")</f>
        <v>BLU</v>
      </c>
      <c r="HR4" s="44" t="str" cm="1">
        <f t="array" ref="HR4">IF(_xlfn.TEXTJOIN(", ", TRUE, IF(ISNUMBER(SEARCH("GRE", BL4:BT4)), COLUMN(BL4:BT4) - COLUMN(BL4) + 1, ""))&lt;&gt;"","GRE","")</f>
        <v/>
      </c>
      <c r="HS4" s="44" t="str" cm="1">
        <f t="array" ref="HS4">IF(_xlfn.TEXTJOIN(", ", TRUE, IF(ISNUMBER(SEARCH("RED", BL4:BT4)), COLUMN(BL4:BT4) - COLUMN(BL4) + 1, ""))&lt;&gt;"","RED","")</f>
        <v>RED</v>
      </c>
      <c r="HT4" s="44" t="str" cm="1">
        <f t="array" ref="HT4">IF(_xlfn.TEXTJOIN(", ", TRUE, IF(ISNUMBER(SEARCH("YEL", BL4:BT4)), COLUMN(BL4:BT4) - COLUMN(BL4) + 1, ""))&lt;&gt;"","YEL","")</f>
        <v>YEL</v>
      </c>
      <c r="HU4" s="44" t="str" cm="1">
        <f t="array" ref="HU4">IF(_xlfn.TEXTJOIN(", ", TRUE, IF(ISNUMBER(SEARCH("ORA", BL4:BT4)), COLUMN(BL4:BT4) - COLUMN(BL4) + 1, ""))&lt;&gt;"","ORA","")</f>
        <v/>
      </c>
      <c r="HV4" s="44" t="str" cm="1">
        <f t="array" ref="HV4">IF(_xlfn.TEXTJOIN(", ", TRUE, IF(ISNUMBER(SEARCH("BRO", BL4:BT4)), COLUMN(BL4:BT4) - COLUMN(BL4) + 1, ""))&lt;&gt;"","BRO","")</f>
        <v/>
      </c>
      <c r="HW4" s="44" t="str" cm="1">
        <f t="array" ref="HW4">IF(_xlfn.TEXTJOIN(", ", TRUE, IF(ISNUMBER(SEARCH("PUR", BL4:BT4)), COLUMN(BL4:BT4) - COLUMN(BL4) + 1, ""))&lt;&gt;"","PUR","")</f>
        <v/>
      </c>
      <c r="HX4" s="44" t="str" cm="1">
        <f t="array" ref="HX4">IF(_xlfn.TEXTJOIN(", ", TRUE, IF(ISNUMBER(SEARCH("WHI", BL4:BT4)), COLUMN(BL4:BT4) - COLUMN(BL4) + 1, ""))&lt;&gt;"","WHI","")</f>
        <v>WHI</v>
      </c>
      <c r="HY4" s="72"/>
      <c r="HZ4" s="72"/>
      <c r="IA4" s="5"/>
      <c r="IB4" s="5"/>
      <c r="IC4" s="68"/>
      <c r="ID4" s="68"/>
      <c r="IE4" s="68"/>
      <c r="IF4" s="68"/>
      <c r="IG4" s="68"/>
      <c r="IH4" s="68"/>
      <c r="II4" s="68"/>
      <c r="IJ4" s="68"/>
      <c r="IK4" s="68"/>
      <c r="IL4" s="44">
        <f t="shared" si="132"/>
        <v>0</v>
      </c>
      <c r="IM4" s="42">
        <f t="shared" si="133"/>
        <v>-5</v>
      </c>
      <c r="IN4" s="69" t="str">
        <f t="shared" si="134"/>
        <v>http://mkweb.bcgsc.ca/color-summarizer/?url=https://upload.wikimedia.org/wikipedia/commons/thumb/d/d8/Flag_of_Airai_State.png/640px-Flag_of_Airai_State.png&amp;precision=low&amp;num_clusters=5&amp;text=1</v>
      </c>
      <c r="IO4" s="44" t="str">
        <f t="shared" si="135"/>
        <v>"black"</v>
      </c>
      <c r="IP4" s="44" t="str">
        <f t="shared" si="136"/>
        <v>"blue"</v>
      </c>
      <c r="IQ4" s="44" t="str">
        <f t="shared" si="137"/>
        <v/>
      </c>
      <c r="IR4" s="44" t="str">
        <f t="shared" si="138"/>
        <v>"red"</v>
      </c>
      <c r="IS4" s="44" t="str">
        <f t="shared" si="139"/>
        <v>"yellow"</v>
      </c>
      <c r="IT4" s="44" t="str">
        <f t="shared" si="140"/>
        <v/>
      </c>
      <c r="IU4" s="44" t="str">
        <f t="shared" si="141"/>
        <v/>
      </c>
      <c r="IV4" s="44" t="str">
        <f t="shared" si="142"/>
        <v/>
      </c>
      <c r="IW4" s="44" t="str">
        <f t="shared" si="143"/>
        <v>"white"</v>
      </c>
      <c r="IX4" s="44" t="str">
        <f t="shared" si="144"/>
        <v>{"url":"http://mkweb.bcgsc.ca/color-summarizer/?url=https://upload.wikimedia.org/wikipedia/commons/thumb/d/d8/Flag_of_Airai_State.png/640px-Flag_of_Airai_State.png&amp;precision=low&amp;num_clusters=5&amp;text=1","name":"[PAU] Airai"},</v>
      </c>
      <c r="IY4" s="44">
        <v>686</v>
      </c>
    </row>
    <row r="5" spans="1:259" s="44" customFormat="1" ht="38.4" customHeight="1" thickBot="1" x14ac:dyDescent="0.35">
      <c r="A5" s="80" t="s">
        <v>472</v>
      </c>
      <c r="B5" s="78" t="e" vm="87">
        <v>#VALUE!</v>
      </c>
      <c r="C5" s="39">
        <v>2</v>
      </c>
      <c r="D5" s="70" t="s">
        <v>473</v>
      </c>
      <c r="E5" s="40" t="s">
        <v>473</v>
      </c>
      <c r="F5" s="41" t="s">
        <v>165</v>
      </c>
      <c r="G5" s="42">
        <f t="shared" si="0"/>
        <v>1</v>
      </c>
      <c r="H5" s="43"/>
      <c r="I5" s="59" t="s">
        <v>466</v>
      </c>
      <c r="J5" s="44" t="str">
        <f>""</f>
        <v/>
      </c>
      <c r="K5" s="45"/>
      <c r="L5" s="46"/>
      <c r="M5" s="46"/>
      <c r="N5" s="47" t="s">
        <v>177</v>
      </c>
      <c r="O5" s="74" t="s">
        <v>230</v>
      </c>
      <c r="P5" s="48" t="s">
        <v>474</v>
      </c>
      <c r="Q5" s="73">
        <v>1</v>
      </c>
      <c r="R5" s="49" t="s">
        <v>177</v>
      </c>
      <c r="S5" s="50">
        <v>4</v>
      </c>
      <c r="T5" s="51" t="s">
        <v>166</v>
      </c>
      <c r="U5" s="52" t="s">
        <v>166</v>
      </c>
      <c r="V5" s="52" t="s">
        <v>167</v>
      </c>
      <c r="W5" s="52" t="s">
        <v>166</v>
      </c>
      <c r="X5" s="52" t="s">
        <v>167</v>
      </c>
      <c r="Y5" s="52" t="s">
        <v>166</v>
      </c>
      <c r="Z5" s="52" t="s">
        <v>166</v>
      </c>
      <c r="AA5" s="52" t="s">
        <v>167</v>
      </c>
      <c r="AB5" s="52" t="s">
        <v>166</v>
      </c>
      <c r="AC5" s="52" t="s">
        <v>166</v>
      </c>
      <c r="AD5" s="52" t="s">
        <v>166</v>
      </c>
      <c r="AE5" s="52" t="s">
        <v>166</v>
      </c>
      <c r="AF5" s="53" t="s">
        <v>166</v>
      </c>
      <c r="AG5" s="53" t="s">
        <v>167</v>
      </c>
      <c r="AH5" s="53" t="s">
        <v>167</v>
      </c>
      <c r="AI5" s="53" t="s">
        <v>166</v>
      </c>
      <c r="AJ5" s="53" t="s">
        <v>166</v>
      </c>
      <c r="AK5" s="53" t="s">
        <v>166</v>
      </c>
      <c r="AL5" s="53" t="s">
        <v>166</v>
      </c>
      <c r="AM5" s="53" t="s">
        <v>166</v>
      </c>
      <c r="AN5" s="53" t="s">
        <v>166</v>
      </c>
      <c r="AO5" s="53" t="s">
        <v>166</v>
      </c>
      <c r="AP5" s="53" t="s">
        <v>166</v>
      </c>
      <c r="AQ5" s="53" t="s">
        <v>166</v>
      </c>
      <c r="AR5" s="53" t="s">
        <v>166</v>
      </c>
      <c r="AS5" s="53" t="s">
        <v>166</v>
      </c>
      <c r="AT5" s="54">
        <v>0</v>
      </c>
      <c r="AU5" s="53" t="s">
        <v>377</v>
      </c>
      <c r="AV5" s="53" t="str">
        <f t="shared" si="1"/>
        <v>[PAU]State[PAU] Angaur</v>
      </c>
      <c r="AW5" s="53" t="str">
        <f t="shared" si="2"/>
        <v>2[PAU] Angaur</v>
      </c>
      <c r="AX5" s="55"/>
      <c r="AY5" s="55"/>
      <c r="AZ5" s="56" t="s">
        <v>231</v>
      </c>
      <c r="BA5" s="56"/>
      <c r="BB5" s="56"/>
      <c r="BC5" s="57"/>
      <c r="BD5" s="58" t="s">
        <v>169</v>
      </c>
      <c r="BE5" s="59"/>
      <c r="BF5" s="58" t="s">
        <v>155</v>
      </c>
      <c r="BG5" s="58" t="s">
        <v>231</v>
      </c>
      <c r="BH5" s="58" t="s">
        <v>154</v>
      </c>
      <c r="BI5" s="58"/>
      <c r="BJ5" s="58"/>
      <c r="BK5" s="59"/>
      <c r="BL5" s="58" t="s">
        <v>153</v>
      </c>
      <c r="BM5" s="58" t="s">
        <v>154</v>
      </c>
      <c r="BN5" s="58" t="s">
        <v>155</v>
      </c>
      <c r="BO5" s="58" t="s">
        <v>156</v>
      </c>
      <c r="BP5" s="58" t="s">
        <v>231</v>
      </c>
      <c r="BQ5" s="58" t="s">
        <v>158</v>
      </c>
      <c r="BR5" s="58" t="s">
        <v>231</v>
      </c>
      <c r="BS5" s="58" t="s">
        <v>231</v>
      </c>
      <c r="BT5" s="58" t="s">
        <v>161</v>
      </c>
      <c r="BU5" s="60"/>
      <c r="BV5" s="61"/>
      <c r="BW5" s="61">
        <v>0</v>
      </c>
      <c r="BX5" s="59"/>
      <c r="CB5" s="5"/>
      <c r="CC5" s="5"/>
      <c r="CD5" s="62">
        <v>0</v>
      </c>
      <c r="CE5" s="62">
        <v>0</v>
      </c>
      <c r="CF5" s="62" t="e">
        <v>#REF!</v>
      </c>
      <c r="CG5" s="75" cm="1">
        <f t="array" ref="CG5">SUMPRODUCT(--(LEN(TRIM(BL5:BT5))&gt;0))</f>
        <v>6</v>
      </c>
      <c r="CH5" s="53" t="str">
        <f t="shared" si="3"/>
        <v>n</v>
      </c>
      <c r="CI5" s="53" t="str">
        <f t="shared" si="4"/>
        <v>n</v>
      </c>
      <c r="CJ5" s="53" t="str">
        <f t="shared" si="5"/>
        <v>n</v>
      </c>
      <c r="CK5" s="53" t="str">
        <f t="shared" si="6"/>
        <v>y</v>
      </c>
      <c r="CL5" s="53" t="str">
        <f t="shared" si="7"/>
        <v>n</v>
      </c>
      <c r="CM5" s="53" t="str">
        <f t="shared" si="8"/>
        <v>n</v>
      </c>
      <c r="CN5" s="53" t="str">
        <f t="shared" si="9"/>
        <v>n</v>
      </c>
      <c r="CO5" s="53" t="str">
        <f t="shared" si="10"/>
        <v>y</v>
      </c>
      <c r="CP5" s="53" t="str">
        <f t="shared" si="11"/>
        <v>y</v>
      </c>
      <c r="CQ5" s="53" t="str">
        <f t="shared" si="12"/>
        <v>n</v>
      </c>
      <c r="CR5" s="53" t="str">
        <f t="shared" si="13"/>
        <v>n</v>
      </c>
      <c r="CS5" s="53" t="str">
        <f t="shared" si="14"/>
        <v>n</v>
      </c>
      <c r="CT5" s="38" t="str">
        <f t="shared" si="15"/>
        <v>"[PAU] Angaur"</v>
      </c>
      <c r="CU5" s="63" t="str">
        <f t="shared" si="16"/>
        <v>"rgn_Oceania"</v>
      </c>
      <c r="CV5" s="44" t="str">
        <f t="shared" si="17"/>
        <v>"https://upload.wikimedia.org/wikipedia/commons/thumb/8/86/Flag_of_Angaur_State.svg/2560px-Flag_of_Angaur_State.svg.png"</v>
      </c>
      <c r="CW5" s="44" t="str">
        <f t="shared" si="18"/>
        <v/>
      </c>
      <c r="CX5" s="44" t="str">
        <f t="shared" si="19"/>
        <v/>
      </c>
      <c r="CY5" s="44" t="str">
        <f t="shared" si="20"/>
        <v/>
      </c>
      <c r="CZ5" s="44" t="str">
        <f t="shared" si="21"/>
        <v>"5+Colo",</v>
      </c>
      <c r="DA5" s="44" t="str">
        <f t="shared" si="22"/>
        <v/>
      </c>
      <c r="DB5" s="44" t="str">
        <f t="shared" si="23"/>
        <v/>
      </c>
      <c r="DC5" s="44" t="str">
        <f t="shared" si="24"/>
        <v/>
      </c>
      <c r="DD5" s="44" t="str">
        <f t="shared" si="25"/>
        <v>"lets06",</v>
      </c>
      <c r="DE5" s="44" t="str">
        <f t="shared" si="26"/>
        <v>"startA",</v>
      </c>
      <c r="DF5" s="44" t="str">
        <f t="shared" si="27"/>
        <v/>
      </c>
      <c r="DG5" s="44" t="str">
        <f t="shared" si="28"/>
        <v/>
      </c>
      <c r="DH5" s="44" t="str">
        <f t="shared" si="29"/>
        <v/>
      </c>
      <c r="DI5" s="44" t="str">
        <f t="shared" si="30"/>
        <v/>
      </c>
      <c r="DJ5" s="44" t="str">
        <f t="shared" si="31"/>
        <v/>
      </c>
      <c r="DK5" s="44" t="str">
        <f t="shared" si="32"/>
        <v/>
      </c>
      <c r="DL5" s="44" t="str">
        <f t="shared" si="33"/>
        <v/>
      </c>
      <c r="DM5" s="44" t="str" cm="1">
        <f t="array" ref="DM5">IF(CG5=3,CHAR(34) &amp; _xlfn.TEXTJOIN("", TRUE, RIGHT(HP5:HX5, 2)) &amp; CHAR(34) &amp; ",", "")</f>
        <v/>
      </c>
      <c r="DN5" s="44" t="str">
        <f t="shared" si="34"/>
        <v/>
      </c>
      <c r="DO5" s="44" t="str">
        <f t="shared" si="35"/>
        <v/>
      </c>
      <c r="DP5" s="5" t="str">
        <f t="shared" si="36"/>
        <v/>
      </c>
      <c r="DQ5" s="5" t="str">
        <f t="shared" si="37"/>
        <v/>
      </c>
      <c r="DR5" s="5" t="str">
        <f t="shared" si="38"/>
        <v/>
      </c>
      <c r="DS5" s="5" t="str">
        <f t="shared" si="39"/>
        <v/>
      </c>
      <c r="DT5" s="5" t="str">
        <f t="shared" si="40"/>
        <v>"allhor",</v>
      </c>
      <c r="DU5" s="5" t="str">
        <f t="shared" si="41"/>
        <v/>
      </c>
      <c r="DV5" s="44" t="str">
        <f t="shared" si="42"/>
        <v/>
      </c>
      <c r="DW5" s="44" t="str">
        <f t="shared" si="43"/>
        <v/>
      </c>
      <c r="DX5" s="44" t="str">
        <f t="shared" si="44"/>
        <v/>
      </c>
      <c r="DY5" s="44" t="str">
        <f t="shared" si="45"/>
        <v/>
      </c>
      <c r="DZ5" s="44" t="str">
        <f t="shared" si="46"/>
        <v>"4+Band",</v>
      </c>
      <c r="EA5" s="44" t="str">
        <f t="shared" si="47"/>
        <v/>
      </c>
      <c r="EB5" s="44" t="str">
        <f t="shared" si="48"/>
        <v/>
      </c>
      <c r="EC5" s="44" t="str">
        <f t="shared" si="49"/>
        <v>"Horizo",</v>
      </c>
      <c r="ED5" s="44" t="str">
        <f t="shared" si="50"/>
        <v/>
      </c>
      <c r="EE5" s="44" t="str">
        <f t="shared" si="51"/>
        <v>"Circle",</v>
      </c>
      <c r="EF5" s="44" t="str">
        <f t="shared" si="52"/>
        <v/>
      </c>
      <c r="EG5" s="44" t="str">
        <f t="shared" si="53"/>
        <v/>
      </c>
      <c r="EH5" s="44" t="str">
        <f t="shared" si="54"/>
        <v>"Plants",</v>
      </c>
      <c r="EI5" s="44" t="str">
        <f t="shared" si="55"/>
        <v/>
      </c>
      <c r="EJ5" s="44" t="str">
        <f t="shared" si="56"/>
        <v/>
      </c>
      <c r="EK5" s="44" t="str">
        <f t="shared" si="57"/>
        <v/>
      </c>
      <c r="EL5" s="44" t="str">
        <f t="shared" si="58"/>
        <v/>
      </c>
      <c r="EM5" s="44" t="str">
        <f t="shared" si="59"/>
        <v/>
      </c>
      <c r="EN5" s="44" t="str">
        <f t="shared" si="60"/>
        <v>"Unequa",</v>
      </c>
      <c r="EO5" s="44" t="str">
        <f t="shared" si="61"/>
        <v>"Center",</v>
      </c>
      <c r="EP5" s="44" t="str">
        <f t="shared" si="62"/>
        <v/>
      </c>
      <c r="EQ5" s="44" t="str">
        <f t="shared" si="63"/>
        <v/>
      </c>
      <c r="ER5" s="44" t="str">
        <f t="shared" si="64"/>
        <v/>
      </c>
      <c r="ES5" s="44" t="str">
        <f t="shared" si="65"/>
        <v/>
      </c>
      <c r="ET5" s="44" t="str">
        <f t="shared" si="66"/>
        <v/>
      </c>
      <c r="EU5" s="44" t="str">
        <f t="shared" si="67"/>
        <v/>
      </c>
      <c r="EV5" s="44" t="str">
        <f t="shared" si="68"/>
        <v/>
      </c>
      <c r="EW5" s="44" t="str">
        <f t="shared" si="69"/>
        <v/>
      </c>
      <c r="EX5" s="44" t="str">
        <f t="shared" si="70"/>
        <v/>
      </c>
      <c r="EY5" s="44" t="str">
        <f t="shared" si="71"/>
        <v/>
      </c>
      <c r="EZ5" s="44" t="str">
        <f t="shared" si="72"/>
        <v/>
      </c>
      <c r="FA5" s="44" t="str">
        <f t="shared" si="73"/>
        <v/>
      </c>
      <c r="FB5" s="44" t="str">
        <f t="shared" si="74"/>
        <v/>
      </c>
      <c r="FC5" s="44" t="str">
        <f t="shared" si="75"/>
        <v/>
      </c>
      <c r="FD5" s="44" t="str">
        <f t="shared" si="76"/>
        <v/>
      </c>
      <c r="FE5" s="44" t="str">
        <f t="shared" si="77"/>
        <v/>
      </c>
      <c r="FF5" s="44" t="str">
        <f t="shared" si="78"/>
        <v/>
      </c>
      <c r="FG5" s="44" t="str">
        <f t="shared" si="79"/>
        <v/>
      </c>
      <c r="FH5" s="44" t="str">
        <f t="shared" si="80"/>
        <v/>
      </c>
      <c r="FI5" s="44" t="str">
        <f t="shared" si="81"/>
        <v>"NO_YEL",</v>
      </c>
      <c r="FJ5" s="44" t="str">
        <f t="shared" si="82"/>
        <v/>
      </c>
      <c r="FK5" s="44" t="str">
        <f t="shared" si="83"/>
        <v/>
      </c>
      <c r="FL5" s="44" t="str">
        <f t="shared" si="84"/>
        <v/>
      </c>
      <c r="FM5" s="44" t="str">
        <f t="shared" si="85"/>
        <v/>
      </c>
      <c r="FN5" s="44" t="str">
        <f t="shared" si="86"/>
        <v/>
      </c>
      <c r="FO5" s="44" t="str">
        <f t="shared" si="87"/>
        <v/>
      </c>
      <c r="FP5" s="44" t="str">
        <f t="shared" si="88"/>
        <v/>
      </c>
      <c r="FQ5" s="44" t="str">
        <f t="shared" si="89"/>
        <v>"001GRE",</v>
      </c>
      <c r="FR5" s="44" t="str">
        <f t="shared" si="90"/>
        <v/>
      </c>
      <c r="FS5" s="44" t="str">
        <f t="shared" si="91"/>
        <v>"003BLU",</v>
      </c>
      <c r="FT5" s="44" t="str">
        <f t="shared" si="92"/>
        <v>"myrEQ",</v>
      </c>
      <c r="FU5" s="44" t="str">
        <f t="shared" si="93"/>
        <v/>
      </c>
      <c r="FV5" s="44" t="str">
        <f t="shared" si="94"/>
        <v/>
      </c>
      <c r="FW5" s="44" t="str">
        <f t="shared" si="95"/>
        <v/>
      </c>
      <c r="FX5" s="44" t="str">
        <f t="shared" si="96"/>
        <v/>
      </c>
      <c r="FY5" s="44" t="str">
        <f t="shared" si="97"/>
        <v/>
      </c>
      <c r="FZ5" s="44" t="str">
        <f t="shared" si="98"/>
        <v/>
      </c>
      <c r="GA5" s="44" t="str">
        <f t="shared" si="99"/>
        <v/>
      </c>
      <c r="GB5" s="44" t="str">
        <f t="shared" si="100"/>
        <v/>
      </c>
      <c r="GC5" s="44" t="str">
        <f t="shared" si="101"/>
        <v/>
      </c>
      <c r="GD5" s="44" t="str">
        <f t="shared" si="102"/>
        <v/>
      </c>
      <c r="GE5" s="44" t="str">
        <f t="shared" si="103"/>
        <v/>
      </c>
      <c r="GF5" s="44" t="str">
        <f t="shared" si="145"/>
        <v/>
      </c>
      <c r="GG5" s="44" t="str">
        <f t="shared" si="104"/>
        <v/>
      </c>
      <c r="GH5" s="44" t="str">
        <f t="shared" si="105"/>
        <v/>
      </c>
      <c r="GI5" s="44" t="str">
        <f t="shared" si="106"/>
        <v/>
      </c>
      <c r="GJ5" s="44" t="str">
        <f t="shared" si="107"/>
        <v>"NoStar",</v>
      </c>
      <c r="GK5" s="44" t="str">
        <f t="shared" si="108"/>
        <v/>
      </c>
      <c r="GL5" s="44" t="str">
        <f t="shared" si="109"/>
        <v/>
      </c>
      <c r="GM5" s="44" t="str">
        <f t="shared" si="110"/>
        <v/>
      </c>
      <c r="GN5" s="44" t="str">
        <f t="shared" si="111"/>
        <v/>
      </c>
      <c r="GP5" s="44" t="str">
        <f t="shared" si="112"/>
        <v>"State"</v>
      </c>
      <c r="GS5" s="44" t="str">
        <f t="shared" si="113"/>
        <v>["5+Colo","lets06","startA","allhor","4+Band","Horizo","Circle","Plants","Unequa","Center","NO_YEL","001GRE","003BLU","myrEQ","NoStar"]</v>
      </c>
      <c r="GT5" s="44" t="str">
        <f t="shared" si="114"/>
        <v>"cl_BLA",</v>
      </c>
      <c r="GU5" s="44" t="str">
        <f t="shared" si="115"/>
        <v>"cl_BLU",</v>
      </c>
      <c r="GV5" s="44" t="str">
        <f t="shared" si="116"/>
        <v>"cl_GRE",</v>
      </c>
      <c r="GW5" s="44" t="str">
        <f t="shared" si="117"/>
        <v>"cl_RED",</v>
      </c>
      <c r="GX5" s="44" t="str">
        <f t="shared" si="118"/>
        <v/>
      </c>
      <c r="GY5" s="44" t="str">
        <f t="shared" si="119"/>
        <v>"cl_ORA",</v>
      </c>
      <c r="GZ5" s="44" t="str">
        <f t="shared" si="120"/>
        <v/>
      </c>
      <c r="HA5" s="44" t="str">
        <f t="shared" si="121"/>
        <v/>
      </c>
      <c r="HB5" s="44" t="str">
        <f t="shared" si="122"/>
        <v>"cl_WHI",</v>
      </c>
      <c r="HC5" s="44" t="str">
        <f t="shared" si="123"/>
        <v>["cl_BLA","cl_BLU","cl_GRE","cl_RED","cl_ORA","cl_WHI"]</v>
      </c>
      <c r="HE5" s="64"/>
      <c r="HF5" s="65" t="str">
        <f t="shared" si="124"/>
        <v>{couname:"[PAU] Angaur",year:"???",region:"rgn_Oceania",Colors:["cl_BLA","cl_BLU","cl_GRE","cl_RED","cl_ORA","cl_WHI"],Items:["5+Colo","lets06","startA","allhor","4+Band","Horizo","Circle","Plants","Unequa","Center","NO_YEL","001GRE","003BLU","myrEQ","NoStar"],Flag:"https://upload.wikimedia.org/wikipedia/commons/thumb/8/86/Flag_of_Angaur_State.svg/2560px-Flag_of_Angaur_State.svg.png",HDFlag:"https://upload.wikimedia.org/wikipedia/commons/thumb/8/86/Flag_of_Angaur_State.svg/2560px-Flag_of_Angaur_State.svg.png",type:"State", describe: "\nThe four stripes stand for the four hamlets of Angaur. In the center is a kelau flower.", isnew:".", links: "https://en.wikipedia.org/wiki/Flags_of_the_states_of_Palau#"},</v>
      </c>
      <c r="HG5" s="66" t="str">
        <f t="shared" si="125"/>
        <v>{couname:"[PAU] Angaur",year:"???",region:"rgn_Oceania",Colors:["cl_BLA","cl_BLU","cl_GRE","cl_RED","cl_ORA","cl_WHI"],Items:["5+Colo","lets06","startA","allhor","4+Band","Horizo","Circle","Plants","Unequa","Center","NO_YEL","001GRE","003BLU","myrEQ","NoStar"],Flag:"https://upload.wikimedia.org/wikipedia/commons/thumb/8/86/Flag_of_Angaur_State.svg/2560px-Flag_of_Angaur_State.svg.png",HDFlag:"https://upload.wikimedia.org/wikipedia/commons/thumb/8/86/Flag_of_Angaur_State.svg/2560px-Flag_of_Angaur_State.svg.png",type:"State", describe: "\nThe four stripes stand for the four hamlets of Angaur. In the center is a kelau flower.", links: "https://en.wikipedia.org/wiki/Flags_of_the_states_of_Palau#"},</v>
      </c>
      <c r="HH5" s="44" t="str">
        <f t="shared" si="126"/>
        <v>"\nThe four stripes stand for the four hamlets of Angaur. In the center is a kelau flower."</v>
      </c>
      <c r="HI5" s="44" t="str">
        <f t="shared" si="127"/>
        <v>"\nThe four stripes stand for the four hamlets of Angaur. In the center is a kelau flower."</v>
      </c>
      <c r="HJ5" s="44" t="str">
        <f t="shared" si="128"/>
        <v>"???"</v>
      </c>
      <c r="HL5" s="44" t="str">
        <f t="shared" si="129"/>
        <v>"https://en.wikipedia.org/wiki/Flags_of_the_states_of_Palau#"</v>
      </c>
      <c r="HM5" s="65" t="str">
        <f t="shared" si="130"/>
        <v>{"couname":"[PAU] Angaur","year":"???","region":"rgn_Oceania","Colors":["cl_BLA","cl_BLU","cl_GRE","cl_RED","cl_ORA","cl_WHI"],"Items":["5+Colo","lets06","startA","allhor","4+Band","Horizo","Circle","Plants","Unequa","Center","NO_YEL","001GRE","003BLU","myrEQ","NoStar"],"Flag":"https://upload.wikimedia.org/wikipedia/commons/thumb/8/86/Flag_of_Angaur_State.svg/2560px-Flag_of_Angaur_State.svg.png","HDFlag":"https://upload.wikimedia.org/wikipedia/commons/thumb/8/86/Flag_of_Angaur_State.svg/2560px-Flag_of_Angaur_State.svg.png","type":"State", "describe": "\nThe four stripes stand for the four hamlets of Angaur. In the center is a kelau flower.", "isnew": ".", "links": "https://en.wikipedia.org/wiki/Flags_of_the_states_of_Palau#"},</v>
      </c>
      <c r="HN5" s="67" t="str">
        <f t="shared" si="131"/>
        <v>{"couname":"[PAU] Angaur","year":"???","region":"rgn_Oceania","Colors":["cl_BLA","cl_BLU","cl_GRE","cl_RED","cl_ORA","cl_WHI"],"Items":["5+Colo","lets06","startA","allhor","4+Band","Horizo","Circle","Plants","Unequa","Center","NO_YEL","001GRE","003BLU","myrEQ","NoStar"],"Flag":"https://upload.wikimedia.org/wikipedia/commons/thumb/8/86/Flag_of_Angaur_State.svg/2560px-Flag_of_Angaur_State.svg.png","HDFlag":"https://upload.wikimedia.org/wikipedia/commons/thumb/8/86/Flag_of_Angaur_State.svg/2560px-Flag_of_Angaur_State.svg.png","type":"State", "describe": "\nThe four stripes stand for the four hamlets of Angaur. In the center is a kelau flower.", "isnew": ".", "links": "https://en.wikipedia.org/wiki/Flags_of_the_states_of_Palau#"},</v>
      </c>
      <c r="HO5" s="71"/>
      <c r="HP5" s="44" t="str" cm="1">
        <f t="array" ref="HP5">IF(_xlfn.TEXTJOIN(", ", TRUE, IF(ISNUMBER(SEARCH("BLA", BL5:BT5)), COLUMN(BL5:BT5) - COLUMN(BL5) + 1, ""))&lt;&gt;"","BLA","")</f>
        <v>BLA</v>
      </c>
      <c r="HQ5" s="44" t="str" cm="1">
        <f t="array" ref="HQ5">IF(_xlfn.TEXTJOIN(", ", TRUE, IF(ISNUMBER(SEARCH("BLU", BL5:BT5)), COLUMN(BL5:BT5) - COLUMN(BL5) + 1, ""))&lt;&gt;"","BLU","")</f>
        <v>BLU</v>
      </c>
      <c r="HR5" s="44" t="str" cm="1">
        <f t="array" ref="HR5">IF(_xlfn.TEXTJOIN(", ", TRUE, IF(ISNUMBER(SEARCH("GRE", BL5:BT5)), COLUMN(BL5:BT5) - COLUMN(BL5) + 1, ""))&lt;&gt;"","GRE","")</f>
        <v>GRE</v>
      </c>
      <c r="HS5" s="44" t="str" cm="1">
        <f t="array" ref="HS5">IF(_xlfn.TEXTJOIN(", ", TRUE, IF(ISNUMBER(SEARCH("RED", BL5:BT5)), COLUMN(BL5:BT5) - COLUMN(BL5) + 1, ""))&lt;&gt;"","RED","")</f>
        <v>RED</v>
      </c>
      <c r="HT5" s="44" t="str" cm="1">
        <f t="array" ref="HT5">IF(_xlfn.TEXTJOIN(", ", TRUE, IF(ISNUMBER(SEARCH("YEL", BL5:BT5)), COLUMN(BL5:BT5) - COLUMN(BL5) + 1, ""))&lt;&gt;"","YEL","")</f>
        <v/>
      </c>
      <c r="HU5" s="44" t="str" cm="1">
        <f t="array" ref="HU5">IF(_xlfn.TEXTJOIN(", ", TRUE, IF(ISNUMBER(SEARCH("ORA", BL5:BT5)), COLUMN(BL5:BT5) - COLUMN(BL5) + 1, ""))&lt;&gt;"","ORA","")</f>
        <v>ORA</v>
      </c>
      <c r="HV5" s="44" t="str" cm="1">
        <f t="array" ref="HV5">IF(_xlfn.TEXTJOIN(", ", TRUE, IF(ISNUMBER(SEARCH("BRO", BL5:BT5)), COLUMN(BL5:BT5) - COLUMN(BL5) + 1, ""))&lt;&gt;"","BRO","")</f>
        <v/>
      </c>
      <c r="HW5" s="44" t="str" cm="1">
        <f t="array" ref="HW5">IF(_xlfn.TEXTJOIN(", ", TRUE, IF(ISNUMBER(SEARCH("PUR", BL5:BT5)), COLUMN(BL5:BT5) - COLUMN(BL5) + 1, ""))&lt;&gt;"","PUR","")</f>
        <v/>
      </c>
      <c r="HX5" s="44" t="str" cm="1">
        <f t="array" ref="HX5">IF(_xlfn.TEXTJOIN(", ", TRUE, IF(ISNUMBER(SEARCH("WHI", BL5:BT5)), COLUMN(BL5:BT5) - COLUMN(BL5) + 1, ""))&lt;&gt;"","WHI","")</f>
        <v>WHI</v>
      </c>
      <c r="HY5" s="72"/>
      <c r="HZ5" s="72"/>
      <c r="IA5" s="5"/>
      <c r="IB5" s="5"/>
      <c r="IC5" s="68"/>
      <c r="ID5" s="68"/>
      <c r="IE5" s="68"/>
      <c r="IF5" s="68"/>
      <c r="IG5" s="68"/>
      <c r="IH5" s="68"/>
      <c r="II5" s="68"/>
      <c r="IJ5" s="68"/>
      <c r="IK5" s="68"/>
      <c r="IL5" s="44">
        <f t="shared" si="132"/>
        <v>0</v>
      </c>
      <c r="IM5" s="42">
        <f t="shared" si="133"/>
        <v>-6</v>
      </c>
      <c r="IN5" s="69" t="str">
        <f t="shared" si="134"/>
        <v>http://mkweb.bcgsc.ca/color-summarizer/?url=https://upload.wikimedia.org/wikipedia/commons/thumb/8/86/Flag_of_Angaur_State.svg/2560px-Flag_of_Angaur_State.svg.png&amp;precision=low&amp;num_clusters=6&amp;text=1</v>
      </c>
      <c r="IO5" s="44" t="str">
        <f t="shared" si="135"/>
        <v>"black"</v>
      </c>
      <c r="IP5" s="44" t="str">
        <f t="shared" si="136"/>
        <v>"blue"</v>
      </c>
      <c r="IQ5" s="44" t="str">
        <f t="shared" si="137"/>
        <v>"green"</v>
      </c>
      <c r="IR5" s="44" t="str">
        <f t="shared" si="138"/>
        <v>"red"</v>
      </c>
      <c r="IS5" s="44" t="str">
        <f t="shared" si="139"/>
        <v/>
      </c>
      <c r="IT5" s="44" t="str">
        <f t="shared" si="140"/>
        <v>"orange"</v>
      </c>
      <c r="IU5" s="44" t="str">
        <f t="shared" si="141"/>
        <v/>
      </c>
      <c r="IV5" s="44" t="str">
        <f t="shared" si="142"/>
        <v/>
      </c>
      <c r="IW5" s="44" t="str">
        <f t="shared" si="143"/>
        <v>"white"</v>
      </c>
      <c r="IX5" s="44" t="str">
        <f t="shared" si="144"/>
        <v>{"url":"http://mkweb.bcgsc.ca/color-summarizer/?url=https://upload.wikimedia.org/wikipedia/commons/thumb/8/86/Flag_of_Angaur_State.svg/2560px-Flag_of_Angaur_State.svg.png&amp;precision=low&amp;num_clusters=6&amp;text=1","name":"[PAU] Angaur"},</v>
      </c>
      <c r="IY5" s="44">
        <v>687</v>
      </c>
    </row>
    <row r="6" spans="1:259" s="44" customFormat="1" ht="38.4" customHeight="1" thickBot="1" x14ac:dyDescent="0.35">
      <c r="A6" s="80" t="s">
        <v>475</v>
      </c>
      <c r="B6" s="78" t="e" vm="88">
        <v>#VALUE!</v>
      </c>
      <c r="C6" s="39">
        <v>2</v>
      </c>
      <c r="D6" s="70" t="s">
        <v>476</v>
      </c>
      <c r="E6" s="40" t="s">
        <v>477</v>
      </c>
      <c r="F6" s="41" t="s">
        <v>165</v>
      </c>
      <c r="G6" s="42">
        <f t="shared" si="0"/>
        <v>1</v>
      </c>
      <c r="H6" s="43"/>
      <c r="I6" s="59" t="s">
        <v>466</v>
      </c>
      <c r="J6" s="44" t="str">
        <f>""</f>
        <v/>
      </c>
      <c r="K6" s="45"/>
      <c r="L6" s="46"/>
      <c r="M6" s="46"/>
      <c r="N6" s="47" t="s">
        <v>177</v>
      </c>
      <c r="O6" s="74" t="s">
        <v>230</v>
      </c>
      <c r="P6" s="48" t="s">
        <v>478</v>
      </c>
      <c r="Q6" s="73">
        <v>1</v>
      </c>
      <c r="R6" s="49" t="s">
        <v>177</v>
      </c>
      <c r="S6" s="50">
        <v>0</v>
      </c>
      <c r="T6" s="51" t="s">
        <v>166</v>
      </c>
      <c r="U6" s="52" t="s">
        <v>166</v>
      </c>
      <c r="V6" s="52" t="s">
        <v>166</v>
      </c>
      <c r="W6" s="52" t="s">
        <v>166</v>
      </c>
      <c r="X6" s="52" t="s">
        <v>166</v>
      </c>
      <c r="Y6" s="52" t="s">
        <v>167</v>
      </c>
      <c r="Z6" s="52" t="s">
        <v>166</v>
      </c>
      <c r="AA6" s="52" t="s">
        <v>166</v>
      </c>
      <c r="AB6" s="52" t="s">
        <v>166</v>
      </c>
      <c r="AC6" s="52" t="s">
        <v>166</v>
      </c>
      <c r="AD6" s="52" t="s">
        <v>166</v>
      </c>
      <c r="AE6" s="52" t="s">
        <v>166</v>
      </c>
      <c r="AF6" s="53" t="s">
        <v>166</v>
      </c>
      <c r="AG6" s="53" t="s">
        <v>166</v>
      </c>
      <c r="AH6" s="53" t="s">
        <v>166</v>
      </c>
      <c r="AI6" s="53" t="s">
        <v>166</v>
      </c>
      <c r="AJ6" s="53" t="s">
        <v>166</v>
      </c>
      <c r="AK6" s="53" t="s">
        <v>166</v>
      </c>
      <c r="AL6" s="53" t="s">
        <v>166</v>
      </c>
      <c r="AM6" s="53" t="s">
        <v>166</v>
      </c>
      <c r="AN6" s="53" t="s">
        <v>166</v>
      </c>
      <c r="AO6" s="53" t="s">
        <v>166</v>
      </c>
      <c r="AP6" s="53" t="s">
        <v>166</v>
      </c>
      <c r="AQ6" s="53" t="s">
        <v>166</v>
      </c>
      <c r="AR6" s="53" t="s">
        <v>166</v>
      </c>
      <c r="AS6" s="53" t="s">
        <v>166</v>
      </c>
      <c r="AT6" s="54">
        <v>3</v>
      </c>
      <c r="AU6" s="53" t="s">
        <v>377</v>
      </c>
      <c r="AV6" s="53" t="str">
        <f t="shared" si="1"/>
        <v>[PAU]State[PAU] Hatohobei</v>
      </c>
      <c r="AW6" s="53" t="str">
        <f t="shared" si="2"/>
        <v>2[PAU] Hatohobei</v>
      </c>
      <c r="AX6" s="55"/>
      <c r="AY6" s="55"/>
      <c r="AZ6" s="56" t="s">
        <v>161</v>
      </c>
      <c r="BA6" s="56"/>
      <c r="BB6" s="56"/>
      <c r="BC6" s="57"/>
      <c r="BD6" s="58" t="s">
        <v>154</v>
      </c>
      <c r="BE6" s="59"/>
      <c r="BF6" s="58" t="s">
        <v>231</v>
      </c>
      <c r="BG6" s="58" t="s">
        <v>231</v>
      </c>
      <c r="BH6" s="58" t="s">
        <v>231</v>
      </c>
      <c r="BI6" s="58"/>
      <c r="BJ6" s="58"/>
      <c r="BK6" s="59"/>
      <c r="BL6" s="58" t="s">
        <v>231</v>
      </c>
      <c r="BM6" s="58" t="s">
        <v>154</v>
      </c>
      <c r="BN6" s="58" t="s">
        <v>231</v>
      </c>
      <c r="BO6" s="58" t="s">
        <v>231</v>
      </c>
      <c r="BP6" s="58" t="s">
        <v>231</v>
      </c>
      <c r="BQ6" s="58" t="s">
        <v>231</v>
      </c>
      <c r="BR6" s="58" t="s">
        <v>231</v>
      </c>
      <c r="BS6" s="58" t="s">
        <v>231</v>
      </c>
      <c r="BT6" s="58" t="s">
        <v>161</v>
      </c>
      <c r="BU6" s="60"/>
      <c r="BV6" s="61"/>
      <c r="BW6" s="61">
        <v>0</v>
      </c>
      <c r="BX6" s="59"/>
      <c r="CB6" s="5"/>
      <c r="CC6" s="5"/>
      <c r="CD6" s="62">
        <v>0</v>
      </c>
      <c r="CE6" s="62">
        <v>0</v>
      </c>
      <c r="CF6" s="62" t="e">
        <v>#REF!</v>
      </c>
      <c r="CG6" s="75" cm="1">
        <f t="array" ref="CG6">SUMPRODUCT(--(LEN(TRIM(BL6:BT6))&gt;0))</f>
        <v>2</v>
      </c>
      <c r="CH6" s="53" t="str">
        <f t="shared" si="3"/>
        <v>y</v>
      </c>
      <c r="CI6" s="53" t="str">
        <f t="shared" si="4"/>
        <v>n</v>
      </c>
      <c r="CJ6" s="53" t="str">
        <f t="shared" si="5"/>
        <v>n</v>
      </c>
      <c r="CK6" s="53" t="str">
        <f t="shared" si="6"/>
        <v>n</v>
      </c>
      <c r="CL6" s="53" t="str">
        <f t="shared" si="7"/>
        <v>y</v>
      </c>
      <c r="CM6" s="53" t="str">
        <f t="shared" si="8"/>
        <v>n</v>
      </c>
      <c r="CN6" s="53" t="str">
        <f t="shared" si="9"/>
        <v>n</v>
      </c>
      <c r="CO6" s="53" t="str">
        <f t="shared" si="10"/>
        <v>n</v>
      </c>
      <c r="CP6" s="53" t="str">
        <f t="shared" si="11"/>
        <v>n</v>
      </c>
      <c r="CQ6" s="53" t="str">
        <f t="shared" si="12"/>
        <v>n</v>
      </c>
      <c r="CR6" s="53" t="str">
        <f t="shared" si="13"/>
        <v>n</v>
      </c>
      <c r="CS6" s="53" t="str">
        <f t="shared" si="14"/>
        <v>y</v>
      </c>
      <c r="CT6" s="38" t="str">
        <f t="shared" si="15"/>
        <v>"[PAU] Hatohobei"</v>
      </c>
      <c r="CU6" s="63" t="str">
        <f t="shared" si="16"/>
        <v>"rgn_Oceania"</v>
      </c>
      <c r="CV6" s="44" t="str">
        <f t="shared" si="17"/>
        <v>"https://upload.wikimedia.org/wikipedia/commons/thumb/e/e9/Flag_of_Hatohobei.svg/640px-Flag_of_Hatohobei.svg.png"</v>
      </c>
      <c r="CW6" s="44" t="str">
        <f t="shared" si="18"/>
        <v>"2Color",</v>
      </c>
      <c r="CX6" s="44" t="str">
        <f t="shared" si="19"/>
        <v/>
      </c>
      <c r="CY6" s="44" t="str">
        <f t="shared" si="20"/>
        <v/>
      </c>
      <c r="CZ6" s="44" t="str">
        <f t="shared" si="21"/>
        <v/>
      </c>
      <c r="DA6" s="44" t="str">
        <f t="shared" si="22"/>
        <v/>
      </c>
      <c r="DB6" s="44" t="str">
        <f t="shared" si="23"/>
        <v/>
      </c>
      <c r="DC6" s="44" t="str">
        <f t="shared" si="24"/>
        <v/>
      </c>
      <c r="DD6" s="44" t="str">
        <f t="shared" si="25"/>
        <v>"lets09",</v>
      </c>
      <c r="DE6" s="44" t="str">
        <f t="shared" si="26"/>
        <v>"startH",</v>
      </c>
      <c r="DF6" s="44" t="str">
        <f t="shared" si="27"/>
        <v/>
      </c>
      <c r="DG6" s="44" t="str">
        <f t="shared" si="28"/>
        <v/>
      </c>
      <c r="DH6" s="44" t="str">
        <f t="shared" si="29"/>
        <v/>
      </c>
      <c r="DI6" s="44" t="str">
        <f t="shared" si="30"/>
        <v/>
      </c>
      <c r="DJ6" s="44" t="str">
        <f t="shared" si="31"/>
        <v/>
      </c>
      <c r="DK6" s="44" t="str">
        <f t="shared" si="32"/>
        <v/>
      </c>
      <c r="DL6" s="44" t="str">
        <f t="shared" si="33"/>
        <v>"BLUWHI",</v>
      </c>
      <c r="DM6" s="44" t="str" cm="1">
        <f t="array" ref="DM6">IF(CG6=3,CHAR(34) &amp; _xlfn.TEXTJOIN("", TRUE, RIGHT(HP6:HX6, 2)) &amp; CHAR(34) &amp; ",", "")</f>
        <v/>
      </c>
      <c r="DN6" s="44" t="str">
        <f t="shared" si="34"/>
        <v/>
      </c>
      <c r="DO6" s="44" t="str">
        <f t="shared" si="35"/>
        <v/>
      </c>
      <c r="DP6" s="5" t="str">
        <f t="shared" si="36"/>
        <v/>
      </c>
      <c r="DQ6" s="5" t="str">
        <f t="shared" si="37"/>
        <v/>
      </c>
      <c r="DR6" s="5" t="str">
        <f t="shared" si="38"/>
        <v/>
      </c>
      <c r="DS6" s="5" t="str">
        <f t="shared" si="39"/>
        <v/>
      </c>
      <c r="DT6" s="5" t="str">
        <f t="shared" si="40"/>
        <v/>
      </c>
      <c r="DU6" s="5" t="str">
        <f t="shared" si="41"/>
        <v/>
      </c>
      <c r="DV6" s="44" t="str">
        <f t="shared" si="42"/>
        <v/>
      </c>
      <c r="DW6" s="44" t="str">
        <f t="shared" si="43"/>
        <v>"NoBand",</v>
      </c>
      <c r="DX6" s="44" t="str">
        <f t="shared" si="44"/>
        <v/>
      </c>
      <c r="DY6" s="44" t="str">
        <f t="shared" si="45"/>
        <v/>
      </c>
      <c r="DZ6" s="44" t="str">
        <f t="shared" si="46"/>
        <v/>
      </c>
      <c r="EA6" s="44" t="str">
        <f t="shared" si="47"/>
        <v/>
      </c>
      <c r="EB6" s="44" t="str">
        <f t="shared" si="48"/>
        <v/>
      </c>
      <c r="EC6" s="44" t="str">
        <f t="shared" si="49"/>
        <v/>
      </c>
      <c r="ED6" s="44" t="str">
        <f t="shared" si="50"/>
        <v/>
      </c>
      <c r="EE6" s="44" t="str">
        <f t="shared" si="51"/>
        <v/>
      </c>
      <c r="EF6" s="44" t="str">
        <f t="shared" si="52"/>
        <v>"Animal",</v>
      </c>
      <c r="EG6" s="44" t="str">
        <f t="shared" si="53"/>
        <v/>
      </c>
      <c r="EH6" s="44" t="str">
        <f t="shared" si="54"/>
        <v/>
      </c>
      <c r="EI6" s="44" t="str">
        <f t="shared" si="55"/>
        <v/>
      </c>
      <c r="EJ6" s="44" t="str">
        <f t="shared" si="56"/>
        <v/>
      </c>
      <c r="EK6" s="44" t="str">
        <f t="shared" si="57"/>
        <v/>
      </c>
      <c r="EL6" s="44" t="str">
        <f t="shared" si="58"/>
        <v/>
      </c>
      <c r="EM6" s="44" t="str">
        <f t="shared" si="59"/>
        <v/>
      </c>
      <c r="EN6" s="44" t="str">
        <f t="shared" si="60"/>
        <v/>
      </c>
      <c r="EO6" s="44" t="str">
        <f t="shared" si="61"/>
        <v/>
      </c>
      <c r="EP6" s="44" t="str">
        <f t="shared" si="62"/>
        <v/>
      </c>
      <c r="EQ6" s="44" t="str">
        <f t="shared" si="63"/>
        <v/>
      </c>
      <c r="ER6" s="44" t="str">
        <f t="shared" si="64"/>
        <v/>
      </c>
      <c r="ES6" s="44" t="str">
        <f t="shared" si="65"/>
        <v/>
      </c>
      <c r="ET6" s="44" t="str">
        <f t="shared" si="66"/>
        <v/>
      </c>
      <c r="EU6" s="44" t="str">
        <f t="shared" si="67"/>
        <v/>
      </c>
      <c r="EV6" s="44" t="str">
        <f t="shared" si="68"/>
        <v/>
      </c>
      <c r="EW6" s="44" t="str">
        <f t="shared" si="69"/>
        <v/>
      </c>
      <c r="EX6" s="44" t="str">
        <f t="shared" si="70"/>
        <v/>
      </c>
      <c r="EY6" s="44" t="str">
        <f t="shared" si="71"/>
        <v/>
      </c>
      <c r="EZ6" s="44" t="str">
        <f t="shared" si="72"/>
        <v/>
      </c>
      <c r="FA6" s="44" t="str">
        <f t="shared" si="73"/>
        <v>"staWHI",</v>
      </c>
      <c r="FB6" s="44" t="str">
        <f t="shared" si="74"/>
        <v/>
      </c>
      <c r="FC6" s="44" t="str">
        <f t="shared" si="75"/>
        <v/>
      </c>
      <c r="FD6" s="44" t="str">
        <f t="shared" si="76"/>
        <v/>
      </c>
      <c r="FE6" s="44" t="str">
        <f t="shared" si="77"/>
        <v/>
      </c>
      <c r="FF6" s="44" t="str">
        <f t="shared" si="78"/>
        <v/>
      </c>
      <c r="FG6" s="44" t="str">
        <f t="shared" si="79"/>
        <v>"NO_RED",</v>
      </c>
      <c r="FH6" s="44" t="str">
        <f t="shared" si="80"/>
        <v>"NO_GRE",</v>
      </c>
      <c r="FI6" s="44" t="str">
        <f t="shared" si="81"/>
        <v>"NO_YEL",</v>
      </c>
      <c r="FJ6" s="44" t="str">
        <f t="shared" si="82"/>
        <v>"NO_BLA",</v>
      </c>
      <c r="FK6" s="44" t="str">
        <f t="shared" si="83"/>
        <v/>
      </c>
      <c r="FL6" s="44" t="str">
        <f t="shared" si="84"/>
        <v/>
      </c>
      <c r="FM6" s="44" t="str">
        <f t="shared" si="85"/>
        <v/>
      </c>
      <c r="FN6" s="44" t="str">
        <f t="shared" si="86"/>
        <v/>
      </c>
      <c r="FO6" s="44" t="str">
        <f t="shared" si="87"/>
        <v/>
      </c>
      <c r="FP6" s="44" t="str">
        <f t="shared" si="88"/>
        <v/>
      </c>
      <c r="FQ6" s="44" t="str">
        <f t="shared" si="89"/>
        <v/>
      </c>
      <c r="FR6" s="44" t="str">
        <f t="shared" si="90"/>
        <v/>
      </c>
      <c r="FS6" s="44" t="str">
        <f t="shared" si="91"/>
        <v/>
      </c>
      <c r="FT6" s="44" t="str">
        <f t="shared" si="92"/>
        <v>"myrBLU",</v>
      </c>
      <c r="FU6" s="44" t="str">
        <f t="shared" si="93"/>
        <v/>
      </c>
      <c r="FV6" s="44" t="str">
        <f t="shared" si="94"/>
        <v/>
      </c>
      <c r="FW6" s="44" t="str">
        <f t="shared" si="95"/>
        <v/>
      </c>
      <c r="FX6" s="44" t="str">
        <f t="shared" si="96"/>
        <v/>
      </c>
      <c r="FY6" s="44" t="str">
        <f t="shared" si="97"/>
        <v/>
      </c>
      <c r="FZ6" s="44" t="str">
        <f t="shared" si="98"/>
        <v/>
      </c>
      <c r="GA6" s="44" t="str">
        <f t="shared" si="99"/>
        <v/>
      </c>
      <c r="GB6" s="44" t="str">
        <f t="shared" si="100"/>
        <v/>
      </c>
      <c r="GC6" s="44" t="str">
        <f t="shared" si="101"/>
        <v/>
      </c>
      <c r="GD6" s="44" t="str">
        <f t="shared" si="102"/>
        <v/>
      </c>
      <c r="GE6" s="44" t="str">
        <f t="shared" si="103"/>
        <v/>
      </c>
      <c r="GF6" s="44" t="str">
        <f t="shared" si="145"/>
        <v/>
      </c>
      <c r="GG6" s="44" t="str">
        <f t="shared" si="104"/>
        <v/>
      </c>
      <c r="GH6" s="44" t="str">
        <f t="shared" si="105"/>
        <v/>
      </c>
      <c r="GI6" s="44" t="str">
        <f t="shared" si="106"/>
        <v/>
      </c>
      <c r="GJ6" s="44" t="str">
        <f t="shared" si="107"/>
        <v/>
      </c>
      <c r="GK6" s="44" t="str">
        <f t="shared" si="108"/>
        <v>"HasSta",</v>
      </c>
      <c r="GL6" s="44" t="str">
        <f t="shared" si="109"/>
        <v/>
      </c>
      <c r="GM6" s="44" t="str">
        <f t="shared" si="110"/>
        <v/>
      </c>
      <c r="GN6" s="44" t="str">
        <f t="shared" si="111"/>
        <v>"3+Star",</v>
      </c>
      <c r="GP6" s="44" t="str">
        <f t="shared" si="112"/>
        <v>"State"</v>
      </c>
      <c r="GS6" s="44" t="str">
        <f t="shared" si="113"/>
        <v>["2Color","lets09","startH","BLUWHI","NoBand","Animal","staWHI","NO_RED","NO_GRE","NO_YEL","NO_BLA","myrBLU","HasSta","3+Star"]</v>
      </c>
      <c r="GT6" s="44" t="str">
        <f t="shared" si="114"/>
        <v/>
      </c>
      <c r="GU6" s="44" t="str">
        <f t="shared" si="115"/>
        <v>"cl_BLU",</v>
      </c>
      <c r="GV6" s="44" t="str">
        <f t="shared" si="116"/>
        <v/>
      </c>
      <c r="GW6" s="44" t="str">
        <f t="shared" si="117"/>
        <v/>
      </c>
      <c r="GX6" s="44" t="str">
        <f t="shared" si="118"/>
        <v/>
      </c>
      <c r="GY6" s="44" t="str">
        <f t="shared" si="119"/>
        <v/>
      </c>
      <c r="GZ6" s="44" t="str">
        <f t="shared" si="120"/>
        <v/>
      </c>
      <c r="HA6" s="44" t="str">
        <f t="shared" si="121"/>
        <v/>
      </c>
      <c r="HB6" s="44" t="str">
        <f t="shared" si="122"/>
        <v>"cl_WHI",</v>
      </c>
      <c r="HC6" s="44" t="str">
        <f t="shared" si="123"/>
        <v>["cl_BLU","cl_WHI"]</v>
      </c>
      <c r="HE6" s="64"/>
      <c r="HF6" s="65" t="str">
        <f t="shared" si="124"/>
        <v>{couname:"[PAU] Hatohobei",year:"???",region:"rgn_Oceania",Colors:["cl_BLU","cl_WHI"],Items:["2Color","lets09","startH","BLUWHI","NoBand","Animal","staWHI","NO_RED","NO_GRE","NO_YEL","NO_BLA","myrBLU","HasSta","3+Star"],Flag:"https://upload.wikimedia.org/wikipedia/commons/thumb/e/e9/Flag_of_Hatohobei.svg/640px-Flag_of_Hatohobei.svg.png",HDFlag:"https://upload.wikimedia.org/wikipedia/commons/thumb/e/e9/Flag_of_Hatohobei.svg/2560px-Flag_of_Hatohobei.svg.png",type:"State", describe: "\nThe stars represent the three islands that make up the state. The clam shell represents Romohparuh, the first person on Hatohobei, who claimed ownership of the island by burying a clam shell.", isnew:".", links: "https://en.wikipedia.org/wiki/Flags_of_the_states_of_Palau#"},</v>
      </c>
      <c r="HG6" s="66" t="str">
        <f t="shared" si="125"/>
        <v>{couname:"[PAU] Hatohobei",year:"???",region:"rgn_Oceania",Colors:["cl_BLU","cl_WHI"],Items:["2Color","lets09","startH","BLUWHI","NoBand","Animal","staWHI","NO_RED","NO_GRE","NO_YEL","NO_BLA","myrBLU","HasSta","3+Star"],Flag:"https://upload.wikimedia.org/wikipedia/commons/thumb/e/e9/Flag_of_Hatohobei.svg/640px-Flag_of_Hatohobei.svg.png",HDFlag:"https://upload.wikimedia.org/wikipedia/commons/thumb/e/e9/Flag_of_Hatohobei.svg/2560px-Flag_of_Hatohobei.svg.png",type:"State", describe: "\nThe stars represent the three islands that make up the state. The clam shell represents Romohparuh, the first person on Hatohobei, who claimed ownership of the island by burying a clam shell.", links: "https://en.wikipedia.org/wiki/Flags_of_the_states_of_Palau#"},</v>
      </c>
      <c r="HH6" s="44" t="str">
        <f t="shared" si="126"/>
        <v>"\nThe stars represent the three islands that make up the state. The clam shell represents Romohparuh, the first person on Hatohobei, who claimed ownership of the island by burying a clam shell."</v>
      </c>
      <c r="HI6" s="44" t="str">
        <f t="shared" si="127"/>
        <v>"\nThe stars represent the three islands that make up the state. The clam shell represents Romohparuh, the first person on Hatohobei, who claimed ownership of the island by burying a clam shell."</v>
      </c>
      <c r="HJ6" s="44" t="str">
        <f t="shared" si="128"/>
        <v>"???"</v>
      </c>
      <c r="HL6" s="44" t="str">
        <f t="shared" si="129"/>
        <v>"https://en.wikipedia.org/wiki/Flags_of_the_states_of_Palau#"</v>
      </c>
      <c r="HM6" s="65" t="str">
        <f t="shared" si="130"/>
        <v>{"couname":"[PAU] Hatohobei","year":"???","region":"rgn_Oceania","Colors":["cl_BLU","cl_WHI"],"Items":["2Color","lets09","startH","BLUWHI","NoBand","Animal","staWHI","NO_RED","NO_GRE","NO_YEL","NO_BLA","myrBLU","HasSta","3+Star"],"Flag":"https://upload.wikimedia.org/wikipedia/commons/thumb/e/e9/Flag_of_Hatohobei.svg/640px-Flag_of_Hatohobei.svg.png","HDFlag":"https://upload.wikimedia.org/wikipedia/commons/thumb/e/e9/Flag_of_Hatohobei.svg/2560px-Flag_of_Hatohobei.svg.png","type":"State", "describe": "\nThe stars represent the three islands that make up the state. The clam shell represents Romohparuh, the first person on Hatohobei, who claimed ownership of the island by burying a clam shell.", "isnew": ".", "links": "https://en.wikipedia.org/wiki/Flags_of_the_states_of_Palau#"},</v>
      </c>
      <c r="HN6" s="67" t="str">
        <f t="shared" si="131"/>
        <v>{"couname":"[PAU] Hatohobei","year":"???","region":"rgn_Oceania","Colors":["cl_BLU","cl_WHI"],"Items":["2Color","lets09","startH","BLUWHI","NoBand","Animal","staWHI","NO_RED","NO_GRE","NO_YEL","NO_BLA","myrBLU","HasSta","3+Star"],"Flag":"https://upload.wikimedia.org/wikipedia/commons/thumb/e/e9/Flag_of_Hatohobei.svg/640px-Flag_of_Hatohobei.svg.png","HDFlag":"https://upload.wikimedia.org/wikipedia/commons/thumb/e/e9/Flag_of_Hatohobei.svg/2560px-Flag_of_Hatohobei.svg.png","type":"State", "describe": "\nThe stars represent the three islands that make up the state. The clam shell represents Romohparuh, the first person on Hatohobei, who claimed ownership of the island by burying a clam shell.", "isnew": ".", "links": "https://en.wikipedia.org/wiki/Flags_of_the_states_of_Palau#"},</v>
      </c>
      <c r="HO6" s="71"/>
      <c r="HP6" s="44" t="str" cm="1">
        <f t="array" ref="HP6">IF(_xlfn.TEXTJOIN(", ", TRUE, IF(ISNUMBER(SEARCH("BLA", BL6:BT6)), COLUMN(BL6:BT6) - COLUMN(BL6) + 1, ""))&lt;&gt;"","BLA","")</f>
        <v/>
      </c>
      <c r="HQ6" s="44" t="str" cm="1">
        <f t="array" ref="HQ6">IF(_xlfn.TEXTJOIN(", ", TRUE, IF(ISNUMBER(SEARCH("BLU", BL6:BT6)), COLUMN(BL6:BT6) - COLUMN(BL6) + 1, ""))&lt;&gt;"","BLU","")</f>
        <v>BLU</v>
      </c>
      <c r="HR6" s="44" t="str" cm="1">
        <f t="array" ref="HR6">IF(_xlfn.TEXTJOIN(", ", TRUE, IF(ISNUMBER(SEARCH("GRE", BL6:BT6)), COLUMN(BL6:BT6) - COLUMN(BL6) + 1, ""))&lt;&gt;"","GRE","")</f>
        <v/>
      </c>
      <c r="HS6" s="44" t="str" cm="1">
        <f t="array" ref="HS6">IF(_xlfn.TEXTJOIN(", ", TRUE, IF(ISNUMBER(SEARCH("RED", BL6:BT6)), COLUMN(BL6:BT6) - COLUMN(BL6) + 1, ""))&lt;&gt;"","RED","")</f>
        <v/>
      </c>
      <c r="HT6" s="44" t="str" cm="1">
        <f t="array" ref="HT6">IF(_xlfn.TEXTJOIN(", ", TRUE, IF(ISNUMBER(SEARCH("YEL", BL6:BT6)), COLUMN(BL6:BT6) - COLUMN(BL6) + 1, ""))&lt;&gt;"","YEL","")</f>
        <v/>
      </c>
      <c r="HU6" s="44" t="str" cm="1">
        <f t="array" ref="HU6">IF(_xlfn.TEXTJOIN(", ", TRUE, IF(ISNUMBER(SEARCH("ORA", BL6:BT6)), COLUMN(BL6:BT6) - COLUMN(BL6) + 1, ""))&lt;&gt;"","ORA","")</f>
        <v/>
      </c>
      <c r="HV6" s="44" t="str" cm="1">
        <f t="array" ref="HV6">IF(_xlfn.TEXTJOIN(", ", TRUE, IF(ISNUMBER(SEARCH("BRO", BL6:BT6)), COLUMN(BL6:BT6) - COLUMN(BL6) + 1, ""))&lt;&gt;"","BRO","")</f>
        <v/>
      </c>
      <c r="HW6" s="44" t="str" cm="1">
        <f t="array" ref="HW6">IF(_xlfn.TEXTJOIN(", ", TRUE, IF(ISNUMBER(SEARCH("PUR", BL6:BT6)), COLUMN(BL6:BT6) - COLUMN(BL6) + 1, ""))&lt;&gt;"","PUR","")</f>
        <v/>
      </c>
      <c r="HX6" s="44" t="str" cm="1">
        <f t="array" ref="HX6">IF(_xlfn.TEXTJOIN(", ", TRUE, IF(ISNUMBER(SEARCH("WHI", BL6:BT6)), COLUMN(BL6:BT6) - COLUMN(BL6) + 1, ""))&lt;&gt;"","WHI","")</f>
        <v>WHI</v>
      </c>
      <c r="HY6" s="72"/>
      <c r="HZ6" s="72"/>
      <c r="IA6" s="5"/>
      <c r="IB6" s="5"/>
      <c r="IC6" s="68"/>
      <c r="ID6" s="68"/>
      <c r="IE6" s="68"/>
      <c r="IF6" s="68"/>
      <c r="IG6" s="68"/>
      <c r="IH6" s="68"/>
      <c r="II6" s="68"/>
      <c r="IJ6" s="68"/>
      <c r="IK6" s="68"/>
      <c r="IL6" s="44">
        <f t="shared" si="132"/>
        <v>0</v>
      </c>
      <c r="IM6" s="42">
        <f t="shared" si="133"/>
        <v>-2</v>
      </c>
      <c r="IN6" s="69" t="str">
        <f t="shared" si="134"/>
        <v>http://mkweb.bcgsc.ca/color-summarizer/?url=https://upload.wikimedia.org/wikipedia/commons/thumb/e/e9/Flag_of_Hatohobei.svg/640px-Flag_of_Hatohobei.svg.png&amp;precision=low&amp;num_clusters=2&amp;text=1</v>
      </c>
      <c r="IO6" s="44" t="str">
        <f t="shared" si="135"/>
        <v/>
      </c>
      <c r="IP6" s="44" t="str">
        <f t="shared" si="136"/>
        <v>"blue"</v>
      </c>
      <c r="IQ6" s="44" t="str">
        <f t="shared" si="137"/>
        <v/>
      </c>
      <c r="IR6" s="44" t="str">
        <f t="shared" si="138"/>
        <v/>
      </c>
      <c r="IS6" s="44" t="str">
        <f t="shared" si="139"/>
        <v/>
      </c>
      <c r="IT6" s="44" t="str">
        <f t="shared" si="140"/>
        <v/>
      </c>
      <c r="IU6" s="44" t="str">
        <f t="shared" si="141"/>
        <v/>
      </c>
      <c r="IV6" s="44" t="str">
        <f t="shared" si="142"/>
        <v/>
      </c>
      <c r="IW6" s="44" t="str">
        <f t="shared" si="143"/>
        <v>"white"</v>
      </c>
      <c r="IX6" s="44" t="str">
        <f t="shared" si="144"/>
        <v>{"url":"http://mkweb.bcgsc.ca/color-summarizer/?url=https://upload.wikimedia.org/wikipedia/commons/thumb/e/e9/Flag_of_Hatohobei.svg/640px-Flag_of_Hatohobei.svg.png&amp;precision=low&amp;num_clusters=2&amp;text=1","name":"[PAU] Hatohobei"},</v>
      </c>
      <c r="IY6" s="44">
        <v>688</v>
      </c>
    </row>
    <row r="7" spans="1:259" s="44" customFormat="1" ht="38.4" customHeight="1" thickBot="1" x14ac:dyDescent="0.35">
      <c r="A7" s="80" t="s">
        <v>479</v>
      </c>
      <c r="B7" s="78" t="e" vm="89">
        <v>#VALUE!</v>
      </c>
      <c r="C7" s="39">
        <v>2</v>
      </c>
      <c r="D7" s="70" t="s">
        <v>480</v>
      </c>
      <c r="E7" s="40" t="s">
        <v>480</v>
      </c>
      <c r="F7" s="41" t="s">
        <v>165</v>
      </c>
      <c r="G7" s="42">
        <f t="shared" si="0"/>
        <v>1</v>
      </c>
      <c r="H7" s="43"/>
      <c r="I7" s="59" t="s">
        <v>466</v>
      </c>
      <c r="J7" s="44" t="str">
        <f>""</f>
        <v/>
      </c>
      <c r="K7" s="45"/>
      <c r="L7" s="46"/>
      <c r="M7" s="46"/>
      <c r="N7" s="47" t="s">
        <v>177</v>
      </c>
      <c r="O7" s="74" t="s">
        <v>230</v>
      </c>
      <c r="P7" s="48" t="s">
        <v>481</v>
      </c>
      <c r="Q7" s="73">
        <v>1</v>
      </c>
      <c r="R7" s="49" t="s">
        <v>177</v>
      </c>
      <c r="S7" s="50">
        <v>0</v>
      </c>
      <c r="T7" s="51" t="s">
        <v>166</v>
      </c>
      <c r="U7" s="52" t="s">
        <v>166</v>
      </c>
      <c r="V7" s="52" t="s">
        <v>166</v>
      </c>
      <c r="W7" s="52" t="s">
        <v>167</v>
      </c>
      <c r="X7" s="52" t="s">
        <v>167</v>
      </c>
      <c r="Y7" s="52" t="s">
        <v>166</v>
      </c>
      <c r="Z7" s="52" t="s">
        <v>166</v>
      </c>
      <c r="AA7" s="52" t="s">
        <v>167</v>
      </c>
      <c r="AB7" s="52" t="s">
        <v>166</v>
      </c>
      <c r="AC7" s="52" t="s">
        <v>166</v>
      </c>
      <c r="AD7" s="52" t="s">
        <v>166</v>
      </c>
      <c r="AE7" s="52" t="s">
        <v>166</v>
      </c>
      <c r="AF7" s="53" t="s">
        <v>166</v>
      </c>
      <c r="AG7" s="53" t="s">
        <v>166</v>
      </c>
      <c r="AH7" s="53" t="s">
        <v>167</v>
      </c>
      <c r="AI7" s="53" t="s">
        <v>166</v>
      </c>
      <c r="AJ7" s="53" t="s">
        <v>166</v>
      </c>
      <c r="AK7" s="53" t="s">
        <v>166</v>
      </c>
      <c r="AL7" s="53" t="s">
        <v>166</v>
      </c>
      <c r="AM7" s="53" t="s">
        <v>166</v>
      </c>
      <c r="AN7" s="53" t="s">
        <v>166</v>
      </c>
      <c r="AO7" s="53" t="s">
        <v>166</v>
      </c>
      <c r="AP7" s="53" t="s">
        <v>166</v>
      </c>
      <c r="AQ7" s="53" t="s">
        <v>166</v>
      </c>
      <c r="AR7" s="53" t="s">
        <v>166</v>
      </c>
      <c r="AS7" s="53" t="s">
        <v>166</v>
      </c>
      <c r="AT7" s="54">
        <v>0</v>
      </c>
      <c r="AU7" s="53" t="s">
        <v>377</v>
      </c>
      <c r="AV7" s="53" t="str">
        <f t="shared" si="1"/>
        <v>[PAU]State[PAU] Kayangel</v>
      </c>
      <c r="AW7" s="53" t="str">
        <f t="shared" si="2"/>
        <v>2[PAU] Kayangel</v>
      </c>
      <c r="AX7" s="55"/>
      <c r="AY7" s="55"/>
      <c r="AZ7" s="56" t="s">
        <v>231</v>
      </c>
      <c r="BA7" s="56" t="s">
        <v>231</v>
      </c>
      <c r="BB7" s="56"/>
      <c r="BC7" s="57"/>
      <c r="BD7" s="58" t="s">
        <v>154</v>
      </c>
      <c r="BE7" s="59"/>
      <c r="BF7" s="58" t="s">
        <v>231</v>
      </c>
      <c r="BG7" s="58" t="s">
        <v>231</v>
      </c>
      <c r="BH7" s="58" t="s">
        <v>231</v>
      </c>
      <c r="BI7" s="58"/>
      <c r="BJ7" s="58"/>
      <c r="BK7" s="59"/>
      <c r="BL7" s="58" t="s">
        <v>153</v>
      </c>
      <c r="BM7" s="58" t="s">
        <v>154</v>
      </c>
      <c r="BN7" s="58" t="s">
        <v>155</v>
      </c>
      <c r="BO7" s="58" t="s">
        <v>231</v>
      </c>
      <c r="BP7" s="58" t="s">
        <v>157</v>
      </c>
      <c r="BQ7" s="58" t="s">
        <v>231</v>
      </c>
      <c r="BR7" s="58" t="s">
        <v>159</v>
      </c>
      <c r="BS7" s="58" t="s">
        <v>231</v>
      </c>
      <c r="BT7" s="58" t="s">
        <v>231</v>
      </c>
      <c r="BU7" s="60"/>
      <c r="BV7" s="61"/>
      <c r="BW7" s="61">
        <v>0</v>
      </c>
      <c r="BX7" s="59"/>
      <c r="CB7" s="5"/>
      <c r="CC7" s="5"/>
      <c r="CD7" s="62">
        <v>0</v>
      </c>
      <c r="CE7" s="62">
        <v>0</v>
      </c>
      <c r="CF7" s="62" t="e">
        <v>#REF!</v>
      </c>
      <c r="CG7" s="75" cm="1">
        <f t="array" ref="CG7">SUMPRODUCT(--(LEN(TRIM(BL7:BT7))&gt;0))</f>
        <v>5</v>
      </c>
      <c r="CH7" s="53" t="str">
        <f t="shared" si="3"/>
        <v>n</v>
      </c>
      <c r="CI7" s="53" t="str">
        <f t="shared" si="4"/>
        <v>n</v>
      </c>
      <c r="CJ7" s="53" t="str">
        <f t="shared" si="5"/>
        <v>n</v>
      </c>
      <c r="CK7" s="53" t="str">
        <f t="shared" si="6"/>
        <v>y</v>
      </c>
      <c r="CL7" s="53" t="str">
        <f t="shared" si="7"/>
        <v>y</v>
      </c>
      <c r="CM7" s="53" t="str">
        <f t="shared" si="8"/>
        <v>n</v>
      </c>
      <c r="CN7" s="53" t="str">
        <f t="shared" si="9"/>
        <v>n</v>
      </c>
      <c r="CO7" s="53" t="str">
        <f t="shared" si="10"/>
        <v>n</v>
      </c>
      <c r="CP7" s="53" t="str">
        <f t="shared" si="11"/>
        <v>y</v>
      </c>
      <c r="CQ7" s="53" t="str">
        <f t="shared" si="12"/>
        <v>n</v>
      </c>
      <c r="CR7" s="53" t="str">
        <f t="shared" si="13"/>
        <v>n</v>
      </c>
      <c r="CS7" s="53" t="str">
        <f t="shared" si="14"/>
        <v>n</v>
      </c>
      <c r="CT7" s="38" t="str">
        <f t="shared" si="15"/>
        <v>"[PAU] Kayangel"</v>
      </c>
      <c r="CU7" s="63" t="str">
        <f t="shared" si="16"/>
        <v>"rgn_Oceania"</v>
      </c>
      <c r="CV7" s="44" t="str">
        <f t="shared" si="17"/>
        <v>"https://upload.wikimedia.org/wikipedia/commons/thumb/3/35/Flag_of_Kayangel.svg/2560px-Flag_of_Kayangel.svg.png"</v>
      </c>
      <c r="CW7" s="44" t="str">
        <f t="shared" si="18"/>
        <v/>
      </c>
      <c r="CX7" s="44" t="str">
        <f t="shared" si="19"/>
        <v/>
      </c>
      <c r="CY7" s="44" t="str">
        <f t="shared" si="20"/>
        <v/>
      </c>
      <c r="CZ7" s="44" t="str">
        <f t="shared" si="21"/>
        <v>"5+Colo",</v>
      </c>
      <c r="DA7" s="44" t="str">
        <f t="shared" si="22"/>
        <v/>
      </c>
      <c r="DB7" s="44" t="str">
        <f t="shared" si="23"/>
        <v/>
      </c>
      <c r="DC7" s="44" t="str">
        <f t="shared" si="24"/>
        <v/>
      </c>
      <c r="DD7" s="44" t="str">
        <f t="shared" si="25"/>
        <v>"lets08",</v>
      </c>
      <c r="DE7" s="44" t="str">
        <f t="shared" si="26"/>
        <v>"startK",</v>
      </c>
      <c r="DF7" s="44" t="str">
        <f t="shared" si="27"/>
        <v/>
      </c>
      <c r="DG7" s="44" t="str">
        <f t="shared" si="28"/>
        <v/>
      </c>
      <c r="DH7" s="44" t="str">
        <f t="shared" si="29"/>
        <v/>
      </c>
      <c r="DI7" s="44" t="str">
        <f t="shared" si="30"/>
        <v/>
      </c>
      <c r="DJ7" s="44" t="str">
        <f t="shared" si="31"/>
        <v>"with_y",</v>
      </c>
      <c r="DK7" s="44" t="str">
        <f t="shared" si="32"/>
        <v/>
      </c>
      <c r="DL7" s="44" t="str">
        <f t="shared" si="33"/>
        <v/>
      </c>
      <c r="DM7" s="44" t="str" cm="1">
        <f t="array" ref="DM7">IF(CG7=3,CHAR(34) &amp; _xlfn.TEXTJOIN("", TRUE, RIGHT(HP7:HX7, 2)) &amp; CHAR(34) &amp; ",", "")</f>
        <v/>
      </c>
      <c r="DN7" s="44" t="str">
        <f t="shared" si="34"/>
        <v/>
      </c>
      <c r="DO7" s="44" t="str">
        <f t="shared" si="35"/>
        <v/>
      </c>
      <c r="DP7" s="5" t="str">
        <f t="shared" si="36"/>
        <v/>
      </c>
      <c r="DQ7" s="5" t="str">
        <f t="shared" si="37"/>
        <v/>
      </c>
      <c r="DR7" s="5" t="str">
        <f t="shared" si="38"/>
        <v/>
      </c>
      <c r="DS7" s="5" t="str">
        <f t="shared" si="39"/>
        <v>"allver",</v>
      </c>
      <c r="DT7" s="5" t="str">
        <f t="shared" si="40"/>
        <v/>
      </c>
      <c r="DU7" s="5" t="str">
        <f t="shared" si="41"/>
        <v/>
      </c>
      <c r="DV7" s="44" t="str">
        <f t="shared" si="42"/>
        <v/>
      </c>
      <c r="DW7" s="44" t="str">
        <f t="shared" si="43"/>
        <v>"NoBand",</v>
      </c>
      <c r="DX7" s="44" t="str">
        <f t="shared" si="44"/>
        <v/>
      </c>
      <c r="DY7" s="44" t="str">
        <f t="shared" si="45"/>
        <v/>
      </c>
      <c r="DZ7" s="44" t="str">
        <f t="shared" si="46"/>
        <v/>
      </c>
      <c r="EA7" s="44" t="str">
        <f t="shared" si="47"/>
        <v/>
      </c>
      <c r="EB7" s="44" t="str">
        <f t="shared" si="48"/>
        <v/>
      </c>
      <c r="EC7" s="44" t="str">
        <f t="shared" si="49"/>
        <v/>
      </c>
      <c r="ED7" s="44" t="str">
        <f t="shared" si="50"/>
        <v>"Vertic",</v>
      </c>
      <c r="EE7" s="44" t="str">
        <f t="shared" si="51"/>
        <v>"Circle",</v>
      </c>
      <c r="EF7" s="44" t="str">
        <f t="shared" si="52"/>
        <v/>
      </c>
      <c r="EG7" s="44" t="str">
        <f t="shared" si="53"/>
        <v/>
      </c>
      <c r="EH7" s="44" t="str">
        <f t="shared" si="54"/>
        <v>"Plants",</v>
      </c>
      <c r="EI7" s="44" t="str">
        <f t="shared" si="55"/>
        <v/>
      </c>
      <c r="EJ7" s="44" t="str">
        <f t="shared" si="56"/>
        <v/>
      </c>
      <c r="EK7" s="44" t="str">
        <f t="shared" si="57"/>
        <v/>
      </c>
      <c r="EL7" s="44" t="str">
        <f t="shared" si="58"/>
        <v/>
      </c>
      <c r="EM7" s="44" t="str">
        <f t="shared" si="59"/>
        <v/>
      </c>
      <c r="EN7" s="44" t="str">
        <f t="shared" si="60"/>
        <v/>
      </c>
      <c r="EO7" s="44" t="str">
        <f t="shared" si="61"/>
        <v>"Center",</v>
      </c>
      <c r="EP7" s="44" t="str">
        <f t="shared" si="62"/>
        <v/>
      </c>
      <c r="EQ7" s="44" t="str">
        <f t="shared" si="63"/>
        <v/>
      </c>
      <c r="ER7" s="44" t="str">
        <f t="shared" si="64"/>
        <v/>
      </c>
      <c r="ES7" s="44" t="str">
        <f t="shared" si="65"/>
        <v/>
      </c>
      <c r="ET7" s="44" t="str">
        <f t="shared" si="66"/>
        <v/>
      </c>
      <c r="EU7" s="44" t="str">
        <f t="shared" si="67"/>
        <v/>
      </c>
      <c r="EV7" s="44" t="str">
        <f t="shared" si="68"/>
        <v/>
      </c>
      <c r="EW7" s="44" t="str">
        <f t="shared" si="69"/>
        <v/>
      </c>
      <c r="EX7" s="44" t="str">
        <f t="shared" si="70"/>
        <v/>
      </c>
      <c r="EY7" s="44" t="str">
        <f t="shared" si="71"/>
        <v/>
      </c>
      <c r="EZ7" s="44" t="str">
        <f t="shared" si="72"/>
        <v/>
      </c>
      <c r="FA7" s="44" t="str">
        <f t="shared" si="73"/>
        <v/>
      </c>
      <c r="FB7" s="44" t="str">
        <f t="shared" si="74"/>
        <v/>
      </c>
      <c r="FC7" s="44" t="str">
        <f t="shared" si="75"/>
        <v/>
      </c>
      <c r="FD7" s="44" t="str">
        <f t="shared" si="76"/>
        <v/>
      </c>
      <c r="FE7" s="44" t="str">
        <f t="shared" si="77"/>
        <v/>
      </c>
      <c r="FF7" s="44" t="str">
        <f t="shared" si="78"/>
        <v>"NO_WHI",</v>
      </c>
      <c r="FG7" s="44" t="str">
        <f t="shared" si="79"/>
        <v>"NO_RED",</v>
      </c>
      <c r="FH7" s="44" t="str">
        <f t="shared" si="80"/>
        <v/>
      </c>
      <c r="FI7" s="44" t="str">
        <f t="shared" si="81"/>
        <v/>
      </c>
      <c r="FJ7" s="44" t="str">
        <f t="shared" si="82"/>
        <v/>
      </c>
      <c r="FK7" s="44" t="str">
        <f t="shared" si="83"/>
        <v/>
      </c>
      <c r="FL7" s="44" t="str">
        <f t="shared" si="84"/>
        <v/>
      </c>
      <c r="FM7" s="44" t="str">
        <f t="shared" si="85"/>
        <v/>
      </c>
      <c r="FN7" s="44" t="str">
        <f t="shared" si="86"/>
        <v/>
      </c>
      <c r="FO7" s="44" t="str">
        <f t="shared" si="87"/>
        <v/>
      </c>
      <c r="FP7" s="44" t="str">
        <f t="shared" si="88"/>
        <v>"WHRENO",</v>
      </c>
      <c r="FQ7" s="44" t="str">
        <f t="shared" si="89"/>
        <v/>
      </c>
      <c r="FR7" s="44" t="str">
        <f t="shared" si="90"/>
        <v/>
      </c>
      <c r="FS7" s="44" t="str">
        <f t="shared" si="91"/>
        <v/>
      </c>
      <c r="FT7" s="44" t="str">
        <f t="shared" si="92"/>
        <v>"myrBLU",</v>
      </c>
      <c r="FU7" s="44" t="str">
        <f t="shared" si="93"/>
        <v/>
      </c>
      <c r="FV7" s="44" t="str">
        <f t="shared" si="94"/>
        <v/>
      </c>
      <c r="FW7" s="44" t="str">
        <f t="shared" si="95"/>
        <v/>
      </c>
      <c r="FX7" s="44" t="str">
        <f t="shared" si="96"/>
        <v/>
      </c>
      <c r="FY7" s="44" t="str">
        <f t="shared" si="97"/>
        <v/>
      </c>
      <c r="FZ7" s="44" t="str">
        <f t="shared" si="98"/>
        <v/>
      </c>
      <c r="GA7" s="44" t="str">
        <f t="shared" si="99"/>
        <v/>
      </c>
      <c r="GB7" s="44" t="str">
        <f t="shared" si="100"/>
        <v/>
      </c>
      <c r="GC7" s="44" t="str">
        <f t="shared" si="101"/>
        <v/>
      </c>
      <c r="GD7" s="44" t="str">
        <f t="shared" si="102"/>
        <v/>
      </c>
      <c r="GE7" s="44" t="str">
        <f t="shared" si="103"/>
        <v/>
      </c>
      <c r="GF7" s="44" t="str">
        <f t="shared" si="145"/>
        <v/>
      </c>
      <c r="GG7" s="44" t="str">
        <f t="shared" si="104"/>
        <v/>
      </c>
      <c r="GH7" s="44" t="str">
        <f t="shared" si="105"/>
        <v/>
      </c>
      <c r="GI7" s="44" t="str">
        <f t="shared" si="106"/>
        <v/>
      </c>
      <c r="GJ7" s="44" t="str">
        <f t="shared" si="107"/>
        <v>"NoStar",</v>
      </c>
      <c r="GK7" s="44" t="str">
        <f t="shared" si="108"/>
        <v/>
      </c>
      <c r="GL7" s="44" t="str">
        <f t="shared" si="109"/>
        <v/>
      </c>
      <c r="GM7" s="44" t="str">
        <f t="shared" si="110"/>
        <v/>
      </c>
      <c r="GN7" s="44" t="str">
        <f t="shared" si="111"/>
        <v/>
      </c>
      <c r="GP7" s="44" t="str">
        <f t="shared" si="112"/>
        <v>"State"</v>
      </c>
      <c r="GS7" s="44" t="str">
        <f t="shared" si="113"/>
        <v>["5+Colo","lets08","startK","with_y","allver","NoBand","Vertic","Circle","Plants","Center","NO_WHI","NO_RED","WHRENO","myrBLU","NoStar"]</v>
      </c>
      <c r="GT7" s="44" t="str">
        <f t="shared" si="114"/>
        <v>"cl_BLA",</v>
      </c>
      <c r="GU7" s="44" t="str">
        <f t="shared" si="115"/>
        <v>"cl_BLU",</v>
      </c>
      <c r="GV7" s="44" t="str">
        <f t="shared" si="116"/>
        <v>"cl_GRE",</v>
      </c>
      <c r="GW7" s="44" t="str">
        <f t="shared" si="117"/>
        <v/>
      </c>
      <c r="GX7" s="44" t="str">
        <f t="shared" si="118"/>
        <v>"cl_YEL",</v>
      </c>
      <c r="GY7" s="44" t="str">
        <f t="shared" si="119"/>
        <v/>
      </c>
      <c r="GZ7" s="44" t="str">
        <f t="shared" si="120"/>
        <v>"cl_BRO",</v>
      </c>
      <c r="HA7" s="44" t="str">
        <f t="shared" si="121"/>
        <v/>
      </c>
      <c r="HB7" s="44" t="str">
        <f t="shared" si="122"/>
        <v/>
      </c>
      <c r="HC7" s="44" t="str">
        <f t="shared" si="123"/>
        <v>["cl_BLA","cl_BLU","cl_GRE","cl_YEL","cl_BRO"]</v>
      </c>
      <c r="HE7" s="64"/>
      <c r="HF7" s="65" t="str">
        <f t="shared" si="124"/>
        <v>{couname:"[PAU] Kayangel",year:"???",region:"rgn_Oceania",Colors:["cl_BLA","cl_BLU","cl_GRE","cl_YEL","cl_BRO"],Items:["5+Colo","lets08","startK","with_y","allver","NoBand","Vertic","Circle","Plants","Center","NO_WHI","NO_RED","WHRENO","myrBLU","NoStar"],Flag:"https://upload.wikimedia.org/wikipedia/commons/thumb/3/35/Flag_of_Kayangel.svg/2560px-Flag_of_Kayangel.svg.png",HDFlag:"https://upload.wikimedia.org/wikipedia/commons/thumb/3/35/Flag_of_Kayangel.svg/2560px-Flag_of_Kayangel.svg.png",type:"State", describe: "\nThe flag is blue with a yellow triangle. It features an oar and two hibiscus vines", isnew:".", links: "https://en.wikipedia.org/wiki/Flags_of_the_states_of_Palau#"},</v>
      </c>
      <c r="HG7" s="66" t="str">
        <f t="shared" si="125"/>
        <v>{couname:"[PAU] Kayangel",year:"???",region:"rgn_Oceania",Colors:["cl_BLA","cl_BLU","cl_GRE","cl_YEL","cl_BRO"],Items:["5+Colo","lets08","startK","with_y","allver","NoBand","Vertic","Circle","Plants","Center","NO_WHI","NO_RED","WHRENO","myrBLU","NoStar"],Flag:"https://upload.wikimedia.org/wikipedia/commons/thumb/3/35/Flag_of_Kayangel.svg/2560px-Flag_of_Kayangel.svg.png",HDFlag:"https://upload.wikimedia.org/wikipedia/commons/thumb/3/35/Flag_of_Kayangel.svg/2560px-Flag_of_Kayangel.svg.png",type:"State", describe: "\nThe flag is blue with a yellow triangle. It features an oar and two hibiscus vines", links: "https://en.wikipedia.org/wiki/Flags_of_the_states_of_Palau#"},</v>
      </c>
      <c r="HH7" s="44" t="str">
        <f t="shared" si="126"/>
        <v>"\nThe flag is blue with a yellow triangle. It features an oar and two hibiscus vines"</v>
      </c>
      <c r="HI7" s="44" t="str">
        <f t="shared" si="127"/>
        <v>"\nThe flag is blue with a yellow triangle. It features an oar and two hibiscus vines"</v>
      </c>
      <c r="HJ7" s="44" t="str">
        <f t="shared" si="128"/>
        <v>"???"</v>
      </c>
      <c r="HL7" s="44" t="str">
        <f t="shared" si="129"/>
        <v>"https://en.wikipedia.org/wiki/Flags_of_the_states_of_Palau#"</v>
      </c>
      <c r="HM7" s="65" t="str">
        <f t="shared" si="130"/>
        <v>{"couname":"[PAU] Kayangel","year":"???","region":"rgn_Oceania","Colors":["cl_BLA","cl_BLU","cl_GRE","cl_YEL","cl_BRO"],"Items":["5+Colo","lets08","startK","with_y","allver","NoBand","Vertic","Circle","Plants","Center","NO_WHI","NO_RED","WHRENO","myrBLU","NoStar"],"Flag":"https://upload.wikimedia.org/wikipedia/commons/thumb/3/35/Flag_of_Kayangel.svg/2560px-Flag_of_Kayangel.svg.png","HDFlag":"https://upload.wikimedia.org/wikipedia/commons/thumb/3/35/Flag_of_Kayangel.svg/2560px-Flag_of_Kayangel.svg.png","type":"State", "describe": "\nThe flag is blue with a yellow triangle. It features an oar and two hibiscus vines", "isnew": ".", "links": "https://en.wikipedia.org/wiki/Flags_of_the_states_of_Palau#"},</v>
      </c>
      <c r="HN7" s="67" t="str">
        <f t="shared" si="131"/>
        <v>{"couname":"[PAU] Kayangel","year":"???","region":"rgn_Oceania","Colors":["cl_BLA","cl_BLU","cl_GRE","cl_YEL","cl_BRO"],"Items":["5+Colo","lets08","startK","with_y","allver","NoBand","Vertic","Circle","Plants","Center","NO_WHI","NO_RED","WHRENO","myrBLU","NoStar"],"Flag":"https://upload.wikimedia.org/wikipedia/commons/thumb/3/35/Flag_of_Kayangel.svg/2560px-Flag_of_Kayangel.svg.png","HDFlag":"https://upload.wikimedia.org/wikipedia/commons/thumb/3/35/Flag_of_Kayangel.svg/2560px-Flag_of_Kayangel.svg.png","type":"State", "describe": "\nThe flag is blue with a yellow triangle. It features an oar and two hibiscus vines", "isnew": ".", "links": "https://en.wikipedia.org/wiki/Flags_of_the_states_of_Palau#"},</v>
      </c>
      <c r="HO7" s="71">
        <v>45583</v>
      </c>
      <c r="HP7" s="44" t="str" cm="1">
        <f t="array" ref="HP7">IF(_xlfn.TEXTJOIN(", ", TRUE, IF(ISNUMBER(SEARCH("BLA", BL7:BT7)), COLUMN(BL7:BT7) - COLUMN(BL7) + 1, ""))&lt;&gt;"","BLA","")</f>
        <v>BLA</v>
      </c>
      <c r="HQ7" s="44" t="str" cm="1">
        <f t="array" ref="HQ7">IF(_xlfn.TEXTJOIN(", ", TRUE, IF(ISNUMBER(SEARCH("BLU", BL7:BT7)), COLUMN(BL7:BT7) - COLUMN(BL7) + 1, ""))&lt;&gt;"","BLU","")</f>
        <v>BLU</v>
      </c>
      <c r="HR7" s="44" t="str" cm="1">
        <f t="array" ref="HR7">IF(_xlfn.TEXTJOIN(", ", TRUE, IF(ISNUMBER(SEARCH("GRE", BL7:BT7)), COLUMN(BL7:BT7) - COLUMN(BL7) + 1, ""))&lt;&gt;"","GRE","")</f>
        <v>GRE</v>
      </c>
      <c r="HS7" s="44" t="str" cm="1">
        <f t="array" ref="HS7">IF(_xlfn.TEXTJOIN(", ", TRUE, IF(ISNUMBER(SEARCH("RED", BL7:BT7)), COLUMN(BL7:BT7) - COLUMN(BL7) + 1, ""))&lt;&gt;"","RED","")</f>
        <v/>
      </c>
      <c r="HT7" s="44" t="str" cm="1">
        <f t="array" ref="HT7">IF(_xlfn.TEXTJOIN(", ", TRUE, IF(ISNUMBER(SEARCH("YEL", BL7:BT7)), COLUMN(BL7:BT7) - COLUMN(BL7) + 1, ""))&lt;&gt;"","YEL","")</f>
        <v>YEL</v>
      </c>
      <c r="HU7" s="44" t="str" cm="1">
        <f t="array" ref="HU7">IF(_xlfn.TEXTJOIN(", ", TRUE, IF(ISNUMBER(SEARCH("ORA", BL7:BT7)), COLUMN(BL7:BT7) - COLUMN(BL7) + 1, ""))&lt;&gt;"","ORA","")</f>
        <v/>
      </c>
      <c r="HV7" s="44" t="str" cm="1">
        <f t="array" ref="HV7">IF(_xlfn.TEXTJOIN(", ", TRUE, IF(ISNUMBER(SEARCH("BRO", BL7:BT7)), COLUMN(BL7:BT7) - COLUMN(BL7) + 1, ""))&lt;&gt;"","BRO","")</f>
        <v>BRO</v>
      </c>
      <c r="HW7" s="44" t="str" cm="1">
        <f t="array" ref="HW7">IF(_xlfn.TEXTJOIN(", ", TRUE, IF(ISNUMBER(SEARCH("PUR", BL7:BT7)), COLUMN(BL7:BT7) - COLUMN(BL7) + 1, ""))&lt;&gt;"","PUR","")</f>
        <v/>
      </c>
      <c r="HX7" s="44" t="str" cm="1">
        <f t="array" ref="HX7">IF(_xlfn.TEXTJOIN(", ", TRUE, IF(ISNUMBER(SEARCH("WHI", BL7:BT7)), COLUMN(BL7:BT7) - COLUMN(BL7) + 1, ""))&lt;&gt;"","WHI","")</f>
        <v/>
      </c>
      <c r="HY7" s="72"/>
      <c r="HZ7" s="72"/>
      <c r="IA7" s="5"/>
      <c r="IB7" s="5"/>
      <c r="IC7" s="68"/>
      <c r="ID7" s="68"/>
      <c r="IE7" s="68"/>
      <c r="IF7" s="68"/>
      <c r="IG7" s="68"/>
      <c r="IH7" s="68"/>
      <c r="II7" s="68"/>
      <c r="IJ7" s="68"/>
      <c r="IK7" s="68"/>
      <c r="IL7" s="44">
        <f t="shared" si="132"/>
        <v>0</v>
      </c>
      <c r="IM7" s="42">
        <f t="shared" si="133"/>
        <v>-5</v>
      </c>
      <c r="IN7" s="69" t="str">
        <f t="shared" si="134"/>
        <v>http://mkweb.bcgsc.ca/color-summarizer/?url=https://upload.wikimedia.org/wikipedia/commons/thumb/3/35/Flag_of_Kayangel.svg/2560px-Flag_of_Kayangel.svg.png&amp;precision=low&amp;num_clusters=5&amp;text=1</v>
      </c>
      <c r="IO7" s="44" t="str">
        <f t="shared" si="135"/>
        <v>"black"</v>
      </c>
      <c r="IP7" s="44" t="str">
        <f t="shared" si="136"/>
        <v>"blue"</v>
      </c>
      <c r="IQ7" s="44" t="str">
        <f t="shared" si="137"/>
        <v>"green"</v>
      </c>
      <c r="IR7" s="44" t="str">
        <f t="shared" si="138"/>
        <v/>
      </c>
      <c r="IS7" s="44" t="str">
        <f t="shared" si="139"/>
        <v>"yellow"</v>
      </c>
      <c r="IT7" s="44" t="str">
        <f t="shared" si="140"/>
        <v/>
      </c>
      <c r="IU7" s="44" t="str">
        <f t="shared" si="141"/>
        <v>"brown"</v>
      </c>
      <c r="IV7" s="44" t="str">
        <f t="shared" si="142"/>
        <v/>
      </c>
      <c r="IW7" s="44" t="str">
        <f t="shared" si="143"/>
        <v/>
      </c>
      <c r="IX7" s="44" t="str">
        <f t="shared" si="144"/>
        <v>{"url":"http://mkweb.bcgsc.ca/color-summarizer/?url=https://upload.wikimedia.org/wikipedia/commons/thumb/3/35/Flag_of_Kayangel.svg/2560px-Flag_of_Kayangel.svg.png&amp;precision=low&amp;num_clusters=5&amp;text=1","name":"[PAU] Kayangel"},</v>
      </c>
      <c r="IY7" s="44">
        <v>689</v>
      </c>
    </row>
    <row r="8" spans="1:259" s="44" customFormat="1" ht="38.4" customHeight="1" thickBot="1" x14ac:dyDescent="0.35">
      <c r="A8" s="80" t="s">
        <v>482</v>
      </c>
      <c r="B8" s="78" t="e" vm="90">
        <v>#VALUE!</v>
      </c>
      <c r="C8" s="39">
        <v>2</v>
      </c>
      <c r="D8" s="70" t="s">
        <v>483</v>
      </c>
      <c r="E8" s="40" t="s">
        <v>484</v>
      </c>
      <c r="F8" s="41" t="s">
        <v>165</v>
      </c>
      <c r="G8" s="42">
        <f t="shared" si="0"/>
        <v>1</v>
      </c>
      <c r="H8" s="43"/>
      <c r="I8" s="59" t="s">
        <v>466</v>
      </c>
      <c r="J8" s="44" t="str">
        <f>""</f>
        <v/>
      </c>
      <c r="K8" s="45"/>
      <c r="L8" s="46"/>
      <c r="M8" s="46"/>
      <c r="N8" s="47" t="s">
        <v>177</v>
      </c>
      <c r="O8" s="74">
        <v>1997</v>
      </c>
      <c r="P8" s="48" t="s">
        <v>485</v>
      </c>
      <c r="Q8" s="73">
        <v>1</v>
      </c>
      <c r="R8" s="49" t="s">
        <v>177</v>
      </c>
      <c r="S8" s="50">
        <v>0</v>
      </c>
      <c r="T8" s="51" t="s">
        <v>166</v>
      </c>
      <c r="U8" s="52" t="s">
        <v>166</v>
      </c>
      <c r="V8" s="52" t="s">
        <v>167</v>
      </c>
      <c r="W8" s="52" t="s">
        <v>167</v>
      </c>
      <c r="X8" s="52" t="s">
        <v>167</v>
      </c>
      <c r="Y8" s="52" t="s">
        <v>167</v>
      </c>
      <c r="Z8" s="52" t="s">
        <v>166</v>
      </c>
      <c r="AA8" s="52" t="s">
        <v>166</v>
      </c>
      <c r="AB8" s="52" t="s">
        <v>166</v>
      </c>
      <c r="AC8" s="52" t="s">
        <v>166</v>
      </c>
      <c r="AD8" s="52" t="s">
        <v>166</v>
      </c>
      <c r="AE8" s="52" t="s">
        <v>167</v>
      </c>
      <c r="AF8" s="53" t="s">
        <v>166</v>
      </c>
      <c r="AG8" s="53" t="s">
        <v>166</v>
      </c>
      <c r="AH8" s="53" t="s">
        <v>167</v>
      </c>
      <c r="AI8" s="53" t="s">
        <v>166</v>
      </c>
      <c r="AJ8" s="53" t="s">
        <v>166</v>
      </c>
      <c r="AK8" s="53" t="s">
        <v>166</v>
      </c>
      <c r="AL8" s="53" t="s">
        <v>166</v>
      </c>
      <c r="AM8" s="53" t="s">
        <v>166</v>
      </c>
      <c r="AN8" s="53" t="s">
        <v>167</v>
      </c>
      <c r="AO8" s="53" t="s">
        <v>167</v>
      </c>
      <c r="AP8" s="53" t="s">
        <v>166</v>
      </c>
      <c r="AQ8" s="53" t="s">
        <v>166</v>
      </c>
      <c r="AR8" s="53" t="s">
        <v>166</v>
      </c>
      <c r="AS8" s="53" t="s">
        <v>166</v>
      </c>
      <c r="AT8" s="54">
        <v>7</v>
      </c>
      <c r="AU8" s="53" t="s">
        <v>377</v>
      </c>
      <c r="AV8" s="53" t="str">
        <f t="shared" si="1"/>
        <v>[PAU]State[PAU] Koror</v>
      </c>
      <c r="AW8" s="53" t="str">
        <f t="shared" si="2"/>
        <v>2[PAU] Koror</v>
      </c>
      <c r="AX8" s="55"/>
      <c r="AY8" s="55"/>
      <c r="AZ8" s="56" t="s">
        <v>157</v>
      </c>
      <c r="BA8" s="56"/>
      <c r="BB8" s="56"/>
      <c r="BC8" s="57"/>
      <c r="BD8" s="58" t="s">
        <v>154</v>
      </c>
      <c r="BE8" s="59"/>
      <c r="BF8" s="58" t="s">
        <v>231</v>
      </c>
      <c r="BG8" s="58" t="s">
        <v>231</v>
      </c>
      <c r="BH8" s="58" t="s">
        <v>231</v>
      </c>
      <c r="BI8" s="58"/>
      <c r="BJ8" s="58"/>
      <c r="BK8" s="59"/>
      <c r="BL8" s="58" t="s">
        <v>153</v>
      </c>
      <c r="BM8" s="58" t="s">
        <v>154</v>
      </c>
      <c r="BN8" s="58" t="s">
        <v>231</v>
      </c>
      <c r="BO8" s="58" t="s">
        <v>231</v>
      </c>
      <c r="BP8" s="58" t="s">
        <v>157</v>
      </c>
      <c r="BQ8" s="58" t="s">
        <v>158</v>
      </c>
      <c r="BR8" s="58" t="s">
        <v>159</v>
      </c>
      <c r="BS8" s="58" t="s">
        <v>231</v>
      </c>
      <c r="BT8" s="58" t="s">
        <v>231</v>
      </c>
      <c r="BU8" s="60"/>
      <c r="BV8" s="61"/>
      <c r="BW8" s="61">
        <v>0</v>
      </c>
      <c r="BX8" s="59"/>
      <c r="BY8" s="44" t="s">
        <v>166</v>
      </c>
      <c r="CB8" s="5"/>
      <c r="CC8" s="5"/>
      <c r="CD8" s="62">
        <v>0</v>
      </c>
      <c r="CE8" s="62">
        <v>0</v>
      </c>
      <c r="CF8" s="62" t="e">
        <v>#REF!</v>
      </c>
      <c r="CG8" s="75" cm="1">
        <f t="array" ref="CG8">SUMPRODUCT(--(LEN(TRIM(BL8:BT8))&gt;0))</f>
        <v>5</v>
      </c>
      <c r="CH8" s="53" t="str">
        <f t="shared" si="3"/>
        <v>n</v>
      </c>
      <c r="CI8" s="53" t="str">
        <f t="shared" si="4"/>
        <v>n</v>
      </c>
      <c r="CJ8" s="53" t="str">
        <f t="shared" si="5"/>
        <v>n</v>
      </c>
      <c r="CK8" s="53" t="str">
        <f t="shared" si="6"/>
        <v>y</v>
      </c>
      <c r="CL8" s="53" t="str">
        <f t="shared" si="7"/>
        <v>y</v>
      </c>
      <c r="CM8" s="53" t="str">
        <f t="shared" si="8"/>
        <v>n</v>
      </c>
      <c r="CN8" s="53" t="str">
        <f t="shared" si="9"/>
        <v>n</v>
      </c>
      <c r="CO8" s="53" t="str">
        <f t="shared" si="10"/>
        <v>n</v>
      </c>
      <c r="CP8" s="53" t="str">
        <f t="shared" si="11"/>
        <v>n</v>
      </c>
      <c r="CQ8" s="53" t="str">
        <f t="shared" si="12"/>
        <v>n</v>
      </c>
      <c r="CR8" s="53" t="str">
        <f t="shared" si="13"/>
        <v>n</v>
      </c>
      <c r="CS8" s="53" t="str">
        <f t="shared" si="14"/>
        <v>y</v>
      </c>
      <c r="CT8" s="38" t="str">
        <f t="shared" si="15"/>
        <v>"[PAU] Koror"</v>
      </c>
      <c r="CU8" s="63" t="str">
        <f t="shared" si="16"/>
        <v>"rgn_Oceania"</v>
      </c>
      <c r="CV8" s="44" t="str">
        <f t="shared" si="17"/>
        <v>"https://upload.wikimedia.org/wikipedia/commons/thumb/1/1b/Flag_of_Koror_State.png/640px-Flag_of_Koror_State.png"</v>
      </c>
      <c r="CW8" s="44" t="str">
        <f t="shared" si="18"/>
        <v/>
      </c>
      <c r="CX8" s="44" t="str">
        <f t="shared" si="19"/>
        <v/>
      </c>
      <c r="CY8" s="44" t="str">
        <f t="shared" si="20"/>
        <v/>
      </c>
      <c r="CZ8" s="44" t="str">
        <f t="shared" si="21"/>
        <v>"5+Colo",</v>
      </c>
      <c r="DA8" s="44" t="str">
        <f t="shared" si="22"/>
        <v/>
      </c>
      <c r="DB8" s="44" t="str">
        <f t="shared" si="23"/>
        <v/>
      </c>
      <c r="DC8" s="44" t="str">
        <f t="shared" si="24"/>
        <v/>
      </c>
      <c r="DD8" s="44" t="str">
        <f t="shared" si="25"/>
        <v>"lets05",</v>
      </c>
      <c r="DE8" s="44" t="str">
        <f t="shared" si="26"/>
        <v>"startK",</v>
      </c>
      <c r="DF8" s="44" t="str">
        <f t="shared" si="27"/>
        <v/>
      </c>
      <c r="DG8" s="44" t="str">
        <f t="shared" si="28"/>
        <v/>
      </c>
      <c r="DH8" s="44" t="str">
        <f t="shared" si="29"/>
        <v/>
      </c>
      <c r="DI8" s="44" t="str">
        <f t="shared" si="30"/>
        <v/>
      </c>
      <c r="DJ8" s="44" t="str">
        <f t="shared" si="31"/>
        <v/>
      </c>
      <c r="DK8" s="44" t="str">
        <f t="shared" si="32"/>
        <v/>
      </c>
      <c r="DL8" s="44" t="str">
        <f t="shared" si="33"/>
        <v/>
      </c>
      <c r="DM8" s="44" t="str" cm="1">
        <f t="array" ref="DM8">IF(CG8=3,CHAR(34) &amp; _xlfn.TEXTJOIN("", TRUE, RIGHT(HP8:HX8, 2)) &amp; CHAR(34) &amp; ",", "")</f>
        <v/>
      </c>
      <c r="DN8" s="44" t="str">
        <f t="shared" si="34"/>
        <v/>
      </c>
      <c r="DO8" s="44" t="str">
        <f t="shared" si="35"/>
        <v>"year19",</v>
      </c>
      <c r="DP8" s="5" t="str">
        <f t="shared" si="36"/>
        <v/>
      </c>
      <c r="DQ8" s="5" t="str">
        <f t="shared" si="37"/>
        <v/>
      </c>
      <c r="DR8" s="5" t="str">
        <f t="shared" si="38"/>
        <v/>
      </c>
      <c r="DS8" s="5" t="str">
        <f t="shared" si="39"/>
        <v/>
      </c>
      <c r="DT8" s="5" t="str">
        <f t="shared" si="40"/>
        <v/>
      </c>
      <c r="DU8" s="5" t="str">
        <f t="shared" si="41"/>
        <v/>
      </c>
      <c r="DV8" s="44" t="str">
        <f t="shared" si="42"/>
        <v/>
      </c>
      <c r="DW8" s="44" t="str">
        <f t="shared" si="43"/>
        <v>"NoBand",</v>
      </c>
      <c r="DX8" s="44" t="str">
        <f t="shared" si="44"/>
        <v/>
      </c>
      <c r="DY8" s="44" t="str">
        <f t="shared" si="45"/>
        <v/>
      </c>
      <c r="DZ8" s="44" t="str">
        <f t="shared" si="46"/>
        <v/>
      </c>
      <c r="EA8" s="44" t="str">
        <f t="shared" si="47"/>
        <v/>
      </c>
      <c r="EB8" s="44" t="str">
        <f t="shared" si="48"/>
        <v/>
      </c>
      <c r="EC8" s="44" t="str">
        <f t="shared" si="49"/>
        <v>"Horizo",</v>
      </c>
      <c r="ED8" s="44" t="str">
        <f t="shared" si="50"/>
        <v>"Vertic",</v>
      </c>
      <c r="EE8" s="44" t="str">
        <f t="shared" si="51"/>
        <v>"Circle",</v>
      </c>
      <c r="EF8" s="44" t="str">
        <f t="shared" si="52"/>
        <v>"Animal",</v>
      </c>
      <c r="EG8" s="44" t="str">
        <f t="shared" si="53"/>
        <v/>
      </c>
      <c r="EH8" s="44" t="str">
        <f t="shared" si="54"/>
        <v/>
      </c>
      <c r="EI8" s="44" t="str">
        <f t="shared" si="55"/>
        <v/>
      </c>
      <c r="EJ8" s="44" t="str">
        <f t="shared" si="56"/>
        <v/>
      </c>
      <c r="EK8" s="44" t="str">
        <f t="shared" si="57"/>
        <v/>
      </c>
      <c r="EL8" s="44" t="str">
        <f t="shared" si="58"/>
        <v>"IsMoon",</v>
      </c>
      <c r="EM8" s="44" t="str">
        <f t="shared" si="59"/>
        <v/>
      </c>
      <c r="EN8" s="44" t="str">
        <f t="shared" si="60"/>
        <v/>
      </c>
      <c r="EO8" s="44" t="str">
        <f t="shared" si="61"/>
        <v>"Center",</v>
      </c>
      <c r="EP8" s="44" t="str">
        <f t="shared" si="62"/>
        <v/>
      </c>
      <c r="EQ8" s="44" t="str">
        <f t="shared" si="63"/>
        <v/>
      </c>
      <c r="ER8" s="44" t="str">
        <f t="shared" si="64"/>
        <v/>
      </c>
      <c r="ES8" s="44" t="str">
        <f t="shared" si="65"/>
        <v/>
      </c>
      <c r="ET8" s="44" t="str">
        <f t="shared" si="66"/>
        <v/>
      </c>
      <c r="EU8" s="44" t="str">
        <f t="shared" si="67"/>
        <v>"Humans",</v>
      </c>
      <c r="EV8" s="44" t="str">
        <f t="shared" si="68"/>
        <v>"Builds",</v>
      </c>
      <c r="EW8" s="44" t="str">
        <f t="shared" si="69"/>
        <v/>
      </c>
      <c r="EX8" s="44" t="str">
        <f t="shared" si="70"/>
        <v/>
      </c>
      <c r="EY8" s="44" t="str">
        <f t="shared" si="71"/>
        <v/>
      </c>
      <c r="EZ8" s="44" t="str">
        <f t="shared" si="72"/>
        <v/>
      </c>
      <c r="FA8" s="44" t="str">
        <f t="shared" si="73"/>
        <v>"staYEL",</v>
      </c>
      <c r="FB8" s="44" t="str">
        <f t="shared" si="74"/>
        <v/>
      </c>
      <c r="FC8" s="44" t="str">
        <f t="shared" si="75"/>
        <v/>
      </c>
      <c r="FD8" s="44" t="str">
        <f t="shared" si="76"/>
        <v/>
      </c>
      <c r="FE8" s="44" t="str">
        <f t="shared" si="77"/>
        <v/>
      </c>
      <c r="FF8" s="44" t="str">
        <f t="shared" si="78"/>
        <v>"NO_WHI",</v>
      </c>
      <c r="FG8" s="44" t="str">
        <f t="shared" si="79"/>
        <v>"NO_RED",</v>
      </c>
      <c r="FH8" s="44" t="str">
        <f t="shared" si="80"/>
        <v>"NO_GRE",</v>
      </c>
      <c r="FI8" s="44" t="str">
        <f t="shared" si="81"/>
        <v/>
      </c>
      <c r="FJ8" s="44" t="str">
        <f t="shared" si="82"/>
        <v/>
      </c>
      <c r="FK8" s="44" t="str">
        <f t="shared" si="83"/>
        <v>"WHGRNO",</v>
      </c>
      <c r="FL8" s="44" t="str">
        <f t="shared" si="84"/>
        <v/>
      </c>
      <c r="FM8" s="44" t="str">
        <f t="shared" si="85"/>
        <v/>
      </c>
      <c r="FN8" s="44" t="str">
        <f t="shared" si="86"/>
        <v/>
      </c>
      <c r="FO8" s="44" t="str">
        <f t="shared" si="87"/>
        <v/>
      </c>
      <c r="FP8" s="44" t="str">
        <f t="shared" si="88"/>
        <v>"WHRENO",</v>
      </c>
      <c r="FQ8" s="44" t="str">
        <f t="shared" si="89"/>
        <v/>
      </c>
      <c r="FR8" s="44" t="str">
        <f t="shared" si="90"/>
        <v/>
      </c>
      <c r="FS8" s="44" t="str">
        <f t="shared" si="91"/>
        <v/>
      </c>
      <c r="FT8" s="44" t="str">
        <f t="shared" si="92"/>
        <v>"myrBLU",</v>
      </c>
      <c r="FU8" s="44" t="str">
        <f t="shared" si="93"/>
        <v/>
      </c>
      <c r="FV8" s="44" t="str">
        <f t="shared" si="94"/>
        <v/>
      </c>
      <c r="FW8" s="44" t="str">
        <f t="shared" si="95"/>
        <v/>
      </c>
      <c r="FX8" s="44" t="str">
        <f t="shared" si="96"/>
        <v/>
      </c>
      <c r="FY8" s="44" t="str">
        <f t="shared" si="97"/>
        <v/>
      </c>
      <c r="FZ8" s="44" t="str">
        <f t="shared" si="98"/>
        <v/>
      </c>
      <c r="GA8" s="44" t="str">
        <f t="shared" si="99"/>
        <v/>
      </c>
      <c r="GB8" s="44" t="str">
        <f t="shared" si="100"/>
        <v/>
      </c>
      <c r="GC8" s="44" t="str">
        <f t="shared" si="101"/>
        <v/>
      </c>
      <c r="GD8" s="44" t="str">
        <f t="shared" si="102"/>
        <v/>
      </c>
      <c r="GE8" s="44" t="str">
        <f t="shared" si="103"/>
        <v/>
      </c>
      <c r="GF8" s="44" t="str">
        <f t="shared" si="145"/>
        <v/>
      </c>
      <c r="GG8" s="44" t="str">
        <f t="shared" si="104"/>
        <v/>
      </c>
      <c r="GH8" s="44" t="str">
        <f t="shared" si="105"/>
        <v/>
      </c>
      <c r="GI8" s="44" t="str">
        <f t="shared" si="106"/>
        <v/>
      </c>
      <c r="GJ8" s="44" t="str">
        <f t="shared" si="107"/>
        <v/>
      </c>
      <c r="GK8" s="44" t="str">
        <f t="shared" si="108"/>
        <v>"HasSta",</v>
      </c>
      <c r="GL8" s="44" t="str">
        <f t="shared" si="109"/>
        <v/>
      </c>
      <c r="GM8" s="44" t="str">
        <f t="shared" si="110"/>
        <v/>
      </c>
      <c r="GN8" s="44" t="str">
        <f t="shared" si="111"/>
        <v>"3+Star",</v>
      </c>
      <c r="GP8" s="44" t="str">
        <f t="shared" si="112"/>
        <v>"State"</v>
      </c>
      <c r="GS8" s="44" t="str">
        <f t="shared" si="113"/>
        <v>["5+Colo","lets05","startK","year19","NoBand","Horizo","Vertic","Circle","Animal","IsMoon","Center","Humans","Builds","staYEL","NO_WHI","NO_RED","NO_GRE","WHGRNO","WHRENO","myrBLU","HasSta","3+Star"]</v>
      </c>
      <c r="GT8" s="44" t="str">
        <f t="shared" si="114"/>
        <v>"cl_BLA",</v>
      </c>
      <c r="GU8" s="44" t="str">
        <f t="shared" si="115"/>
        <v>"cl_BLU",</v>
      </c>
      <c r="GV8" s="44" t="str">
        <f t="shared" si="116"/>
        <v/>
      </c>
      <c r="GW8" s="44" t="str">
        <f t="shared" si="117"/>
        <v/>
      </c>
      <c r="GX8" s="44" t="str">
        <f t="shared" si="118"/>
        <v>"cl_YEL",</v>
      </c>
      <c r="GY8" s="44" t="str">
        <f t="shared" si="119"/>
        <v>"cl_ORA",</v>
      </c>
      <c r="GZ8" s="44" t="str">
        <f t="shared" si="120"/>
        <v>"cl_BRO",</v>
      </c>
      <c r="HA8" s="44" t="str">
        <f t="shared" si="121"/>
        <v/>
      </c>
      <c r="HB8" s="44" t="str">
        <f t="shared" si="122"/>
        <v/>
      </c>
      <c r="HC8" s="44" t="str">
        <f t="shared" si="123"/>
        <v>["cl_BLA","cl_BLU","cl_YEL","cl_ORA","cl_BRO"]</v>
      </c>
      <c r="HE8" s="64"/>
      <c r="HF8" s="65" t="str">
        <f t="shared" si="124"/>
        <v>{couname:"[PAU] Koror",year:"1997",region:"rgn_Oceania",Colors:["cl_BLA","cl_BLU","cl_YEL","cl_ORA","cl_BRO"],Items:["5+Colo","lets05","startK","year19","NoBand","Horizo","Vertic","Circle","Animal","IsMoon","Center","Humans","Builds","staYEL","NO_WHI","NO_RED","NO_GRE","WHGRNO","WHRENO","myrBLU","HasSta","3+Star"],Flag:"https://upload.wikimedia.org/wikipedia/commons/thumb/1/1b/Flag_of_Koror_State.png/640px-Flag_of_Koror_State.png",HDFlag:"https://upload.wikimedia.org/wikipedia/commons/1/1b/Flag_of_Koror_State.png",type:"State", describe: "\nThe blue background represents the ocean and the golden moon represents the new government. The six stars represent the six hamlets of Koror State with the larger star in the middle representing the union of the NgaraMeketii and RubekulKeldeu. The traditional bai house is on a foundation of ten stones symbolic of the ten traditional chiefs.", isnew:".", links: "https://en.wikipedia.org/wiki/Flags_of_the_states_of_Palau#"},</v>
      </c>
      <c r="HG8" s="66" t="str">
        <f t="shared" si="125"/>
        <v>{couname:"[PAU] Koror",year:"1997",region:"rgn_Oceania",Colors:["cl_BLA","cl_BLU","cl_YEL","cl_ORA","cl_BRO"],Items:["5+Colo","lets05","startK","year19","NoBand","Horizo","Vertic","Circle","Animal","IsMoon","Center","Humans","Builds","staYEL","NO_WHI","NO_RED","NO_GRE","WHGRNO","WHRENO","myrBLU","HasSta","3+Star"],Flag:"https://upload.wikimedia.org/wikipedia/commons/thumb/1/1b/Flag_of_Koror_State.png/640px-Flag_of_Koror_State.png",HDFlag:"https://upload.wikimedia.org/wikipedia/commons/1/1b/Flag_of_Koror_State.png",type:"State", describe: "\nThe blue background represents the ocean and the golden moon represents the new government. The six stars represent the six hamlets of Koror State with the larger star in the middle representing the union of the NgaraMeketii and RubekulKeldeu. The traditional bai house is on a foundation of ten stones symbolic of the ten traditional chiefs.", links: "https://en.wikipedia.org/wiki/Flags_of_the_states_of_Palau#"},</v>
      </c>
      <c r="HH8" s="44" t="str">
        <f t="shared" si="126"/>
        <v>"\nThe blue background represents the ocean and the golden moon represents the new government. The six stars represent the six hamlets of Koror State with the larger star in the middle representing the union of the NgaraMeketii and RubekulKeldeu. The traditional bai house is on a foundation of ten stones symbolic of the ten traditional chiefs."</v>
      </c>
      <c r="HI8" s="44" t="str">
        <f t="shared" si="127"/>
        <v>"\nThe blue background represents the ocean and the golden moon represents the new government. The six stars represent the six hamlets of Koror State with the larger star in the middle representing the union of the NgaraMeketii and RubekulKeldeu. The traditional bai house is on a foundation of ten stones symbolic of the ten traditional chiefs."</v>
      </c>
      <c r="HJ8" s="44" t="str">
        <f t="shared" si="128"/>
        <v>"1997"</v>
      </c>
      <c r="HL8" s="44" t="str">
        <f t="shared" si="129"/>
        <v>"https://en.wikipedia.org/wiki/Flags_of_the_states_of_Palau#"</v>
      </c>
      <c r="HM8" s="65" t="str">
        <f t="shared" si="130"/>
        <v>{"couname":"[PAU] Koror","year":"1997","region":"rgn_Oceania","Colors":["cl_BLA","cl_BLU","cl_YEL","cl_ORA","cl_BRO"],"Items":["5+Colo","lets05","startK","year19","NoBand","Horizo","Vertic","Circle","Animal","IsMoon","Center","Humans","Builds","staYEL","NO_WHI","NO_RED","NO_GRE","WHGRNO","WHRENO","myrBLU","HasSta","3+Star"],"Flag":"https://upload.wikimedia.org/wikipedia/commons/thumb/1/1b/Flag_of_Koror_State.png/640px-Flag_of_Koror_State.png","HDFlag":"https://upload.wikimedia.org/wikipedia/commons/1/1b/Flag_of_Koror_State.png","type":"State", "describe": "\nThe blue background represents the ocean and the golden moon represents the new government. The six stars represent the six hamlets of Koror State with the larger star in the middle representing the union of the NgaraMeketii and RubekulKeldeu. The traditional bai house is on a foundation of ten stones symbolic of the ten traditional chiefs.", "isnew": ".", "links": "https://en.wikipedia.org/wiki/Flags_of_the_states_of_Palau#"},</v>
      </c>
      <c r="HN8" s="67" t="str">
        <f t="shared" si="131"/>
        <v>{"couname":"[PAU] Koror","year":"1997","region":"rgn_Oceania","Colors":["cl_BLA","cl_BLU","cl_YEL","cl_ORA","cl_BRO"],"Items":["5+Colo","lets05","startK","year19","NoBand","Horizo","Vertic","Circle","Animal","IsMoon","Center","Humans","Builds","staYEL","NO_WHI","NO_RED","NO_GRE","WHGRNO","WHRENO","myrBLU","HasSta","3+Star"],"Flag":"https://upload.wikimedia.org/wikipedia/commons/thumb/1/1b/Flag_of_Koror_State.png/640px-Flag_of_Koror_State.png","HDFlag":"https://upload.wikimedia.org/wikipedia/commons/1/1b/Flag_of_Koror_State.png","type":"State", "describe": "\nThe blue background represents the ocean and the golden moon represents the new government. The six stars represent the six hamlets of Koror State with the larger star in the middle representing the union of the NgaraMeketii and RubekulKeldeu. The traditional bai house is on a foundation of ten stones symbolic of the ten traditional chiefs.", "isnew": ".", "links": "https://en.wikipedia.org/wiki/Flags_of_the_states_of_Palau#"},</v>
      </c>
      <c r="HO8" s="71">
        <v>45583</v>
      </c>
      <c r="HP8" s="44" t="str" cm="1">
        <f t="array" ref="HP8">IF(_xlfn.TEXTJOIN(", ", TRUE, IF(ISNUMBER(SEARCH("BLA", BL8:BT8)), COLUMN(BL8:BT8) - COLUMN(BL8) + 1, ""))&lt;&gt;"","BLA","")</f>
        <v>BLA</v>
      </c>
      <c r="HQ8" s="44" t="str" cm="1">
        <f t="array" ref="HQ8">IF(_xlfn.TEXTJOIN(", ", TRUE, IF(ISNUMBER(SEARCH("BLU", BL8:BT8)), COLUMN(BL8:BT8) - COLUMN(BL8) + 1, ""))&lt;&gt;"","BLU","")</f>
        <v>BLU</v>
      </c>
      <c r="HR8" s="44" t="str" cm="1">
        <f t="array" ref="HR8">IF(_xlfn.TEXTJOIN(", ", TRUE, IF(ISNUMBER(SEARCH("GRE", BL8:BT8)), COLUMN(BL8:BT8) - COLUMN(BL8) + 1, ""))&lt;&gt;"","GRE","")</f>
        <v/>
      </c>
      <c r="HS8" s="44" t="str" cm="1">
        <f t="array" ref="HS8">IF(_xlfn.TEXTJOIN(", ", TRUE, IF(ISNUMBER(SEARCH("RED", BL8:BT8)), COLUMN(BL8:BT8) - COLUMN(BL8) + 1, ""))&lt;&gt;"","RED","")</f>
        <v/>
      </c>
      <c r="HT8" s="44" t="str" cm="1">
        <f t="array" ref="HT8">IF(_xlfn.TEXTJOIN(", ", TRUE, IF(ISNUMBER(SEARCH("YEL", BL8:BT8)), COLUMN(BL8:BT8) - COLUMN(BL8) + 1, ""))&lt;&gt;"","YEL","")</f>
        <v>YEL</v>
      </c>
      <c r="HU8" s="44" t="str" cm="1">
        <f t="array" ref="HU8">IF(_xlfn.TEXTJOIN(", ", TRUE, IF(ISNUMBER(SEARCH("ORA", BL8:BT8)), COLUMN(BL8:BT8) - COLUMN(BL8) + 1, ""))&lt;&gt;"","ORA","")</f>
        <v>ORA</v>
      </c>
      <c r="HV8" s="44" t="str" cm="1">
        <f t="array" ref="HV8">IF(_xlfn.TEXTJOIN(", ", TRUE, IF(ISNUMBER(SEARCH("BRO", BL8:BT8)), COLUMN(BL8:BT8) - COLUMN(BL8) + 1, ""))&lt;&gt;"","BRO","")</f>
        <v>BRO</v>
      </c>
      <c r="HW8" s="44" t="str" cm="1">
        <f t="array" ref="HW8">IF(_xlfn.TEXTJOIN(", ", TRUE, IF(ISNUMBER(SEARCH("PUR", BL8:BT8)), COLUMN(BL8:BT8) - COLUMN(BL8) + 1, ""))&lt;&gt;"","PUR","")</f>
        <v/>
      </c>
      <c r="HX8" s="44" t="str" cm="1">
        <f t="array" ref="HX8">IF(_xlfn.TEXTJOIN(", ", TRUE, IF(ISNUMBER(SEARCH("WHI", BL8:BT8)), COLUMN(BL8:BT8) - COLUMN(BL8) + 1, ""))&lt;&gt;"","WHI","")</f>
        <v/>
      </c>
      <c r="HY8" s="72"/>
      <c r="HZ8" s="72"/>
      <c r="IA8" s="5"/>
      <c r="IB8" s="5"/>
      <c r="IC8" s="68"/>
      <c r="ID8" s="68"/>
      <c r="IE8" s="68"/>
      <c r="IF8" s="68"/>
      <c r="IG8" s="68"/>
      <c r="IH8" s="68"/>
      <c r="II8" s="68"/>
      <c r="IJ8" s="68"/>
      <c r="IK8" s="68"/>
      <c r="IL8" s="44">
        <f t="shared" si="132"/>
        <v>0</v>
      </c>
      <c r="IM8" s="42">
        <f t="shared" si="133"/>
        <v>-5</v>
      </c>
      <c r="IN8" s="69" t="str">
        <f t="shared" si="134"/>
        <v>http://mkweb.bcgsc.ca/color-summarizer/?url=https://upload.wikimedia.org/wikipedia/commons/thumb/1/1b/Flag_of_Koror_State.png/640px-Flag_of_Koror_State.png&amp;precision=low&amp;num_clusters=5&amp;text=1</v>
      </c>
      <c r="IO8" s="44" t="str">
        <f t="shared" si="135"/>
        <v>"black"</v>
      </c>
      <c r="IP8" s="44" t="str">
        <f t="shared" si="136"/>
        <v>"blue"</v>
      </c>
      <c r="IQ8" s="44" t="str">
        <f t="shared" si="137"/>
        <v/>
      </c>
      <c r="IR8" s="44" t="str">
        <f t="shared" si="138"/>
        <v/>
      </c>
      <c r="IS8" s="44" t="str">
        <f t="shared" si="139"/>
        <v>"yellow"</v>
      </c>
      <c r="IT8" s="44" t="str">
        <f t="shared" si="140"/>
        <v>"orange"</v>
      </c>
      <c r="IU8" s="44" t="str">
        <f t="shared" si="141"/>
        <v>"brown"</v>
      </c>
      <c r="IV8" s="44" t="str">
        <f t="shared" si="142"/>
        <v/>
      </c>
      <c r="IW8" s="44" t="str">
        <f t="shared" si="143"/>
        <v/>
      </c>
      <c r="IX8" s="44" t="str">
        <f t="shared" si="144"/>
        <v>{"url":"http://mkweb.bcgsc.ca/color-summarizer/?url=https://upload.wikimedia.org/wikipedia/commons/thumb/1/1b/Flag_of_Koror_State.png/640px-Flag_of_Koror_State.png&amp;precision=low&amp;num_clusters=5&amp;text=1","name":"[PAU] Koror"},</v>
      </c>
      <c r="IY8" s="44">
        <v>690</v>
      </c>
    </row>
    <row r="9" spans="1:259" s="44" customFormat="1" ht="38.4" customHeight="1" thickBot="1" x14ac:dyDescent="0.35">
      <c r="A9" s="80" t="s">
        <v>486</v>
      </c>
      <c r="B9" s="78" t="e" vm="91">
        <v>#VALUE!</v>
      </c>
      <c r="C9" s="39">
        <v>2</v>
      </c>
      <c r="D9" s="70" t="s">
        <v>487</v>
      </c>
      <c r="E9" s="40" t="s">
        <v>488</v>
      </c>
      <c r="F9" s="41" t="s">
        <v>165</v>
      </c>
      <c r="G9" s="42">
        <f t="shared" si="0"/>
        <v>1</v>
      </c>
      <c r="H9" s="43"/>
      <c r="I9" s="59" t="s">
        <v>466</v>
      </c>
      <c r="J9" s="44" t="str">
        <f>""</f>
        <v/>
      </c>
      <c r="K9" s="45"/>
      <c r="L9" s="46"/>
      <c r="M9" s="46"/>
      <c r="N9" s="47" t="s">
        <v>177</v>
      </c>
      <c r="O9" s="74" t="s">
        <v>230</v>
      </c>
      <c r="P9" s="48" t="s">
        <v>489</v>
      </c>
      <c r="Q9" s="73">
        <v>1</v>
      </c>
      <c r="R9" s="49" t="s">
        <v>177</v>
      </c>
      <c r="S9" s="50">
        <v>0</v>
      </c>
      <c r="T9" s="51" t="s">
        <v>167</v>
      </c>
      <c r="U9" s="52" t="s">
        <v>166</v>
      </c>
      <c r="V9" s="52" t="s">
        <v>166</v>
      </c>
      <c r="W9" s="52" t="s">
        <v>166</v>
      </c>
      <c r="X9" s="52" t="s">
        <v>167</v>
      </c>
      <c r="Y9" s="52" t="s">
        <v>167</v>
      </c>
      <c r="Z9" s="52" t="s">
        <v>166</v>
      </c>
      <c r="AA9" s="52" t="s">
        <v>166</v>
      </c>
      <c r="AB9" s="52" t="s">
        <v>166</v>
      </c>
      <c r="AC9" s="52" t="s">
        <v>166</v>
      </c>
      <c r="AD9" s="52" t="s">
        <v>167</v>
      </c>
      <c r="AE9" s="52" t="s">
        <v>166</v>
      </c>
      <c r="AF9" s="53" t="s">
        <v>166</v>
      </c>
      <c r="AG9" s="53" t="s">
        <v>166</v>
      </c>
      <c r="AH9" s="53" t="s">
        <v>167</v>
      </c>
      <c r="AI9" s="53" t="s">
        <v>166</v>
      </c>
      <c r="AJ9" s="53" t="s">
        <v>166</v>
      </c>
      <c r="AK9" s="53" t="s">
        <v>166</v>
      </c>
      <c r="AL9" s="53" t="s">
        <v>166</v>
      </c>
      <c r="AM9" s="53" t="s">
        <v>166</v>
      </c>
      <c r="AN9" s="53" t="s">
        <v>166</v>
      </c>
      <c r="AO9" s="53" t="s">
        <v>166</v>
      </c>
      <c r="AP9" s="53" t="s">
        <v>166</v>
      </c>
      <c r="AQ9" s="53" t="s">
        <v>166</v>
      </c>
      <c r="AR9" s="53" t="s">
        <v>166</v>
      </c>
      <c r="AS9" s="53" t="s">
        <v>166</v>
      </c>
      <c r="AT9" s="54">
        <v>0</v>
      </c>
      <c r="AU9" s="53" t="s">
        <v>377</v>
      </c>
      <c r="AV9" s="53" t="str">
        <f t="shared" si="1"/>
        <v>[PAU]State[PAU] Melekeok</v>
      </c>
      <c r="AW9" s="53" t="str">
        <f t="shared" si="2"/>
        <v>2[PAU] Melekeok</v>
      </c>
      <c r="AX9" s="55"/>
      <c r="AY9" s="55"/>
      <c r="AZ9" s="56" t="s">
        <v>231</v>
      </c>
      <c r="BA9" s="56"/>
      <c r="BB9" s="56"/>
      <c r="BC9" s="57"/>
      <c r="BD9" s="58" t="s">
        <v>154</v>
      </c>
      <c r="BE9" s="59"/>
      <c r="BF9" s="58" t="s">
        <v>231</v>
      </c>
      <c r="BG9" s="58" t="s">
        <v>231</v>
      </c>
      <c r="BH9" s="58" t="s">
        <v>231</v>
      </c>
      <c r="BI9" s="58"/>
      <c r="BJ9" s="58"/>
      <c r="BK9" s="59"/>
      <c r="BL9" s="58" t="s">
        <v>153</v>
      </c>
      <c r="BM9" s="58" t="s">
        <v>154</v>
      </c>
      <c r="BN9" s="58" t="s">
        <v>231</v>
      </c>
      <c r="BO9" s="58" t="s">
        <v>156</v>
      </c>
      <c r="BP9" s="58" t="s">
        <v>231</v>
      </c>
      <c r="BQ9" s="58" t="s">
        <v>158</v>
      </c>
      <c r="BR9" s="58" t="s">
        <v>231</v>
      </c>
      <c r="BS9" s="58" t="s">
        <v>231</v>
      </c>
      <c r="BT9" s="58" t="s">
        <v>161</v>
      </c>
      <c r="BU9" s="60"/>
      <c r="BV9" s="61"/>
      <c r="BW9" s="61">
        <v>0</v>
      </c>
      <c r="BX9" s="59"/>
      <c r="BY9" s="44" t="s">
        <v>166</v>
      </c>
      <c r="CB9" s="5"/>
      <c r="CC9" s="5"/>
      <c r="CD9" s="62">
        <v>0</v>
      </c>
      <c r="CE9" s="62">
        <v>0</v>
      </c>
      <c r="CF9" s="62" t="e">
        <v>#REF!</v>
      </c>
      <c r="CG9" s="75" cm="1">
        <f t="array" ref="CG9">SUMPRODUCT(--(LEN(TRIM(BL9:BT9))&gt;0))</f>
        <v>5</v>
      </c>
      <c r="CH9" s="53" t="str">
        <f t="shared" si="3"/>
        <v>n</v>
      </c>
      <c r="CI9" s="53" t="str">
        <f t="shared" si="4"/>
        <v>n</v>
      </c>
      <c r="CJ9" s="53" t="str">
        <f t="shared" si="5"/>
        <v>n</v>
      </c>
      <c r="CK9" s="53" t="str">
        <f t="shared" si="6"/>
        <v>y</v>
      </c>
      <c r="CL9" s="53" t="str">
        <f t="shared" si="7"/>
        <v>y</v>
      </c>
      <c r="CM9" s="53" t="str">
        <f t="shared" si="8"/>
        <v>n</v>
      </c>
      <c r="CN9" s="53" t="str">
        <f t="shared" si="9"/>
        <v>n</v>
      </c>
      <c r="CO9" s="53" t="str">
        <f t="shared" si="10"/>
        <v>n</v>
      </c>
      <c r="CP9" s="53" t="str">
        <f t="shared" si="11"/>
        <v>y</v>
      </c>
      <c r="CQ9" s="53" t="str">
        <f t="shared" si="12"/>
        <v>n</v>
      </c>
      <c r="CR9" s="53" t="str">
        <f t="shared" si="13"/>
        <v>n</v>
      </c>
      <c r="CS9" s="53" t="str">
        <f t="shared" si="14"/>
        <v>n</v>
      </c>
      <c r="CT9" s="38" t="str">
        <f t="shared" si="15"/>
        <v>"[PAU] Melekeok"</v>
      </c>
      <c r="CU9" s="63" t="str">
        <f t="shared" si="16"/>
        <v>"rgn_Oceania"</v>
      </c>
      <c r="CV9" s="44" t="str">
        <f t="shared" si="17"/>
        <v>"https://upload.wikimedia.org/wikipedia/commons/thumb/9/93/Flag_of_Melekeok.svg/640px-Flag_of_Melekeok.svg.png"</v>
      </c>
      <c r="CW9" s="44" t="str">
        <f t="shared" si="18"/>
        <v/>
      </c>
      <c r="CX9" s="44" t="str">
        <f t="shared" si="19"/>
        <v/>
      </c>
      <c r="CY9" s="44" t="str">
        <f t="shared" si="20"/>
        <v/>
      </c>
      <c r="CZ9" s="44" t="str">
        <f t="shared" si="21"/>
        <v>"5+Colo",</v>
      </c>
      <c r="DA9" s="44" t="str">
        <f t="shared" si="22"/>
        <v/>
      </c>
      <c r="DB9" s="44" t="str">
        <f t="shared" si="23"/>
        <v/>
      </c>
      <c r="DC9" s="44" t="str">
        <f t="shared" si="24"/>
        <v/>
      </c>
      <c r="DD9" s="44" t="str">
        <f t="shared" si="25"/>
        <v>"lets08",</v>
      </c>
      <c r="DE9" s="44" t="str">
        <f t="shared" si="26"/>
        <v>"startM",</v>
      </c>
      <c r="DF9" s="44" t="str">
        <f t="shared" si="27"/>
        <v/>
      </c>
      <c r="DG9" s="44" t="str">
        <f t="shared" si="28"/>
        <v/>
      </c>
      <c r="DH9" s="44" t="str">
        <f t="shared" si="29"/>
        <v/>
      </c>
      <c r="DI9" s="44" t="str">
        <f t="shared" si="30"/>
        <v/>
      </c>
      <c r="DJ9" s="44" t="str">
        <f t="shared" si="31"/>
        <v/>
      </c>
      <c r="DK9" s="44" t="str">
        <f t="shared" si="32"/>
        <v/>
      </c>
      <c r="DL9" s="44" t="str">
        <f t="shared" si="33"/>
        <v/>
      </c>
      <c r="DM9" s="44" t="str" cm="1">
        <f t="array" ref="DM9">IF(CG9=3,CHAR(34) &amp; _xlfn.TEXTJOIN("", TRUE, RIGHT(HP9:HX9, 2)) &amp; CHAR(34) &amp; ",", "")</f>
        <v/>
      </c>
      <c r="DN9" s="44" t="str">
        <f t="shared" si="34"/>
        <v/>
      </c>
      <c r="DO9" s="44" t="str">
        <f t="shared" si="35"/>
        <v/>
      </c>
      <c r="DP9" s="5" t="str">
        <f t="shared" si="36"/>
        <v/>
      </c>
      <c r="DQ9" s="5" t="str">
        <f t="shared" si="37"/>
        <v/>
      </c>
      <c r="DR9" s="5" t="str">
        <f t="shared" si="38"/>
        <v/>
      </c>
      <c r="DS9" s="5" t="str">
        <f t="shared" si="39"/>
        <v/>
      </c>
      <c r="DT9" s="5" t="str">
        <f t="shared" si="40"/>
        <v/>
      </c>
      <c r="DU9" s="5" t="str">
        <f t="shared" si="41"/>
        <v/>
      </c>
      <c r="DV9" s="44" t="str">
        <f t="shared" si="42"/>
        <v/>
      </c>
      <c r="DW9" s="44" t="str">
        <f t="shared" si="43"/>
        <v>"NoBand",</v>
      </c>
      <c r="DX9" s="44" t="str">
        <f t="shared" si="44"/>
        <v/>
      </c>
      <c r="DY9" s="44" t="str">
        <f t="shared" si="45"/>
        <v/>
      </c>
      <c r="DZ9" s="44" t="str">
        <f t="shared" si="46"/>
        <v/>
      </c>
      <c r="EA9" s="44" t="str">
        <f t="shared" si="47"/>
        <v>"Diagon",</v>
      </c>
      <c r="EB9" s="44" t="str">
        <f t="shared" si="48"/>
        <v/>
      </c>
      <c r="EC9" s="44" t="str">
        <f t="shared" si="49"/>
        <v/>
      </c>
      <c r="ED9" s="44" t="str">
        <f t="shared" si="50"/>
        <v/>
      </c>
      <c r="EE9" s="44" t="str">
        <f t="shared" si="51"/>
        <v>"Circle",</v>
      </c>
      <c r="EF9" s="44" t="str">
        <f t="shared" si="52"/>
        <v>"Animal",</v>
      </c>
      <c r="EG9" s="44" t="str">
        <f t="shared" si="53"/>
        <v/>
      </c>
      <c r="EH9" s="44" t="str">
        <f t="shared" si="54"/>
        <v/>
      </c>
      <c r="EI9" s="44" t="str">
        <f t="shared" si="55"/>
        <v/>
      </c>
      <c r="EJ9" s="44" t="str">
        <f t="shared" si="56"/>
        <v/>
      </c>
      <c r="EK9" s="44" t="str">
        <f t="shared" si="57"/>
        <v>"HasSun",</v>
      </c>
      <c r="EL9" s="44" t="str">
        <f t="shared" si="58"/>
        <v/>
      </c>
      <c r="EM9" s="44" t="str">
        <f t="shared" si="59"/>
        <v/>
      </c>
      <c r="EN9" s="44" t="str">
        <f t="shared" si="60"/>
        <v/>
      </c>
      <c r="EO9" s="44" t="str">
        <f t="shared" si="61"/>
        <v>"Center",</v>
      </c>
      <c r="EP9" s="44" t="str">
        <f t="shared" si="62"/>
        <v/>
      </c>
      <c r="EQ9" s="44" t="str">
        <f t="shared" si="63"/>
        <v/>
      </c>
      <c r="ER9" s="44" t="str">
        <f t="shared" si="64"/>
        <v/>
      </c>
      <c r="ES9" s="44" t="str">
        <f t="shared" si="65"/>
        <v/>
      </c>
      <c r="ET9" s="44" t="str">
        <f t="shared" si="66"/>
        <v/>
      </c>
      <c r="EU9" s="44" t="str">
        <f t="shared" si="67"/>
        <v/>
      </c>
      <c r="EV9" s="44" t="str">
        <f t="shared" si="68"/>
        <v/>
      </c>
      <c r="EW9" s="44" t="str">
        <f t="shared" si="69"/>
        <v/>
      </c>
      <c r="EX9" s="44" t="str">
        <f t="shared" si="70"/>
        <v/>
      </c>
      <c r="EY9" s="44" t="str">
        <f t="shared" si="71"/>
        <v/>
      </c>
      <c r="EZ9" s="44" t="str">
        <f t="shared" si="72"/>
        <v/>
      </c>
      <c r="FA9" s="44" t="str">
        <f t="shared" si="73"/>
        <v/>
      </c>
      <c r="FB9" s="44" t="str">
        <f t="shared" si="74"/>
        <v/>
      </c>
      <c r="FC9" s="44" t="str">
        <f t="shared" si="75"/>
        <v/>
      </c>
      <c r="FD9" s="44" t="str">
        <f t="shared" si="76"/>
        <v/>
      </c>
      <c r="FE9" s="44" t="str">
        <f t="shared" si="77"/>
        <v/>
      </c>
      <c r="FF9" s="44" t="str">
        <f t="shared" si="78"/>
        <v/>
      </c>
      <c r="FG9" s="44" t="str">
        <f t="shared" si="79"/>
        <v/>
      </c>
      <c r="FH9" s="44" t="str">
        <f t="shared" si="80"/>
        <v>"NO_GRE",</v>
      </c>
      <c r="FI9" s="44" t="str">
        <f t="shared" si="81"/>
        <v>"NO_YEL",</v>
      </c>
      <c r="FJ9" s="44" t="str">
        <f t="shared" si="82"/>
        <v/>
      </c>
      <c r="FK9" s="44" t="str">
        <f t="shared" si="83"/>
        <v/>
      </c>
      <c r="FL9" s="44" t="str">
        <f t="shared" si="84"/>
        <v/>
      </c>
      <c r="FM9" s="44" t="str">
        <f t="shared" si="85"/>
        <v/>
      </c>
      <c r="FN9" s="44" t="str">
        <f t="shared" si="86"/>
        <v/>
      </c>
      <c r="FO9" s="44" t="str">
        <f t="shared" si="87"/>
        <v/>
      </c>
      <c r="FP9" s="44" t="str">
        <f t="shared" si="88"/>
        <v/>
      </c>
      <c r="FQ9" s="44" t="str">
        <f t="shared" si="89"/>
        <v/>
      </c>
      <c r="FR9" s="44" t="str">
        <f t="shared" si="90"/>
        <v/>
      </c>
      <c r="FS9" s="44" t="str">
        <f t="shared" si="91"/>
        <v/>
      </c>
      <c r="FT9" s="44" t="str">
        <f t="shared" si="92"/>
        <v>"myrBLU",</v>
      </c>
      <c r="FU9" s="44" t="str">
        <f t="shared" si="93"/>
        <v/>
      </c>
      <c r="FV9" s="44" t="str">
        <f t="shared" si="94"/>
        <v/>
      </c>
      <c r="FW9" s="44" t="str">
        <f t="shared" si="95"/>
        <v/>
      </c>
      <c r="FX9" s="44" t="str">
        <f t="shared" si="96"/>
        <v/>
      </c>
      <c r="FY9" s="44" t="str">
        <f t="shared" si="97"/>
        <v/>
      </c>
      <c r="FZ9" s="44" t="str">
        <f t="shared" si="98"/>
        <v/>
      </c>
      <c r="GA9" s="44" t="str">
        <f t="shared" si="99"/>
        <v/>
      </c>
      <c r="GB9" s="44" t="str">
        <f t="shared" si="100"/>
        <v/>
      </c>
      <c r="GC9" s="44" t="str">
        <f t="shared" si="101"/>
        <v/>
      </c>
      <c r="GD9" s="44" t="str">
        <f t="shared" si="102"/>
        <v/>
      </c>
      <c r="GE9" s="44" t="str">
        <f t="shared" si="103"/>
        <v/>
      </c>
      <c r="GF9" s="44" t="str">
        <f t="shared" si="145"/>
        <v/>
      </c>
      <c r="GG9" s="44" t="str">
        <f t="shared" si="104"/>
        <v/>
      </c>
      <c r="GH9" s="44" t="str">
        <f t="shared" si="105"/>
        <v/>
      </c>
      <c r="GI9" s="44" t="str">
        <f t="shared" si="106"/>
        <v/>
      </c>
      <c r="GJ9" s="44" t="str">
        <f t="shared" si="107"/>
        <v>"NoStar",</v>
      </c>
      <c r="GK9" s="44" t="str">
        <f t="shared" si="108"/>
        <v/>
      </c>
      <c r="GL9" s="44" t="str">
        <f t="shared" si="109"/>
        <v/>
      </c>
      <c r="GM9" s="44" t="str">
        <f t="shared" si="110"/>
        <v/>
      </c>
      <c r="GN9" s="44" t="str">
        <f t="shared" si="111"/>
        <v/>
      </c>
      <c r="GP9" s="44" t="str">
        <f t="shared" si="112"/>
        <v>"State"</v>
      </c>
      <c r="GS9" s="44" t="str">
        <f t="shared" si="113"/>
        <v>["5+Colo","lets08","startM","NoBand","Diagon","Circle","Animal","HasSun","Center","NO_GRE","NO_YEL","myrBLU","NoStar"]</v>
      </c>
      <c r="GT9" s="44" t="str">
        <f t="shared" si="114"/>
        <v>"cl_BLA",</v>
      </c>
      <c r="GU9" s="44" t="str">
        <f t="shared" si="115"/>
        <v>"cl_BLU",</v>
      </c>
      <c r="GV9" s="44" t="str">
        <f t="shared" si="116"/>
        <v/>
      </c>
      <c r="GW9" s="44" t="str">
        <f t="shared" si="117"/>
        <v>"cl_RED",</v>
      </c>
      <c r="GX9" s="44" t="str">
        <f t="shared" si="118"/>
        <v/>
      </c>
      <c r="GY9" s="44" t="str">
        <f t="shared" si="119"/>
        <v>"cl_ORA",</v>
      </c>
      <c r="GZ9" s="44" t="str">
        <f t="shared" si="120"/>
        <v/>
      </c>
      <c r="HA9" s="44" t="str">
        <f t="shared" si="121"/>
        <v/>
      </c>
      <c r="HB9" s="44" t="str">
        <f t="shared" si="122"/>
        <v>"cl_WHI",</v>
      </c>
      <c r="HC9" s="44" t="str">
        <f t="shared" si="123"/>
        <v>["cl_BLA","cl_BLU","cl_RED","cl_ORA","cl_WHI"]</v>
      </c>
      <c r="HE9" s="64"/>
      <c r="HF9" s="65" t="str">
        <f t="shared" si="124"/>
        <v>{couname:"[PAU] Melekeok",year:"???",region:"rgn_Oceania",Colors:["cl_BLA","cl_BLU","cl_RED","cl_ORA","cl_WHI"],Items:["5+Colo","lets08","startM","NoBand","Diagon","Circle","Animal","HasSun","Center","NO_GRE","NO_YEL","myrBLU","NoStar"],Flag:"https://upload.wikimedia.org/wikipedia/commons/thumb/9/93/Flag_of_Melekeok.svg/640px-Flag_of_Melekeok.svg.png",HDFlag:"https://upload.wikimedia.org/wikipedia/commons/thumb/9/93/Flag_of_Melekeok.svg/2560px-Flag_of_Melekeok.svg.png",type:"State", describe: "\nThe sun and its six (6) rays stands for the unity of the six (6) hamlets that now are united. The hamlets are Ngeburch,Ngeruliang, Ngermelech, Ukaeb, Ngerang, and Ngerubesang.The rays represents the hamlets and the sun indicates that Melekeok is facing the east where the sun rises and also indicates that Melekeok was the head of Eastern Confederacy of Palau.", isnew:".", links: "https://en.wikipedia.org/wiki/Flags_of_the_states_of_Palau#"},</v>
      </c>
      <c r="HG9" s="66" t="str">
        <f t="shared" si="125"/>
        <v>{couname:"[PAU] Melekeok",year:"???",region:"rgn_Oceania",Colors:["cl_BLA","cl_BLU","cl_RED","cl_ORA","cl_WHI"],Items:["5+Colo","lets08","startM","NoBand","Diagon","Circle","Animal","HasSun","Center","NO_GRE","NO_YEL","myrBLU","NoStar"],Flag:"https://upload.wikimedia.org/wikipedia/commons/thumb/9/93/Flag_of_Melekeok.svg/640px-Flag_of_Melekeok.svg.png",HDFlag:"https://upload.wikimedia.org/wikipedia/commons/thumb/9/93/Flag_of_Melekeok.svg/2560px-Flag_of_Melekeok.svg.png",type:"State", describe: "\nThe sun and its six (6) rays stands for the unity of the six (6) hamlets that now are united. The hamlets are Ngeburch,Ngeruliang, Ngermelech, Ukaeb, Ngerang, and Ngerubesang.The rays represents the hamlets and the sun indicates that Melekeok is facing the east where the sun rises and also indicates that Melekeok was the head of Eastern Confederacy of Palau.", links: "https://en.wikipedia.org/wiki/Flags_of_the_states_of_Palau#"},</v>
      </c>
      <c r="HH9" s="44" t="str">
        <f t="shared" si="126"/>
        <v>"\nThe sun and its six (6) rays stands for the unity of the six (6) hamlets that now are united. The hamlets are Ngeburch,Ngeruliang, Ngermelech, Ukaeb, Ngerang, and Ngerubesang.The rays represents the hamlets and the sun indicates that Melekeok is facing the east where the sun rises and also indicates that Melekeok was the head of Eastern Confederacy of Palau."</v>
      </c>
      <c r="HI9" s="44" t="str">
        <f t="shared" si="127"/>
        <v>"\nThe sun and its six (6) rays stands for the unity of the six (6) hamlets that now are united. The hamlets are Ngeburch,Ngeruliang, Ngermelech, Ukaeb, Ngerang, and Ngerubesang.The rays represents the hamlets and the sun indicates that Melekeok is facing the east where the sun rises and also indicates that Melekeok was the head of Eastern Confederacy of Palau."</v>
      </c>
      <c r="HJ9" s="44" t="str">
        <f t="shared" si="128"/>
        <v>"???"</v>
      </c>
      <c r="HL9" s="44" t="str">
        <f t="shared" si="129"/>
        <v>"https://en.wikipedia.org/wiki/Flags_of_the_states_of_Palau#"</v>
      </c>
      <c r="HM9" s="65" t="str">
        <f t="shared" si="130"/>
        <v>{"couname":"[PAU] Melekeok","year":"???","region":"rgn_Oceania","Colors":["cl_BLA","cl_BLU","cl_RED","cl_ORA","cl_WHI"],"Items":["5+Colo","lets08","startM","NoBand","Diagon","Circle","Animal","HasSun","Center","NO_GRE","NO_YEL","myrBLU","NoStar"],"Flag":"https://upload.wikimedia.org/wikipedia/commons/thumb/9/93/Flag_of_Melekeok.svg/640px-Flag_of_Melekeok.svg.png","HDFlag":"https://upload.wikimedia.org/wikipedia/commons/thumb/9/93/Flag_of_Melekeok.svg/2560px-Flag_of_Melekeok.svg.png","type":"State", "describe": "\nThe sun and its six (6) rays stands for the unity of the six (6) hamlets that now are united. The hamlets are Ngeburch,Ngeruliang, Ngermelech, Ukaeb, Ngerang, and Ngerubesang.The rays represents the hamlets and the sun indicates that Melekeok is facing the east where the sun rises and also indicates that Melekeok was the head of Eastern Confederacy of Palau.", "isnew": ".", "links": "https://en.wikipedia.org/wiki/Flags_of_the_states_of_Palau#"},</v>
      </c>
      <c r="HN9" s="67" t="str">
        <f t="shared" si="131"/>
        <v>{"couname":"[PAU] Melekeok","year":"???","region":"rgn_Oceania","Colors":["cl_BLA","cl_BLU","cl_RED","cl_ORA","cl_WHI"],"Items":["5+Colo","lets08","startM","NoBand","Diagon","Circle","Animal","HasSun","Center","NO_GRE","NO_YEL","myrBLU","NoStar"],"Flag":"https://upload.wikimedia.org/wikipedia/commons/thumb/9/93/Flag_of_Melekeok.svg/640px-Flag_of_Melekeok.svg.png","HDFlag":"https://upload.wikimedia.org/wikipedia/commons/thumb/9/93/Flag_of_Melekeok.svg/2560px-Flag_of_Melekeok.svg.png","type":"State", "describe": "\nThe sun and its six (6) rays stands for the unity of the six (6) hamlets that now are united. The hamlets are Ngeburch,Ngeruliang, Ngermelech, Ukaeb, Ngerang, and Ngerubesang.The rays represents the hamlets and the sun indicates that Melekeok is facing the east where the sun rises and also indicates that Melekeok was the head of Eastern Confederacy of Palau.", "isnew": ".", "links": "https://en.wikipedia.org/wiki/Flags_of_the_states_of_Palau#"},</v>
      </c>
      <c r="HO9" s="71">
        <v>45583</v>
      </c>
      <c r="HP9" s="44" t="str" cm="1">
        <f t="array" ref="HP9">IF(_xlfn.TEXTJOIN(", ", TRUE, IF(ISNUMBER(SEARCH("BLA", BL9:BT9)), COLUMN(BL9:BT9) - COLUMN(BL9) + 1, ""))&lt;&gt;"","BLA","")</f>
        <v>BLA</v>
      </c>
      <c r="HQ9" s="44" t="str" cm="1">
        <f t="array" ref="HQ9">IF(_xlfn.TEXTJOIN(", ", TRUE, IF(ISNUMBER(SEARCH("BLU", BL9:BT9)), COLUMN(BL9:BT9) - COLUMN(BL9) + 1, ""))&lt;&gt;"","BLU","")</f>
        <v>BLU</v>
      </c>
      <c r="HR9" s="44" t="str" cm="1">
        <f t="array" ref="HR9">IF(_xlfn.TEXTJOIN(", ", TRUE, IF(ISNUMBER(SEARCH("GRE", BL9:BT9)), COLUMN(BL9:BT9) - COLUMN(BL9) + 1, ""))&lt;&gt;"","GRE","")</f>
        <v/>
      </c>
      <c r="HS9" s="44" t="str" cm="1">
        <f t="array" ref="HS9">IF(_xlfn.TEXTJOIN(", ", TRUE, IF(ISNUMBER(SEARCH("RED", BL9:BT9)), COLUMN(BL9:BT9) - COLUMN(BL9) + 1, ""))&lt;&gt;"","RED","")</f>
        <v>RED</v>
      </c>
      <c r="HT9" s="44" t="str" cm="1">
        <f t="array" ref="HT9">IF(_xlfn.TEXTJOIN(", ", TRUE, IF(ISNUMBER(SEARCH("YEL", BL9:BT9)), COLUMN(BL9:BT9) - COLUMN(BL9) + 1, ""))&lt;&gt;"","YEL","")</f>
        <v/>
      </c>
      <c r="HU9" s="44" t="str" cm="1">
        <f t="array" ref="HU9">IF(_xlfn.TEXTJOIN(", ", TRUE, IF(ISNUMBER(SEARCH("ORA", BL9:BT9)), COLUMN(BL9:BT9) - COLUMN(BL9) + 1, ""))&lt;&gt;"","ORA","")</f>
        <v>ORA</v>
      </c>
      <c r="HV9" s="44" t="str" cm="1">
        <f t="array" ref="HV9">IF(_xlfn.TEXTJOIN(", ", TRUE, IF(ISNUMBER(SEARCH("BRO", BL9:BT9)), COLUMN(BL9:BT9) - COLUMN(BL9) + 1, ""))&lt;&gt;"","BRO","")</f>
        <v/>
      </c>
      <c r="HW9" s="44" t="str" cm="1">
        <f t="array" ref="HW9">IF(_xlfn.TEXTJOIN(", ", TRUE, IF(ISNUMBER(SEARCH("PUR", BL9:BT9)), COLUMN(BL9:BT9) - COLUMN(BL9) + 1, ""))&lt;&gt;"","PUR","")</f>
        <v/>
      </c>
      <c r="HX9" s="44" t="str" cm="1">
        <f t="array" ref="HX9">IF(_xlfn.TEXTJOIN(", ", TRUE, IF(ISNUMBER(SEARCH("WHI", BL9:BT9)), COLUMN(BL9:BT9) - COLUMN(BL9) + 1, ""))&lt;&gt;"","WHI","")</f>
        <v>WHI</v>
      </c>
      <c r="HY9" s="72"/>
      <c r="HZ9" s="72"/>
      <c r="IA9" s="5"/>
      <c r="IB9" s="5"/>
      <c r="IC9" s="68"/>
      <c r="ID9" s="68"/>
      <c r="IE9" s="68"/>
      <c r="IF9" s="68"/>
      <c r="IG9" s="68"/>
      <c r="IH9" s="68"/>
      <c r="II9" s="68"/>
      <c r="IJ9" s="68"/>
      <c r="IK9" s="68"/>
      <c r="IL9" s="44">
        <f t="shared" si="132"/>
        <v>0</v>
      </c>
      <c r="IM9" s="42">
        <f t="shared" si="133"/>
        <v>-5</v>
      </c>
      <c r="IN9" s="69" t="str">
        <f t="shared" si="134"/>
        <v>http://mkweb.bcgsc.ca/color-summarizer/?url=https://upload.wikimedia.org/wikipedia/commons/thumb/9/93/Flag_of_Melekeok.svg/640px-Flag_of_Melekeok.svg.png&amp;precision=low&amp;num_clusters=5&amp;text=1</v>
      </c>
      <c r="IO9" s="44" t="str">
        <f t="shared" si="135"/>
        <v>"black"</v>
      </c>
      <c r="IP9" s="44" t="str">
        <f t="shared" si="136"/>
        <v>"blue"</v>
      </c>
      <c r="IQ9" s="44" t="str">
        <f t="shared" si="137"/>
        <v/>
      </c>
      <c r="IR9" s="44" t="str">
        <f t="shared" si="138"/>
        <v>"red"</v>
      </c>
      <c r="IS9" s="44" t="str">
        <f t="shared" si="139"/>
        <v/>
      </c>
      <c r="IT9" s="44" t="str">
        <f t="shared" si="140"/>
        <v>"orange"</v>
      </c>
      <c r="IU9" s="44" t="str">
        <f t="shared" si="141"/>
        <v/>
      </c>
      <c r="IV9" s="44" t="str">
        <f t="shared" si="142"/>
        <v/>
      </c>
      <c r="IW9" s="44" t="str">
        <f t="shared" si="143"/>
        <v>"white"</v>
      </c>
      <c r="IX9" s="44" t="str">
        <f t="shared" si="144"/>
        <v>{"url":"http://mkweb.bcgsc.ca/color-summarizer/?url=https://upload.wikimedia.org/wikipedia/commons/thumb/9/93/Flag_of_Melekeok.svg/640px-Flag_of_Melekeok.svg.png&amp;precision=low&amp;num_clusters=5&amp;text=1","name":"[PAU] Melekeok"},</v>
      </c>
      <c r="IY9" s="44">
        <v>691</v>
      </c>
    </row>
    <row r="10" spans="1:259" s="44" customFormat="1" ht="38.4" customHeight="1" thickBot="1" x14ac:dyDescent="0.35">
      <c r="A10" s="80" t="s">
        <v>626</v>
      </c>
      <c r="B10" s="78" t="e" vm="92">
        <v>#VALUE!</v>
      </c>
      <c r="C10" s="39">
        <v>2</v>
      </c>
      <c r="D10" s="70" t="s">
        <v>627</v>
      </c>
      <c r="E10" s="40" t="s">
        <v>628</v>
      </c>
      <c r="F10" s="41" t="s">
        <v>165</v>
      </c>
      <c r="G10" s="42">
        <f t="shared" si="0"/>
        <v>1</v>
      </c>
      <c r="H10" s="43"/>
      <c r="I10" s="59" t="s">
        <v>629</v>
      </c>
      <c r="J10" s="44" t="str">
        <f>""</f>
        <v/>
      </c>
      <c r="K10" s="45"/>
      <c r="L10" s="46"/>
      <c r="M10" s="46"/>
      <c r="N10" s="47" t="s">
        <v>177</v>
      </c>
      <c r="O10" s="74" t="s">
        <v>230</v>
      </c>
      <c r="P10" s="48" t="s">
        <v>630</v>
      </c>
      <c r="Q10" s="73">
        <v>1</v>
      </c>
      <c r="R10" s="49" t="s">
        <v>177</v>
      </c>
      <c r="S10" s="50">
        <v>3</v>
      </c>
      <c r="T10" s="51" t="s">
        <v>167</v>
      </c>
      <c r="U10" s="52" t="s">
        <v>166</v>
      </c>
      <c r="V10" s="52" t="s">
        <v>166</v>
      </c>
      <c r="W10" s="52" t="s">
        <v>166</v>
      </c>
      <c r="X10" s="52" t="s">
        <v>166</v>
      </c>
      <c r="Y10" s="52" t="s">
        <v>166</v>
      </c>
      <c r="Z10" s="52" t="s">
        <v>166</v>
      </c>
      <c r="AA10" s="52" t="s">
        <v>166</v>
      </c>
      <c r="AB10" s="52" t="s">
        <v>166</v>
      </c>
      <c r="AC10" s="52" t="s">
        <v>166</v>
      </c>
      <c r="AD10" s="52" t="s">
        <v>166</v>
      </c>
      <c r="AE10" s="52" t="s">
        <v>166</v>
      </c>
      <c r="AF10" s="53" t="s">
        <v>166</v>
      </c>
      <c r="AG10" s="53" t="s">
        <v>166</v>
      </c>
      <c r="AH10" s="53" t="s">
        <v>167</v>
      </c>
      <c r="AI10" s="53" t="s">
        <v>166</v>
      </c>
      <c r="AJ10" s="53" t="s">
        <v>166</v>
      </c>
      <c r="AK10" s="53" t="s">
        <v>166</v>
      </c>
      <c r="AL10" s="53" t="s">
        <v>166</v>
      </c>
      <c r="AM10" s="53" t="s">
        <v>166</v>
      </c>
      <c r="AN10" s="53" t="s">
        <v>166</v>
      </c>
      <c r="AO10" s="53" t="s">
        <v>166</v>
      </c>
      <c r="AP10" s="53" t="s">
        <v>166</v>
      </c>
      <c r="AQ10" s="53" t="s">
        <v>166</v>
      </c>
      <c r="AR10" s="53" t="s">
        <v>166</v>
      </c>
      <c r="AS10" s="53" t="s">
        <v>166</v>
      </c>
      <c r="AT10" s="54">
        <v>1</v>
      </c>
      <c r="AU10" s="53" t="s">
        <v>377</v>
      </c>
      <c r="AV10" s="53" t="str">
        <f t="shared" si="1"/>
        <v>[PAU]State[PAU] Ngaraard</v>
      </c>
      <c r="AW10" s="53" t="str">
        <f t="shared" si="2"/>
        <v>2[PAU] Ngaraard</v>
      </c>
      <c r="AX10" s="55"/>
      <c r="AY10" s="55"/>
      <c r="AZ10" s="56" t="s">
        <v>157</v>
      </c>
      <c r="BA10" s="56" t="s">
        <v>231</v>
      </c>
      <c r="BB10" s="56"/>
      <c r="BC10" s="57"/>
      <c r="BD10" s="58" t="s">
        <v>154</v>
      </c>
      <c r="BE10" s="59"/>
      <c r="BF10" s="58" t="s">
        <v>154</v>
      </c>
      <c r="BG10" s="58" t="s">
        <v>156</v>
      </c>
      <c r="BH10" s="58" t="s">
        <v>154</v>
      </c>
      <c r="BI10" s="58"/>
      <c r="BJ10" s="58"/>
      <c r="BK10" s="59"/>
      <c r="BL10" s="58" t="s">
        <v>231</v>
      </c>
      <c r="BM10" s="58" t="s">
        <v>154</v>
      </c>
      <c r="BN10" s="58" t="s">
        <v>231</v>
      </c>
      <c r="BO10" s="58" t="s">
        <v>156</v>
      </c>
      <c r="BP10" s="58" t="s">
        <v>157</v>
      </c>
      <c r="BQ10" s="58" t="s">
        <v>231</v>
      </c>
      <c r="BR10" s="58" t="s">
        <v>231</v>
      </c>
      <c r="BS10" s="58" t="s">
        <v>231</v>
      </c>
      <c r="BT10" s="58" t="s">
        <v>231</v>
      </c>
      <c r="BU10" s="60"/>
      <c r="BV10" s="61"/>
      <c r="BW10" s="61">
        <v>0</v>
      </c>
      <c r="BX10" s="59"/>
      <c r="BY10" s="44" t="s">
        <v>167</v>
      </c>
      <c r="CB10" s="5"/>
      <c r="CC10" s="5"/>
      <c r="CD10" s="62">
        <v>0</v>
      </c>
      <c r="CE10" s="62">
        <v>0</v>
      </c>
      <c r="CF10" s="62" t="e">
        <v>#REF!</v>
      </c>
      <c r="CG10" s="75" cm="1">
        <f t="array" ref="CG10">SUMPRODUCT(--(LEN(TRIM(BL10:BT10))&gt;0))</f>
        <v>3</v>
      </c>
      <c r="CH10" s="53" t="str">
        <f t="shared" si="3"/>
        <v>n</v>
      </c>
      <c r="CI10" s="53" t="str">
        <f t="shared" si="4"/>
        <v>y</v>
      </c>
      <c r="CJ10" s="53" t="str">
        <f t="shared" si="5"/>
        <v>n</v>
      </c>
      <c r="CK10" s="53" t="str">
        <f t="shared" si="6"/>
        <v>n</v>
      </c>
      <c r="CL10" s="53" t="str">
        <f t="shared" si="7"/>
        <v>n</v>
      </c>
      <c r="CM10" s="53" t="str">
        <f t="shared" si="8"/>
        <v>n</v>
      </c>
      <c r="CN10" s="53" t="str">
        <f t="shared" si="9"/>
        <v>y</v>
      </c>
      <c r="CO10" s="53" t="str">
        <f t="shared" si="10"/>
        <v>n</v>
      </c>
      <c r="CP10" s="53" t="str">
        <f t="shared" si="11"/>
        <v>n</v>
      </c>
      <c r="CQ10" s="53" t="str">
        <f t="shared" si="12"/>
        <v>y</v>
      </c>
      <c r="CR10" s="53" t="str">
        <f t="shared" si="13"/>
        <v>n</v>
      </c>
      <c r="CS10" s="53" t="str">
        <f t="shared" si="14"/>
        <v>n</v>
      </c>
      <c r="CT10" s="38" t="str">
        <f t="shared" si="15"/>
        <v>"[PAU] Ngaraard"</v>
      </c>
      <c r="CU10" s="63" t="str">
        <f t="shared" si="16"/>
        <v>"rgn_Oceania"</v>
      </c>
      <c r="CV10" s="44" t="str">
        <f t="shared" si="17"/>
        <v>"https://upload.wikimedia.org/wikipedia/commons/thumb/4/45/Flag_of_Ngaraard_State.svg/640px-Flag_of_Ngaraard_State.svg.png"</v>
      </c>
      <c r="CW10" s="44" t="str">
        <f t="shared" si="18"/>
        <v/>
      </c>
      <c r="CX10" s="44" t="str">
        <f t="shared" si="19"/>
        <v>"3Color",</v>
      </c>
      <c r="CY10" s="44" t="str">
        <f t="shared" si="20"/>
        <v/>
      </c>
      <c r="CZ10" s="44" t="str">
        <f t="shared" si="21"/>
        <v/>
      </c>
      <c r="DA10" s="44" t="str">
        <f t="shared" si="22"/>
        <v/>
      </c>
      <c r="DB10" s="44" t="str">
        <f t="shared" si="23"/>
        <v/>
      </c>
      <c r="DD10" s="44" t="str">
        <f>IF(LEN(CHAR(34)&amp;"lets"&amp;LEN(SUBSTITUTE(SUBSTITUTE(IFERROR(TRIM(SUBSTITUTE(A10,MID(A10,FIND("[",A10),FIND("]",A10)-FIND("[",A10)+1),"")),A10)," ",""),"-",""))&amp;CHAR(34)&amp;",")=9,CHAR(34)&amp;"lets"&amp;LEN(SUBSTITUTE(SUBSTITUTE(IFERROR(TRIM(SUBSTITUTE(A10,MID(A10,FIND("[",A10),FIND("]",A10)-FIND("[",A10)+1),"")),A10)," ",""),"-",""))&amp;CHAR(34)&amp;",",CHAR(34)&amp;"lets0"&amp;LEN(SUBSTITUTE(SUBSTITUTE(IFERROR(TRIM(SUBSTITUTE(A10,MID(A10,FIND("[",A10),FIND("]",A10)-FIND("[",A10)+1),"")),A10)," ",""),"-",""))&amp;CHAR(34)&amp;",")</f>
        <v>"lets08",</v>
      </c>
      <c r="DE10" s="44" t="str">
        <f>CHAR(34)&amp;"start"&amp;IFERROR(LEFT(SUBSTITUTE(A10,"["&amp;MID(A10,FIND("[",A10)+1,FIND("]",A10)-FIND("[",A10)-1)&amp;"] ",""),1),LEFT(A10,1))&amp;CHAR(34)&amp;","</f>
        <v>"startN",</v>
      </c>
      <c r="DF10" s="44" t="str">
        <f t="shared" si="27"/>
        <v/>
      </c>
      <c r="DG10" s="44" t="str">
        <f t="shared" si="28"/>
        <v/>
      </c>
      <c r="DH10" s="44" t="str">
        <f t="shared" si="29"/>
        <v/>
      </c>
      <c r="DI10" s="44" t="str">
        <f t="shared" si="30"/>
        <v/>
      </c>
      <c r="DJ10" s="44" t="str">
        <f t="shared" si="31"/>
        <v/>
      </c>
      <c r="DK10" s="44" t="str">
        <f t="shared" si="32"/>
        <v/>
      </c>
      <c r="DL10" s="44" t="str">
        <f t="shared" si="33"/>
        <v/>
      </c>
      <c r="DM10" s="44" t="str" cm="1">
        <f t="array" ref="DM10">IF(CG10=3,CHAR(34) &amp; _xlfn.TEXTJOIN("", TRUE, RIGHT(HP10:HX10, 2)) &amp; CHAR(34) &amp; ",", "")</f>
        <v>"LUEDEL",</v>
      </c>
      <c r="DN10" s="44" t="str">
        <f t="shared" si="34"/>
        <v/>
      </c>
      <c r="DO10" s="44" t="str">
        <f t="shared" si="35"/>
        <v/>
      </c>
      <c r="DP10" s="5" t="str">
        <f t="shared" si="36"/>
        <v/>
      </c>
      <c r="DQ10" s="5" t="str">
        <f t="shared" si="37"/>
        <v/>
      </c>
      <c r="DR10" s="5" t="str">
        <f t="shared" si="38"/>
        <v>"dgband",</v>
      </c>
      <c r="DS10" s="5" t="str">
        <f t="shared" si="39"/>
        <v/>
      </c>
      <c r="DT10" s="5" t="str">
        <f t="shared" si="40"/>
        <v/>
      </c>
      <c r="DU10" s="5" t="str">
        <f t="shared" si="41"/>
        <v>"alldia",</v>
      </c>
      <c r="DW10" s="44" t="str">
        <f t="shared" si="43"/>
        <v/>
      </c>
      <c r="DX10" s="44" t="str">
        <f t="shared" si="44"/>
        <v/>
      </c>
      <c r="DY10" s="44" t="str">
        <f t="shared" si="45"/>
        <v>"3Bands",</v>
      </c>
      <c r="DZ10" s="44" t="str">
        <f t="shared" si="46"/>
        <v/>
      </c>
      <c r="EA10" s="44" t="str">
        <f t="shared" si="47"/>
        <v>"Diagon",</v>
      </c>
      <c r="EB10" s="44" t="str">
        <f t="shared" si="48"/>
        <v/>
      </c>
      <c r="EC10" s="44" t="str">
        <f t="shared" si="49"/>
        <v/>
      </c>
      <c r="ED10" s="44" t="str">
        <f t="shared" si="50"/>
        <v/>
      </c>
      <c r="EE10" s="44" t="str">
        <f t="shared" si="51"/>
        <v/>
      </c>
      <c r="EF10" s="44" t="str">
        <f t="shared" si="52"/>
        <v/>
      </c>
      <c r="EG10" s="44" t="str">
        <f t="shared" si="53"/>
        <v/>
      </c>
      <c r="EH10" s="44" t="str">
        <f t="shared" si="54"/>
        <v/>
      </c>
      <c r="EI10" s="44" t="str">
        <f t="shared" si="55"/>
        <v/>
      </c>
      <c r="EJ10" s="44" t="str">
        <f t="shared" si="56"/>
        <v/>
      </c>
      <c r="EK10" s="44" t="str">
        <f t="shared" si="57"/>
        <v/>
      </c>
      <c r="EL10" s="44" t="str">
        <f t="shared" si="58"/>
        <v/>
      </c>
      <c r="EM10" s="44" t="str">
        <f t="shared" si="59"/>
        <v/>
      </c>
      <c r="EN10" s="44" t="str">
        <f t="shared" si="60"/>
        <v/>
      </c>
      <c r="EO10" s="44" t="str">
        <f t="shared" si="61"/>
        <v>"Center",</v>
      </c>
      <c r="EP10" s="44" t="str">
        <f t="shared" si="62"/>
        <v/>
      </c>
      <c r="EQ10" s="44" t="str">
        <f t="shared" si="63"/>
        <v/>
      </c>
      <c r="ER10" s="44" t="str">
        <f t="shared" si="64"/>
        <v/>
      </c>
      <c r="ES10" s="44" t="str">
        <f t="shared" si="65"/>
        <v/>
      </c>
      <c r="ET10" s="44" t="str">
        <f t="shared" si="66"/>
        <v/>
      </c>
      <c r="EU10" s="44" t="str">
        <f t="shared" si="67"/>
        <v/>
      </c>
      <c r="EV10" s="44" t="str">
        <f t="shared" si="68"/>
        <v/>
      </c>
      <c r="EW10" s="44" t="str">
        <f t="shared" si="69"/>
        <v/>
      </c>
      <c r="EX10" s="44" t="str">
        <f t="shared" si="70"/>
        <v/>
      </c>
      <c r="EY10" s="44" t="str">
        <f t="shared" si="71"/>
        <v/>
      </c>
      <c r="EZ10" s="44" t="str">
        <f t="shared" si="72"/>
        <v/>
      </c>
      <c r="FA10" s="44" t="str">
        <f t="shared" si="73"/>
        <v>"staYEL",</v>
      </c>
      <c r="FB10" s="44" t="str">
        <f t="shared" si="74"/>
        <v/>
      </c>
      <c r="FD10" s="44" t="str">
        <f t="shared" si="76"/>
        <v/>
      </c>
      <c r="FE10" s="44" t="str">
        <f t="shared" si="77"/>
        <v/>
      </c>
      <c r="FF10" s="44" t="str">
        <f t="shared" si="78"/>
        <v>"NO_WHI",</v>
      </c>
      <c r="FG10" s="44" t="str">
        <f t="shared" si="79"/>
        <v/>
      </c>
      <c r="FH10" s="44" t="str">
        <f t="shared" si="80"/>
        <v>"NO_GRE",</v>
      </c>
      <c r="FI10" s="44" t="str">
        <f t="shared" si="81"/>
        <v/>
      </c>
      <c r="FJ10" s="44" t="str">
        <f t="shared" si="82"/>
        <v>"NO_BLA",</v>
      </c>
      <c r="FK10" s="44" t="str">
        <f t="shared" si="83"/>
        <v>"WHGRNO",</v>
      </c>
      <c r="FL10" s="44" t="str">
        <f t="shared" si="84"/>
        <v/>
      </c>
      <c r="FM10" s="44" t="str">
        <f t="shared" si="85"/>
        <v>"BAWHNO",</v>
      </c>
      <c r="FN10" s="44" t="str">
        <f t="shared" si="86"/>
        <v/>
      </c>
      <c r="FO10" s="44" t="str">
        <f t="shared" si="87"/>
        <v/>
      </c>
      <c r="FP10" s="44" t="str">
        <f t="shared" si="88"/>
        <v>"WHRENO",</v>
      </c>
      <c r="FQ10" s="44" t="str">
        <f t="shared" si="89"/>
        <v>"001BLU",</v>
      </c>
      <c r="FR10" s="44" t="str">
        <f t="shared" si="90"/>
        <v>"002RED",</v>
      </c>
      <c r="FS10" s="44" t="str">
        <f t="shared" si="91"/>
        <v>"003BLU",</v>
      </c>
      <c r="FT10" s="44" t="str">
        <f t="shared" si="92"/>
        <v>"myrBLU",</v>
      </c>
      <c r="FU10" s="44" t="str">
        <f t="shared" si="93"/>
        <v/>
      </c>
      <c r="FV10" s="44" t="str">
        <f t="shared" si="94"/>
        <v/>
      </c>
      <c r="FW10" s="44" t="str">
        <f t="shared" si="95"/>
        <v/>
      </c>
      <c r="FY10" s="44" t="str">
        <f t="shared" si="97"/>
        <v/>
      </c>
      <c r="FZ10" s="44" t="str">
        <f t="shared" si="98"/>
        <v/>
      </c>
      <c r="GA10" s="44" t="str">
        <f t="shared" si="99"/>
        <v/>
      </c>
      <c r="GB10" s="44" t="str">
        <f t="shared" si="100"/>
        <v/>
      </c>
      <c r="GE10" s="44" t="str">
        <f t="shared" si="103"/>
        <v/>
      </c>
      <c r="GF10" s="44" t="str">
        <f t="shared" si="145"/>
        <v/>
      </c>
      <c r="GG10" s="44" t="str">
        <f t="shared" si="104"/>
        <v/>
      </c>
      <c r="GH10" s="44" t="str">
        <f t="shared" si="105"/>
        <v/>
      </c>
      <c r="GI10" s="44" t="str">
        <f t="shared" si="106"/>
        <v/>
      </c>
      <c r="GJ10" s="44" t="str">
        <f t="shared" si="107"/>
        <v/>
      </c>
      <c r="GK10" s="44" t="str">
        <f t="shared" si="108"/>
        <v>"HasSta",</v>
      </c>
      <c r="GL10" s="44" t="str">
        <f t="shared" si="109"/>
        <v>"1Stars",</v>
      </c>
      <c r="GM10" s="44" t="str">
        <f t="shared" si="110"/>
        <v/>
      </c>
      <c r="GN10" s="44" t="str">
        <f t="shared" si="111"/>
        <v/>
      </c>
      <c r="GP10" s="44" t="str">
        <f t="shared" si="112"/>
        <v>"State"</v>
      </c>
      <c r="GS10" s="44" t="str">
        <f t="shared" si="113"/>
        <v>["3Color","lets08","startN","LUEDEL","dgband","alldia","3Bands","Diagon","Center","staYEL","NO_WHI","NO_GRE","NO_BLA","WHGRNO","BAWHNO","WHRENO","001BLU","002RED","003BLU","myrBLU","HasSta","1Stars"]</v>
      </c>
      <c r="GT10" s="44" t="str">
        <f t="shared" si="114"/>
        <v/>
      </c>
      <c r="GU10" s="44" t="str">
        <f t="shared" si="115"/>
        <v>"cl_BLU",</v>
      </c>
      <c r="GV10" s="44" t="str">
        <f t="shared" si="116"/>
        <v/>
      </c>
      <c r="GW10" s="44" t="str">
        <f t="shared" si="117"/>
        <v>"cl_RED",</v>
      </c>
      <c r="GX10" s="44" t="str">
        <f t="shared" si="118"/>
        <v>"cl_YEL",</v>
      </c>
      <c r="GY10" s="44" t="str">
        <f t="shared" si="119"/>
        <v/>
      </c>
      <c r="GZ10" s="44" t="str">
        <f t="shared" si="120"/>
        <v/>
      </c>
      <c r="HA10" s="44" t="str">
        <f t="shared" si="121"/>
        <v/>
      </c>
      <c r="HB10" s="44" t="str">
        <f t="shared" si="122"/>
        <v/>
      </c>
      <c r="HC10" s="44" t="str">
        <f t="shared" si="123"/>
        <v>["cl_BLU","cl_RED","cl_YEL"]</v>
      </c>
      <c r="HE10" s="64"/>
      <c r="HF10" s="65" t="str">
        <f t="shared" si="124"/>
        <v>{couname:"[PAU] Ngaraard",year:"???",region:"rgn_Oceania",Colors:["cl_BLU","cl_RED","cl_YEL"],Items:["3Color","lets08","startN","LUEDEL","dgband","alldia","3Bands","Diagon","Center","staYEL","NO_WHI","NO_GRE","NO_BLA","WHGRNO","BAWHNO","WHRENO","001BLU","002RED","003BLU","myrBLU","HasSta","1Stars"],Flag:"https://upload.wikimedia.org/wikipedia/commons/thumb/4/45/Flag_of_Ngaraard_State.svg/640px-Flag_of_Ngaraard_State.svg.png",HDFlag:"https://upload.wikimedia.org/wikipedia/commons/thumb/4/45/Flag_of_Ngaraard_State.svg/2560px-Flag_of_Ngaraard_State.svg.png",type:"State", describe: "\nThe flag consists of a light blue background with a diagonal red line and a yellow star in the middle. The star stands for the unity of Ngaraard State, and the five fingers of the star stand for the five counties or hamlets of Ngaraard", isnew:".", links: "https://en.wikipedia.org/wiki/Flags_of_the_states_of_Palau"},</v>
      </c>
      <c r="HG10" s="66" t="str">
        <f t="shared" si="125"/>
        <v>{couname:"[PAU] Ngaraard",year:"???",region:"rgn_Oceania",Colors:["cl_BLU","cl_RED","cl_YEL"],Items:["3Color","lets08","startN","LUEDEL","dgband","alldia","3Bands","Diagon","Center","staYEL","NO_WHI","NO_GRE","NO_BLA","WHGRNO","BAWHNO","WHRENO","001BLU","002RED","003BLU","myrBLU","HasSta","1Stars"],Flag:"https://upload.wikimedia.org/wikipedia/commons/thumb/4/45/Flag_of_Ngaraard_State.svg/640px-Flag_of_Ngaraard_State.svg.png",HDFlag:"https://upload.wikimedia.org/wikipedia/commons/thumb/4/45/Flag_of_Ngaraard_State.svg/2560px-Flag_of_Ngaraard_State.svg.png",type:"State", describe: "\nThe flag consists of a light blue background with a diagonal red line and a yellow star in the middle. The star stands for the unity of Ngaraard State, and the five fingers of the star stand for the five counties or hamlets of Ngaraard", links: "https://en.wikipedia.org/wiki/Flags_of_the_states_of_Palau"},</v>
      </c>
      <c r="HH10" s="44" t="str">
        <f t="shared" si="126"/>
        <v>"\nThe flag consists of a light blue background with a diagonal red line and a yellow star in the middle. The star stands for the unity of Ngaraard State, and the five fingers of the star stand for the five counties or hamlets of Ngaraard"</v>
      </c>
      <c r="HI10" s="44" t="str">
        <f t="shared" si="127"/>
        <v>"\nThe flag consists of a light blue background with a diagonal red line and a yellow star in the middle. The star stands for the unity of Ngaraard State, and the five fingers of the star stand for the five counties or hamlets of Ngaraard"</v>
      </c>
      <c r="HJ10" s="44" t="str">
        <f t="shared" si="128"/>
        <v>"???"</v>
      </c>
      <c r="HL10" s="44" t="str">
        <f t="shared" si="129"/>
        <v>"https://en.wikipedia.org/wiki/Flags_of_the_states_of_Palau"</v>
      </c>
      <c r="HM10" s="65" t="str">
        <f t="shared" si="130"/>
        <v>{"couname":"[PAU] Ngaraard","year":"???","region":"rgn_Oceania","Colors":["cl_BLU","cl_RED","cl_YEL"],"Items":["3Color","lets08","startN","LUEDEL","dgband","alldia","3Bands","Diagon","Center","staYEL","NO_WHI","NO_GRE","NO_BLA","WHGRNO","BAWHNO","WHRENO","001BLU","002RED","003BLU","myrBLU","HasSta","1Stars"],"Flag":"https://upload.wikimedia.org/wikipedia/commons/thumb/4/45/Flag_of_Ngaraard_State.svg/640px-Flag_of_Ngaraard_State.svg.png","HDFlag":"https://upload.wikimedia.org/wikipedia/commons/thumb/4/45/Flag_of_Ngaraard_State.svg/2560px-Flag_of_Ngaraard_State.svg.png","type":"State", "describe": "\nThe flag consists of a light blue background with a diagonal red line and a yellow star in the middle. The star stands for the unity of Ngaraard State, and the five fingers of the star stand for the five counties or hamlets of Ngaraard", "isnew": ".", "links": "https://en.wikipedia.org/wiki/Flags_of_the_states_of_Palau"},</v>
      </c>
      <c r="HN10" s="67" t="str">
        <f t="shared" si="131"/>
        <v>{"couname":"[PAU] Ngaraard","year":"???","region":"rgn_Oceania","Colors":["cl_BLU","cl_RED","cl_YEL"],"Items":["3Color","lets08","startN","LUEDEL","dgband","alldia","3Bands","Diagon","Center","staYEL","NO_WHI","NO_GRE","NO_BLA","WHGRNO","BAWHNO","WHRENO","001BLU","002RED","003BLU","myrBLU","HasSta","1Stars"],"Flag":"https://upload.wikimedia.org/wikipedia/commons/thumb/4/45/Flag_of_Ngaraard_State.svg/640px-Flag_of_Ngaraard_State.svg.png","HDFlag":"https://upload.wikimedia.org/wikipedia/commons/thumb/4/45/Flag_of_Ngaraard_State.svg/2560px-Flag_of_Ngaraard_State.svg.png","type":"State", "describe": "\nThe flag consists of a light blue background with a diagonal red line and a yellow star in the middle. The star stands for the unity of Ngaraard State, and the five fingers of the star stand for the five counties or hamlets of Ngaraard", "isnew": ".", "links": "https://en.wikipedia.org/wiki/Flags_of_the_states_of_Palau"},</v>
      </c>
      <c r="HO10" s="71">
        <v>45618</v>
      </c>
      <c r="HP10" s="44" t="str" cm="1">
        <f t="array" ref="HP10">IF(_xlfn.TEXTJOIN(", ", TRUE, IF(ISNUMBER(SEARCH("BLA", BL10:BT10)), COLUMN(BL10:BT10) - COLUMN(BL10) + 1, ""))&lt;&gt;"","BLA","")</f>
        <v/>
      </c>
      <c r="HQ10" s="44" t="str" cm="1">
        <f t="array" ref="HQ10">IF(_xlfn.TEXTJOIN(", ", TRUE, IF(ISNUMBER(SEARCH("BLU", BL10:BT10)), COLUMN(BL10:BT10) - COLUMN(BL10) + 1, ""))&lt;&gt;"","BLU","")</f>
        <v>BLU</v>
      </c>
      <c r="HR10" s="44" t="str" cm="1">
        <f t="array" ref="HR10">IF(_xlfn.TEXTJOIN(", ", TRUE, IF(ISNUMBER(SEARCH("GRE", BL10:BT10)), COLUMN(BL10:BT10) - COLUMN(BL10) + 1, ""))&lt;&gt;"","GRE","")</f>
        <v/>
      </c>
      <c r="HS10" s="44" t="str" cm="1">
        <f t="array" ref="HS10">IF(_xlfn.TEXTJOIN(", ", TRUE, IF(ISNUMBER(SEARCH("RED", BL10:BT10)), COLUMN(BL10:BT10) - COLUMN(BL10) + 1, ""))&lt;&gt;"","RED","")</f>
        <v>RED</v>
      </c>
      <c r="HT10" s="44" t="str" cm="1">
        <f t="array" ref="HT10">IF(_xlfn.TEXTJOIN(", ", TRUE, IF(ISNUMBER(SEARCH("YEL", BL10:BT10)), COLUMN(BL10:BT10) - COLUMN(BL10) + 1, ""))&lt;&gt;"","YEL","")</f>
        <v>YEL</v>
      </c>
      <c r="HU10" s="44" t="str" cm="1">
        <f t="array" ref="HU10">IF(_xlfn.TEXTJOIN(", ", TRUE, IF(ISNUMBER(SEARCH("ORA", BL10:BT10)), COLUMN(BL10:BT10) - COLUMN(BL10) + 1, ""))&lt;&gt;"","ORA","")</f>
        <v/>
      </c>
      <c r="HV10" s="44" t="str" cm="1">
        <f t="array" ref="HV10">IF(_xlfn.TEXTJOIN(", ", TRUE, IF(ISNUMBER(SEARCH("BRO", BL10:BT10)), COLUMN(BL10:BT10) - COLUMN(BL10) + 1, ""))&lt;&gt;"","BRO","")</f>
        <v/>
      </c>
      <c r="HW10" s="44" t="str" cm="1">
        <f t="array" ref="HW10">IF(_xlfn.TEXTJOIN(", ", TRUE, IF(ISNUMBER(SEARCH("PUR", BL10:BT10)), COLUMN(BL10:BT10) - COLUMN(BL10) + 1, ""))&lt;&gt;"","PUR","")</f>
        <v/>
      </c>
      <c r="HX10" s="44" t="str" cm="1">
        <f t="array" ref="HX10">IF(_xlfn.TEXTJOIN(", ", TRUE, IF(ISNUMBER(SEARCH("WHI", BL10:BT10)), COLUMN(BL10:BT10) - COLUMN(BL10) + 1, ""))&lt;&gt;"","WHI","")</f>
        <v/>
      </c>
      <c r="HY10" s="72"/>
      <c r="HZ10" s="72"/>
      <c r="IA10" s="5"/>
      <c r="IB10" s="5"/>
      <c r="IC10" s="68"/>
      <c r="ID10" s="68"/>
      <c r="IE10" s="68"/>
      <c r="IF10" s="68"/>
      <c r="IG10" s="68"/>
      <c r="IH10" s="68"/>
      <c r="II10" s="68"/>
      <c r="IJ10" s="68"/>
      <c r="IK10" s="68"/>
      <c r="IM10" s="42">
        <f t="shared" si="133"/>
        <v>-3</v>
      </c>
      <c r="IN10" s="69" t="str">
        <f t="shared" si="134"/>
        <v>http://mkweb.bcgsc.ca/color-summarizer/?url=https://upload.wikimedia.org/wikipedia/commons/thumb/4/45/Flag_of_Ngaraard_State.svg/640px-Flag_of_Ngaraard_State.svg.png&amp;precision=low&amp;num_clusters=3&amp;text=1</v>
      </c>
      <c r="IO10" s="44" t="str">
        <f t="shared" si="135"/>
        <v/>
      </c>
      <c r="IP10" s="44" t="str">
        <f t="shared" si="136"/>
        <v>"blue"</v>
      </c>
      <c r="IQ10" s="44" t="str">
        <f t="shared" si="137"/>
        <v/>
      </c>
      <c r="IR10" s="44" t="str">
        <f t="shared" si="138"/>
        <v>"red"</v>
      </c>
      <c r="IS10" s="44" t="str">
        <f t="shared" si="139"/>
        <v>"yellow"</v>
      </c>
      <c r="IT10" s="44" t="str">
        <f t="shared" si="140"/>
        <v/>
      </c>
      <c r="IU10" s="44" t="str">
        <f t="shared" si="141"/>
        <v/>
      </c>
      <c r="IV10" s="44" t="str">
        <f t="shared" si="142"/>
        <v/>
      </c>
      <c r="IW10" s="44" t="str">
        <f t="shared" si="143"/>
        <v/>
      </c>
      <c r="IX10" s="44" t="str">
        <f t="shared" si="144"/>
        <v>{"url":"http://mkweb.bcgsc.ca/color-summarizer/?url=https://upload.wikimedia.org/wikipedia/commons/thumb/4/45/Flag_of_Ngaraard_State.svg/640px-Flag_of_Ngaraard_State.svg.png&amp;precision=low&amp;num_clusters=3&amp;text=1","name":"[PAU] Ngaraard"},</v>
      </c>
      <c r="IY10" s="44">
        <v>1051</v>
      </c>
    </row>
    <row r="11" spans="1:259" s="44" customFormat="1" ht="38.4" customHeight="1" thickBot="1" x14ac:dyDescent="0.35">
      <c r="A11" s="80" t="s">
        <v>631</v>
      </c>
      <c r="B11" s="78" t="e" vm="93">
        <v>#VALUE!</v>
      </c>
      <c r="C11" s="39">
        <v>2</v>
      </c>
      <c r="D11" s="70" t="s">
        <v>632</v>
      </c>
      <c r="E11" s="40" t="s">
        <v>633</v>
      </c>
      <c r="F11" s="41" t="s">
        <v>165</v>
      </c>
      <c r="G11" s="42">
        <f t="shared" si="0"/>
        <v>1</v>
      </c>
      <c r="H11" s="43"/>
      <c r="I11" s="59" t="s">
        <v>629</v>
      </c>
      <c r="J11" s="44" t="str">
        <f>""</f>
        <v/>
      </c>
      <c r="K11" s="45"/>
      <c r="L11" s="46"/>
      <c r="M11" s="46"/>
      <c r="N11" s="47" t="s">
        <v>177</v>
      </c>
      <c r="O11" s="74">
        <v>2008</v>
      </c>
      <c r="P11" s="48" t="s">
        <v>634</v>
      </c>
      <c r="Q11" s="73">
        <v>1</v>
      </c>
      <c r="R11" s="49" t="s">
        <v>177</v>
      </c>
      <c r="S11" s="50">
        <v>7</v>
      </c>
      <c r="T11" s="51" t="s">
        <v>166</v>
      </c>
      <c r="U11" s="52" t="s">
        <v>166</v>
      </c>
      <c r="V11" s="52" t="s">
        <v>167</v>
      </c>
      <c r="W11" s="52" t="s">
        <v>166</v>
      </c>
      <c r="X11" s="52" t="s">
        <v>167</v>
      </c>
      <c r="Y11" s="52" t="s">
        <v>166</v>
      </c>
      <c r="Z11" s="52" t="s">
        <v>166</v>
      </c>
      <c r="AA11" s="52" t="s">
        <v>166</v>
      </c>
      <c r="AB11" s="52" t="s">
        <v>166</v>
      </c>
      <c r="AC11" s="52" t="s">
        <v>166</v>
      </c>
      <c r="AD11" s="52" t="s">
        <v>166</v>
      </c>
      <c r="AE11" s="52" t="s">
        <v>166</v>
      </c>
      <c r="AF11" s="53" t="s">
        <v>166</v>
      </c>
      <c r="AG11" s="53" t="s">
        <v>167</v>
      </c>
      <c r="AH11" s="53" t="s">
        <v>167</v>
      </c>
      <c r="AI11" s="53" t="s">
        <v>166</v>
      </c>
      <c r="AJ11" s="53" t="s">
        <v>166</v>
      </c>
      <c r="AK11" s="53" t="s">
        <v>166</v>
      </c>
      <c r="AL11" s="53" t="s">
        <v>166</v>
      </c>
      <c r="AM11" s="53" t="s">
        <v>166</v>
      </c>
      <c r="AN11" s="53" t="s">
        <v>166</v>
      </c>
      <c r="AO11" s="53" t="s">
        <v>166</v>
      </c>
      <c r="AP11" s="53" t="s">
        <v>166</v>
      </c>
      <c r="AQ11" s="53" t="s">
        <v>166</v>
      </c>
      <c r="AR11" s="53" t="s">
        <v>167</v>
      </c>
      <c r="AS11" s="53" t="s">
        <v>166</v>
      </c>
      <c r="AT11" s="54">
        <v>8</v>
      </c>
      <c r="AU11" s="53" t="s">
        <v>377</v>
      </c>
      <c r="AV11" s="53" t="str">
        <f t="shared" si="1"/>
        <v>[PAU]State[PAU] Ngarchelong</v>
      </c>
      <c r="AW11" s="53" t="str">
        <f t="shared" si="2"/>
        <v>2[PAU] Ngarchelong</v>
      </c>
      <c r="AX11" s="55"/>
      <c r="AY11" s="55"/>
      <c r="AZ11" s="56" t="s">
        <v>161</v>
      </c>
      <c r="BA11" s="56" t="s">
        <v>231</v>
      </c>
      <c r="BB11" s="56"/>
      <c r="BC11" s="57"/>
      <c r="BD11" s="58" t="s">
        <v>154</v>
      </c>
      <c r="BE11" s="59"/>
      <c r="BF11" s="58" t="s">
        <v>154</v>
      </c>
      <c r="BG11" s="58" t="s">
        <v>161</v>
      </c>
      <c r="BH11" s="58" t="s">
        <v>154</v>
      </c>
      <c r="BI11" s="58"/>
      <c r="BJ11" s="58"/>
      <c r="BK11" s="59"/>
      <c r="BL11" s="58" t="s">
        <v>231</v>
      </c>
      <c r="BM11" s="58" t="s">
        <v>154</v>
      </c>
      <c r="BN11" s="58" t="s">
        <v>231</v>
      </c>
      <c r="BO11" s="58" t="s">
        <v>156</v>
      </c>
      <c r="BP11" s="58" t="s">
        <v>231</v>
      </c>
      <c r="BQ11" s="58" t="s">
        <v>231</v>
      </c>
      <c r="BR11" s="58" t="s">
        <v>231</v>
      </c>
      <c r="BS11" s="58" t="s">
        <v>231</v>
      </c>
      <c r="BT11" s="58" t="s">
        <v>161</v>
      </c>
      <c r="BU11" s="60"/>
      <c r="BV11" s="61"/>
      <c r="BW11" s="61">
        <v>0</v>
      </c>
      <c r="BX11" s="59"/>
      <c r="CB11" s="5"/>
      <c r="CC11" s="5"/>
      <c r="CD11" s="62">
        <v>0</v>
      </c>
      <c r="CE11" s="62">
        <v>0</v>
      </c>
      <c r="CF11" s="62" t="e">
        <v>#REF!</v>
      </c>
      <c r="CG11" s="75" cm="1">
        <f t="array" ref="CG11">SUMPRODUCT(--(LEN(TRIM(BL11:BT11))&gt;0))</f>
        <v>3</v>
      </c>
      <c r="CH11" s="53" t="str">
        <f t="shared" si="3"/>
        <v>n</v>
      </c>
      <c r="CI11" s="53" t="str">
        <f t="shared" si="4"/>
        <v>y</v>
      </c>
      <c r="CJ11" s="53" t="str">
        <f t="shared" si="5"/>
        <v>n</v>
      </c>
      <c r="CK11" s="53" t="str">
        <f t="shared" si="6"/>
        <v>n</v>
      </c>
      <c r="CL11" s="53" t="str">
        <f t="shared" si="7"/>
        <v>n</v>
      </c>
      <c r="CM11" s="53" t="str">
        <f t="shared" si="8"/>
        <v>n</v>
      </c>
      <c r="CN11" s="53" t="str">
        <f t="shared" si="9"/>
        <v>n</v>
      </c>
      <c r="CO11" s="53" t="str">
        <f t="shared" si="10"/>
        <v>y</v>
      </c>
      <c r="CP11" s="53" t="str">
        <f t="shared" si="11"/>
        <v>n</v>
      </c>
      <c r="CQ11" s="53" t="str">
        <f t="shared" si="12"/>
        <v>n</v>
      </c>
      <c r="CR11" s="53" t="str">
        <f t="shared" si="13"/>
        <v>n</v>
      </c>
      <c r="CS11" s="53" t="str">
        <f t="shared" si="14"/>
        <v>y</v>
      </c>
      <c r="CT11" s="38" t="str">
        <f t="shared" si="15"/>
        <v>"[PAU] Ngarchelong"</v>
      </c>
      <c r="CU11" s="63" t="str">
        <f t="shared" si="16"/>
        <v>"rgn_Oceania"</v>
      </c>
      <c r="CV11" s="44" t="str">
        <f t="shared" si="17"/>
        <v>"https://upload.wikimedia.org/wikipedia/commons/thumb/9/9d/Flag_of_Ngarchelong.svg/640px-Flag_of_Ngarchelong.svg.png"</v>
      </c>
      <c r="CW11" s="44" t="str">
        <f t="shared" si="18"/>
        <v/>
      </c>
      <c r="CX11" s="44" t="str">
        <f t="shared" si="19"/>
        <v>"3Color",</v>
      </c>
      <c r="CY11" s="44" t="str">
        <f t="shared" si="20"/>
        <v/>
      </c>
      <c r="CZ11" s="44" t="str">
        <f t="shared" si="21"/>
        <v/>
      </c>
      <c r="DA11" s="44" t="str">
        <f t="shared" si="22"/>
        <v/>
      </c>
      <c r="DB11" s="44" t="str">
        <f t="shared" si="23"/>
        <v/>
      </c>
      <c r="DD11" s="44" t="str">
        <f>IF(LEN(CHAR(34)&amp;"lets"&amp;LEN(SUBSTITUTE(SUBSTITUTE(IFERROR(TRIM(SUBSTITUTE(A11,MID(A11,FIND("[",A11),FIND("]",A11)-FIND("[",A11)+1),"")),A11)," ",""),"-",""))&amp;CHAR(34)&amp;",")=9,CHAR(34)&amp;"lets"&amp;LEN(SUBSTITUTE(SUBSTITUTE(IFERROR(TRIM(SUBSTITUTE(A11,MID(A11,FIND("[",A11),FIND("]",A11)-FIND("[",A11)+1),"")),A11)," ",""),"-",""))&amp;CHAR(34)&amp;",",CHAR(34)&amp;"lets0"&amp;LEN(SUBSTITUTE(SUBSTITUTE(IFERROR(TRIM(SUBSTITUTE(A11,MID(A11,FIND("[",A11),FIND("]",A11)-FIND("[",A11)+1),"")),A11)," ",""),"-",""))&amp;CHAR(34)&amp;",")</f>
        <v>"lets11",</v>
      </c>
      <c r="DE11" s="44" t="str">
        <f>CHAR(34)&amp;"start"&amp;IFERROR(LEFT(SUBSTITUTE(A11,"["&amp;MID(A11,FIND("[",A11)+1,FIND("]",A11)-FIND("[",A11)-1)&amp;"] ",""),1),LEFT(A11,1))&amp;CHAR(34)&amp;","</f>
        <v>"startN",</v>
      </c>
      <c r="DF11" s="44" t="str">
        <f t="shared" si="27"/>
        <v/>
      </c>
      <c r="DG11" s="44" t="str">
        <f t="shared" si="28"/>
        <v/>
      </c>
      <c r="DH11" s="44" t="str">
        <f t="shared" si="29"/>
        <v/>
      </c>
      <c r="DI11" s="44" t="str">
        <f t="shared" si="30"/>
        <v/>
      </c>
      <c r="DJ11" s="44" t="str">
        <f t="shared" si="31"/>
        <v/>
      </c>
      <c r="DK11" s="44" t="str">
        <f t="shared" si="32"/>
        <v/>
      </c>
      <c r="DL11" s="44" t="str">
        <f t="shared" si="33"/>
        <v/>
      </c>
      <c r="DM11" s="44" t="str" cm="1">
        <f t="array" ref="DM11">IF(CG11=3,CHAR(34) &amp; _xlfn.TEXTJOIN("", TRUE, RIGHT(HP11:HX11, 2)) &amp; CHAR(34) &amp; ",", "")</f>
        <v>"LUEDHI",</v>
      </c>
      <c r="DN11" s="44" t="str">
        <f t="shared" si="34"/>
        <v/>
      </c>
      <c r="DO11" s="44" t="str">
        <f t="shared" si="35"/>
        <v/>
      </c>
      <c r="DP11" s="5" t="str">
        <f t="shared" si="36"/>
        <v>"year00",</v>
      </c>
      <c r="DQ11" s="5" t="str">
        <f t="shared" si="37"/>
        <v/>
      </c>
      <c r="DR11" s="5" t="str">
        <f t="shared" si="38"/>
        <v/>
      </c>
      <c r="DS11" s="5" t="str">
        <f t="shared" si="39"/>
        <v/>
      </c>
      <c r="DT11" s="5" t="str">
        <f t="shared" si="40"/>
        <v>"allhor",</v>
      </c>
      <c r="DU11" s="5" t="str">
        <f t="shared" si="41"/>
        <v/>
      </c>
      <c r="DW11" s="44" t="str">
        <f t="shared" si="43"/>
        <v/>
      </c>
      <c r="DX11" s="44" t="str">
        <f t="shared" si="44"/>
        <v/>
      </c>
      <c r="DY11" s="44" t="str">
        <f t="shared" si="45"/>
        <v/>
      </c>
      <c r="DZ11" s="44" t="str">
        <f t="shared" si="46"/>
        <v>"4+Band",</v>
      </c>
      <c r="EA11" s="44" t="str">
        <f t="shared" si="47"/>
        <v/>
      </c>
      <c r="EB11" s="44" t="str">
        <f t="shared" si="48"/>
        <v/>
      </c>
      <c r="EC11" s="44" t="str">
        <f t="shared" si="49"/>
        <v>"Horizo",</v>
      </c>
      <c r="ED11" s="44" t="str">
        <f t="shared" si="50"/>
        <v/>
      </c>
      <c r="EE11" s="44" t="str">
        <f t="shared" si="51"/>
        <v>"Circle",</v>
      </c>
      <c r="EF11" s="44" t="str">
        <f t="shared" si="52"/>
        <v/>
      </c>
      <c r="EG11" s="44" t="str">
        <f t="shared" si="53"/>
        <v/>
      </c>
      <c r="EH11" s="44" t="str">
        <f t="shared" si="54"/>
        <v/>
      </c>
      <c r="EI11" s="44" t="str">
        <f t="shared" si="55"/>
        <v/>
      </c>
      <c r="EJ11" s="44" t="str">
        <f t="shared" si="56"/>
        <v/>
      </c>
      <c r="EK11" s="44" t="str">
        <f t="shared" si="57"/>
        <v/>
      </c>
      <c r="EL11" s="44" t="str">
        <f t="shared" si="58"/>
        <v/>
      </c>
      <c r="EM11" s="44" t="str">
        <f t="shared" si="59"/>
        <v/>
      </c>
      <c r="EN11" s="44" t="str">
        <f t="shared" si="60"/>
        <v>"Unequa",</v>
      </c>
      <c r="EO11" s="44" t="str">
        <f t="shared" si="61"/>
        <v>"Center",</v>
      </c>
      <c r="EP11" s="44" t="str">
        <f t="shared" si="62"/>
        <v/>
      </c>
      <c r="EQ11" s="44" t="str">
        <f t="shared" si="63"/>
        <v/>
      </c>
      <c r="ER11" s="44" t="str">
        <f t="shared" si="64"/>
        <v/>
      </c>
      <c r="ES11" s="44" t="str">
        <f t="shared" si="65"/>
        <v/>
      </c>
      <c r="ET11" s="44" t="str">
        <f t="shared" si="66"/>
        <v/>
      </c>
      <c r="EU11" s="44" t="str">
        <f t="shared" si="67"/>
        <v/>
      </c>
      <c r="EV11" s="44" t="str">
        <f t="shared" si="68"/>
        <v/>
      </c>
      <c r="EW11" s="44" t="str">
        <f t="shared" si="69"/>
        <v/>
      </c>
      <c r="EX11" s="44" t="str">
        <f t="shared" si="70"/>
        <v/>
      </c>
      <c r="EY11" s="44" t="str">
        <f t="shared" si="71"/>
        <v>"Rotate",</v>
      </c>
      <c r="EZ11" s="44" t="str">
        <f t="shared" si="72"/>
        <v/>
      </c>
      <c r="FA11" s="44" t="str">
        <f t="shared" si="73"/>
        <v>"staWHI",</v>
      </c>
      <c r="FB11" s="44" t="str">
        <f t="shared" si="74"/>
        <v/>
      </c>
      <c r="FD11" s="44" t="str">
        <f t="shared" si="76"/>
        <v/>
      </c>
      <c r="FE11" s="44" t="str">
        <f t="shared" si="77"/>
        <v/>
      </c>
      <c r="FF11" s="44" t="str">
        <f t="shared" si="78"/>
        <v/>
      </c>
      <c r="FG11" s="44" t="str">
        <f t="shared" si="79"/>
        <v/>
      </c>
      <c r="FH11" s="44" t="str">
        <f t="shared" si="80"/>
        <v>"NO_GRE",</v>
      </c>
      <c r="FI11" s="44" t="str">
        <f t="shared" si="81"/>
        <v>"NO_YEL",</v>
      </c>
      <c r="FJ11" s="44" t="str">
        <f t="shared" si="82"/>
        <v>"NO_BLA",</v>
      </c>
      <c r="FK11" s="44" t="str">
        <f t="shared" si="83"/>
        <v/>
      </c>
      <c r="FL11" s="44" t="str">
        <f t="shared" si="84"/>
        <v/>
      </c>
      <c r="FM11" s="44" t="str">
        <f t="shared" si="85"/>
        <v/>
      </c>
      <c r="FN11" s="44" t="str">
        <f t="shared" si="86"/>
        <v/>
      </c>
      <c r="FO11" s="44" t="str">
        <f t="shared" si="87"/>
        <v/>
      </c>
      <c r="FP11" s="44" t="str">
        <f t="shared" si="88"/>
        <v/>
      </c>
      <c r="FQ11" s="44" t="str">
        <f t="shared" si="89"/>
        <v>"001BLU",</v>
      </c>
      <c r="FR11" s="44" t="str">
        <f t="shared" si="90"/>
        <v>"002WHI",</v>
      </c>
      <c r="FS11" s="44" t="str">
        <f t="shared" si="91"/>
        <v>"003BLU",</v>
      </c>
      <c r="FT11" s="44" t="str">
        <f t="shared" si="92"/>
        <v>"myrBLU",</v>
      </c>
      <c r="FU11" s="44" t="str">
        <f t="shared" si="93"/>
        <v/>
      </c>
      <c r="FV11" s="44" t="str">
        <f t="shared" si="94"/>
        <v/>
      </c>
      <c r="FW11" s="44" t="str">
        <f t="shared" si="95"/>
        <v/>
      </c>
      <c r="FY11" s="44" t="str">
        <f t="shared" si="97"/>
        <v/>
      </c>
      <c r="FZ11" s="44" t="str">
        <f t="shared" si="98"/>
        <v/>
      </c>
      <c r="GA11" s="44" t="str">
        <f t="shared" si="99"/>
        <v/>
      </c>
      <c r="GB11" s="44" t="str">
        <f t="shared" si="100"/>
        <v/>
      </c>
      <c r="GE11" s="44" t="str">
        <f t="shared" si="103"/>
        <v/>
      </c>
      <c r="GF11" s="44" t="str">
        <f t="shared" si="145"/>
        <v/>
      </c>
      <c r="GG11" s="44" t="str">
        <f t="shared" si="104"/>
        <v/>
      </c>
      <c r="GH11" s="44" t="str">
        <f t="shared" si="105"/>
        <v/>
      </c>
      <c r="GI11" s="44" t="str">
        <f t="shared" si="106"/>
        <v/>
      </c>
      <c r="GJ11" s="44" t="str">
        <f t="shared" si="107"/>
        <v/>
      </c>
      <c r="GK11" s="44" t="str">
        <f t="shared" si="108"/>
        <v>"HasSta",</v>
      </c>
      <c r="GL11" s="44" t="str">
        <f t="shared" si="109"/>
        <v/>
      </c>
      <c r="GM11" s="44" t="str">
        <f t="shared" si="110"/>
        <v/>
      </c>
      <c r="GN11" s="44" t="str">
        <f t="shared" si="111"/>
        <v>"3+Star",</v>
      </c>
      <c r="GP11" s="44" t="str">
        <f t="shared" si="112"/>
        <v>"State"</v>
      </c>
      <c r="GS11" s="44" t="str">
        <f t="shared" si="113"/>
        <v>["3Color","lets11","startN","LUEDHI","year00","allhor","4+Band","Horizo","Circle","Unequa","Center","Rotate","staWHI","NO_GRE","NO_YEL","NO_BLA","001BLU","002WHI","003BLU","myrBLU","HasSta","3+Star"]</v>
      </c>
      <c r="GT11" s="44" t="str">
        <f t="shared" si="114"/>
        <v/>
      </c>
      <c r="GU11" s="44" t="str">
        <f t="shared" si="115"/>
        <v>"cl_BLU",</v>
      </c>
      <c r="GV11" s="44" t="str">
        <f t="shared" si="116"/>
        <v/>
      </c>
      <c r="GW11" s="44" t="str">
        <f t="shared" si="117"/>
        <v>"cl_RED",</v>
      </c>
      <c r="GX11" s="44" t="str">
        <f t="shared" si="118"/>
        <v/>
      </c>
      <c r="GY11" s="44" t="str">
        <f t="shared" si="119"/>
        <v/>
      </c>
      <c r="GZ11" s="44" t="str">
        <f t="shared" si="120"/>
        <v/>
      </c>
      <c r="HA11" s="44" t="str">
        <f t="shared" si="121"/>
        <v/>
      </c>
      <c r="HB11" s="44" t="str">
        <f t="shared" si="122"/>
        <v>"cl_WHI",</v>
      </c>
      <c r="HC11" s="44" t="str">
        <f t="shared" si="123"/>
        <v>["cl_BLU","cl_RED","cl_WHI"]</v>
      </c>
      <c r="HE11" s="64"/>
      <c r="HF11" s="65" t="str">
        <f t="shared" si="124"/>
        <v>{couname:"[PAU] Ngarchelong",year:"2008",region:"rgn_Oceania",Colors:["cl_BLU","cl_RED","cl_WHI"],Items:["3Color","lets11","startN","LUEDHI","year00","allhor","4+Band","Horizo","Circle","Unequa","Center","Rotate","staWHI","NO_GRE","NO_YEL","NO_BLA","001BLU","002WHI","003BLU","myrBLU","HasSta","3+Star"],Flag:"https://upload.wikimedia.org/wikipedia/commons/thumb/9/9d/Flag_of_Ngarchelong.svg/640px-Flag_of_Ngarchelong.svg.png",HDFlag:"https://upload.wikimedia.org/wikipedia/commons/thumb/9/9d/Flag_of_Ngarchelong.svg/1280px-Flag_of_Ngarchelong.svg.png",type:"State", describe: "\nThe Flag of Ngarchelong is the seven-striped flag blue and white with a red circle in the center that is 8 stars that symbolizes the today eight municipalities in the state. Blue: represents the love for mankind, peace and prosperity. White: stands for trust peace. Red: stands for perseverance without limitation.", isnew:".", links: "https://en.wikipedia.org/wiki/Flags_of_the_states_of_Palau"},</v>
      </c>
      <c r="HG11" s="66" t="str">
        <f t="shared" si="125"/>
        <v>{couname:"[PAU] Ngarchelong",year:"2008",region:"rgn_Oceania",Colors:["cl_BLU","cl_RED","cl_WHI"],Items:["3Color","lets11","startN","LUEDHI","year00","allhor","4+Band","Horizo","Circle","Unequa","Center","Rotate","staWHI","NO_GRE","NO_YEL","NO_BLA","001BLU","002WHI","003BLU","myrBLU","HasSta","3+Star"],Flag:"https://upload.wikimedia.org/wikipedia/commons/thumb/9/9d/Flag_of_Ngarchelong.svg/640px-Flag_of_Ngarchelong.svg.png",HDFlag:"https://upload.wikimedia.org/wikipedia/commons/thumb/9/9d/Flag_of_Ngarchelong.svg/1280px-Flag_of_Ngarchelong.svg.png",type:"State", describe: "\nThe Flag of Ngarchelong is the seven-striped flag blue and white with a red circle in the center that is 8 stars that symbolizes the today eight municipalities in the state. Blue: represents the love for mankind, peace and prosperity. White: stands for trust peace. Red: stands for perseverance without limitation.", links: "https://en.wikipedia.org/wiki/Flags_of_the_states_of_Palau"},</v>
      </c>
      <c r="HH11" s="44" t="str">
        <f t="shared" si="126"/>
        <v>"\nThe Flag of Ngarchelong is the seven-striped flag blue and white with a red circle in the center that is 8 stars that symbolizes the today eight municipalities in the state. Blue: represents the love for mankind, peace and prosperity. White: stands for trust peace. Red: stands for perseverance without limitation."</v>
      </c>
      <c r="HI11" s="44" t="str">
        <f t="shared" si="127"/>
        <v>"\nThe Flag of Ngarchelong is the seven-striped flag blue and white with a red circle in the center that is 8 stars that symbolizes the today eight municipalities in the state. Blue: represents the love for mankind, peace and prosperity. White: stands for trust peace. Red: stands for perseverance without limitation."</v>
      </c>
      <c r="HJ11" s="44" t="str">
        <f t="shared" si="128"/>
        <v>"2008"</v>
      </c>
      <c r="HL11" s="44" t="str">
        <f t="shared" si="129"/>
        <v>"https://en.wikipedia.org/wiki/Flags_of_the_states_of_Palau"</v>
      </c>
      <c r="HM11" s="65" t="str">
        <f t="shared" si="130"/>
        <v>{"couname":"[PAU] Ngarchelong","year":"2008","region":"rgn_Oceania","Colors":["cl_BLU","cl_RED","cl_WHI"],"Items":["3Color","lets11","startN","LUEDHI","year00","allhor","4+Band","Horizo","Circle","Unequa","Center","Rotate","staWHI","NO_GRE","NO_YEL","NO_BLA","001BLU","002WHI","003BLU","myrBLU","HasSta","3+Star"],"Flag":"https://upload.wikimedia.org/wikipedia/commons/thumb/9/9d/Flag_of_Ngarchelong.svg/640px-Flag_of_Ngarchelong.svg.png","HDFlag":"https://upload.wikimedia.org/wikipedia/commons/thumb/9/9d/Flag_of_Ngarchelong.svg/1280px-Flag_of_Ngarchelong.svg.png","type":"State", "describe": "\nThe Flag of Ngarchelong is the seven-striped flag blue and white with a red circle in the center that is 8 stars that symbolizes the today eight municipalities in the state. Blue: represents the love for mankind, peace and prosperity. White: stands for trust peace. Red: stands for perseverance without limitation.", "isnew": ".", "links": "https://en.wikipedia.org/wiki/Flags_of_the_states_of_Palau"},</v>
      </c>
      <c r="HN11" s="67" t="str">
        <f t="shared" si="131"/>
        <v>{"couname":"[PAU] Ngarchelong","year":"2008","region":"rgn_Oceania","Colors":["cl_BLU","cl_RED","cl_WHI"],"Items":["3Color","lets11","startN","LUEDHI","year00","allhor","4+Band","Horizo","Circle","Unequa","Center","Rotate","staWHI","NO_GRE","NO_YEL","NO_BLA","001BLU","002WHI","003BLU","myrBLU","HasSta","3+Star"],"Flag":"https://upload.wikimedia.org/wikipedia/commons/thumb/9/9d/Flag_of_Ngarchelong.svg/640px-Flag_of_Ngarchelong.svg.png","HDFlag":"https://upload.wikimedia.org/wikipedia/commons/thumb/9/9d/Flag_of_Ngarchelong.svg/1280px-Flag_of_Ngarchelong.svg.png","type":"State", "describe": "\nThe Flag of Ngarchelong is the seven-striped flag blue and white with a red circle in the center that is 8 stars that symbolizes the today eight municipalities in the state. Blue: represents the love for mankind, peace and prosperity. White: stands for trust peace. Red: stands for perseverance without limitation.", "isnew": ".", "links": "https://en.wikipedia.org/wiki/Flags_of_the_states_of_Palau"},</v>
      </c>
      <c r="HO11" s="71">
        <v>45618</v>
      </c>
      <c r="HP11" s="44" t="str" cm="1">
        <f t="array" ref="HP11">IF(_xlfn.TEXTJOIN(", ", TRUE, IF(ISNUMBER(SEARCH("BLA", BL11:BT11)), COLUMN(BL11:BT11) - COLUMN(BL11) + 1, ""))&lt;&gt;"","BLA","")</f>
        <v/>
      </c>
      <c r="HQ11" s="44" t="str" cm="1">
        <f t="array" ref="HQ11">IF(_xlfn.TEXTJOIN(", ", TRUE, IF(ISNUMBER(SEARCH("BLU", BL11:BT11)), COLUMN(BL11:BT11) - COLUMN(BL11) + 1, ""))&lt;&gt;"","BLU","")</f>
        <v>BLU</v>
      </c>
      <c r="HR11" s="44" t="str" cm="1">
        <f t="array" ref="HR11">IF(_xlfn.TEXTJOIN(", ", TRUE, IF(ISNUMBER(SEARCH("GRE", BL11:BT11)), COLUMN(BL11:BT11) - COLUMN(BL11) + 1, ""))&lt;&gt;"","GRE","")</f>
        <v/>
      </c>
      <c r="HS11" s="44" t="str" cm="1">
        <f t="array" ref="HS11">IF(_xlfn.TEXTJOIN(", ", TRUE, IF(ISNUMBER(SEARCH("RED", BL11:BT11)), COLUMN(BL11:BT11) - COLUMN(BL11) + 1, ""))&lt;&gt;"","RED","")</f>
        <v>RED</v>
      </c>
      <c r="HT11" s="44" t="str" cm="1">
        <f t="array" ref="HT11">IF(_xlfn.TEXTJOIN(", ", TRUE, IF(ISNUMBER(SEARCH("YEL", BL11:BT11)), COLUMN(BL11:BT11) - COLUMN(BL11) + 1, ""))&lt;&gt;"","YEL","")</f>
        <v/>
      </c>
      <c r="HU11" s="44" t="str" cm="1">
        <f t="array" ref="HU11">IF(_xlfn.TEXTJOIN(", ", TRUE, IF(ISNUMBER(SEARCH("ORA", BL11:BT11)), COLUMN(BL11:BT11) - COLUMN(BL11) + 1, ""))&lt;&gt;"","ORA","")</f>
        <v/>
      </c>
      <c r="HV11" s="44" t="str" cm="1">
        <f t="array" ref="HV11">IF(_xlfn.TEXTJOIN(", ", TRUE, IF(ISNUMBER(SEARCH("BRO", BL11:BT11)), COLUMN(BL11:BT11) - COLUMN(BL11) + 1, ""))&lt;&gt;"","BRO","")</f>
        <v/>
      </c>
      <c r="HW11" s="44" t="str" cm="1">
        <f t="array" ref="HW11">IF(_xlfn.TEXTJOIN(", ", TRUE, IF(ISNUMBER(SEARCH("PUR", BL11:BT11)), COLUMN(BL11:BT11) - COLUMN(BL11) + 1, ""))&lt;&gt;"","PUR","")</f>
        <v/>
      </c>
      <c r="HX11" s="44" t="str" cm="1">
        <f t="array" ref="HX11">IF(_xlfn.TEXTJOIN(", ", TRUE, IF(ISNUMBER(SEARCH("WHI", BL11:BT11)), COLUMN(BL11:BT11) - COLUMN(BL11) + 1, ""))&lt;&gt;"","WHI","")</f>
        <v>WHI</v>
      </c>
      <c r="HY11" s="72"/>
      <c r="HZ11" s="72"/>
      <c r="IA11" s="5"/>
      <c r="IB11" s="5"/>
      <c r="IC11" s="68"/>
      <c r="ID11" s="68"/>
      <c r="IE11" s="68"/>
      <c r="IF11" s="68"/>
      <c r="IG11" s="68"/>
      <c r="IH11" s="68"/>
      <c r="II11" s="68"/>
      <c r="IJ11" s="68"/>
      <c r="IK11" s="68"/>
      <c r="IM11" s="42">
        <f t="shared" si="133"/>
        <v>-3</v>
      </c>
      <c r="IN11" s="69" t="str">
        <f t="shared" si="134"/>
        <v>http://mkweb.bcgsc.ca/color-summarizer/?url=https://upload.wikimedia.org/wikipedia/commons/thumb/9/9d/Flag_of_Ngarchelong.svg/640px-Flag_of_Ngarchelong.svg.png&amp;precision=low&amp;num_clusters=3&amp;text=1</v>
      </c>
      <c r="IO11" s="44" t="str">
        <f t="shared" si="135"/>
        <v/>
      </c>
      <c r="IP11" s="44" t="str">
        <f t="shared" si="136"/>
        <v>"blue"</v>
      </c>
      <c r="IQ11" s="44" t="str">
        <f t="shared" si="137"/>
        <v/>
      </c>
      <c r="IR11" s="44" t="str">
        <f t="shared" si="138"/>
        <v>"red"</v>
      </c>
      <c r="IS11" s="44" t="str">
        <f t="shared" si="139"/>
        <v/>
      </c>
      <c r="IT11" s="44" t="str">
        <f t="shared" si="140"/>
        <v/>
      </c>
      <c r="IU11" s="44" t="str">
        <f t="shared" si="141"/>
        <v/>
      </c>
      <c r="IV11" s="44" t="str">
        <f t="shared" si="142"/>
        <v/>
      </c>
      <c r="IW11" s="44" t="str">
        <f t="shared" si="143"/>
        <v>"white"</v>
      </c>
      <c r="IX11" s="44" t="str">
        <f t="shared" si="144"/>
        <v>{"url":"http://mkweb.bcgsc.ca/color-summarizer/?url=https://upload.wikimedia.org/wikipedia/commons/thumb/9/9d/Flag_of_Ngarchelong.svg/640px-Flag_of_Ngarchelong.svg.png&amp;precision=low&amp;num_clusters=3&amp;text=1","name":"[PAU] Ngarchelong"},</v>
      </c>
      <c r="IY11" s="44">
        <v>1052</v>
      </c>
    </row>
    <row r="12" spans="1:259" ht="38.4" customHeight="1" x14ac:dyDescent="0.3">
      <c r="J12" s="44" t="str">
        <f>""</f>
        <v/>
      </c>
    </row>
    <row r="13" spans="1:259" ht="38.4" customHeight="1" x14ac:dyDescent="0.3">
      <c r="J13" s="44" t="str">
        <f>""</f>
        <v/>
      </c>
    </row>
  </sheetData>
  <autoFilter ref="A1:IY11" xr:uid="{A1051193-A95B-4CFB-A73C-F0184620C81F}">
    <sortState xmlns:xlrd2="http://schemas.microsoft.com/office/spreadsheetml/2017/richdata2" ref="A2:IY11">
      <sortCondition ref="AW1:AW11"/>
    </sortState>
  </autoFilter>
  <conditionalFormatting sqref="H1 CW1:GS1 IA1:IB1">
    <cfRule type="cellIs" dxfId="718" priority="66" operator="greaterThan">
      <formula>0</formula>
    </cfRule>
  </conditionalFormatting>
  <conditionalFormatting sqref="H1:H1048576">
    <cfRule type="cellIs" dxfId="717" priority="6" stopIfTrue="1" operator="notEqual">
      <formula>""</formula>
    </cfRule>
  </conditionalFormatting>
  <conditionalFormatting sqref="R2:R11 CU2:CU11">
    <cfRule type="cellIs" dxfId="716" priority="8" operator="greaterThan">
      <formula>0</formula>
    </cfRule>
  </conditionalFormatting>
  <conditionalFormatting sqref="T2:AS11 CH2:CS11">
    <cfRule type="cellIs" dxfId="715" priority="3" stopIfTrue="1" operator="equal">
      <formula>"n"</formula>
    </cfRule>
    <cfRule type="cellIs" dxfId="714" priority="4" stopIfTrue="1" operator="equal">
      <formula>"y"</formula>
    </cfRule>
    <cfRule type="cellIs" dxfId="713" priority="5" operator="greaterThan">
      <formula>0</formula>
    </cfRule>
  </conditionalFormatting>
  <conditionalFormatting sqref="T1:BK1">
    <cfRule type="cellIs" dxfId="712" priority="69" operator="greaterThan">
      <formula>0</formula>
    </cfRule>
  </conditionalFormatting>
  <conditionalFormatting sqref="AZ2:BB11">
    <cfRule type="expression" dxfId="711" priority="2">
      <formula>$AT2=0</formula>
    </cfRule>
  </conditionalFormatting>
  <conditionalFormatting sqref="AZ2:BU11">
    <cfRule type="cellIs" dxfId="710" priority="44" operator="equal">
      <formula>"PIN"</formula>
    </cfRule>
    <cfRule type="cellIs" dxfId="709" priority="45" operator="equal">
      <formula>"ORA"</formula>
    </cfRule>
    <cfRule type="cellIs" dxfId="708" priority="46" operator="equal">
      <formula>"GRA"</formula>
    </cfRule>
    <cfRule type="cellIs" dxfId="707" priority="47" operator="equal">
      <formula>"PUR"</formula>
    </cfRule>
    <cfRule type="cellIs" dxfId="706" priority="48" operator="equal">
      <formula>"BRO"</formula>
    </cfRule>
    <cfRule type="cellIs" dxfId="705" priority="49" operator="equal">
      <formula>"YEL"</formula>
    </cfRule>
    <cfRule type="cellIs" dxfId="704" priority="50" operator="equal">
      <formula>"BLU"</formula>
    </cfRule>
    <cfRule type="cellIs" dxfId="703" priority="51" operator="equal">
      <formula>"WHI"</formula>
    </cfRule>
    <cfRule type="cellIs" dxfId="702" priority="52" operator="equal">
      <formula>"GRE"</formula>
    </cfRule>
    <cfRule type="cellIs" dxfId="701" priority="53" operator="equal">
      <formula>"RED"</formula>
    </cfRule>
    <cfRule type="cellIs" dxfId="700" priority="54" operator="equal">
      <formula>"BLA"</formula>
    </cfRule>
  </conditionalFormatting>
  <conditionalFormatting sqref="BV1:BW1048576">
    <cfRule type="cellIs" dxfId="699" priority="68" operator="equal">
      <formula>"nc"</formula>
    </cfRule>
  </conditionalFormatting>
  <conditionalFormatting sqref="BX2:CA11 CD2:CF11">
    <cfRule type="cellIs" dxfId="698" priority="7" operator="equal">
      <formula>"y"</formula>
    </cfRule>
    <cfRule type="cellIs" dxfId="697" priority="55" operator="equal">
      <formula>"PIN"</formula>
    </cfRule>
    <cfRule type="cellIs" dxfId="696" priority="56" operator="equal">
      <formula>"ORA"</formula>
    </cfRule>
    <cfRule type="cellIs" dxfId="695" priority="57" operator="equal">
      <formula>"GRA"</formula>
    </cfRule>
    <cfRule type="cellIs" dxfId="694" priority="58" operator="equal">
      <formula>"PUR"</formula>
    </cfRule>
    <cfRule type="cellIs" dxfId="693" priority="59" operator="equal">
      <formula>"BRO"</formula>
    </cfRule>
    <cfRule type="cellIs" dxfId="692" priority="60" operator="equal">
      <formula>"YEL"</formula>
    </cfRule>
    <cfRule type="cellIs" dxfId="691" priority="61" operator="equal">
      <formula>"BLU"</formula>
    </cfRule>
    <cfRule type="cellIs" dxfId="690" priority="62" operator="equal">
      <formula>"WHI"</formula>
    </cfRule>
    <cfRule type="cellIs" dxfId="689" priority="63" operator="equal">
      <formula>"GRE"</formula>
    </cfRule>
    <cfRule type="cellIs" dxfId="688" priority="64" operator="equal">
      <formula>"RED"</formula>
    </cfRule>
    <cfRule type="cellIs" dxfId="687" priority="65" operator="equal">
      <formula>"BLA"</formula>
    </cfRule>
  </conditionalFormatting>
  <conditionalFormatting sqref="BZ2:CA11 CD2:CF11">
    <cfRule type="cellIs" dxfId="686" priority="9" operator="greaterThan">
      <formula>0</formula>
    </cfRule>
  </conditionalFormatting>
  <conditionalFormatting sqref="HF1:HG1">
    <cfRule type="cellIs" dxfId="685" priority="70" operator="greaterThan">
      <formula>0</formula>
    </cfRule>
  </conditionalFormatting>
  <conditionalFormatting sqref="HK1">
    <cfRule type="cellIs" dxfId="684" priority="67" operator="greaterThan">
      <formula>0</formula>
    </cfRule>
  </conditionalFormatting>
  <conditionalFormatting sqref="HP1:HX1">
    <cfRule type="cellIs" dxfId="683" priority="21" operator="equal">
      <formula>"PIN"</formula>
    </cfRule>
    <cfRule type="cellIs" dxfId="682" priority="22" operator="equal">
      <formula>"ORA"</formula>
    </cfRule>
    <cfRule type="cellIs" dxfId="681" priority="23" operator="equal">
      <formula>"GRA"</formula>
    </cfRule>
    <cfRule type="cellIs" dxfId="680" priority="24" operator="equal">
      <formula>"PUR"</formula>
    </cfRule>
    <cfRule type="cellIs" dxfId="679" priority="25" operator="equal">
      <formula>"BRO"</formula>
    </cfRule>
    <cfRule type="cellIs" dxfId="678" priority="26" operator="equal">
      <formula>"YEL"</formula>
    </cfRule>
    <cfRule type="cellIs" dxfId="677" priority="27" operator="equal">
      <formula>"BLU"</formula>
    </cfRule>
    <cfRule type="cellIs" dxfId="676" priority="28" operator="equal">
      <formula>"WHI"</formula>
    </cfRule>
    <cfRule type="cellIs" dxfId="675" priority="29" operator="equal">
      <formula>"GRE"</formula>
    </cfRule>
    <cfRule type="cellIs" dxfId="674" priority="30" operator="equal">
      <formula>"RED"</formula>
    </cfRule>
    <cfRule type="cellIs" dxfId="673" priority="31" operator="equal">
      <formula>"BLA"</formula>
    </cfRule>
  </conditionalFormatting>
  <conditionalFormatting sqref="IC1:IK1">
    <cfRule type="cellIs" dxfId="672" priority="33" operator="equal">
      <formula>"PIN"</formula>
    </cfRule>
    <cfRule type="cellIs" dxfId="671" priority="34" operator="equal">
      <formula>"ORA"</formula>
    </cfRule>
    <cfRule type="cellIs" dxfId="670" priority="35" operator="equal">
      <formula>"GRA"</formula>
    </cfRule>
    <cfRule type="cellIs" dxfId="669" priority="36" operator="equal">
      <formula>"PUR"</formula>
    </cfRule>
    <cfRule type="cellIs" dxfId="668" priority="37" operator="equal">
      <formula>"BRO"</formula>
    </cfRule>
    <cfRule type="cellIs" dxfId="667" priority="38" operator="equal">
      <formula>"YEL"</formula>
    </cfRule>
    <cfRule type="cellIs" dxfId="666" priority="39" operator="equal">
      <formula>"BLU"</formula>
    </cfRule>
    <cfRule type="cellIs" dxfId="665" priority="40" operator="equal">
      <formula>"WHI"</formula>
    </cfRule>
    <cfRule type="cellIs" dxfId="664" priority="41" operator="equal">
      <formula>"GRE"</formula>
    </cfRule>
    <cfRule type="cellIs" dxfId="663" priority="42" operator="equal">
      <formula>"RED"</formula>
    </cfRule>
    <cfRule type="cellIs" dxfId="662" priority="43" operator="equal">
      <formula>"BLA"</formula>
    </cfRule>
  </conditionalFormatting>
  <conditionalFormatting sqref="IC2:IK11">
    <cfRule type="expression" dxfId="661" priority="32">
      <formula>$IL2&gt;0</formula>
    </cfRule>
  </conditionalFormatting>
  <conditionalFormatting sqref="IO1:IW1">
    <cfRule type="cellIs" dxfId="660" priority="10" operator="equal">
      <formula>"PIN"</formula>
    </cfRule>
    <cfRule type="cellIs" dxfId="659" priority="11" operator="equal">
      <formula>"ORA"</formula>
    </cfRule>
    <cfRule type="cellIs" dxfId="658" priority="12" operator="equal">
      <formula>"GRA"</formula>
    </cfRule>
    <cfRule type="cellIs" dxfId="657" priority="13" operator="equal">
      <formula>"PUR"</formula>
    </cfRule>
    <cfRule type="cellIs" dxfId="656" priority="14" operator="equal">
      <formula>"BRO"</formula>
    </cfRule>
    <cfRule type="cellIs" dxfId="655" priority="15" operator="equal">
      <formula>"YEL"</formula>
    </cfRule>
    <cfRule type="cellIs" dxfId="654" priority="16" operator="equal">
      <formula>"BLU"</formula>
    </cfRule>
    <cfRule type="cellIs" dxfId="653" priority="17" operator="equal">
      <formula>"WHI"</formula>
    </cfRule>
    <cfRule type="cellIs" dxfId="652" priority="18" operator="equal">
      <formula>"GRE"</formula>
    </cfRule>
    <cfRule type="cellIs" dxfId="651" priority="19" operator="equal">
      <formula>"RED"</formula>
    </cfRule>
    <cfRule type="cellIs" dxfId="650" priority="20" operator="equal">
      <formula>"BLA"</formula>
    </cfRule>
  </conditionalFormatting>
  <conditionalFormatting sqref="S2:S11">
    <cfRule type="colorScale" priority="1209">
      <colorScale>
        <cfvo type="min"/>
        <cfvo type="max"/>
        <color rgb="FFFCFCFF"/>
        <color rgb="FF754BFB"/>
      </colorScale>
    </cfRule>
  </conditionalFormatting>
  <conditionalFormatting sqref="AT2:AT11">
    <cfRule type="colorScale" priority="1210">
      <colorScale>
        <cfvo type="min"/>
        <cfvo type="max"/>
        <color rgb="FFFCFCFF"/>
        <color theme="8" tint="0.39997558519241921"/>
      </colorScale>
    </cfRule>
  </conditionalFormatting>
  <conditionalFormatting sqref="CG2:CG11">
    <cfRule type="colorScale" priority="1211">
      <colorScale>
        <cfvo type="min"/>
        <cfvo type="max"/>
        <color rgb="FFFCFCFF"/>
        <color rgb="FF63BE7B"/>
      </colorScale>
    </cfRule>
  </conditionalFormatting>
  <conditionalFormatting sqref="J2:J13">
    <cfRule type="colorScale" priority="1">
      <colorScale>
        <cfvo type="min"/>
        <cfvo type="percentile" val="50"/>
        <cfvo type="max"/>
        <color rgb="FFF8696B"/>
        <color rgb="FFFFEB84"/>
        <color rgb="FF63BE7B"/>
      </colorScale>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InsertImagesFromSelectedRange">
                <anchor moveWithCells="1" sizeWithCells="1">
                  <from>
                    <xdr:col>1</xdr:col>
                    <xdr:colOff>76200</xdr:colOff>
                    <xdr:row>0</xdr:row>
                    <xdr:rowOff>7620</xdr:rowOff>
                  </from>
                  <to>
                    <xdr:col>2</xdr:col>
                    <xdr:colOff>0</xdr:colOff>
                    <xdr:row>0</xdr:row>
                    <xdr:rowOff>487680</xdr:rowOff>
                  </to>
                </anchor>
              </controlPr>
            </control>
          </mc:Choice>
        </mc:AlternateContent>
        <mc:AlternateContent xmlns:mc="http://schemas.openxmlformats.org/markup-compatibility/2006">
          <mc:Choice Requires="x14">
            <control shapeId="10242" r:id="rId5" name="Button 2">
              <controlPr defaultSize="0" print="0" autoFill="0" autoPict="0" macro="[0]!ReplaceLineBreaksWithNewLineManualRange">
                <anchor moveWithCells="1" sizeWithCells="1">
                  <from>
                    <xdr:col>7</xdr:col>
                    <xdr:colOff>15240</xdr:colOff>
                    <xdr:row>0</xdr:row>
                    <xdr:rowOff>45720</xdr:rowOff>
                  </from>
                  <to>
                    <xdr:col>7</xdr:col>
                    <xdr:colOff>685800</xdr:colOff>
                    <xdr:row>0</xdr:row>
                    <xdr:rowOff>403860</xdr:rowOff>
                  </to>
                </anchor>
              </controlPr>
            </control>
          </mc:Choice>
        </mc:AlternateContent>
        <mc:AlternateContent xmlns:mc="http://schemas.openxmlformats.org/markup-compatibility/2006">
          <mc:Choice Requires="x14">
            <control shapeId="10243" r:id="rId6" name="Button 3">
              <controlPr defaultSize="0" print="0" autoFill="0" autoPict="0" macro="[0]!GoToSheet">
                <anchor moveWithCells="1" sizeWithCells="1">
                  <from>
                    <xdr:col>0</xdr:col>
                    <xdr:colOff>137160</xdr:colOff>
                    <xdr:row>0</xdr:row>
                    <xdr:rowOff>114300</xdr:rowOff>
                  </from>
                  <to>
                    <xdr:col>0</xdr:col>
                    <xdr:colOff>762000</xdr:colOff>
                    <xdr:row>0</xdr:row>
                    <xdr:rowOff>419100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06C17-EA9A-4422-9F68-3C2EDBBD3D37}">
  <sheetPr codeName="Sheet27"/>
  <dimension ref="A1:IY8"/>
  <sheetViews>
    <sheetView zoomScale="70" zoomScaleNormal="70" workbookViewId="0">
      <pane xSplit="5" ySplit="1" topLeftCell="F2" activePane="bottomRight" state="frozen"/>
      <selection activeCell="A2" sqref="A2"/>
      <selection pane="topRight" activeCell="A2" sqref="A2"/>
      <selection pane="bottomLeft" activeCell="A2" sqref="A2"/>
      <selection pane="bottomRight" activeCell="J2" sqref="J2:J8"/>
    </sheetView>
  </sheetViews>
  <sheetFormatPr defaultRowHeight="38.4" customHeight="1" x14ac:dyDescent="0.3"/>
  <cols>
    <col min="1" max="1" width="52.44140625" style="82" bestFit="1" customWidth="1"/>
    <col min="2" max="2" width="10.109375" style="82" customWidth="1"/>
    <col min="3" max="3" width="7.44140625" style="83" customWidth="1"/>
    <col min="4" max="4" width="4.77734375" style="84" customWidth="1"/>
    <col min="5" max="5" width="4.5546875" style="84" customWidth="1"/>
    <col min="6" max="6" width="5.77734375" style="84" customWidth="1"/>
    <col min="7" max="7" width="7.44140625" style="82" customWidth="1"/>
    <col min="8" max="8" width="11.44140625" style="82" customWidth="1"/>
    <col min="9" max="9" width="10" style="82" customWidth="1"/>
    <col min="10" max="10" width="4.21875" style="82" customWidth="1"/>
    <col min="11" max="11" width="5.6640625" style="84" customWidth="1"/>
    <col min="12" max="12" width="2.88671875" style="84" customWidth="1"/>
    <col min="13" max="13" width="6.44140625" style="84" customWidth="1"/>
    <col min="14" max="14" width="4.5546875" style="84" customWidth="1"/>
    <col min="15" max="15" width="10.5546875" style="85" customWidth="1"/>
    <col min="16" max="16" width="6.88671875" style="84" customWidth="1"/>
    <col min="17" max="17" width="4.77734375" style="84" customWidth="1"/>
    <col min="18" max="18" width="13.109375" style="83" customWidth="1"/>
    <col min="19" max="19" width="6.77734375" style="83" customWidth="1"/>
    <col min="20" max="46" width="8.44140625" style="82" customWidth="1"/>
    <col min="47" max="47" width="24.5546875" style="82" customWidth="1"/>
    <col min="48" max="51" width="16.6640625" style="82" customWidth="1"/>
    <col min="52" max="52" width="6.5546875" style="82" customWidth="1"/>
    <col min="53" max="54" width="5.88671875" style="82" customWidth="1"/>
    <col min="55" max="55" width="1.33203125" style="82" customWidth="1"/>
    <col min="56" max="56" width="7.44140625" style="82" customWidth="1"/>
    <col min="57" max="57" width="2.33203125" style="82" customWidth="1"/>
    <col min="58" max="62" width="6.109375" style="82" customWidth="1"/>
    <col min="63" max="63" width="2.33203125" style="82" customWidth="1"/>
    <col min="64" max="64" width="7" style="82" bestFit="1" customWidth="1"/>
    <col min="65" max="65" width="6.44140625" style="82" bestFit="1" customWidth="1"/>
    <col min="66" max="66" width="7.109375" style="82" bestFit="1" customWidth="1"/>
    <col min="67" max="71" width="6.44140625" style="82" bestFit="1" customWidth="1"/>
    <col min="72" max="73" width="6.44140625" style="82" customWidth="1"/>
    <col min="74" max="75" width="13.44140625" style="82" customWidth="1"/>
    <col min="76" max="84" width="14.6640625" style="82" customWidth="1"/>
    <col min="85" max="85" width="6.44140625" style="82" customWidth="1"/>
    <col min="86" max="87" width="11.6640625" style="82" bestFit="1" customWidth="1"/>
    <col min="88" max="88" width="11.6640625" style="82" customWidth="1"/>
    <col min="89" max="89" width="12.77734375" style="82" bestFit="1" customWidth="1"/>
    <col min="90" max="90" width="16.44140625" style="83" bestFit="1" customWidth="1"/>
    <col min="91" max="92" width="14.88671875" style="83" bestFit="1" customWidth="1"/>
    <col min="93" max="93" width="16" style="83" bestFit="1" customWidth="1"/>
    <col min="94" max="97" width="7.77734375" style="82" customWidth="1"/>
    <col min="98" max="98" width="33.21875" style="82" customWidth="1"/>
    <col min="99" max="99" width="18" style="82" customWidth="1"/>
    <col min="100" max="100" width="75.6640625" style="82" customWidth="1"/>
    <col min="101" max="125" width="33" style="82" customWidth="1"/>
    <col min="126" max="126" width="8.88671875" style="82"/>
    <col min="127" max="128" width="9.44140625" style="82" bestFit="1" customWidth="1"/>
    <col min="129" max="129" width="10.77734375" style="82" bestFit="1" customWidth="1"/>
    <col min="130" max="134" width="10.77734375" style="82" customWidth="1"/>
    <col min="135" max="135" width="10.109375" style="82" bestFit="1" customWidth="1"/>
    <col min="136" max="136" width="7.77734375" style="82" bestFit="1" customWidth="1"/>
    <col min="137" max="137" width="7.77734375" style="82" customWidth="1"/>
    <col min="138" max="138" width="9" style="82" bestFit="1" customWidth="1"/>
    <col min="139" max="139" width="11.33203125" style="82" bestFit="1" customWidth="1"/>
    <col min="140" max="140" width="9.109375" style="82" bestFit="1" customWidth="1"/>
    <col min="141" max="141" width="9" style="82" bestFit="1" customWidth="1"/>
    <col min="142" max="142" width="12" style="82" bestFit="1" customWidth="1"/>
    <col min="143" max="166" width="12" style="82" customWidth="1"/>
    <col min="167" max="167" width="17.21875" style="82" customWidth="1"/>
    <col min="168" max="191" width="12" style="82" customWidth="1"/>
    <col min="192" max="192" width="8.5546875" style="82" bestFit="1" customWidth="1"/>
    <col min="193" max="193" width="8.5546875" style="82" customWidth="1"/>
    <col min="194" max="194" width="7.109375" style="82" bestFit="1" customWidth="1"/>
    <col min="195" max="195" width="7.5546875" style="82" bestFit="1" customWidth="1"/>
    <col min="196" max="196" width="8.5546875" style="82" bestFit="1" customWidth="1"/>
    <col min="197" max="200" width="8.5546875" style="82" customWidth="1"/>
    <col min="201" max="201" width="188.88671875" style="82" customWidth="1"/>
    <col min="202" max="202" width="9.5546875" style="82" bestFit="1" customWidth="1"/>
    <col min="203" max="203" width="10.44140625" style="82" bestFit="1" customWidth="1"/>
    <col min="204" max="204" width="11.109375" style="82" bestFit="1" customWidth="1"/>
    <col min="205" max="205" width="10.44140625" style="82" bestFit="1" customWidth="1"/>
    <col min="206" max="210" width="10.44140625" style="82" customWidth="1"/>
    <col min="211" max="211" width="45.44140625" style="82" customWidth="1"/>
    <col min="212" max="212" width="47.5546875" style="82" bestFit="1" customWidth="1"/>
    <col min="213" max="213" width="9.33203125" style="86" customWidth="1"/>
    <col min="214" max="214" width="119.5546875" style="82" customWidth="1"/>
    <col min="215" max="215" width="69.6640625" style="82" customWidth="1"/>
    <col min="216" max="218" width="8.88671875" style="82"/>
    <col min="219" max="219" width="37.109375" style="82" customWidth="1"/>
    <col min="220" max="220" width="16.33203125" style="82" customWidth="1"/>
    <col min="221" max="222" width="8.88671875" style="82"/>
    <col min="223" max="223" width="10.109375" style="82" bestFit="1" customWidth="1"/>
    <col min="224" max="232" width="10.88671875" style="82" customWidth="1"/>
    <col min="233" max="234" width="30.77734375" style="82" customWidth="1"/>
    <col min="235" max="235" width="5.109375" style="82" customWidth="1"/>
    <col min="236" max="236" width="3" style="82" customWidth="1"/>
    <col min="237" max="245" width="6.77734375" style="76" customWidth="1"/>
    <col min="246" max="247" width="8.88671875" style="82"/>
    <col min="248" max="248" width="61.5546875" style="82" customWidth="1"/>
    <col min="249" max="253" width="8.88671875" style="82"/>
    <col min="254" max="254" width="9" style="82" customWidth="1"/>
    <col min="255" max="16384" width="8.88671875" style="82"/>
  </cols>
  <sheetData>
    <row r="1" spans="1:259" s="5" customFormat="1" ht="38.4" customHeight="1" thickBot="1" x14ac:dyDescent="0.35">
      <c r="A1" s="1" t="s">
        <v>0</v>
      </c>
      <c r="B1" s="79" t="s">
        <v>1</v>
      </c>
      <c r="C1" s="2" t="s">
        <v>2</v>
      </c>
      <c r="D1" s="3"/>
      <c r="E1" s="3" t="s">
        <v>3</v>
      </c>
      <c r="F1" s="4"/>
      <c r="H1" s="6" t="s">
        <v>4</v>
      </c>
      <c r="J1" s="5" t="s">
        <v>5</v>
      </c>
      <c r="K1" s="7" t="s">
        <v>6</v>
      </c>
      <c r="L1" s="8" t="s">
        <v>7</v>
      </c>
      <c r="M1" s="8" t="s">
        <v>8</v>
      </c>
      <c r="N1" s="9" t="s">
        <v>9</v>
      </c>
      <c r="O1" s="10" t="s">
        <v>10</v>
      </c>
      <c r="P1" s="11" t="s">
        <v>11</v>
      </c>
      <c r="Q1" s="11" t="s">
        <v>12</v>
      </c>
      <c r="R1" s="12" t="s">
        <v>0</v>
      </c>
      <c r="S1" s="13" t="s">
        <v>13</v>
      </c>
      <c r="T1" s="14" t="s">
        <v>14</v>
      </c>
      <c r="U1" s="14" t="s">
        <v>15</v>
      </c>
      <c r="V1" s="15" t="s">
        <v>16</v>
      </c>
      <c r="W1" s="14" t="s">
        <v>17</v>
      </c>
      <c r="X1" s="14" t="s">
        <v>18</v>
      </c>
      <c r="Y1" s="14" t="s">
        <v>19</v>
      </c>
      <c r="Z1" s="14" t="s">
        <v>20</v>
      </c>
      <c r="AA1" s="14" t="s">
        <v>21</v>
      </c>
      <c r="AB1" s="14" t="s">
        <v>22</v>
      </c>
      <c r="AC1" s="14" t="s">
        <v>23</v>
      </c>
      <c r="AD1" s="14" t="s">
        <v>24</v>
      </c>
      <c r="AE1" s="14" t="s">
        <v>25</v>
      </c>
      <c r="AF1" s="16" t="s">
        <v>26</v>
      </c>
      <c r="AG1" s="16" t="s">
        <v>27</v>
      </c>
      <c r="AH1" s="16" t="s">
        <v>28</v>
      </c>
      <c r="AI1" s="16" t="s">
        <v>29</v>
      </c>
      <c r="AJ1" s="16" t="s">
        <v>30</v>
      </c>
      <c r="AK1" s="16" t="s">
        <v>31</v>
      </c>
      <c r="AL1" s="16" t="s">
        <v>32</v>
      </c>
      <c r="AM1" s="16" t="s">
        <v>33</v>
      </c>
      <c r="AN1" s="16" t="s">
        <v>34</v>
      </c>
      <c r="AO1" s="16" t="s">
        <v>35</v>
      </c>
      <c r="AP1" s="16" t="s">
        <v>36</v>
      </c>
      <c r="AQ1" s="16" t="s">
        <v>37</v>
      </c>
      <c r="AR1" s="16" t="s">
        <v>38</v>
      </c>
      <c r="AS1" s="16" t="s">
        <v>39</v>
      </c>
      <c r="AT1" s="17" t="s">
        <v>40</v>
      </c>
      <c r="AU1" s="18" t="s">
        <v>41</v>
      </c>
      <c r="AV1" s="18" t="s">
        <v>42</v>
      </c>
      <c r="AW1" s="18" t="s">
        <v>43</v>
      </c>
      <c r="AX1" s="19"/>
      <c r="AY1" s="20" t="s">
        <v>44</v>
      </c>
      <c r="AZ1" s="19" t="s">
        <v>45</v>
      </c>
      <c r="BA1" s="19"/>
      <c r="BB1" s="19"/>
      <c r="BC1" s="21"/>
      <c r="BD1" s="19" t="s">
        <v>46</v>
      </c>
      <c r="BE1" s="21"/>
      <c r="BF1" s="19" t="s">
        <v>47</v>
      </c>
      <c r="BG1" s="19" t="s">
        <v>48</v>
      </c>
      <c r="BH1" s="19" t="s">
        <v>49</v>
      </c>
      <c r="BI1" s="19" t="s">
        <v>50</v>
      </c>
      <c r="BJ1" s="19" t="s">
        <v>51</v>
      </c>
      <c r="BK1" s="21"/>
      <c r="BL1" s="22" t="s">
        <v>52</v>
      </c>
      <c r="BM1" s="22"/>
      <c r="BN1" s="22"/>
      <c r="BO1" s="22"/>
      <c r="BP1" s="22"/>
      <c r="BQ1" s="22"/>
      <c r="BR1" s="22"/>
      <c r="BS1" s="22"/>
      <c r="BT1" s="23"/>
      <c r="BU1" s="23" t="s">
        <v>53</v>
      </c>
      <c r="BV1" s="23" t="s">
        <v>54</v>
      </c>
      <c r="BW1" s="23" t="s">
        <v>55</v>
      </c>
      <c r="BX1" s="23"/>
      <c r="BY1" s="23" t="s">
        <v>56</v>
      </c>
      <c r="BZ1" s="23" t="s">
        <v>57</v>
      </c>
      <c r="CA1" s="23" t="s">
        <v>58</v>
      </c>
      <c r="CB1" s="23" t="s">
        <v>59</v>
      </c>
      <c r="CC1" s="23" t="s">
        <v>60</v>
      </c>
      <c r="CD1" s="23" t="s">
        <v>61</v>
      </c>
      <c r="CE1" s="23" t="s">
        <v>62</v>
      </c>
      <c r="CF1" s="23" t="s">
        <v>63</v>
      </c>
      <c r="CG1" s="23"/>
      <c r="CH1" s="23" t="s">
        <v>64</v>
      </c>
      <c r="CI1" s="23" t="s">
        <v>65</v>
      </c>
      <c r="CJ1" s="23" t="s">
        <v>66</v>
      </c>
      <c r="CK1" s="23" t="s">
        <v>67</v>
      </c>
      <c r="CL1" s="24" t="s">
        <v>68</v>
      </c>
      <c r="CM1" s="24" t="s">
        <v>69</v>
      </c>
      <c r="CN1" s="24" t="s">
        <v>70</v>
      </c>
      <c r="CO1" s="24" t="s">
        <v>71</v>
      </c>
      <c r="CP1" s="24" t="s">
        <v>72</v>
      </c>
      <c r="CQ1" s="24" t="s">
        <v>73</v>
      </c>
      <c r="CR1" s="24" t="s">
        <v>74</v>
      </c>
      <c r="CS1" s="24" t="s">
        <v>75</v>
      </c>
      <c r="CT1" s="1" t="s">
        <v>76</v>
      </c>
      <c r="CU1" s="25" t="s">
        <v>0</v>
      </c>
      <c r="CV1" s="5" t="s">
        <v>77</v>
      </c>
      <c r="CW1" s="14" t="s">
        <v>78</v>
      </c>
      <c r="CX1" s="14" t="s">
        <v>79</v>
      </c>
      <c r="CY1" s="14" t="s">
        <v>66</v>
      </c>
      <c r="CZ1" s="14" t="s">
        <v>80</v>
      </c>
      <c r="DA1" s="14" t="s">
        <v>81</v>
      </c>
      <c r="DB1" s="14" t="s">
        <v>82</v>
      </c>
      <c r="DC1" s="14" t="s">
        <v>83</v>
      </c>
      <c r="DD1" s="14" t="s">
        <v>84</v>
      </c>
      <c r="DE1" s="14" t="s">
        <v>85</v>
      </c>
      <c r="DF1" s="14" t="s">
        <v>86</v>
      </c>
      <c r="DG1" s="14" t="s">
        <v>87</v>
      </c>
      <c r="DH1" s="14" t="s">
        <v>88</v>
      </c>
      <c r="DI1" s="14" t="s">
        <v>89</v>
      </c>
      <c r="DJ1" s="14" t="s">
        <v>90</v>
      </c>
      <c r="DK1" s="14" t="s">
        <v>91</v>
      </c>
      <c r="DL1" s="14" t="s">
        <v>92</v>
      </c>
      <c r="DM1" s="14" t="s">
        <v>93</v>
      </c>
      <c r="DN1" s="14" t="s">
        <v>94</v>
      </c>
      <c r="DO1" s="14" t="s">
        <v>95</v>
      </c>
      <c r="DP1" s="14" t="s">
        <v>96</v>
      </c>
      <c r="DQ1" s="14" t="s">
        <v>97</v>
      </c>
      <c r="DR1" s="14" t="s">
        <v>56</v>
      </c>
      <c r="DS1" s="14" t="s">
        <v>98</v>
      </c>
      <c r="DT1" s="14" t="s">
        <v>99</v>
      </c>
      <c r="DU1" s="14" t="s">
        <v>100</v>
      </c>
      <c r="DV1" s="14" t="s">
        <v>101</v>
      </c>
      <c r="DW1" s="14" t="s">
        <v>102</v>
      </c>
      <c r="DX1" s="14" t="s">
        <v>103</v>
      </c>
      <c r="DY1" s="14" t="s">
        <v>104</v>
      </c>
      <c r="DZ1" s="14" t="s">
        <v>105</v>
      </c>
      <c r="EA1" s="14" t="s">
        <v>106</v>
      </c>
      <c r="EB1" s="14" t="s">
        <v>107</v>
      </c>
      <c r="EC1" s="14" t="s">
        <v>108</v>
      </c>
      <c r="ED1" s="14" t="s">
        <v>109</v>
      </c>
      <c r="EE1" s="15" t="s">
        <v>18</v>
      </c>
      <c r="EF1" s="14" t="s">
        <v>19</v>
      </c>
      <c r="EG1" s="14" t="s">
        <v>20</v>
      </c>
      <c r="EH1" s="14" t="s">
        <v>21</v>
      </c>
      <c r="EI1" s="14" t="s">
        <v>110</v>
      </c>
      <c r="EJ1" s="14" t="s">
        <v>23</v>
      </c>
      <c r="EK1" s="14" t="s">
        <v>111</v>
      </c>
      <c r="EL1" s="14" t="s">
        <v>112</v>
      </c>
      <c r="EM1" s="14" t="s">
        <v>26</v>
      </c>
      <c r="EN1" s="16" t="s">
        <v>27</v>
      </c>
      <c r="EO1" s="16" t="s">
        <v>28</v>
      </c>
      <c r="EP1" s="16" t="s">
        <v>29</v>
      </c>
      <c r="EQ1" s="16" t="s">
        <v>113</v>
      </c>
      <c r="ER1" s="16" t="s">
        <v>31</v>
      </c>
      <c r="ES1" s="16" t="s">
        <v>32</v>
      </c>
      <c r="ET1" s="16" t="s">
        <v>114</v>
      </c>
      <c r="EU1" s="16" t="s">
        <v>34</v>
      </c>
      <c r="EV1" s="16" t="s">
        <v>35</v>
      </c>
      <c r="EW1" s="16" t="s">
        <v>115</v>
      </c>
      <c r="EX1" s="16" t="s">
        <v>37</v>
      </c>
      <c r="EY1" s="16" t="s">
        <v>38</v>
      </c>
      <c r="EZ1" s="16" t="s">
        <v>39</v>
      </c>
      <c r="FA1" s="16" t="s">
        <v>116</v>
      </c>
      <c r="FB1" s="16" t="s">
        <v>117</v>
      </c>
      <c r="FC1" s="16" t="s">
        <v>118</v>
      </c>
      <c r="FD1" s="16" t="s">
        <v>54</v>
      </c>
      <c r="FE1" s="16" t="s">
        <v>119</v>
      </c>
      <c r="FF1" s="16" t="s">
        <v>120</v>
      </c>
      <c r="FG1" s="16" t="s">
        <v>121</v>
      </c>
      <c r="FH1" s="16" t="s">
        <v>122</v>
      </c>
      <c r="FI1" s="16" t="s">
        <v>123</v>
      </c>
      <c r="FJ1" s="16" t="s">
        <v>124</v>
      </c>
      <c r="FK1" s="16" t="s">
        <v>125</v>
      </c>
      <c r="FL1" s="16" t="s">
        <v>126</v>
      </c>
      <c r="FM1" s="16" t="s">
        <v>127</v>
      </c>
      <c r="FN1" s="16" t="s">
        <v>128</v>
      </c>
      <c r="FO1" s="16" t="s">
        <v>129</v>
      </c>
      <c r="FP1" s="16" t="s">
        <v>130</v>
      </c>
      <c r="FQ1" s="16" t="s">
        <v>131</v>
      </c>
      <c r="FR1" s="16" t="s">
        <v>132</v>
      </c>
      <c r="FS1" s="16" t="s">
        <v>133</v>
      </c>
      <c r="FT1" s="16" t="s">
        <v>134</v>
      </c>
      <c r="FU1" s="16" t="s">
        <v>44</v>
      </c>
      <c r="FV1" s="16" t="s">
        <v>135</v>
      </c>
      <c r="FW1" s="16" t="s">
        <v>58</v>
      </c>
      <c r="FX1" s="16" t="s">
        <v>136</v>
      </c>
      <c r="FY1" s="16" t="s">
        <v>137</v>
      </c>
      <c r="FZ1" s="16" t="s">
        <v>138</v>
      </c>
      <c r="GA1" s="16" t="s">
        <v>139</v>
      </c>
      <c r="GB1" s="16" t="s">
        <v>140</v>
      </c>
      <c r="GC1" s="16" t="s">
        <v>141</v>
      </c>
      <c r="GD1" s="16" t="s">
        <v>142</v>
      </c>
      <c r="GE1" s="16" t="s">
        <v>143</v>
      </c>
      <c r="GF1" s="16" t="s">
        <v>144</v>
      </c>
      <c r="GG1" s="16" t="s">
        <v>145</v>
      </c>
      <c r="GH1" s="16" t="s">
        <v>61</v>
      </c>
      <c r="GI1" s="16" t="s">
        <v>62</v>
      </c>
      <c r="GJ1" s="14" t="s">
        <v>146</v>
      </c>
      <c r="GK1" s="14" t="s">
        <v>147</v>
      </c>
      <c r="GL1" s="14" t="s">
        <v>148</v>
      </c>
      <c r="GM1" s="17" t="s">
        <v>149</v>
      </c>
      <c r="GN1" s="26" t="s">
        <v>150</v>
      </c>
      <c r="GO1" s="26" t="s">
        <v>151</v>
      </c>
      <c r="GP1" s="18" t="s">
        <v>41</v>
      </c>
      <c r="GQ1" s="18" t="s">
        <v>42</v>
      </c>
      <c r="GR1" s="18" t="s">
        <v>43</v>
      </c>
      <c r="GS1" s="21"/>
      <c r="GT1" s="27" t="s">
        <v>52</v>
      </c>
      <c r="GU1" s="27"/>
      <c r="GV1" s="27"/>
      <c r="GW1" s="27"/>
      <c r="GX1" s="28"/>
      <c r="GY1" s="28"/>
      <c r="GZ1" s="28"/>
      <c r="HA1" s="28"/>
      <c r="HB1" s="28"/>
      <c r="HC1" s="28"/>
      <c r="HD1" s="29" t="s">
        <v>13</v>
      </c>
      <c r="HE1" s="30" t="s">
        <v>152</v>
      </c>
      <c r="HF1" s="31"/>
      <c r="HG1" s="32"/>
      <c r="HK1" s="32" t="s">
        <v>4</v>
      </c>
      <c r="HP1" s="33" t="s">
        <v>153</v>
      </c>
      <c r="HQ1" s="33" t="s">
        <v>154</v>
      </c>
      <c r="HR1" s="33" t="s">
        <v>155</v>
      </c>
      <c r="HS1" s="33" t="s">
        <v>156</v>
      </c>
      <c r="HT1" s="33" t="s">
        <v>157</v>
      </c>
      <c r="HU1" s="33" t="s">
        <v>158</v>
      </c>
      <c r="HV1" s="33" t="s">
        <v>159</v>
      </c>
      <c r="HW1" s="33" t="s">
        <v>160</v>
      </c>
      <c r="HX1" s="34" t="s">
        <v>161</v>
      </c>
      <c r="IA1" s="14" t="s">
        <v>162</v>
      </c>
      <c r="IB1" s="35" t="s">
        <v>163</v>
      </c>
      <c r="IC1" s="36" t="s">
        <v>153</v>
      </c>
      <c r="ID1" s="36" t="s">
        <v>154</v>
      </c>
      <c r="IE1" s="36" t="s">
        <v>156</v>
      </c>
      <c r="IF1" s="37" t="s">
        <v>161</v>
      </c>
      <c r="IG1" s="36" t="s">
        <v>157</v>
      </c>
      <c r="IH1" s="36" t="s">
        <v>158</v>
      </c>
      <c r="II1" s="36" t="s">
        <v>155</v>
      </c>
      <c r="IJ1" s="36" t="s">
        <v>159</v>
      </c>
      <c r="IK1" s="36" t="s">
        <v>160</v>
      </c>
      <c r="IO1" s="33" t="s">
        <v>153</v>
      </c>
      <c r="IP1" s="33" t="s">
        <v>154</v>
      </c>
      <c r="IQ1" s="33" t="s">
        <v>155</v>
      </c>
      <c r="IR1" s="33" t="s">
        <v>156</v>
      </c>
      <c r="IS1" s="33" t="s">
        <v>157</v>
      </c>
      <c r="IT1" s="33" t="s">
        <v>158</v>
      </c>
      <c r="IU1" s="33" t="s">
        <v>159</v>
      </c>
      <c r="IV1" s="33" t="s">
        <v>160</v>
      </c>
      <c r="IW1" s="34" t="s">
        <v>161</v>
      </c>
      <c r="IY1" s="5" t="s">
        <v>164</v>
      </c>
    </row>
    <row r="2" spans="1:259" s="44" customFormat="1" ht="38.4" customHeight="1" thickBot="1" x14ac:dyDescent="0.35">
      <c r="A2" s="77" t="s">
        <v>304</v>
      </c>
      <c r="B2" s="78" t="e" vm="94">
        <v>#VALUE!</v>
      </c>
      <c r="C2" s="39">
        <v>1</v>
      </c>
      <c r="D2" s="70" t="s">
        <v>305</v>
      </c>
      <c r="E2" s="40" t="s">
        <v>306</v>
      </c>
      <c r="F2" s="41" t="s">
        <v>165</v>
      </c>
      <c r="G2" s="42">
        <f>COUNTIF($A$1:$A$8229,A2)</f>
        <v>1</v>
      </c>
      <c r="H2" s="43"/>
      <c r="I2" s="59" t="s">
        <v>307</v>
      </c>
      <c r="J2" s="44" t="str">
        <f>""</f>
        <v/>
      </c>
      <c r="K2" s="45">
        <v>67</v>
      </c>
      <c r="L2" s="46">
        <v>800</v>
      </c>
      <c r="M2" s="46" t="s">
        <v>1155</v>
      </c>
      <c r="N2" s="47" t="s">
        <v>177</v>
      </c>
      <c r="O2" s="74" t="s">
        <v>188</v>
      </c>
      <c r="P2" s="48" t="s">
        <v>308</v>
      </c>
      <c r="Q2" s="73">
        <v>2</v>
      </c>
      <c r="R2" s="49" t="s">
        <v>177</v>
      </c>
      <c r="S2" s="50">
        <v>0</v>
      </c>
      <c r="T2" s="51" t="s">
        <v>166</v>
      </c>
      <c r="U2" s="52" t="s">
        <v>167</v>
      </c>
      <c r="V2" s="52" t="s">
        <v>166</v>
      </c>
      <c r="W2" s="52" t="s">
        <v>166</v>
      </c>
      <c r="X2" s="52" t="s">
        <v>166</v>
      </c>
      <c r="Y2" s="52" t="s">
        <v>166</v>
      </c>
      <c r="Z2" s="52" t="s">
        <v>166</v>
      </c>
      <c r="AA2" s="52" t="s">
        <v>167</v>
      </c>
      <c r="AB2" s="52" t="s">
        <v>166</v>
      </c>
      <c r="AC2" s="52" t="s">
        <v>166</v>
      </c>
      <c r="AD2" s="52" t="s">
        <v>166</v>
      </c>
      <c r="AE2" s="52" t="s">
        <v>166</v>
      </c>
      <c r="AF2" s="53" t="s">
        <v>166</v>
      </c>
      <c r="AG2" s="53" t="s">
        <v>166</v>
      </c>
      <c r="AH2" s="53" t="s">
        <v>166</v>
      </c>
      <c r="AI2" s="53" t="s">
        <v>167</v>
      </c>
      <c r="AJ2" s="53" t="s">
        <v>166</v>
      </c>
      <c r="AK2" s="53" t="s">
        <v>166</v>
      </c>
      <c r="AL2" s="53" t="s">
        <v>167</v>
      </c>
      <c r="AM2" s="53" t="s">
        <v>166</v>
      </c>
      <c r="AN2" s="53" t="s">
        <v>166</v>
      </c>
      <c r="AO2" s="53" t="s">
        <v>166</v>
      </c>
      <c r="AP2" s="53" t="s">
        <v>166</v>
      </c>
      <c r="AQ2" s="53" t="s">
        <v>166</v>
      </c>
      <c r="AR2" s="53" t="s">
        <v>166</v>
      </c>
      <c r="AS2" s="53" t="s">
        <v>167</v>
      </c>
      <c r="AT2" s="54">
        <v>0</v>
      </c>
      <c r="AU2" s="53"/>
      <c r="AV2" s="53" t="str">
        <f>IF(LEFT(A2,1)="[",LEFT(A2,5)&amp;AU2&amp;A2,"")</f>
        <v/>
      </c>
      <c r="AW2" s="53" t="str">
        <f>C2&amp;H2&amp;A2</f>
        <v>1Pitcairn Islands</v>
      </c>
      <c r="AX2" s="55" t="str">
        <f>_xlfn.TEXTJOIN(";",TRUE,AU2:AW2)</f>
        <v>1Pitcairn Islands</v>
      </c>
      <c r="AY2" s="55" t="s">
        <v>167</v>
      </c>
      <c r="AZ2" s="56"/>
      <c r="BA2" s="56"/>
      <c r="BB2" s="56"/>
      <c r="BC2" s="57"/>
      <c r="BD2" s="58" t="s">
        <v>154</v>
      </c>
      <c r="BE2" s="59"/>
      <c r="BF2" s="58"/>
      <c r="BG2" s="58"/>
      <c r="BH2" s="58"/>
      <c r="BI2" s="58"/>
      <c r="BJ2" s="58"/>
      <c r="BK2" s="59"/>
      <c r="BL2" s="58" t="s">
        <v>154</v>
      </c>
      <c r="BM2" s="58" t="s">
        <v>156</v>
      </c>
      <c r="BN2" s="58" t="s">
        <v>161</v>
      </c>
      <c r="BO2" s="58" t="s">
        <v>155</v>
      </c>
      <c r="BP2" s="58" t="s">
        <v>157</v>
      </c>
      <c r="BQ2" s="58" t="s">
        <v>213</v>
      </c>
      <c r="BR2" s="58" t="s">
        <v>153</v>
      </c>
      <c r="BS2" s="58"/>
      <c r="BT2" s="58"/>
      <c r="BU2" s="60" t="s">
        <v>167</v>
      </c>
      <c r="BV2" s="61" t="s">
        <v>167</v>
      </c>
      <c r="BW2" s="61" t="s">
        <v>170</v>
      </c>
      <c r="BX2" s="59"/>
      <c r="CB2" s="5" t="s">
        <v>309</v>
      </c>
      <c r="CC2" s="5"/>
      <c r="CD2" s="62">
        <v>0</v>
      </c>
      <c r="CE2" s="62">
        <v>0</v>
      </c>
      <c r="CF2" s="62" t="e">
        <v>#REF!</v>
      </c>
      <c r="CG2" s="75" cm="1">
        <f t="array" ref="CG2">SUMPRODUCT(--(LEN(TRIM(BL2:BT2))&gt;0))</f>
        <v>7</v>
      </c>
      <c r="CH2" s="53" t="str">
        <f>IF(CG2=2,"y","n")</f>
        <v>n</v>
      </c>
      <c r="CI2" s="53" t="str">
        <f>IF(CG2=3,"y","n")</f>
        <v>n</v>
      </c>
      <c r="CJ2" s="53" t="str">
        <f>IF(CG2=4,"y","n")</f>
        <v>n</v>
      </c>
      <c r="CK2" s="53" t="str">
        <f>IF(CG2&gt;4,"y","n")</f>
        <v>y</v>
      </c>
      <c r="CL2" s="53" t="str">
        <f>IF(S2=0,"y","n")</f>
        <v>y</v>
      </c>
      <c r="CM2" s="53" t="str">
        <f>IF(S2=2,"y","n")</f>
        <v>n</v>
      </c>
      <c r="CN2" s="53" t="str">
        <f>IF(S2=3,"y","n")</f>
        <v>n</v>
      </c>
      <c r="CO2" s="53" t="str">
        <f>IF(S2&gt;=4,"y","n")</f>
        <v>n</v>
      </c>
      <c r="CP2" s="53" t="str">
        <f>IF(AT2=0,"y","n")</f>
        <v>y</v>
      </c>
      <c r="CQ2" s="53" t="str">
        <f>IF(AT2=1,"y","n")</f>
        <v>n</v>
      </c>
      <c r="CR2" s="53" t="str">
        <f>IF(AT2=2,"y","n")</f>
        <v>n</v>
      </c>
      <c r="CS2" s="53" t="str">
        <f>IF(AT2&gt;=3,"y","n")</f>
        <v>n</v>
      </c>
      <c r="CT2" s="38" t="str">
        <f>CHAR(34)&amp;A2&amp;CHAR(34)</f>
        <v>"Pitcairn Islands"</v>
      </c>
      <c r="CU2" s="63" t="str">
        <f>CHAR(34)&amp;"rgn_"&amp;R2&amp;CHAR(34)</f>
        <v>"rgn_Oceania"</v>
      </c>
      <c r="CV2" s="44" t="str">
        <f>CHAR(34)&amp;D2&amp;CHAR(34)</f>
        <v>"https://upload.wikimedia.org/wikipedia/commons/thumb/8/88/Flag_of_the_Pitcairn_Islands.svg/383px-Flag_of_the_Pitcairn_Islands.svg.png"</v>
      </c>
      <c r="CW2" s="44" t="str">
        <f t="shared" ref="CW2:CZ3" si="0">IF(CH2="y",CHAR(34)&amp;CH$1&amp;CHAR(34)&amp;",","")</f>
        <v/>
      </c>
      <c r="CX2" s="44" t="str">
        <f t="shared" si="0"/>
        <v/>
      </c>
      <c r="CY2" s="44" t="str">
        <f t="shared" si="0"/>
        <v/>
      </c>
      <c r="CZ2" s="44" t="str">
        <f t="shared" si="0"/>
        <v>"5+Colo",</v>
      </c>
      <c r="DA2" s="44" t="str">
        <f>IF(Q2&gt;1,CHAR(34)&amp;"words2"&amp;CHAR(34)&amp;",","")</f>
        <v>"words2",</v>
      </c>
      <c r="DB2" s="44" t="str">
        <f>IF(Q2&gt;2,CHAR(34)&amp;"words3"&amp;CHAR(34)&amp;",","")</f>
        <v/>
      </c>
      <c r="DC2" s="44" t="str">
        <f>IF(Q2=2,CHAR(34)&amp;"exact2"&amp;CHAR(34)&amp;",","")</f>
        <v>"exact2",</v>
      </c>
      <c r="DD2" s="44"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"lets15",</v>
      </c>
      <c r="DE2" s="44"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"startP",</v>
      </c>
      <c r="DF2" s="44" t="str">
        <f>IFERROR(IF(SEARCH("tan",A2)&gt;0,CHAR(34)&amp;"withtn"&amp;CHAR(34)&amp;",",""),"")</f>
        <v/>
      </c>
      <c r="DG2" s="44" t="str">
        <f>IFERROR(IF(SEARCH("q",A2)&gt;0,CHAR(34)&amp;"with_q"&amp;CHAR(34)&amp;",",""),"")</f>
        <v/>
      </c>
      <c r="DH2" s="44" t="str">
        <f>IFERROR(IF(SEARCH("v",A2)&gt;0,CHAR(34)&amp;"with_v"&amp;CHAR(34)&amp;",",""),"")</f>
        <v/>
      </c>
      <c r="DI2" s="44" t="str">
        <f>IFERROR(IF(SEARCH("w",A2)&gt;0,CHAR(34)&amp;"with_w"&amp;CHAR(34)&amp;",",""),"")</f>
        <v/>
      </c>
      <c r="DJ2" s="44" t="str">
        <f>IFERROR(IF(SEARCH("y",A2)&gt;0,CHAR(34)&amp;"with_y"&amp;CHAR(34)&amp;",",""),"")</f>
        <v/>
      </c>
      <c r="DK2" s="44" t="str">
        <f>IFERROR(IF(SEARCH("z",A2)&gt;0,CHAR(34)&amp;"with_z"&amp;CHAR(34)&amp;",",""),"")</f>
        <v/>
      </c>
      <c r="DL2" s="44" t="str">
        <f>IF(CG2=2, CHAR(34) &amp; _xlfn.TEXTJOIN("", TRUE, _xlfn._xlws.SORT(HP2:HX2)) &amp; CHAR(34) &amp; ",", "")</f>
        <v/>
      </c>
      <c r="DM2" s="44" t="str" cm="1">
        <f t="array" ref="DM2">IF(CG2=3,CHAR(34) &amp; _xlfn.TEXTJOIN("", TRUE, RIGHT(HP2:HX2, 2)) &amp; CHAR(34) &amp; ",", "")</f>
        <v/>
      </c>
      <c r="DN2" s="44" t="str">
        <f>IF(AND(ISNUMBER(SEARCH("18", O2)), ISERROR(SEARCH("1918", O2)), ISERROR(SEARCH("2018", O2))), CHAR(34) &amp; "year18" &amp; CHAR(34) &amp; ",", "")</f>
        <v/>
      </c>
      <c r="DO2" s="44" t="str">
        <f>IF(AND(ISNUMBER(SEARCH("19", O2)), ISERROR(SEARCH("1819", O2)),  ISERROR(SEARCH("1219", O2)),ISERROR(SEARCH("1119", O2)),ISERROR(SEARCH("1190", O2)),ISERROR(SEARCH("2019", O2))), CHAR(34) &amp; "year19" &amp; CHAR(34) &amp; ",", "")</f>
        <v>"year19",</v>
      </c>
      <c r="DP2" s="5" t="str">
        <f>IF(AND(ISNUMBER(SEARCH("20", O2)), ISERROR(SEARCH("1920", O2))), CHAR(34)&amp;"year00"&amp;CHAR(34)&amp;",", "")</f>
        <v/>
      </c>
      <c r="DQ2" s="5" t="str">
        <f>IF(CC2="y",CHAR(34)&amp;"soviet"&amp;CHAR(34)&amp;",","")</f>
        <v/>
      </c>
      <c r="DR2" s="5" t="str">
        <f>IF(BY2="y",CHAR(34)&amp;"dgband"&amp;CHAR(34)&amp;",","")</f>
        <v/>
      </c>
      <c r="DS2" s="5" t="str">
        <f>IF(W2="y",IF(AND(V2="n",BY2&lt;&gt;"y"),CHAR(34)&amp;"allver"&amp;CHAR(34)&amp;",",""),"")</f>
        <v/>
      </c>
      <c r="DT2" s="5" t="str">
        <f>IF(V2="y",IF(AND(W2="n",BY2&lt;&gt;"y"),CHAR(34)&amp;"allhor"&amp;CHAR(34)&amp;",",""),"")</f>
        <v/>
      </c>
      <c r="DU2" s="5" t="str">
        <f>IF(BY2="y",IF(AND(W2="n",V2="n"),CHAR(34)&amp;"alldia"&amp;CHAR(34)&amp;",",""),"")</f>
        <v/>
      </c>
      <c r="DV2" s="44" t="str">
        <f>IF(IA2&lt;&gt;"",(IF(IA2="y",CHAR(34)&amp;"largec"&amp;CHAR(34)&amp;",",CHAR(34)&amp;"smallc"&amp;CHAR(34)&amp;",")),"")</f>
        <v>"smallc",</v>
      </c>
      <c r="DW2" s="44" t="str">
        <f t="shared" ref="DW2:DZ3" si="1">IF(CL2="y",CHAR(34)&amp;CL$1&amp;CHAR(34)&amp;",","")</f>
        <v>"NoBand",</v>
      </c>
      <c r="DX2" s="44" t="str">
        <f t="shared" si="1"/>
        <v/>
      </c>
      <c r="DY2" s="44" t="str">
        <f t="shared" si="1"/>
        <v/>
      </c>
      <c r="DZ2" s="44" t="str">
        <f t="shared" si="1"/>
        <v/>
      </c>
      <c r="EA2" s="44" t="str">
        <f t="shared" ref="EA2:EE3" si="2">IF(T2="y",CHAR(34)&amp;T$1&amp;CHAR(34)&amp;",","")</f>
        <v/>
      </c>
      <c r="EB2" s="44" t="str">
        <f t="shared" si="2"/>
        <v>"Crosse",</v>
      </c>
      <c r="EC2" s="44" t="str">
        <f t="shared" si="2"/>
        <v/>
      </c>
      <c r="ED2" s="44" t="str">
        <f t="shared" si="2"/>
        <v/>
      </c>
      <c r="EE2" s="44" t="str">
        <f t="shared" si="2"/>
        <v/>
      </c>
      <c r="EF2" s="44" t="str">
        <f>IF(AND(Y2&lt;&gt;"n",Y2&lt;&gt;""),CHAR(34)&amp;Y$1&amp;CHAR(34)&amp;",","")</f>
        <v/>
      </c>
      <c r="EG2" s="44" t="str">
        <f t="shared" ref="EG2:EP3" si="3">IF(Z2="y",CHAR(34)&amp;Z$1&amp;CHAR(34)&amp;",","")</f>
        <v/>
      </c>
      <c r="EH2" s="44" t="str">
        <f t="shared" si="3"/>
        <v>"Plants",</v>
      </c>
      <c r="EI2" s="44" t="str">
        <f t="shared" si="3"/>
        <v/>
      </c>
      <c r="EJ2" s="44" t="str">
        <f t="shared" si="3"/>
        <v/>
      </c>
      <c r="EK2" s="44" t="str">
        <f t="shared" si="3"/>
        <v/>
      </c>
      <c r="EL2" s="44" t="str">
        <f t="shared" si="3"/>
        <v/>
      </c>
      <c r="EM2" s="44" t="str">
        <f t="shared" si="3"/>
        <v/>
      </c>
      <c r="EN2" s="44" t="str">
        <f t="shared" si="3"/>
        <v/>
      </c>
      <c r="EO2" s="44" t="str">
        <f t="shared" si="3"/>
        <v/>
      </c>
      <c r="EP2" s="44" t="str">
        <f t="shared" si="3"/>
        <v>"Canton",</v>
      </c>
      <c r="EQ2" s="44" t="str">
        <f t="shared" ref="EQ2:EZ3" si="4">IF(AJ2="y",CHAR(34)&amp;AJ$1&amp;CHAR(34)&amp;",","")</f>
        <v/>
      </c>
      <c r="ER2" s="44" t="str">
        <f t="shared" si="4"/>
        <v/>
      </c>
      <c r="ES2" s="44" t="str">
        <f t="shared" si="4"/>
        <v>"Wavess",</v>
      </c>
      <c r="ET2" s="44" t="str">
        <f t="shared" si="4"/>
        <v/>
      </c>
      <c r="EU2" s="44" t="str">
        <f t="shared" si="4"/>
        <v/>
      </c>
      <c r="EV2" s="44" t="str">
        <f t="shared" si="4"/>
        <v/>
      </c>
      <c r="EW2" s="44" t="str">
        <f t="shared" si="4"/>
        <v/>
      </c>
      <c r="EX2" s="44" t="str">
        <f t="shared" si="4"/>
        <v/>
      </c>
      <c r="EY2" s="44" t="str">
        <f t="shared" si="4"/>
        <v/>
      </c>
      <c r="EZ2" s="44" t="str">
        <f t="shared" si="4"/>
        <v>"Waters",</v>
      </c>
      <c r="FA2" s="44" t="str">
        <f>IF(AT2&gt;0,CHAR(34)&amp;"sta"&amp;AZ2&amp;CHAR(34)&amp;",","")</f>
        <v/>
      </c>
      <c r="FB2" s="44" t="str">
        <f>IF(AND(AT2&gt;0,BA2&lt;&gt;""),CHAR(34)&amp;"sta"&amp;BA2&amp;CHAR(34)&amp;",","")</f>
        <v/>
      </c>
      <c r="FC2" s="44" t="str">
        <f>IF(AND(AT2&gt;0,BB2&lt;&gt;""),CHAR(34)&amp;"sta"&amp;BB2&amp;CHAR(34)&amp;",","")</f>
        <v/>
      </c>
      <c r="FD2" s="44" t="str">
        <f>IF(BV2="n",CHAR(34)&amp;"tcWHYE"&amp;CHAR(34)&amp;",",IF(BV2="y",CHAR(34)&amp;FD$1&amp;CHAR(34)&amp;",",""))</f>
        <v>"ntWHYE",</v>
      </c>
      <c r="FE2" s="44" t="str">
        <f>IF(COUNTIF(BL2:BT2,"BLU")=0,CHAR(34)&amp;"NO_BLU"&amp;CHAR(34)&amp;",", "")</f>
        <v/>
      </c>
      <c r="FF2" s="44" t="str">
        <f>IF(COUNTIF(BL2:BT2,"WHI")=0,CHAR(34)&amp;"NO_WHI"&amp;CHAR(34)&amp;",", "")</f>
        <v/>
      </c>
      <c r="FG2" s="44" t="str">
        <f>IF(COUNTIF(BL2:BT2,"RED")=0,CHAR(34)&amp;"NO_RED"&amp;CHAR(34)&amp;",", "")</f>
        <v/>
      </c>
      <c r="FH2" s="44" t="str">
        <f>IF(COUNTIF(BL2:BS2,"GRE")=0,CHAR(34)&amp;"NO_GRE"&amp;CHAR(34)&amp;",", "")</f>
        <v/>
      </c>
      <c r="FI2" s="44" t="str">
        <f>IF(COUNTIF(BL2:BT2,"YEL")=0,CHAR(34)&amp;"NO_YEL"&amp;CHAR(34)&amp;",", "")</f>
        <v/>
      </c>
      <c r="FJ2" s="44" t="str">
        <f>IF(COUNTIF(BL2:BT2,"BLA")=0,CHAR(34)&amp;"NO_BLA"&amp;CHAR(34)&amp;",", "")</f>
        <v/>
      </c>
      <c r="FK2" s="44" t="str">
        <f>IF(AND(FH2&lt;&gt;"",FF2&lt;&gt;""),CHAR(34)&amp;"WHGRNO"&amp;CHAR(34)&amp;",","")</f>
        <v/>
      </c>
      <c r="FL2" s="44" t="str">
        <f>IF(AND(FI2&lt;&gt;"",FF2&lt;&gt;""),CHAR(34)&amp;"WHYENO"&amp;CHAR(34)&amp;",","")</f>
        <v/>
      </c>
      <c r="FM2" s="44" t="str">
        <f>IF(AND(FJ2&lt;&gt;"",FF2&lt;&gt;""),CHAR(34)&amp;"BAWHNO"&amp;CHAR(34)&amp;",","")</f>
        <v/>
      </c>
      <c r="FN2" s="44" t="str">
        <f>IF(AND(FE2&lt;&gt;"",FF2&lt;&gt;""),CHAR(34)&amp;"BLWHNO"&amp;CHAR(34)&amp;",","")</f>
        <v/>
      </c>
      <c r="FO2" s="44" t="str">
        <f>IF(AND(FE2&lt;&gt;"",FG2&lt;&gt;""),CHAR(34)&amp;"BLRENO"&amp;CHAR(34)&amp;",","")</f>
        <v/>
      </c>
      <c r="FP2" s="44" t="str">
        <f>IF(AND(FF2&lt;&gt;"",FF2&lt;&gt;""),CHAR(34)&amp;"WHRENO"&amp;CHAR(34)&amp;",","")</f>
        <v/>
      </c>
      <c r="FQ2" s="44" t="str">
        <f>IF(LEN(BF2)=3,CHAR(34)&amp;"001"&amp;BF2&amp;CHAR(34)&amp;",","")</f>
        <v/>
      </c>
      <c r="FR2" s="44" t="str">
        <f>IF(LEN(BG2)=3,CHAR(34)&amp;"002"&amp;BG2&amp;CHAR(34)&amp;",","")</f>
        <v/>
      </c>
      <c r="FS2" s="44" t="str">
        <f>IF(LEN(BH2)=3,CHAR(34)&amp;"003"&amp;BH2&amp;CHAR(34)&amp;",","")</f>
        <v/>
      </c>
      <c r="FT2" s="44" t="str">
        <f>CHAR(34)&amp;"myr"&amp;BD2&amp;CHAR(34)&amp;","</f>
        <v>"myrBLU",</v>
      </c>
      <c r="FU2" s="44" t="str">
        <f>IF(AY2="y",CHAR(34)&amp;"island"&amp;CHAR(34)&amp;",","")</f>
        <v>"island",</v>
      </c>
      <c r="FV2" s="44" t="str">
        <f>IF(BZ2="y",CHAR(34)&amp;"landlo"&amp;CHAR(34)&amp;",","")</f>
        <v/>
      </c>
      <c r="FW2" s="44" t="str">
        <f>IF(CA2="y",CHAR(34)&amp;"eunion"&amp;CHAR(34)&amp;",","")</f>
        <v/>
      </c>
      <c r="FX2" s="44" t="str">
        <f>SUBSTITUTE(IFERROR(SEARCH("[",A2),IFERROR(IF(AND(CA2&lt;&gt;"y",SEARCH("Europe",R2)&gt;0),CHAR(34)&amp;"noeuni"&amp;CHAR(34)&amp;",",""),"")),"1","")</f>
        <v/>
      </c>
      <c r="FY2" s="44" t="str">
        <f>IFERROR(IF(SEARCH("Arabic",CB2)&gt;0,CHAR(34)&amp;"arabic"&amp;CHAR(34)&amp;",",""),"")</f>
        <v/>
      </c>
      <c r="FZ2" s="44" t="str">
        <f>IFERROR(IF(SEARCH("English",CB2)&gt;0,CHAR(34)&amp;"englis"&amp;CHAR(34)&amp;",",""),"")</f>
        <v>"englis",</v>
      </c>
      <c r="GA2" s="44" t="str">
        <f>IFERROR(IF(SEARCH("French",CB2)&gt;0,CHAR(34)&amp;"french"&amp;CHAR(34)&amp;",",""),"")</f>
        <v/>
      </c>
      <c r="GB2" s="44" t="str">
        <f>IFERROR(IF(SEARCH("Spanish",CB2)&gt;0,CHAR(34)&amp;"spanis"&amp;CHAR(34)&amp;",",""),"")</f>
        <v/>
      </c>
      <c r="GC2" s="44" t="str">
        <f>IFERROR(IF(SEARCH("Portuguese",CB2)&gt;0,CHAR(34)&amp;"portug"&amp;CHAR(34)&amp;",",""),"")</f>
        <v/>
      </c>
      <c r="GD2" s="44" t="str">
        <f>IFERROR(IF(SEARCH("German",CB2)&gt;0,CHAR(34)&amp;"german"&amp;CHAR(34)&amp;",",""),"")</f>
        <v/>
      </c>
      <c r="GE2" s="44" t="str">
        <f>IFERROR(IF(SEARCH("Dutch",CB2)&gt;0,CHAR(34)&amp;"dutchs"&amp;CHAR(34)&amp;",",""),"")</f>
        <v/>
      </c>
      <c r="GF2" s="44" t="str">
        <f>IFERROR(IF(SEARCH("Histor",AU2)&gt;0,CHAR(34)&amp;"histor"&amp;CHAR(34)&amp;",",""),"")</f>
        <v/>
      </c>
      <c r="GG2" s="44" t="str">
        <f>IF(BU2="y",CHAR(34)&amp;"unjack"&amp;CHAR(34)&amp;",","")</f>
        <v>"unjack",</v>
      </c>
      <c r="GH2" s="44" t="str">
        <f>IF(CD2=1,CHAR(34)&amp;"southc"&amp;CHAR(34)&amp;",","")</f>
        <v/>
      </c>
      <c r="GI2" s="44" t="str">
        <f>IF(CE2=1,CHAR(34)&amp;"hasmap"&amp;CHAR(34)&amp;",","")</f>
        <v/>
      </c>
      <c r="GJ2" s="44" t="str">
        <f>IF(CP2="y",CHAR(34)&amp;CP$1&amp;CHAR(34)&amp;",","")</f>
        <v>"NoStar",</v>
      </c>
      <c r="GK2" s="44" t="str">
        <f>IF(GJ2="",CHAR(34)&amp;"HasSta"&amp;CHAR(34)&amp;",","")</f>
        <v/>
      </c>
      <c r="GL2" s="44" t="str">
        <f t="shared" ref="GL2:GN3" si="5">IF(CQ2="y",CHAR(34)&amp;CQ$1&amp;CHAR(34)&amp;",","")</f>
        <v/>
      </c>
      <c r="GM2" s="44" t="str">
        <f t="shared" si="5"/>
        <v/>
      </c>
      <c r="GN2" s="44" t="str">
        <f t="shared" si="5"/>
        <v/>
      </c>
      <c r="GP2" s="44" t="str">
        <f>CHAR(34)&amp;AU2&amp;CHAR(34)</f>
        <v>""</v>
      </c>
      <c r="GS2" s="44" t="str">
        <f>SUBSTITUTE("["&amp;_xlfn.CONCAT(CW2:GN2)&amp;"]",",]","]")</f>
        <v>["5+Colo","words2","exact2","lets15","startP","year19","smallc","NoBand","Crosse","Plants","Canton","Wavess","Waters","ntWHYE","myrBLU","island","englis","unjack","NoStar"]</v>
      </c>
      <c r="GT2" s="44" t="str">
        <f t="shared" ref="GT2:HB3" si="6">IF(BL2&lt;&gt;"",CHAR(34)&amp;"cl_"&amp;BL2&amp;CHAR(34)&amp;",","")</f>
        <v>"cl_BLU",</v>
      </c>
      <c r="GU2" s="44" t="str">
        <f t="shared" si="6"/>
        <v>"cl_RED",</v>
      </c>
      <c r="GV2" s="44" t="str">
        <f t="shared" si="6"/>
        <v>"cl_WHI",</v>
      </c>
      <c r="GW2" s="44" t="str">
        <f t="shared" si="6"/>
        <v>"cl_GRE",</v>
      </c>
      <c r="GX2" s="44" t="str">
        <f t="shared" si="6"/>
        <v>"cl_YEL",</v>
      </c>
      <c r="GY2" s="44" t="str">
        <f t="shared" si="6"/>
        <v>"cl_GRA",</v>
      </c>
      <c r="GZ2" s="44" t="str">
        <f t="shared" si="6"/>
        <v>"cl_BLA",</v>
      </c>
      <c r="HA2" s="44" t="str">
        <f t="shared" si="6"/>
        <v/>
      </c>
      <c r="HB2" s="44" t="str">
        <f t="shared" si="6"/>
        <v/>
      </c>
      <c r="HC2" s="44" t="str">
        <f>SUBSTITUTE("["&amp;_xlfn.CONCAT(GT2:HB2)&amp;"]",",]","]")</f>
        <v>["cl_BLU","cl_RED","cl_WHI","cl_GRE","cl_YEL","cl_GRA","cl_BLA"]</v>
      </c>
      <c r="HE2" s="64"/>
      <c r="HF2" s="65" t="str">
        <f>"{couname:"&amp;CT2&amp;(IF(HK2&lt;&gt;"",",subtype:"&amp;CHAR(34)&amp;HK2&amp;CHAR(34),""))&amp;",year:"&amp;HJ2&amp;",region:"&amp;CU2&amp;",Colors:"&amp;HC2&amp;",Items:"&amp;GS2&amp;",Flag:"&amp;CV2&amp;",HDFlag:"&amp;CHAR(34)&amp;E2&amp;CHAR(34)&amp;",type:"&amp;GP2&amp;", describe: "&amp;HH2&amp;", isnew:"&amp;CHAR(34)&amp;F2&amp;CHAR(34)&amp;", links: "&amp;HL2&amp;"},"</f>
        <v>{couname:"Pitcairn Islands",year:"1984 ",region:"rgn_Oceania",Colors:["cl_BLU","cl_RED","cl_WHI","cl_GRE","cl_YEL","cl_GRA","cl_BLA"],Items:["5+Colo","words2","exact2","lets15","startP","year19","smallc","NoBand","Crosse","Plants","Canton","Wavess","Waters","ntWHYE","myrBLU","island","englis","unjack","NoStar"],Flag:"https://upload.wikimedia.org/wikipedia/commons/thumb/8/88/Flag_of_the_Pitcairn_Islands.svg/383px-Flag_of_the_Pitcairn_Islands.svg.png",HDFlag:"https://upload.wikimedia.org/wikipedia/commons/thumb/8/88/Flag_of_the_Pitcairn_Islands.svg/2560px-Flag_of_the_Pitcairn_Islands.svg.png",type:"", describe: "\nThe coat of arms features several symbols relevant to the ancestral history and culture of the Pitcairn Islanders, most of whom are descended from the sailors who mutinied on HMS Bounty in 1789: the blue, yellow and green of the shield symbolise the island of Pitcairn rising from the Pacific Ocean, while the anchor and Bible are symbols of the Bounty. Additionally, the Bible symbolises Christianity, which the mutineers brought to the island. The shield is surrounded by a green and gold wreath, and crested by a helmet bearing a wheelbarrow and a slip of miro, a local tree, which represent the role agriculture played in helping the mutineers survive on the island. The slip of miro also represents the wood used by Pitcairn Islanders for crafting souvenirs.", isnew:".", links: "https://en.wikipedia.org/wiki/Flag_and_coat_of_arms_of_the_Pitcairn_Islands"},</v>
      </c>
      <c r="HG2" s="66" t="str">
        <f>"{couname:"&amp;CT2&amp;(IF(HK2&lt;&gt;"",",subtype:"&amp;CHAR(34)&amp;HK2&amp;CHAR(34),""))&amp;",year:"&amp;HJ2&amp;",region:"&amp;CU2&amp;",Colors:"&amp;HC2&amp;",Items:"&amp;GS2&amp;",Flag:"&amp;CV2&amp;",HDFlag:"&amp;CHAR(34)&amp;E2&amp;CHAR(34)&amp;",type:"&amp;GP2&amp;", describe: "&amp;HI2&amp;", links: "&amp;HL2&amp;"},"</f>
        <v>{couname:"Pitcairn Islands",year:"1984 ",region:"rgn_Oceania",Colors:["cl_BLU","cl_RED","cl_WHI","cl_GRE","cl_YEL","cl_GRA","cl_BLA"],Items:["5+Colo","words2","exact2","lets15","startP","year19","smallc","NoBand","Crosse","Plants","Canton","Wavess","Waters","ntWHYE","myrBLU","island","englis","unjack","NoStar"],Flag:"https://upload.wikimedia.org/wikipedia/commons/thumb/8/88/Flag_of_the_Pitcairn_Islands.svg/383px-Flag_of_the_Pitcairn_Islands.svg.png",HDFlag:"https://upload.wikimedia.org/wikipedia/commons/thumb/8/88/Flag_of_the_Pitcairn_Islands.svg/2560px-Flag_of_the_Pitcairn_Islands.svg.png",type:"", describe: "\nThe coat of arms features several symbols relevant to the ancestral history and culture of the Pitcairn Islanders, most of whom are descended from the sailors who mutinied on HMS Bounty in 1789: the blue, yellow and green of the shield symbolise the island of Pitcairn rising from the Pacific Ocean, while the anchor and Bible are symbols of the Bounty. Additionally, the Bible symbolises Christianity, which the mutineers brought to the island. The shield is surrounded by a green and gold wreath, and crested by a helmet bearing a wheelbarrow and a slip of miro, a local tree, which represent the role agriculture played in helping the mutineers survive on the island. The slip of miro also represents the wood used by Pitcairn Islanders for crafting souvenirs.", links: "https://en.wikipedia.org/wiki/Flag_and_coat_of_arms_of_the_Pitcairn_Islands"},</v>
      </c>
      <c r="HH2" s="44" t="str">
        <f>IF(P2&lt;&gt;"",CHAR(34)&amp;"\n"&amp;P2&amp;CHAR(34),CHAR(34)&amp;CHAR(34))</f>
        <v>"\nThe coat of arms features several symbols relevant to the ancestral history and culture of the Pitcairn Islanders, most of whom are descended from the sailors who mutinied on HMS Bounty in 1789: the blue, yellow and green of the shield symbolise the island of Pitcairn rising from the Pacific Ocean, while the anchor and Bible are symbols of the Bounty. Additionally, the Bible symbolises Christianity, which the mutineers brought to the island. The shield is surrounded by a green and gold wreath, and crested by a helmet bearing a wheelbarrow and a slip of miro, a local tree, which represent the role agriculture played in helping the mutineers survive on the island. The slip of miro also represents the wood used by Pitcairn Islanders for crafting souvenirs."</v>
      </c>
      <c r="HI2" s="44" t="str">
        <f>IF(J2=0,CHAR(34)&amp;CHAR(34),HH2)</f>
        <v>"\nThe coat of arms features several symbols relevant to the ancestral history and culture of the Pitcairn Islanders, most of whom are descended from the sailors who mutinied on HMS Bounty in 1789: the blue, yellow and green of the shield symbolise the island of Pitcairn rising from the Pacific Ocean, while the anchor and Bible are symbols of the Bounty. Additionally, the Bible symbolises Christianity, which the mutineers brought to the island. The shield is surrounded by a green and gold wreath, and crested by a helmet bearing a wheelbarrow and a slip of miro, a local tree, which represent the role agriculture played in helping the mutineers survive on the island. The slip of miro also represents the wood used by Pitcairn Islanders for crafting souvenirs."</v>
      </c>
      <c r="HJ2" s="44" t="str">
        <f>CHAR(34)&amp;O2&amp;CHAR(34)</f>
        <v>"1984 "</v>
      </c>
      <c r="HL2" s="44" t="str">
        <f>CHAR(34)&amp;I2&amp;CHAR(34)</f>
        <v>"https://en.wikipedia.org/wiki/Flag_and_coat_of_arms_of_the_Pitcairn_Islands"</v>
      </c>
      <c r="HM2" s="65"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{"couname":"Pitcairn Islands","year":"1984 ","region":"rgn_Oceania","Colors":["cl_BLU","cl_RED","cl_WHI","cl_GRE","cl_YEL","cl_GRA","cl_BLA"],"Items":["5+Colo","words2","exact2","lets15","startP","year19","smallc","NoBand","Crosse","Plants","Canton","Wavess","Waters","ntWHYE","myrBLU","island","englis","unjack","NoStar"],"Flag":"https://upload.wikimedia.org/wikipedia/commons/thumb/8/88/Flag_of_the_Pitcairn_Islands.svg/383px-Flag_of_the_Pitcairn_Islands.svg.png","HDFlag":"https://upload.wikimedia.org/wikipedia/commons/thumb/8/88/Flag_of_the_Pitcairn_Islands.svg/2560px-Flag_of_the_Pitcairn_Islands.svg.png","type":"", "describe": "\nThe coat of arms features several symbols relevant to the ancestral history and culture of the Pitcairn Islanders, most of whom are descended from the sailors who mutinied on HMS Bounty in 1789: the blue, yellow and green of the shield symbolise the island of Pitcairn rising from the Pacific Ocean, while the anchor and Bible are symbols of the Bounty. Additionally, the Bible symbolises Christianity, which the mutineers brought to the island. The shield is surrounded by a green and gold wreath, and crested by a helmet bearing a wheelbarrow and a slip of miro, a local tree, which represent the role agriculture played in helping the mutineers survive on the island. The slip of miro also represents the wood used by Pitcairn Islanders for crafting souvenirs.", "isnew": ".", "links": "https://en.wikipedia.org/wiki/Flag_and_coat_of_arms_of_the_Pitcairn_Islands"},</v>
      </c>
      <c r="HN2" s="67"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{"couname":"Pitcairn Islands","year":"1984 ","region":"rgn_Oceania","Colors":["cl_BLU","cl_RED","cl_WHI","cl_GRE","cl_YEL","cl_GRA","cl_BLA"],"Items":["5+Colo","words2","exact2","lets15","startP","year19","smallc","NoBand","Crosse","Plants","Canton","Wavess","Waters","ntWHYE","myrBLU","island","englis","unjack","NoStar"],"Flag":"https://upload.wikimedia.org/wikipedia/commons/thumb/8/88/Flag_of_the_Pitcairn_Islands.svg/383px-Flag_of_the_Pitcairn_Islands.svg.png","HDFlag":"https://upload.wikimedia.org/wikipedia/commons/thumb/8/88/Flag_of_the_Pitcairn_Islands.svg/2560px-Flag_of_the_Pitcairn_Islands.svg.png","type":"", "describe": "\nThe coat of arms features several symbols relevant to the ancestral history and culture of the Pitcairn Islanders, most of whom are descended from the sailors who mutinied on HMS Bounty in 1789: the blue, yellow and green of the shield symbolise the island of Pitcairn rising from the Pacific Ocean, while the anchor and Bible are symbols of the Bounty. Additionally, the Bible symbolises Christianity, which the mutineers brought to the island. The shield is surrounded by a green and gold wreath, and crested by a helmet bearing a wheelbarrow and a slip of miro, a local tree, which represent the role agriculture played in helping the mutineers survive on the island. The slip of miro also represents the wood used by Pitcairn Islanders for crafting souvenirs.", "isnew": ".", "links": "https://en.wikipedia.org/wiki/Flag_and_coat_of_arms_of_the_Pitcairn_Islands"},</v>
      </c>
      <c r="HO2" s="71"/>
      <c r="HP2" s="44" t="str" cm="1">
        <f t="array" ref="HP2">IF(_xlfn.TEXTJOIN(", ", TRUE, IF(ISNUMBER(SEARCH("BLA", BL2:BT2)), COLUMN(BL2:BT2) - COLUMN(BL2) + 1, ""))&lt;&gt;"","BLA","")</f>
        <v>BLA</v>
      </c>
      <c r="HQ2" s="44" t="str" cm="1">
        <f t="array" ref="HQ2">IF(_xlfn.TEXTJOIN(", ", TRUE, IF(ISNUMBER(SEARCH("BLU", BL2:BT2)), COLUMN(BL2:BT2) - COLUMN(BL2) + 1, ""))&lt;&gt;"","BLU","")</f>
        <v>BLU</v>
      </c>
      <c r="HR2" s="44" t="str" cm="1">
        <f t="array" ref="HR2">IF(_xlfn.TEXTJOIN(", ", TRUE, IF(ISNUMBER(SEARCH("GRE", BL2:BT2)), COLUMN(BL2:BT2) - COLUMN(BL2) + 1, ""))&lt;&gt;"","GRE","")</f>
        <v>GRE</v>
      </c>
      <c r="HS2" s="44" t="str" cm="1">
        <f t="array" ref="HS2">IF(_xlfn.TEXTJOIN(", ", TRUE, IF(ISNUMBER(SEARCH("RED", BL2:BT2)), COLUMN(BL2:BT2) - COLUMN(BL2) + 1, ""))&lt;&gt;"","RED","")</f>
        <v>RED</v>
      </c>
      <c r="HT2" s="44" t="str" cm="1">
        <f t="array" ref="HT2">IF(_xlfn.TEXTJOIN(", ", TRUE, IF(ISNUMBER(SEARCH("YEL", BL2:BT2)), COLUMN(BL2:BT2) - COLUMN(BL2) + 1, ""))&lt;&gt;"","YEL","")</f>
        <v>YEL</v>
      </c>
      <c r="HU2" s="44" t="str" cm="1">
        <f t="array" ref="HU2">IF(_xlfn.TEXTJOIN(", ", TRUE, IF(ISNUMBER(SEARCH("ORA", BL2:BT2)), COLUMN(BL2:BT2) - COLUMN(BL2) + 1, ""))&lt;&gt;"","ORA","")</f>
        <v/>
      </c>
      <c r="HV2" s="44" t="str" cm="1">
        <f t="array" ref="HV2">IF(_xlfn.TEXTJOIN(", ", TRUE, IF(ISNUMBER(SEARCH("BRO", BL2:BT2)), COLUMN(BL2:BT2) - COLUMN(BL2) + 1, ""))&lt;&gt;"","BRO","")</f>
        <v/>
      </c>
      <c r="HW2" s="44" t="str" cm="1">
        <f t="array" ref="HW2">IF(_xlfn.TEXTJOIN(", ", TRUE, IF(ISNUMBER(SEARCH("PUR", BL2:BT2)), COLUMN(BL2:BT2) - COLUMN(BL2) + 1, ""))&lt;&gt;"","PUR","")</f>
        <v/>
      </c>
      <c r="HX2" s="44" t="str" cm="1">
        <f t="array" ref="HX2">IF(_xlfn.TEXTJOIN(", ", TRUE, IF(ISNUMBER(SEARCH("WHI", BL2:BT2)), COLUMN(BL2:BT2) - COLUMN(BL2) + 1, ""))&lt;&gt;"","WHI","")</f>
        <v>WHI</v>
      </c>
      <c r="HY2" s="72"/>
      <c r="HZ2" s="72"/>
      <c r="IA2" s="5" t="s">
        <v>166</v>
      </c>
      <c r="IB2" s="5"/>
      <c r="IC2" s="68"/>
      <c r="ID2" s="68"/>
      <c r="IE2" s="68"/>
      <c r="IF2" s="68"/>
      <c r="IG2" s="68"/>
      <c r="IH2" s="68"/>
      <c r="II2" s="68"/>
      <c r="IJ2" s="68"/>
      <c r="IK2" s="68"/>
      <c r="IL2" s="44">
        <f>SUM(IC2:IK2)</f>
        <v>0</v>
      </c>
      <c r="IM2" s="42">
        <f>COUNTIF(IC2:IK2,"&gt;0")-CG2</f>
        <v>-7</v>
      </c>
      <c r="IN2" s="69" t="str">
        <f>"http://mkweb.bcgsc.ca/color-summarizer/?url="&amp;D2&amp;"&amp;precision=low&amp;num_clusters="&amp;CG2&amp;"&amp;text=1"</f>
        <v>http://mkweb.bcgsc.ca/color-summarizer/?url=https://upload.wikimedia.org/wikipedia/commons/thumb/8/88/Flag_of_the_Pitcairn_Islands.svg/383px-Flag_of_the_Pitcairn_Islands.svg.png&amp;precision=low&amp;num_clusters=7&amp;text=1</v>
      </c>
      <c r="IO2" s="44" t="str">
        <f>IF(HP2&lt;&gt;"",CHAR(34)&amp;"black"&amp;CHAR(34),"")</f>
        <v>"black"</v>
      </c>
      <c r="IP2" s="44" t="str">
        <f>IF(HQ2&lt;&gt;"",CHAR(34)&amp;"blue"&amp;CHAR(34),"")</f>
        <v>"blue"</v>
      </c>
      <c r="IQ2" s="44" t="str">
        <f>IF(HR2&lt;&gt;"",CHAR(34)&amp;"green"&amp;CHAR(34),"")</f>
        <v>"green"</v>
      </c>
      <c r="IR2" s="44" t="str">
        <f>IF(HS2&lt;&gt;"",CHAR(34)&amp;"red"&amp;CHAR(34),"")</f>
        <v>"red"</v>
      </c>
      <c r="IS2" s="44" t="str">
        <f>IF(HT2&lt;&gt;"",CHAR(34)&amp;"yellow"&amp;CHAR(34),"")</f>
        <v>"yellow"</v>
      </c>
      <c r="IT2" s="44" t="str">
        <f>IF(HU2&lt;&gt;"",CHAR(34)&amp;"orange"&amp;CHAR(34),"")</f>
        <v/>
      </c>
      <c r="IU2" s="44" t="str">
        <f>IF(HV2&lt;&gt;"",CHAR(34)&amp;"brown"&amp;CHAR(34),"")</f>
        <v/>
      </c>
      <c r="IV2" s="44" t="str">
        <f>IF(HW2&lt;&gt;"",CHAR(34)&amp;"purple"&amp;CHAR(34),"")</f>
        <v/>
      </c>
      <c r="IW2" s="44" t="str">
        <f>IF(HX2&lt;&gt;"",CHAR(34)&amp;"white"&amp;CHAR(34),"")</f>
        <v>"white"</v>
      </c>
      <c r="IX2" s="44" t="str">
        <f>"{"&amp;CHAR(34)&amp;"url"&amp;CHAR(34)&amp;":"&amp;CHAR(34)&amp;IN2&amp;CHAR(34)&amp;","&amp;CHAR(34)&amp;"name"&amp;CHAR(34)&amp;":"&amp;CHAR(34)&amp;A2&amp;CHAR(34)&amp;"},"</f>
        <v>{"url":"http://mkweb.bcgsc.ca/color-summarizer/?url=https://upload.wikimedia.org/wikipedia/commons/thumb/8/88/Flag_of_the_Pitcairn_Islands.svg/383px-Flag_of_the_Pitcairn_Islands.svg.png&amp;precision=low&amp;num_clusters=7&amp;text=1","name":"Pitcairn Islands"},</v>
      </c>
      <c r="IY2" s="44">
        <v>173</v>
      </c>
    </row>
    <row r="3" spans="1:259" s="44" customFormat="1" ht="38.4" customHeight="1" thickBot="1" x14ac:dyDescent="0.35">
      <c r="A3" s="80" t="s">
        <v>772</v>
      </c>
      <c r="B3" s="78" t="e" vm="95">
        <v>#VALUE!</v>
      </c>
      <c r="C3" s="39">
        <v>2</v>
      </c>
      <c r="D3" s="70" t="s">
        <v>773</v>
      </c>
      <c r="E3" s="40" t="s">
        <v>773</v>
      </c>
      <c r="F3" s="41" t="s">
        <v>647</v>
      </c>
      <c r="G3" s="42">
        <f>COUNTIF($A$1:$A$8229,A3)</f>
        <v>1</v>
      </c>
      <c r="H3" s="43"/>
      <c r="I3" s="59" t="s">
        <v>774</v>
      </c>
      <c r="J3" s="44" t="str">
        <f>""</f>
        <v/>
      </c>
      <c r="K3" s="45"/>
      <c r="L3" s="46"/>
      <c r="M3" s="46"/>
      <c r="N3" s="47" t="s">
        <v>177</v>
      </c>
      <c r="O3" s="74" t="s">
        <v>230</v>
      </c>
      <c r="P3" s="48" t="s">
        <v>646</v>
      </c>
      <c r="Q3" s="73">
        <v>2</v>
      </c>
      <c r="R3" s="49" t="s">
        <v>177</v>
      </c>
      <c r="S3" s="50">
        <v>0</v>
      </c>
      <c r="T3" s="51" t="s">
        <v>166</v>
      </c>
      <c r="U3" s="52" t="s">
        <v>166</v>
      </c>
      <c r="V3" s="52" t="s">
        <v>167</v>
      </c>
      <c r="W3" s="52" t="s">
        <v>166</v>
      </c>
      <c r="X3" s="52" t="s">
        <v>166</v>
      </c>
      <c r="Y3" s="52" t="s">
        <v>166</v>
      </c>
      <c r="Z3" s="52" t="s">
        <v>166</v>
      </c>
      <c r="AA3" s="52" t="s">
        <v>166</v>
      </c>
      <c r="AB3" s="52" t="s">
        <v>166</v>
      </c>
      <c r="AC3" s="52" t="s">
        <v>166</v>
      </c>
      <c r="AD3" s="52" t="s">
        <v>166</v>
      </c>
      <c r="AE3" s="52" t="s">
        <v>166</v>
      </c>
      <c r="AF3" s="53" t="s">
        <v>166</v>
      </c>
      <c r="AG3" s="53" t="s">
        <v>166</v>
      </c>
      <c r="AH3" s="53" t="s">
        <v>166</v>
      </c>
      <c r="AI3" s="53" t="s">
        <v>166</v>
      </c>
      <c r="AJ3" s="53" t="s">
        <v>166</v>
      </c>
      <c r="AK3" s="53" t="s">
        <v>166</v>
      </c>
      <c r="AL3" s="53" t="s">
        <v>166</v>
      </c>
      <c r="AM3" s="53" t="s">
        <v>166</v>
      </c>
      <c r="AN3" s="53" t="s">
        <v>166</v>
      </c>
      <c r="AO3" s="53" t="s">
        <v>166</v>
      </c>
      <c r="AP3" s="53" t="s">
        <v>166</v>
      </c>
      <c r="AQ3" s="53" t="s">
        <v>166</v>
      </c>
      <c r="AR3" s="53" t="s">
        <v>166</v>
      </c>
      <c r="AS3" s="53" t="s">
        <v>166</v>
      </c>
      <c r="AT3" s="54">
        <v>1</v>
      </c>
      <c r="AU3" s="53" t="s">
        <v>44</v>
      </c>
      <c r="AV3" s="53" t="str">
        <f>IF(LEFT(A3,1)="[",LEFT(A3,5)&amp;AU3&amp;A3,"")</f>
        <v>[PCN]Island[PCN] Ducie Island</v>
      </c>
      <c r="AW3" s="53" t="str">
        <f>C3&amp;H3&amp;A3</f>
        <v>2[PCN] Ducie Island</v>
      </c>
      <c r="AX3" s="55"/>
      <c r="AY3" s="55"/>
      <c r="AZ3" s="56" t="s">
        <v>157</v>
      </c>
      <c r="BA3" s="56"/>
      <c r="BB3" s="56"/>
      <c r="BC3" s="57"/>
      <c r="BD3" s="58" t="s">
        <v>154</v>
      </c>
      <c r="BE3" s="59"/>
      <c r="BF3" s="58"/>
      <c r="BG3" s="58"/>
      <c r="BH3" s="58"/>
      <c r="BI3" s="58"/>
      <c r="BJ3" s="58"/>
      <c r="BK3" s="59"/>
      <c r="BL3" s="58" t="s">
        <v>154</v>
      </c>
      <c r="BM3" s="58" t="s">
        <v>156</v>
      </c>
      <c r="BN3" s="58" t="s">
        <v>161</v>
      </c>
      <c r="BO3" s="58" t="s">
        <v>157</v>
      </c>
      <c r="BP3" s="58"/>
      <c r="BQ3" s="58"/>
      <c r="BR3" s="58"/>
      <c r="BS3" s="58"/>
      <c r="BT3" s="58"/>
      <c r="BU3" s="60"/>
      <c r="BV3" s="61"/>
      <c r="BW3" s="61">
        <v>0</v>
      </c>
      <c r="BX3" s="59"/>
      <c r="CB3" s="5"/>
      <c r="CC3" s="5"/>
      <c r="CD3" s="62">
        <v>0</v>
      </c>
      <c r="CE3" s="62">
        <v>0</v>
      </c>
      <c r="CF3" s="62" t="e">
        <v>#REF!</v>
      </c>
      <c r="CG3" s="75" cm="1">
        <f t="array" ref="CG3">SUMPRODUCT(--(LEN(TRIM(BL3:BT3))&gt;0))</f>
        <v>4</v>
      </c>
      <c r="CH3" s="53" t="str">
        <f>IF(CG3=2,"y","n")</f>
        <v>n</v>
      </c>
      <c r="CI3" s="53" t="str">
        <f>IF(CG3=3,"y","n")</f>
        <v>n</v>
      </c>
      <c r="CJ3" s="53" t="str">
        <f>IF(CG3=4,"y","n")</f>
        <v>y</v>
      </c>
      <c r="CK3" s="53" t="str">
        <f>IF(CG3&gt;4,"y","n")</f>
        <v>n</v>
      </c>
      <c r="CL3" s="53" t="str">
        <f>IF(S3=0,"y","n")</f>
        <v>y</v>
      </c>
      <c r="CM3" s="53" t="str">
        <f>IF(S3=2,"y","n")</f>
        <v>n</v>
      </c>
      <c r="CN3" s="53" t="str">
        <f>IF(S3=3,"y","n")</f>
        <v>n</v>
      </c>
      <c r="CO3" s="53" t="str">
        <f>IF(S3&gt;=4,"y","n")</f>
        <v>n</v>
      </c>
      <c r="CP3" s="53" t="str">
        <f>IF(AT3=0,"y","n")</f>
        <v>n</v>
      </c>
      <c r="CQ3" s="53" t="str">
        <f>IF(AT3=1,"y","n")</f>
        <v>y</v>
      </c>
      <c r="CR3" s="53" t="str">
        <f>IF(AT3=2,"y","n")</f>
        <v>n</v>
      </c>
      <c r="CS3" s="53" t="str">
        <f>IF(AT3&gt;=3,"y","n")</f>
        <v>n</v>
      </c>
      <c r="CT3" s="38" t="str">
        <f>CHAR(34)&amp;A3&amp;CHAR(34)</f>
        <v>"[PCN] Ducie Island"</v>
      </c>
      <c r="CU3" s="63" t="str">
        <f>CHAR(34)&amp;"rgn_"&amp;R3&amp;CHAR(34)</f>
        <v>"rgn_Oceania"</v>
      </c>
      <c r="CV3" s="44" t="str">
        <f>CHAR(34)&amp;D3&amp;CHAR(34)</f>
        <v>"https://i.ibb.co/MSJbjXV/Ducie-Island.png"</v>
      </c>
      <c r="CW3" s="44" t="str">
        <f t="shared" si="0"/>
        <v/>
      </c>
      <c r="CX3" s="44" t="str">
        <f t="shared" si="0"/>
        <v/>
      </c>
      <c r="CY3" s="44" t="str">
        <f t="shared" si="0"/>
        <v>"4Color",</v>
      </c>
      <c r="CZ3" s="44" t="str">
        <f t="shared" si="0"/>
        <v/>
      </c>
      <c r="DA3" s="44" t="str">
        <f>IF(Q3&gt;1,CHAR(34)&amp;"words2"&amp;CHAR(34)&amp;",","")</f>
        <v>"words2",</v>
      </c>
      <c r="DB3" s="44" t="str">
        <f>IF(Q3&gt;2,CHAR(34)&amp;"words3"&amp;CHAR(34)&amp;",","")</f>
        <v/>
      </c>
      <c r="DD3" s="44"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"lets11",</v>
      </c>
      <c r="DE3" s="44" t="str">
        <f>CHAR(34)&amp;"start"&amp;IFERROR(LEFT(SUBSTITUTE(A3,"["&amp;MID(A3,FIND("[",A3)+1,FIND("]",A3)-FIND("[",A3)-1)&amp;"] ",""),1),LEFT(A3,1))&amp;CHAR(34)&amp;","</f>
        <v>"startD",</v>
      </c>
      <c r="DF3" s="44" t="str">
        <f>IFERROR(IF(SEARCH("tan",A3)&gt;0,CHAR(34)&amp;"withtn"&amp;CHAR(34)&amp;",",""),"")</f>
        <v/>
      </c>
      <c r="DG3" s="44" t="str">
        <f>IFERROR(IF(SEARCH("q",A3)&gt;0,CHAR(34)&amp;"with_q"&amp;CHAR(34)&amp;",",""),"")</f>
        <v/>
      </c>
      <c r="DH3" s="44" t="str">
        <f>IFERROR(IF(SEARCH("v",A3)&gt;0,CHAR(34)&amp;"with_v"&amp;CHAR(34)&amp;",",""),"")</f>
        <v/>
      </c>
      <c r="DI3" s="44" t="str">
        <f>IFERROR(IF(SEARCH("w",A3)&gt;0,CHAR(34)&amp;"with_w"&amp;CHAR(34)&amp;",",""),"")</f>
        <v/>
      </c>
      <c r="DJ3" s="44" t="str">
        <f>IFERROR(IF(SEARCH("y",A3)&gt;0,CHAR(34)&amp;"with_y"&amp;CHAR(34)&amp;",",""),"")</f>
        <v/>
      </c>
      <c r="DK3" s="44" t="str">
        <f>IFERROR(IF(SEARCH("z",A3)&gt;0,CHAR(34)&amp;"with_z"&amp;CHAR(34)&amp;",",""),"")</f>
        <v/>
      </c>
      <c r="DL3" s="44" t="str">
        <f>IF(CG3=2, CHAR(34) &amp; _xlfn.TEXTJOIN("", TRUE, _xlfn._xlws.SORT(HP3:HX3)) &amp; CHAR(34) &amp; ",", "")</f>
        <v/>
      </c>
      <c r="DM3" s="44" t="str" cm="1">
        <f t="array" ref="DM3">IF(CG3=3,CHAR(34) &amp; _xlfn.TEXTJOIN("", TRUE, RIGHT(HP3:HX3, 2)) &amp; CHAR(34) &amp; ",", "")</f>
        <v/>
      </c>
      <c r="DN3" s="44" t="str">
        <f>IF(AND(ISNUMBER(SEARCH("18", O3)), ISERROR(SEARCH("1918", O3)), ISERROR(SEARCH("2018", O3))), CHAR(34) &amp; "year18" &amp; CHAR(34) &amp; ",", "")</f>
        <v/>
      </c>
      <c r="DO3" s="44" t="str">
        <f>IF(AND(ISNUMBER(SEARCH("19", O3)), ISERROR(SEARCH("1819", O3)),  ISERROR(SEARCH("1219", O3)),ISERROR(SEARCH("1119", O3)),ISERROR(SEARCH("1190", O3)),ISERROR(SEARCH("2019", O3))), CHAR(34) &amp; "year19" &amp; CHAR(34) &amp; ",", "")</f>
        <v/>
      </c>
      <c r="DP3" s="5" t="str">
        <f>IF(AND(ISNUMBER(SEARCH("20", O3)), ISERROR(SEARCH("1920", O3))), CHAR(34)&amp;"year00"&amp;CHAR(34)&amp;",", "")</f>
        <v/>
      </c>
      <c r="DQ3" s="5" t="str">
        <f>IF(CC3="y",CHAR(34)&amp;"soviet"&amp;CHAR(34)&amp;",","")</f>
        <v/>
      </c>
      <c r="DR3" s="5" t="str">
        <f>IF(BY3="y",CHAR(34)&amp;"dgband"&amp;CHAR(34)&amp;",","")</f>
        <v/>
      </c>
      <c r="DS3" s="5" t="str">
        <f>IF(W3="y",IF(AND(V3="n",BY3&lt;&gt;"y"),CHAR(34)&amp;"allver"&amp;CHAR(34)&amp;",",""),"")</f>
        <v/>
      </c>
      <c r="DT3" s="5" t="str">
        <f>IF(V3="y",IF(AND(W3="n",BY3&lt;&gt;"y"),CHAR(34)&amp;"allhor"&amp;CHAR(34)&amp;",",""),"")</f>
        <v>"allhor",</v>
      </c>
      <c r="DU3" s="5" t="str">
        <f>IF(BY3="y",IF(AND(W3="n",V3="n"),CHAR(34)&amp;"alldia"&amp;CHAR(34)&amp;",",""),"")</f>
        <v/>
      </c>
      <c r="DW3" s="44" t="str">
        <f t="shared" si="1"/>
        <v>"NoBand",</v>
      </c>
      <c r="DX3" s="44" t="str">
        <f t="shared" si="1"/>
        <v/>
      </c>
      <c r="DY3" s="44" t="str">
        <f t="shared" si="1"/>
        <v/>
      </c>
      <c r="DZ3" s="44" t="str">
        <f t="shared" si="1"/>
        <v/>
      </c>
      <c r="EA3" s="44" t="str">
        <f t="shared" si="2"/>
        <v/>
      </c>
      <c r="EB3" s="44" t="str">
        <f t="shared" si="2"/>
        <v/>
      </c>
      <c r="EC3" s="44" t="str">
        <f t="shared" si="2"/>
        <v>"Horizo",</v>
      </c>
      <c r="ED3" s="44" t="str">
        <f t="shared" si="2"/>
        <v/>
      </c>
      <c r="EE3" s="44" t="str">
        <f t="shared" si="2"/>
        <v/>
      </c>
      <c r="EF3" s="44" t="str">
        <f>IF(AND(Y3&lt;&gt;"n",Y3&lt;&gt;""),CHAR(34)&amp;Y$1&amp;CHAR(34)&amp;",","")</f>
        <v/>
      </c>
      <c r="EG3" s="44" t="str">
        <f t="shared" si="3"/>
        <v/>
      </c>
      <c r="EH3" s="44" t="str">
        <f t="shared" si="3"/>
        <v/>
      </c>
      <c r="EI3" s="44" t="str">
        <f t="shared" si="3"/>
        <v/>
      </c>
      <c r="EJ3" s="44" t="str">
        <f t="shared" si="3"/>
        <v/>
      </c>
      <c r="EK3" s="44" t="str">
        <f t="shared" si="3"/>
        <v/>
      </c>
      <c r="EL3" s="44" t="str">
        <f t="shared" si="3"/>
        <v/>
      </c>
      <c r="EM3" s="44" t="str">
        <f t="shared" si="3"/>
        <v/>
      </c>
      <c r="EN3" s="44" t="str">
        <f t="shared" si="3"/>
        <v/>
      </c>
      <c r="EO3" s="44" t="str">
        <f t="shared" si="3"/>
        <v/>
      </c>
      <c r="EP3" s="44" t="str">
        <f t="shared" si="3"/>
        <v/>
      </c>
      <c r="EQ3" s="44" t="str">
        <f t="shared" si="4"/>
        <v/>
      </c>
      <c r="ER3" s="44" t="str">
        <f t="shared" si="4"/>
        <v/>
      </c>
      <c r="ES3" s="44" t="str">
        <f t="shared" si="4"/>
        <v/>
      </c>
      <c r="ET3" s="44" t="str">
        <f t="shared" si="4"/>
        <v/>
      </c>
      <c r="EU3" s="44" t="str">
        <f t="shared" si="4"/>
        <v/>
      </c>
      <c r="EV3" s="44" t="str">
        <f t="shared" si="4"/>
        <v/>
      </c>
      <c r="EW3" s="44" t="str">
        <f t="shared" si="4"/>
        <v/>
      </c>
      <c r="EX3" s="44" t="str">
        <f t="shared" si="4"/>
        <v/>
      </c>
      <c r="EY3" s="44" t="str">
        <f t="shared" si="4"/>
        <v/>
      </c>
      <c r="EZ3" s="44" t="str">
        <f t="shared" si="4"/>
        <v/>
      </c>
      <c r="FA3" s="44" t="str">
        <f>IF(AT3&gt;0,CHAR(34)&amp;"sta"&amp;AZ3&amp;CHAR(34)&amp;",","")</f>
        <v>"staYEL",</v>
      </c>
      <c r="FB3" s="44" t="str">
        <f>IF(AND(AT3&gt;0,BA3&lt;&gt;""),CHAR(34)&amp;"sta"&amp;BA3&amp;CHAR(34)&amp;",","")</f>
        <v/>
      </c>
      <c r="FD3" s="44" t="str">
        <f>IF(BV3="n",CHAR(34)&amp;"tcWHYE"&amp;CHAR(34)&amp;",",IF(BV3="y",CHAR(34)&amp;FD$1&amp;CHAR(34)&amp;",",""))</f>
        <v/>
      </c>
      <c r="FE3" s="44" t="str">
        <f>IF(COUNTIF(BL3:BT3,"BLU")=0,CHAR(34)&amp;"NO_BLU"&amp;CHAR(34)&amp;",", "")</f>
        <v/>
      </c>
      <c r="FF3" s="44" t="str">
        <f>IF(COUNTIF(BL3:BT3,"WHI")=0,CHAR(34)&amp;"NO_WHI"&amp;CHAR(34)&amp;",", "")</f>
        <v/>
      </c>
      <c r="FG3" s="44" t="str">
        <f>IF(COUNTIF(BL3:BT3,"RED")=0,CHAR(34)&amp;"NO_RED"&amp;CHAR(34)&amp;",", "")</f>
        <v/>
      </c>
      <c r="FH3" s="44" t="str">
        <f>IF(COUNTIF(BL3:BS3,"GRE")=0,CHAR(34)&amp;"NO_GRE"&amp;CHAR(34)&amp;",", "")</f>
        <v>"NO_GRE",</v>
      </c>
      <c r="FI3" s="44" t="str">
        <f>IF(COUNTIF(BL3:BT3,"YEL")=0,CHAR(34)&amp;"NO_YEL"&amp;CHAR(34)&amp;",", "")</f>
        <v/>
      </c>
      <c r="FJ3" s="44" t="str">
        <f>IF(COUNTIF(BL3:BT3,"BLA")=0,CHAR(34)&amp;"NO_BLA"&amp;CHAR(34)&amp;",", "")</f>
        <v>"NO_BLA",</v>
      </c>
      <c r="FK3" s="44" t="str">
        <f>IF(AND(FH3&lt;&gt;"",FF3&lt;&gt;""),CHAR(34)&amp;"WHGRNO"&amp;CHAR(34)&amp;",","")</f>
        <v/>
      </c>
      <c r="FL3" s="44" t="str">
        <f>IF(AND(FI3&lt;&gt;"",FF3&lt;&gt;""),CHAR(34)&amp;"WHYENO"&amp;CHAR(34)&amp;",","")</f>
        <v/>
      </c>
      <c r="FM3" s="44" t="str">
        <f>IF(AND(FJ3&lt;&gt;"",FF3&lt;&gt;""),CHAR(34)&amp;"BAWHNO"&amp;CHAR(34)&amp;",","")</f>
        <v/>
      </c>
      <c r="FN3" s="44" t="str">
        <f>IF(AND(FE3&lt;&gt;"",FF3&lt;&gt;""),CHAR(34)&amp;"BLWHNO"&amp;CHAR(34)&amp;",","")</f>
        <v/>
      </c>
      <c r="FO3" s="44" t="str">
        <f>IF(AND(FE3&lt;&gt;"",FG3&lt;&gt;""),CHAR(34)&amp;"BLRENO"&amp;CHAR(34)&amp;",","")</f>
        <v/>
      </c>
      <c r="FP3" s="44" t="str">
        <f>IF(AND(FF3&lt;&gt;"",FF3&lt;&gt;""),CHAR(34)&amp;"WHRENO"&amp;CHAR(34)&amp;",","")</f>
        <v/>
      </c>
      <c r="FQ3" s="44" t="str">
        <f>IF(LEN(BF3)=3,CHAR(34)&amp;"001"&amp;BF3&amp;CHAR(34)&amp;",","")</f>
        <v/>
      </c>
      <c r="FR3" s="44" t="str">
        <f>IF(LEN(BG3)=3,CHAR(34)&amp;"002"&amp;BG3&amp;CHAR(34)&amp;",","")</f>
        <v/>
      </c>
      <c r="FS3" s="44" t="str">
        <f>IF(LEN(BH3)=3,CHAR(34)&amp;"003"&amp;BH3&amp;CHAR(34)&amp;",","")</f>
        <v/>
      </c>
      <c r="FT3" s="44" t="str">
        <f>CHAR(34)&amp;"myr"&amp;BD3&amp;CHAR(34)&amp;","</f>
        <v>"myrBLU",</v>
      </c>
      <c r="FU3" s="44" t="str">
        <f>IF(AY3="y",CHAR(34)&amp;"island"&amp;CHAR(34)&amp;",","")</f>
        <v/>
      </c>
      <c r="FV3" s="44" t="str">
        <f>IF(BZ3="y",CHAR(34)&amp;"landlo"&amp;CHAR(34)&amp;",","")</f>
        <v/>
      </c>
      <c r="FW3" s="44" t="str">
        <f>IF(CA3="y",CHAR(34)&amp;"eunion"&amp;CHAR(34)&amp;",","")</f>
        <v/>
      </c>
      <c r="FY3" s="44" t="str">
        <f>IFERROR(IF(SEARCH("Arabic",CB3)&gt;0,CHAR(34)&amp;"arabic"&amp;CHAR(34)&amp;",",""),"")</f>
        <v/>
      </c>
      <c r="FZ3" s="44" t="str">
        <f>IFERROR(IF(SEARCH("English",CB3)&gt;0,CHAR(34)&amp;"englis"&amp;CHAR(34)&amp;",",""),"")</f>
        <v/>
      </c>
      <c r="GA3" s="44" t="str">
        <f>IFERROR(IF(SEARCH("French",CB3)&gt;0,CHAR(34)&amp;"french"&amp;CHAR(34)&amp;",",""),"")</f>
        <v/>
      </c>
      <c r="GB3" s="44" t="str">
        <f>IFERROR(IF(SEARCH("Spanish",CB3)&gt;0,CHAR(34)&amp;"spanis"&amp;CHAR(34)&amp;",",""),"")</f>
        <v/>
      </c>
      <c r="GE3" s="44" t="str">
        <f>IFERROR(IF(SEARCH("Dutch",CB3)&gt;0,CHAR(34)&amp;"dutchs"&amp;CHAR(34)&amp;",",""),"")</f>
        <v/>
      </c>
      <c r="GF3" s="44" t="str">
        <f>IFERROR(IF(SEARCH("Historical",AU3)&gt;0,CHAR(34)&amp;"histor"&amp;CHAR(34)&amp;",",""),"")</f>
        <v/>
      </c>
      <c r="GG3" s="44" t="str">
        <f>IF(BU3="y",CHAR(34)&amp;"unjack"&amp;CHAR(34)&amp;",","")</f>
        <v/>
      </c>
      <c r="GH3" s="44" t="str">
        <f>IF(CD3=1,CHAR(34)&amp;"southc"&amp;CHAR(34)&amp;",","")</f>
        <v/>
      </c>
      <c r="GI3" s="44" t="str">
        <f>IF(CE3=1,CHAR(34)&amp;"hasmap"&amp;CHAR(34)&amp;",","")</f>
        <v/>
      </c>
      <c r="GJ3" s="44" t="str">
        <f>IF(CP3="y",CHAR(34)&amp;CP$1&amp;CHAR(34)&amp;",","")</f>
        <v/>
      </c>
      <c r="GK3" s="44" t="str">
        <f>IF(GJ3="",CHAR(34)&amp;"HasSta"&amp;CHAR(34)&amp;",","")</f>
        <v>"HasSta",</v>
      </c>
      <c r="GL3" s="44" t="str">
        <f t="shared" si="5"/>
        <v>"1Stars",</v>
      </c>
      <c r="GM3" s="44" t="str">
        <f t="shared" si="5"/>
        <v/>
      </c>
      <c r="GN3" s="44" t="str">
        <f t="shared" si="5"/>
        <v/>
      </c>
      <c r="GP3" s="44" t="str">
        <f>CHAR(34)&amp;AU3&amp;CHAR(34)</f>
        <v>"Island"</v>
      </c>
      <c r="GS3" s="44" t="str">
        <f>SUBSTITUTE("["&amp;_xlfn.CONCAT(CW3:GN3)&amp;"]",",]","]")</f>
        <v>["4Color","words2","lets11","startD","allhor","NoBand","Horizo","staYEL","NO_GRE","NO_BLA","myrBLU","HasSta","1Stars"]</v>
      </c>
      <c r="GT3" s="44" t="str">
        <f t="shared" si="6"/>
        <v>"cl_BLU",</v>
      </c>
      <c r="GU3" s="44" t="str">
        <f t="shared" si="6"/>
        <v>"cl_RED",</v>
      </c>
      <c r="GV3" s="44" t="str">
        <f t="shared" si="6"/>
        <v>"cl_WHI",</v>
      </c>
      <c r="GW3" s="44" t="str">
        <f t="shared" si="6"/>
        <v>"cl_YEL",</v>
      </c>
      <c r="GX3" s="44" t="str">
        <f t="shared" si="6"/>
        <v/>
      </c>
      <c r="GY3" s="44" t="str">
        <f t="shared" si="6"/>
        <v/>
      </c>
      <c r="GZ3" s="44" t="str">
        <f t="shared" si="6"/>
        <v/>
      </c>
      <c r="HA3" s="44" t="str">
        <f t="shared" si="6"/>
        <v/>
      </c>
      <c r="HB3" s="44" t="str">
        <f t="shared" si="6"/>
        <v/>
      </c>
      <c r="HC3" s="44" t="str">
        <f>SUBSTITUTE("["&amp;_xlfn.CONCAT(GT3:HB3)&amp;"]",",]","]")</f>
        <v>["cl_BLU","cl_RED","cl_WHI","cl_YEL"]</v>
      </c>
      <c r="HE3" s="64"/>
      <c r="HF3" s="65" t="str">
        <f>"{couname:"&amp;CT3&amp;(IF(HK3&lt;&gt;"",",subtype:"&amp;CHAR(34)&amp;HK3&amp;CHAR(34),""))&amp;",year:"&amp;HJ3&amp;",region:"&amp;CU3&amp;",Colors:"&amp;HC3&amp;",Items:"&amp;GS3&amp;",Flag:"&amp;CV3&amp;",HDFlag:"&amp;CHAR(34)&amp;E3&amp;CHAR(34)&amp;",type:"&amp;GP3&amp;", describe: "&amp;HH3&amp;", isnew:"&amp;CHAR(34)&amp;F3&amp;CHAR(34)&amp;", links: "&amp;HL3&amp;"},"</f>
        <v>{couname:"[PCN] Ducie Island",year:"???",region:"rgn_Oceania",Colors:["cl_BLU","cl_RED","cl_WHI","cl_YEL"],Items:["4Color","words2","lets11","startD","allhor","NoBand","Horizo","staYEL","NO_GRE","NO_BLA","myrBLU","HasSta","1Stars"],Flag:"https://i.ibb.co/MSJbjXV/Ducie-Island.png",HDFlag:"https://i.ibb.co/MSJbjXV/Ducie-Island.png",type:"Island", describe: "\nN/A", isnew:"www", links: "https://vexillology.fandom.com/wiki/Flags_of_Islands_of_the_Pitcairn_Islands"},</v>
      </c>
      <c r="HG3" s="66" t="str">
        <f>"{couname:"&amp;CT3&amp;(IF(HK3&lt;&gt;"",",subtype:"&amp;CHAR(34)&amp;HK3&amp;CHAR(34),""))&amp;",year:"&amp;HJ3&amp;",region:"&amp;CU3&amp;",Colors:"&amp;HC3&amp;",Items:"&amp;GS3&amp;",Flag:"&amp;CV3&amp;",HDFlag:"&amp;CHAR(34)&amp;E3&amp;CHAR(34)&amp;",type:"&amp;GP3&amp;", describe: "&amp;HI3&amp;", links: "&amp;HL3&amp;"},"</f>
        <v>{couname:"[PCN] Ducie Island",year:"???",region:"rgn_Oceania",Colors:["cl_BLU","cl_RED","cl_WHI","cl_YEL"],Items:["4Color","words2","lets11","startD","allhor","NoBand","Horizo","staYEL","NO_GRE","NO_BLA","myrBLU","HasSta","1Stars"],Flag:"https://i.ibb.co/MSJbjXV/Ducie-Island.png",HDFlag:"https://i.ibb.co/MSJbjXV/Ducie-Island.png",type:"Island", describe: "\nN/A", links: "https://vexillology.fandom.com/wiki/Flags_of_Islands_of_the_Pitcairn_Islands"},</v>
      </c>
      <c r="HH3" s="44" t="str">
        <f>IF(P3&lt;&gt;"",CHAR(34)&amp;"\n"&amp;P3&amp;CHAR(34),CHAR(34)&amp;CHAR(34))</f>
        <v>"\nN/A"</v>
      </c>
      <c r="HI3" s="44" t="str">
        <f>IF(J3=0,CHAR(34)&amp;CHAR(34),HH3)</f>
        <v>"\nN/A"</v>
      </c>
      <c r="HJ3" s="44" t="str">
        <f>CHAR(34)&amp;O3&amp;CHAR(34)</f>
        <v>"???"</v>
      </c>
      <c r="HL3" s="44" t="str">
        <f>CHAR(34)&amp;I3&amp;CHAR(34)</f>
        <v>"https://vexillology.fandom.com/wiki/Flags_of_Islands_of_the_Pitcairn_Islands"</v>
      </c>
      <c r="HM3" s="65"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{"couname":"[PCN] Ducie Island","year":"???","region":"rgn_Oceania","Colors":["cl_BLU","cl_RED","cl_WHI","cl_YEL"],"Items":["4Color","words2","lets11","startD","allhor","NoBand","Horizo","staYEL","NO_GRE","NO_BLA","myrBLU","HasSta","1Stars"],"Flag":"https://i.ibb.co/MSJbjXV/Ducie-Island.png","HDFlag":"https://i.ibb.co/MSJbjXV/Ducie-Island.png","type":"Island", "describe": "\nN/A", "isnew": "www", "links": "https://vexillology.fandom.com/wiki/Flags_of_Islands_of_the_Pitcairn_Islands"},</v>
      </c>
      <c r="HN3" s="67"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{"couname":"[PCN] Ducie Island","year":"???","region":"rgn_Oceania","Colors":["cl_BLU","cl_RED","cl_WHI","cl_YEL"],"Items":["4Color","words2","lets11","startD","allhor","NoBand","Horizo","staYEL","NO_GRE","NO_BLA","myrBLU","HasSta","1Stars"],"Flag":"https://i.ibb.co/MSJbjXV/Ducie-Island.png","HDFlag":"https://i.ibb.co/MSJbjXV/Ducie-Island.png","type":"Island", "describe": "\nN/A", "isnew": "www", "links": "https://vexillology.fandom.com/wiki/Flags_of_Islands_of_the_Pitcairn_Islands"},</v>
      </c>
      <c r="HO3" s="71">
        <v>45653</v>
      </c>
      <c r="HP3" s="44" t="str" cm="1">
        <f t="array" ref="HP3">IF(_xlfn.TEXTJOIN(", ", TRUE, IF(ISNUMBER(SEARCH("BLA", BL3:BT3)), COLUMN(BL3:BT3) - COLUMN(BL3) + 1, ""))&lt;&gt;"","BLA","")</f>
        <v/>
      </c>
      <c r="HQ3" s="44" t="str" cm="1">
        <f t="array" ref="HQ3">IF(_xlfn.TEXTJOIN(", ", TRUE, IF(ISNUMBER(SEARCH("BLU", BL3:BT3)), COLUMN(BL3:BT3) - COLUMN(BL3) + 1, ""))&lt;&gt;"","BLU","")</f>
        <v>BLU</v>
      </c>
      <c r="HR3" s="44" t="str" cm="1">
        <f t="array" ref="HR3">IF(_xlfn.TEXTJOIN(", ", TRUE, IF(ISNUMBER(SEARCH("GRE", BL3:BT3)), COLUMN(BL3:BT3) - COLUMN(BL3) + 1, ""))&lt;&gt;"","GRE","")</f>
        <v/>
      </c>
      <c r="HS3" s="44" t="str" cm="1">
        <f t="array" ref="HS3">IF(_xlfn.TEXTJOIN(", ", TRUE, IF(ISNUMBER(SEARCH("RED", BL3:BT3)), COLUMN(BL3:BT3) - COLUMN(BL3) + 1, ""))&lt;&gt;"","RED","")</f>
        <v>RED</v>
      </c>
      <c r="HT3" s="44" t="str" cm="1">
        <f t="array" ref="HT3">IF(_xlfn.TEXTJOIN(", ", TRUE, IF(ISNUMBER(SEARCH("YEL", BL3:BT3)), COLUMN(BL3:BT3) - COLUMN(BL3) + 1, ""))&lt;&gt;"","YEL","")</f>
        <v>YEL</v>
      </c>
      <c r="HU3" s="44" t="str" cm="1">
        <f t="array" ref="HU3">IF(_xlfn.TEXTJOIN(", ", TRUE, IF(ISNUMBER(SEARCH("ORA", BL3:BT3)), COLUMN(BL3:BT3) - COLUMN(BL3) + 1, ""))&lt;&gt;"","ORA","")</f>
        <v/>
      </c>
      <c r="HV3" s="44" t="str" cm="1">
        <f t="array" ref="HV3">IF(_xlfn.TEXTJOIN(", ", TRUE, IF(ISNUMBER(SEARCH("BRO", BL3:BT3)), COLUMN(BL3:BT3) - COLUMN(BL3) + 1, ""))&lt;&gt;"","BRO","")</f>
        <v/>
      </c>
      <c r="HW3" s="44" t="str" cm="1">
        <f t="array" ref="HW3">IF(_xlfn.TEXTJOIN(", ", TRUE, IF(ISNUMBER(SEARCH("PUR", BL3:BT3)), COLUMN(BL3:BT3) - COLUMN(BL3) + 1, ""))&lt;&gt;"","PUR","")</f>
        <v/>
      </c>
      <c r="HX3" s="44" t="str" cm="1">
        <f t="array" ref="HX3">IF(_xlfn.TEXTJOIN(", ", TRUE, IF(ISNUMBER(SEARCH("WHI", BL3:BT3)), COLUMN(BL3:BT3) - COLUMN(BL3) + 1, ""))&lt;&gt;"","WHI","")</f>
        <v>WHI</v>
      </c>
      <c r="HY3" s="72"/>
      <c r="HZ3" s="72"/>
      <c r="IA3" s="5"/>
      <c r="IB3" s="5"/>
      <c r="IC3" s="68"/>
      <c r="ID3" s="68"/>
      <c r="IE3" s="68"/>
      <c r="IF3" s="68"/>
      <c r="IG3" s="68"/>
      <c r="IH3" s="68"/>
      <c r="II3" s="68"/>
      <c r="IJ3" s="68"/>
      <c r="IK3" s="68"/>
      <c r="IM3" s="42">
        <f>COUNTIF(IC3:IK3,"&gt;0")-CG3</f>
        <v>-4</v>
      </c>
      <c r="IN3" s="69" t="str">
        <f>"http://mkweb.bcgsc.ca/color-summarizer/?url="&amp;D3&amp;"&amp;precision=low&amp;num_clusters="&amp;CG3&amp;"&amp;text=1"</f>
        <v>http://mkweb.bcgsc.ca/color-summarizer/?url=https://i.ibb.co/MSJbjXV/Ducie-Island.png&amp;precision=low&amp;num_clusters=4&amp;text=1</v>
      </c>
      <c r="IO3" s="44" t="str">
        <f>IF(HP3&lt;&gt;"",CHAR(34)&amp;"black"&amp;CHAR(34),"")</f>
        <v/>
      </c>
      <c r="IP3" s="44" t="str">
        <f>IF(HQ3&lt;&gt;"",CHAR(34)&amp;"blue"&amp;CHAR(34),"")</f>
        <v>"blue"</v>
      </c>
      <c r="IQ3" s="44" t="str">
        <f>IF(HR3&lt;&gt;"",CHAR(34)&amp;"green"&amp;CHAR(34),"")</f>
        <v/>
      </c>
      <c r="IR3" s="44" t="str">
        <f>IF(HS3&lt;&gt;"",CHAR(34)&amp;"red"&amp;CHAR(34),"")</f>
        <v>"red"</v>
      </c>
      <c r="IS3" s="44" t="str">
        <f>IF(HT3&lt;&gt;"",CHAR(34)&amp;"yellow"&amp;CHAR(34),"")</f>
        <v>"yellow"</v>
      </c>
      <c r="IT3" s="44" t="str">
        <f>IF(HU3&lt;&gt;"",CHAR(34)&amp;"orange"&amp;CHAR(34),"")</f>
        <v/>
      </c>
      <c r="IU3" s="44" t="str">
        <f>IF(HV3&lt;&gt;"",CHAR(34)&amp;"brown"&amp;CHAR(34),"")</f>
        <v/>
      </c>
      <c r="IV3" s="44" t="str">
        <f>IF(HW3&lt;&gt;"",CHAR(34)&amp;"purple"&amp;CHAR(34),"")</f>
        <v/>
      </c>
      <c r="IW3" s="44" t="str">
        <f>IF(HX3&lt;&gt;"",CHAR(34)&amp;"white"&amp;CHAR(34),"")</f>
        <v>"white"</v>
      </c>
      <c r="IX3" s="44" t="str">
        <f>"{"&amp;CHAR(34)&amp;"url"&amp;CHAR(34)&amp;":"&amp;CHAR(34)&amp;IN3&amp;CHAR(34)&amp;","&amp;CHAR(34)&amp;"name"&amp;CHAR(34)&amp;":"&amp;CHAR(34)&amp;A3&amp;CHAR(34)&amp;"},"</f>
        <v>{"url":"http://mkweb.bcgsc.ca/color-summarizer/?url=https://i.ibb.co/MSJbjXV/Ducie-Island.png&amp;precision=low&amp;num_clusters=4&amp;text=1","name":"[PCN] Ducie Island"},</v>
      </c>
      <c r="IY3" s="44">
        <v>1503</v>
      </c>
    </row>
    <row r="4" spans="1:259" ht="38.4" customHeight="1" x14ac:dyDescent="0.3">
      <c r="J4" s="44" t="str">
        <f>""</f>
        <v/>
      </c>
    </row>
    <row r="5" spans="1:259" ht="38.4" customHeight="1" x14ac:dyDescent="0.3">
      <c r="J5" s="44" t="str">
        <f>""</f>
        <v/>
      </c>
    </row>
    <row r="6" spans="1:259" ht="38.4" customHeight="1" x14ac:dyDescent="0.3">
      <c r="J6" s="44" t="str">
        <f>""</f>
        <v/>
      </c>
    </row>
    <row r="7" spans="1:259" ht="38.4" customHeight="1" x14ac:dyDescent="0.3">
      <c r="J7" s="44" t="str">
        <f>""</f>
        <v/>
      </c>
    </row>
    <row r="8" spans="1:259" ht="38.4" customHeight="1" x14ac:dyDescent="0.3">
      <c r="J8" s="44" t="str">
        <f>""</f>
        <v/>
      </c>
    </row>
  </sheetData>
  <autoFilter ref="A1:IY3" xr:uid="{A1051193-A95B-4CFB-A73C-F0184620C81F}">
    <sortState xmlns:xlrd2="http://schemas.microsoft.com/office/spreadsheetml/2017/richdata2" ref="A2:IY3">
      <sortCondition ref="AW1:AW3"/>
    </sortState>
  </autoFilter>
  <conditionalFormatting sqref="H1 CW1:GS1 IA1:IB1">
    <cfRule type="cellIs" dxfId="649" priority="66" operator="greaterThan">
      <formula>0</formula>
    </cfRule>
  </conditionalFormatting>
  <conditionalFormatting sqref="H1:H1048576">
    <cfRule type="cellIs" dxfId="648" priority="6" stopIfTrue="1" operator="notEqual">
      <formula>""</formula>
    </cfRule>
  </conditionalFormatting>
  <conditionalFormatting sqref="R2:R3 CU2:CU3">
    <cfRule type="cellIs" dxfId="647" priority="8" operator="greaterThan">
      <formula>0</formula>
    </cfRule>
  </conditionalFormatting>
  <conditionalFormatting sqref="T2:AS3 CH2:CS3">
    <cfRule type="cellIs" dxfId="646" priority="3" stopIfTrue="1" operator="equal">
      <formula>"n"</formula>
    </cfRule>
    <cfRule type="cellIs" dxfId="645" priority="4" stopIfTrue="1" operator="equal">
      <formula>"y"</formula>
    </cfRule>
    <cfRule type="cellIs" dxfId="644" priority="5" operator="greaterThan">
      <formula>0</formula>
    </cfRule>
  </conditionalFormatting>
  <conditionalFormatting sqref="T1:BK1">
    <cfRule type="cellIs" dxfId="643" priority="69" operator="greaterThan">
      <formula>0</formula>
    </cfRule>
  </conditionalFormatting>
  <conditionalFormatting sqref="AZ2:BB3">
    <cfRule type="expression" dxfId="642" priority="2">
      <formula>$AT2=0</formula>
    </cfRule>
  </conditionalFormatting>
  <conditionalFormatting sqref="AZ2:BU3">
    <cfRule type="cellIs" dxfId="641" priority="44" operator="equal">
      <formula>"PIN"</formula>
    </cfRule>
    <cfRule type="cellIs" dxfId="640" priority="45" operator="equal">
      <formula>"ORA"</formula>
    </cfRule>
    <cfRule type="cellIs" dxfId="639" priority="46" operator="equal">
      <formula>"GRA"</formula>
    </cfRule>
    <cfRule type="cellIs" dxfId="638" priority="47" operator="equal">
      <formula>"PUR"</formula>
    </cfRule>
    <cfRule type="cellIs" dxfId="637" priority="48" operator="equal">
      <formula>"BRO"</formula>
    </cfRule>
    <cfRule type="cellIs" dxfId="636" priority="49" operator="equal">
      <formula>"YEL"</formula>
    </cfRule>
    <cfRule type="cellIs" dxfId="635" priority="50" operator="equal">
      <formula>"BLU"</formula>
    </cfRule>
    <cfRule type="cellIs" dxfId="634" priority="51" operator="equal">
      <formula>"WHI"</formula>
    </cfRule>
    <cfRule type="cellIs" dxfId="633" priority="52" operator="equal">
      <formula>"GRE"</formula>
    </cfRule>
    <cfRule type="cellIs" dxfId="632" priority="53" operator="equal">
      <formula>"RED"</formula>
    </cfRule>
    <cfRule type="cellIs" dxfId="631" priority="54" operator="equal">
      <formula>"BLA"</formula>
    </cfRule>
  </conditionalFormatting>
  <conditionalFormatting sqref="BV1:BW1048576">
    <cfRule type="cellIs" dxfId="630" priority="68" operator="equal">
      <formula>"nc"</formula>
    </cfRule>
  </conditionalFormatting>
  <conditionalFormatting sqref="BX2:CA3 CD2:CF3">
    <cfRule type="cellIs" dxfId="629" priority="7" operator="equal">
      <formula>"y"</formula>
    </cfRule>
    <cfRule type="cellIs" dxfId="628" priority="55" operator="equal">
      <formula>"PIN"</formula>
    </cfRule>
    <cfRule type="cellIs" dxfId="627" priority="56" operator="equal">
      <formula>"ORA"</formula>
    </cfRule>
    <cfRule type="cellIs" dxfId="626" priority="57" operator="equal">
      <formula>"GRA"</formula>
    </cfRule>
    <cfRule type="cellIs" dxfId="625" priority="58" operator="equal">
      <formula>"PUR"</formula>
    </cfRule>
    <cfRule type="cellIs" dxfId="624" priority="59" operator="equal">
      <formula>"BRO"</formula>
    </cfRule>
    <cfRule type="cellIs" dxfId="623" priority="60" operator="equal">
      <formula>"YEL"</formula>
    </cfRule>
    <cfRule type="cellIs" dxfId="622" priority="61" operator="equal">
      <formula>"BLU"</formula>
    </cfRule>
    <cfRule type="cellIs" dxfId="621" priority="62" operator="equal">
      <formula>"WHI"</formula>
    </cfRule>
    <cfRule type="cellIs" dxfId="620" priority="63" operator="equal">
      <formula>"GRE"</formula>
    </cfRule>
    <cfRule type="cellIs" dxfId="619" priority="64" operator="equal">
      <formula>"RED"</formula>
    </cfRule>
    <cfRule type="cellIs" dxfId="618" priority="65" operator="equal">
      <formula>"BLA"</formula>
    </cfRule>
  </conditionalFormatting>
  <conditionalFormatting sqref="BZ2:CA3 CD2:CF3">
    <cfRule type="cellIs" dxfId="617" priority="9" operator="greaterThan">
      <formula>0</formula>
    </cfRule>
  </conditionalFormatting>
  <conditionalFormatting sqref="HF1:HG1">
    <cfRule type="cellIs" dxfId="616" priority="70" operator="greaterThan">
      <formula>0</formula>
    </cfRule>
  </conditionalFormatting>
  <conditionalFormatting sqref="HK1">
    <cfRule type="cellIs" dxfId="615" priority="67" operator="greaterThan">
      <formula>0</formula>
    </cfRule>
  </conditionalFormatting>
  <conditionalFormatting sqref="HP1:HX1">
    <cfRule type="cellIs" dxfId="614" priority="21" operator="equal">
      <formula>"PIN"</formula>
    </cfRule>
    <cfRule type="cellIs" dxfId="613" priority="22" operator="equal">
      <formula>"ORA"</formula>
    </cfRule>
    <cfRule type="cellIs" dxfId="612" priority="23" operator="equal">
      <formula>"GRA"</formula>
    </cfRule>
    <cfRule type="cellIs" dxfId="611" priority="24" operator="equal">
      <formula>"PUR"</formula>
    </cfRule>
    <cfRule type="cellIs" dxfId="610" priority="25" operator="equal">
      <formula>"BRO"</formula>
    </cfRule>
    <cfRule type="cellIs" dxfId="609" priority="26" operator="equal">
      <formula>"YEL"</formula>
    </cfRule>
    <cfRule type="cellIs" dxfId="608" priority="27" operator="equal">
      <formula>"BLU"</formula>
    </cfRule>
    <cfRule type="cellIs" dxfId="607" priority="28" operator="equal">
      <formula>"WHI"</formula>
    </cfRule>
    <cfRule type="cellIs" dxfId="606" priority="29" operator="equal">
      <formula>"GRE"</formula>
    </cfRule>
    <cfRule type="cellIs" dxfId="605" priority="30" operator="equal">
      <formula>"RED"</formula>
    </cfRule>
    <cfRule type="cellIs" dxfId="604" priority="31" operator="equal">
      <formula>"BLA"</formula>
    </cfRule>
  </conditionalFormatting>
  <conditionalFormatting sqref="IC1:IK1">
    <cfRule type="cellIs" dxfId="603" priority="33" operator="equal">
      <formula>"PIN"</formula>
    </cfRule>
    <cfRule type="cellIs" dxfId="602" priority="34" operator="equal">
      <formula>"ORA"</formula>
    </cfRule>
    <cfRule type="cellIs" dxfId="601" priority="35" operator="equal">
      <formula>"GRA"</formula>
    </cfRule>
    <cfRule type="cellIs" dxfId="600" priority="36" operator="equal">
      <formula>"PUR"</formula>
    </cfRule>
    <cfRule type="cellIs" dxfId="599" priority="37" operator="equal">
      <formula>"BRO"</formula>
    </cfRule>
    <cfRule type="cellIs" dxfId="598" priority="38" operator="equal">
      <formula>"YEL"</formula>
    </cfRule>
    <cfRule type="cellIs" dxfId="597" priority="39" operator="equal">
      <formula>"BLU"</formula>
    </cfRule>
    <cfRule type="cellIs" dxfId="596" priority="40" operator="equal">
      <formula>"WHI"</formula>
    </cfRule>
    <cfRule type="cellIs" dxfId="595" priority="41" operator="equal">
      <formula>"GRE"</formula>
    </cfRule>
    <cfRule type="cellIs" dxfId="594" priority="42" operator="equal">
      <formula>"RED"</formula>
    </cfRule>
    <cfRule type="cellIs" dxfId="593" priority="43" operator="equal">
      <formula>"BLA"</formula>
    </cfRule>
  </conditionalFormatting>
  <conditionalFormatting sqref="IC2:IK3">
    <cfRule type="expression" dxfId="592" priority="32">
      <formula>$IL2&gt;0</formula>
    </cfRule>
  </conditionalFormatting>
  <conditionalFormatting sqref="IO1:IW1">
    <cfRule type="cellIs" dxfId="591" priority="10" operator="equal">
      <formula>"PIN"</formula>
    </cfRule>
    <cfRule type="cellIs" dxfId="590" priority="11" operator="equal">
      <formula>"ORA"</formula>
    </cfRule>
    <cfRule type="cellIs" dxfId="589" priority="12" operator="equal">
      <formula>"GRA"</formula>
    </cfRule>
    <cfRule type="cellIs" dxfId="588" priority="13" operator="equal">
      <formula>"PUR"</formula>
    </cfRule>
    <cfRule type="cellIs" dxfId="587" priority="14" operator="equal">
      <formula>"BRO"</formula>
    </cfRule>
    <cfRule type="cellIs" dxfId="586" priority="15" operator="equal">
      <formula>"YEL"</formula>
    </cfRule>
    <cfRule type="cellIs" dxfId="585" priority="16" operator="equal">
      <formula>"BLU"</formula>
    </cfRule>
    <cfRule type="cellIs" dxfId="584" priority="17" operator="equal">
      <formula>"WHI"</formula>
    </cfRule>
    <cfRule type="cellIs" dxfId="583" priority="18" operator="equal">
      <formula>"GRE"</formula>
    </cfRule>
    <cfRule type="cellIs" dxfId="582" priority="19" operator="equal">
      <formula>"RED"</formula>
    </cfRule>
    <cfRule type="cellIs" dxfId="581" priority="20" operator="equal">
      <formula>"BLA"</formula>
    </cfRule>
  </conditionalFormatting>
  <conditionalFormatting sqref="S2:S3">
    <cfRule type="colorScale" priority="4695">
      <colorScale>
        <cfvo type="min"/>
        <cfvo type="max"/>
        <color rgb="FFFCFCFF"/>
        <color rgb="FF754BFB"/>
      </colorScale>
    </cfRule>
  </conditionalFormatting>
  <conditionalFormatting sqref="AT2:AT3">
    <cfRule type="colorScale" priority="4696">
      <colorScale>
        <cfvo type="min"/>
        <cfvo type="max"/>
        <color rgb="FFFCFCFF"/>
        <color theme="8" tint="0.39997558519241921"/>
      </colorScale>
    </cfRule>
  </conditionalFormatting>
  <conditionalFormatting sqref="CG2:CG3">
    <cfRule type="colorScale" priority="4697">
      <colorScale>
        <cfvo type="min"/>
        <cfvo type="max"/>
        <color rgb="FFFCFCFF"/>
        <color rgb="FF63BE7B"/>
      </colorScale>
    </cfRule>
  </conditionalFormatting>
  <conditionalFormatting sqref="J2:J8">
    <cfRule type="colorScale" priority="1">
      <colorScale>
        <cfvo type="min"/>
        <cfvo type="percentile" val="50"/>
        <cfvo type="max"/>
        <color rgb="FFF8696B"/>
        <color rgb="FFFFEB84"/>
        <color rgb="FF63BE7B"/>
      </colorScale>
    </cfRule>
  </conditionalFormatting>
  <hyperlinks>
    <hyperlink ref="E2" r:id="rId1" xr:uid="{9632A1F6-8A75-4D99-A36E-25F99FE7D1D2}"/>
    <hyperlink ref="D3" r:id="rId2" xr:uid="{18063ADF-334B-46CF-96F7-DD2414549189}"/>
    <hyperlink ref="E3" r:id="rId3" xr:uid="{2A6DC24C-83B1-4578-920C-B3DEB79EB7C5}"/>
  </hyperlinks>
  <pageMargins left="0.7" right="0.7" top="0.75" bottom="0.75" header="0.3" footer="0.3"/>
  <pageSetup paperSize="9"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30721" r:id="rId7" name="Button 1">
              <controlPr defaultSize="0" print="0" autoFill="0" autoPict="0" macro="[0]!InsertImagesFromSelectedRange">
                <anchor moveWithCells="1" sizeWithCells="1">
                  <from>
                    <xdr:col>1</xdr:col>
                    <xdr:colOff>76200</xdr:colOff>
                    <xdr:row>0</xdr:row>
                    <xdr:rowOff>7620</xdr:rowOff>
                  </from>
                  <to>
                    <xdr:col>2</xdr:col>
                    <xdr:colOff>0</xdr:colOff>
                    <xdr:row>0</xdr:row>
                    <xdr:rowOff>487680</xdr:rowOff>
                  </to>
                </anchor>
              </controlPr>
            </control>
          </mc:Choice>
        </mc:AlternateContent>
        <mc:AlternateContent xmlns:mc="http://schemas.openxmlformats.org/markup-compatibility/2006">
          <mc:Choice Requires="x14">
            <control shapeId="30722" r:id="rId8" name="Button 2">
              <controlPr defaultSize="0" print="0" autoFill="0" autoPict="0" macro="[0]!ReplaceLineBreaksWithNewLineManualRange">
                <anchor moveWithCells="1" sizeWithCells="1">
                  <from>
                    <xdr:col>7</xdr:col>
                    <xdr:colOff>15240</xdr:colOff>
                    <xdr:row>0</xdr:row>
                    <xdr:rowOff>45720</xdr:rowOff>
                  </from>
                  <to>
                    <xdr:col>7</xdr:col>
                    <xdr:colOff>685800</xdr:colOff>
                    <xdr:row>0</xdr:row>
                    <xdr:rowOff>403860</xdr:rowOff>
                  </to>
                </anchor>
              </controlPr>
            </control>
          </mc:Choice>
        </mc:AlternateContent>
        <mc:AlternateContent xmlns:mc="http://schemas.openxmlformats.org/markup-compatibility/2006">
          <mc:Choice Requires="x14">
            <control shapeId="30723" r:id="rId9" name="Button 3">
              <controlPr defaultSize="0" print="0" autoFill="0" autoPict="0" macro="[0]!GoToSheet">
                <anchor moveWithCells="1" sizeWithCells="1">
                  <from>
                    <xdr:col>0</xdr:col>
                    <xdr:colOff>137160</xdr:colOff>
                    <xdr:row>0</xdr:row>
                    <xdr:rowOff>114300</xdr:rowOff>
                  </from>
                  <to>
                    <xdr:col>0</xdr:col>
                    <xdr:colOff>762000</xdr:colOff>
                    <xdr:row>0</xdr:row>
                    <xdr:rowOff>419100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3A158A-EBA5-4DCA-8694-A69679207447}">
  <sheetPr codeName="Sheet8"/>
  <dimension ref="A1:IY50"/>
  <sheetViews>
    <sheetView zoomScale="70" zoomScaleNormal="70" workbookViewId="0">
      <pane xSplit="5" ySplit="1" topLeftCell="F2" activePane="bottomRight" state="frozen"/>
      <selection activeCell="A2" sqref="A2"/>
      <selection pane="topRight" activeCell="A2" sqref="A2"/>
      <selection pane="bottomLeft" activeCell="A2" sqref="A2"/>
      <selection pane="bottomRight" activeCell="B7" sqref="B7"/>
    </sheetView>
  </sheetViews>
  <sheetFormatPr defaultRowHeight="38.4" customHeight="1" x14ac:dyDescent="0.3"/>
  <cols>
    <col min="1" max="1" width="52.44140625" style="82" bestFit="1" customWidth="1"/>
    <col min="2" max="2" width="10.109375" style="82" customWidth="1"/>
    <col min="3" max="3" width="7.44140625" style="83" customWidth="1"/>
    <col min="4" max="4" width="4.77734375" style="84" customWidth="1"/>
    <col min="5" max="5" width="4.5546875" style="84" customWidth="1"/>
    <col min="6" max="6" width="5.77734375" style="84" customWidth="1"/>
    <col min="7" max="7" width="7.44140625" style="82" customWidth="1"/>
    <col min="8" max="8" width="11.44140625" style="82" customWidth="1"/>
    <col min="9" max="9" width="10" style="82" customWidth="1"/>
    <col min="10" max="10" width="4.21875" style="82" customWidth="1"/>
    <col min="11" max="11" width="5.6640625" style="84" customWidth="1"/>
    <col min="12" max="12" width="2.88671875" style="84" customWidth="1"/>
    <col min="13" max="13" width="6.44140625" style="84" customWidth="1"/>
    <col min="14" max="14" width="4.5546875" style="84" customWidth="1"/>
    <col min="15" max="15" width="10.5546875" style="85" customWidth="1"/>
    <col min="16" max="16" width="6.88671875" style="84" customWidth="1"/>
    <col min="17" max="17" width="4.77734375" style="84" customWidth="1"/>
    <col min="18" max="18" width="13.109375" style="83" customWidth="1"/>
    <col min="19" max="19" width="6.77734375" style="83" customWidth="1"/>
    <col min="20" max="46" width="8.44140625" style="82" customWidth="1"/>
    <col min="47" max="47" width="24.5546875" style="82" customWidth="1"/>
    <col min="48" max="51" width="16.6640625" style="82" customWidth="1"/>
    <col min="52" max="52" width="6.5546875" style="82" customWidth="1"/>
    <col min="53" max="54" width="5.88671875" style="82" customWidth="1"/>
    <col min="55" max="55" width="1.33203125" style="82" customWidth="1"/>
    <col min="56" max="56" width="7.44140625" style="82" customWidth="1"/>
    <col min="57" max="57" width="2.33203125" style="82" customWidth="1"/>
    <col min="58" max="62" width="6.109375" style="82" customWidth="1"/>
    <col min="63" max="63" width="2.33203125" style="82" customWidth="1"/>
    <col min="64" max="64" width="7" style="82" bestFit="1" customWidth="1"/>
    <col min="65" max="65" width="6.44140625" style="82" bestFit="1" customWidth="1"/>
    <col min="66" max="66" width="7.109375" style="82" bestFit="1" customWidth="1"/>
    <col min="67" max="71" width="6.44140625" style="82" bestFit="1" customWidth="1"/>
    <col min="72" max="73" width="6.44140625" style="82" customWidth="1"/>
    <col min="74" max="75" width="13.44140625" style="82" customWidth="1"/>
    <col min="76" max="84" width="14.6640625" style="82" customWidth="1"/>
    <col min="85" max="85" width="6.44140625" style="82" customWidth="1"/>
    <col min="86" max="87" width="11.6640625" style="82" bestFit="1" customWidth="1"/>
    <col min="88" max="88" width="11.6640625" style="82" customWidth="1"/>
    <col min="89" max="89" width="12.77734375" style="82" bestFit="1" customWidth="1"/>
    <col min="90" max="90" width="16.44140625" style="83" bestFit="1" customWidth="1"/>
    <col min="91" max="92" width="14.88671875" style="83" bestFit="1" customWidth="1"/>
    <col min="93" max="93" width="16" style="83" bestFit="1" customWidth="1"/>
    <col min="94" max="97" width="7.77734375" style="82" customWidth="1"/>
    <col min="98" max="98" width="33.21875" style="82" customWidth="1"/>
    <col min="99" max="99" width="18" style="82" customWidth="1"/>
    <col min="100" max="100" width="75.6640625" style="82" customWidth="1"/>
    <col min="101" max="125" width="33" style="82" customWidth="1"/>
    <col min="126" max="126" width="8.88671875" style="82"/>
    <col min="127" max="128" width="9.44140625" style="82" bestFit="1" customWidth="1"/>
    <col min="129" max="129" width="10.77734375" style="82" bestFit="1" customWidth="1"/>
    <col min="130" max="134" width="10.77734375" style="82" customWidth="1"/>
    <col min="135" max="135" width="10.109375" style="82" bestFit="1" customWidth="1"/>
    <col min="136" max="136" width="7.77734375" style="82" bestFit="1" customWidth="1"/>
    <col min="137" max="137" width="7.77734375" style="82" customWidth="1"/>
    <col min="138" max="138" width="9" style="82" bestFit="1" customWidth="1"/>
    <col min="139" max="139" width="11.33203125" style="82" bestFit="1" customWidth="1"/>
    <col min="140" max="140" width="9.109375" style="82" bestFit="1" customWidth="1"/>
    <col min="141" max="141" width="9" style="82" bestFit="1" customWidth="1"/>
    <col min="142" max="142" width="12" style="82" bestFit="1" customWidth="1"/>
    <col min="143" max="166" width="12" style="82" customWidth="1"/>
    <col min="167" max="167" width="17.21875" style="82" customWidth="1"/>
    <col min="168" max="191" width="12" style="82" customWidth="1"/>
    <col min="192" max="192" width="8.5546875" style="82" bestFit="1" customWidth="1"/>
    <col min="193" max="193" width="8.5546875" style="82" customWidth="1"/>
    <col min="194" max="194" width="7.109375" style="82" bestFit="1" customWidth="1"/>
    <col min="195" max="195" width="7.5546875" style="82" bestFit="1" customWidth="1"/>
    <col min="196" max="196" width="8.5546875" style="82" bestFit="1" customWidth="1"/>
    <col min="197" max="200" width="8.5546875" style="82" customWidth="1"/>
    <col min="201" max="201" width="188.88671875" style="82" customWidth="1"/>
    <col min="202" max="202" width="9.5546875" style="82" bestFit="1" customWidth="1"/>
    <col min="203" max="203" width="10.44140625" style="82" bestFit="1" customWidth="1"/>
    <col min="204" max="204" width="11.109375" style="82" bestFit="1" customWidth="1"/>
    <col min="205" max="205" width="10.44140625" style="82" bestFit="1" customWidth="1"/>
    <col min="206" max="210" width="10.44140625" style="82" customWidth="1"/>
    <col min="211" max="211" width="45.44140625" style="82" customWidth="1"/>
    <col min="212" max="212" width="47.5546875" style="82" bestFit="1" customWidth="1"/>
    <col min="213" max="213" width="9.33203125" style="86" customWidth="1"/>
    <col min="214" max="214" width="119.5546875" style="82" customWidth="1"/>
    <col min="215" max="215" width="69.6640625" style="82" customWidth="1"/>
    <col min="216" max="218" width="8.88671875" style="82"/>
    <col min="219" max="219" width="37.109375" style="82" customWidth="1"/>
    <col min="220" max="220" width="16.33203125" style="82" customWidth="1"/>
    <col min="221" max="222" width="8.88671875" style="82"/>
    <col min="223" max="223" width="10.109375" style="82" bestFit="1" customWidth="1"/>
    <col min="224" max="232" width="10.88671875" style="82" customWidth="1"/>
    <col min="233" max="234" width="30.77734375" style="82" customWidth="1"/>
    <col min="235" max="235" width="5.109375" style="82" customWidth="1"/>
    <col min="236" max="236" width="3" style="82" customWidth="1"/>
    <col min="237" max="245" width="6.77734375" style="76" customWidth="1"/>
    <col min="246" max="247" width="8.88671875" style="82"/>
    <col min="248" max="248" width="61.5546875" style="82" customWidth="1"/>
    <col min="249" max="253" width="8.88671875" style="82"/>
    <col min="254" max="254" width="9" style="82" customWidth="1"/>
    <col min="255" max="16384" width="8.88671875" style="82"/>
  </cols>
  <sheetData>
    <row r="1" spans="1:259" s="5" customFormat="1" ht="38.4" customHeight="1" thickBot="1" x14ac:dyDescent="0.35">
      <c r="A1" s="1" t="s">
        <v>0</v>
      </c>
      <c r="B1" s="79" t="s">
        <v>1</v>
      </c>
      <c r="C1" s="2" t="s">
        <v>2</v>
      </c>
      <c r="D1" s="3"/>
      <c r="E1" s="3" t="s">
        <v>3</v>
      </c>
      <c r="F1" s="4"/>
      <c r="H1" s="6" t="s">
        <v>4</v>
      </c>
      <c r="J1" s="5" t="s">
        <v>5</v>
      </c>
      <c r="K1" s="7" t="s">
        <v>6</v>
      </c>
      <c r="L1" s="8" t="s">
        <v>7</v>
      </c>
      <c r="M1" s="8" t="s">
        <v>8</v>
      </c>
      <c r="N1" s="9" t="s">
        <v>9</v>
      </c>
      <c r="O1" s="10" t="s">
        <v>10</v>
      </c>
      <c r="P1" s="11" t="s">
        <v>11</v>
      </c>
      <c r="Q1" s="11" t="s">
        <v>12</v>
      </c>
      <c r="R1" s="12" t="s">
        <v>0</v>
      </c>
      <c r="S1" s="13" t="s">
        <v>13</v>
      </c>
      <c r="T1" s="14" t="s">
        <v>14</v>
      </c>
      <c r="U1" s="14" t="s">
        <v>15</v>
      </c>
      <c r="V1" s="15" t="s">
        <v>16</v>
      </c>
      <c r="W1" s="14" t="s">
        <v>17</v>
      </c>
      <c r="X1" s="14" t="s">
        <v>18</v>
      </c>
      <c r="Y1" s="14" t="s">
        <v>19</v>
      </c>
      <c r="Z1" s="14" t="s">
        <v>20</v>
      </c>
      <c r="AA1" s="14" t="s">
        <v>21</v>
      </c>
      <c r="AB1" s="14" t="s">
        <v>22</v>
      </c>
      <c r="AC1" s="14" t="s">
        <v>23</v>
      </c>
      <c r="AD1" s="14" t="s">
        <v>24</v>
      </c>
      <c r="AE1" s="14" t="s">
        <v>25</v>
      </c>
      <c r="AF1" s="16" t="s">
        <v>26</v>
      </c>
      <c r="AG1" s="16" t="s">
        <v>27</v>
      </c>
      <c r="AH1" s="16" t="s">
        <v>28</v>
      </c>
      <c r="AI1" s="16" t="s">
        <v>29</v>
      </c>
      <c r="AJ1" s="16" t="s">
        <v>30</v>
      </c>
      <c r="AK1" s="16" t="s">
        <v>31</v>
      </c>
      <c r="AL1" s="16" t="s">
        <v>32</v>
      </c>
      <c r="AM1" s="16" t="s">
        <v>33</v>
      </c>
      <c r="AN1" s="16" t="s">
        <v>34</v>
      </c>
      <c r="AO1" s="16" t="s">
        <v>35</v>
      </c>
      <c r="AP1" s="16" t="s">
        <v>36</v>
      </c>
      <c r="AQ1" s="16" t="s">
        <v>37</v>
      </c>
      <c r="AR1" s="16" t="s">
        <v>38</v>
      </c>
      <c r="AS1" s="16" t="s">
        <v>39</v>
      </c>
      <c r="AT1" s="17" t="s">
        <v>40</v>
      </c>
      <c r="AU1" s="18" t="s">
        <v>41</v>
      </c>
      <c r="AV1" s="18" t="s">
        <v>42</v>
      </c>
      <c r="AW1" s="18" t="s">
        <v>43</v>
      </c>
      <c r="AX1" s="19"/>
      <c r="AY1" s="20" t="s">
        <v>44</v>
      </c>
      <c r="AZ1" s="19" t="s">
        <v>45</v>
      </c>
      <c r="BA1" s="19"/>
      <c r="BB1" s="19"/>
      <c r="BC1" s="21"/>
      <c r="BD1" s="19" t="s">
        <v>46</v>
      </c>
      <c r="BE1" s="21"/>
      <c r="BF1" s="19" t="s">
        <v>47</v>
      </c>
      <c r="BG1" s="19" t="s">
        <v>48</v>
      </c>
      <c r="BH1" s="19" t="s">
        <v>49</v>
      </c>
      <c r="BI1" s="19" t="s">
        <v>50</v>
      </c>
      <c r="BJ1" s="19" t="s">
        <v>51</v>
      </c>
      <c r="BK1" s="21"/>
      <c r="BL1" s="22" t="s">
        <v>52</v>
      </c>
      <c r="BM1" s="22"/>
      <c r="BN1" s="22"/>
      <c r="BO1" s="22"/>
      <c r="BP1" s="22"/>
      <c r="BQ1" s="22"/>
      <c r="BR1" s="22"/>
      <c r="BS1" s="22"/>
      <c r="BT1" s="23"/>
      <c r="BU1" s="23" t="s">
        <v>53</v>
      </c>
      <c r="BV1" s="23" t="s">
        <v>54</v>
      </c>
      <c r="BW1" s="23" t="s">
        <v>55</v>
      </c>
      <c r="BX1" s="23"/>
      <c r="BY1" s="23" t="s">
        <v>56</v>
      </c>
      <c r="BZ1" s="23" t="s">
        <v>57</v>
      </c>
      <c r="CA1" s="23" t="s">
        <v>58</v>
      </c>
      <c r="CB1" s="23" t="s">
        <v>59</v>
      </c>
      <c r="CC1" s="23" t="s">
        <v>60</v>
      </c>
      <c r="CD1" s="23" t="s">
        <v>61</v>
      </c>
      <c r="CE1" s="23" t="s">
        <v>62</v>
      </c>
      <c r="CF1" s="23" t="s">
        <v>63</v>
      </c>
      <c r="CG1" s="23"/>
      <c r="CH1" s="23" t="s">
        <v>64</v>
      </c>
      <c r="CI1" s="23" t="s">
        <v>65</v>
      </c>
      <c r="CJ1" s="23" t="s">
        <v>66</v>
      </c>
      <c r="CK1" s="23" t="s">
        <v>67</v>
      </c>
      <c r="CL1" s="24" t="s">
        <v>68</v>
      </c>
      <c r="CM1" s="24" t="s">
        <v>69</v>
      </c>
      <c r="CN1" s="24" t="s">
        <v>70</v>
      </c>
      <c r="CO1" s="24" t="s">
        <v>71</v>
      </c>
      <c r="CP1" s="24" t="s">
        <v>72</v>
      </c>
      <c r="CQ1" s="24" t="s">
        <v>73</v>
      </c>
      <c r="CR1" s="24" t="s">
        <v>74</v>
      </c>
      <c r="CS1" s="24" t="s">
        <v>75</v>
      </c>
      <c r="CT1" s="1" t="s">
        <v>76</v>
      </c>
      <c r="CU1" s="25" t="s">
        <v>0</v>
      </c>
      <c r="CV1" s="5" t="s">
        <v>77</v>
      </c>
      <c r="CW1" s="14" t="s">
        <v>78</v>
      </c>
      <c r="CX1" s="14" t="s">
        <v>79</v>
      </c>
      <c r="CY1" s="14" t="s">
        <v>66</v>
      </c>
      <c r="CZ1" s="14" t="s">
        <v>80</v>
      </c>
      <c r="DA1" s="14" t="s">
        <v>81</v>
      </c>
      <c r="DB1" s="14" t="s">
        <v>82</v>
      </c>
      <c r="DC1" s="14" t="s">
        <v>83</v>
      </c>
      <c r="DD1" s="14" t="s">
        <v>84</v>
      </c>
      <c r="DE1" s="14" t="s">
        <v>85</v>
      </c>
      <c r="DF1" s="14" t="s">
        <v>86</v>
      </c>
      <c r="DG1" s="14" t="s">
        <v>87</v>
      </c>
      <c r="DH1" s="14" t="s">
        <v>88</v>
      </c>
      <c r="DI1" s="14" t="s">
        <v>89</v>
      </c>
      <c r="DJ1" s="14" t="s">
        <v>90</v>
      </c>
      <c r="DK1" s="14" t="s">
        <v>91</v>
      </c>
      <c r="DL1" s="14" t="s">
        <v>92</v>
      </c>
      <c r="DM1" s="14" t="s">
        <v>93</v>
      </c>
      <c r="DN1" s="14" t="s">
        <v>94</v>
      </c>
      <c r="DO1" s="14" t="s">
        <v>95</v>
      </c>
      <c r="DP1" s="14" t="s">
        <v>96</v>
      </c>
      <c r="DQ1" s="14" t="s">
        <v>97</v>
      </c>
      <c r="DR1" s="14" t="s">
        <v>56</v>
      </c>
      <c r="DS1" s="14" t="s">
        <v>98</v>
      </c>
      <c r="DT1" s="14" t="s">
        <v>99</v>
      </c>
      <c r="DU1" s="14" t="s">
        <v>100</v>
      </c>
      <c r="DV1" s="14" t="s">
        <v>101</v>
      </c>
      <c r="DW1" s="14" t="s">
        <v>102</v>
      </c>
      <c r="DX1" s="14" t="s">
        <v>103</v>
      </c>
      <c r="DY1" s="14" t="s">
        <v>104</v>
      </c>
      <c r="DZ1" s="14" t="s">
        <v>105</v>
      </c>
      <c r="EA1" s="14" t="s">
        <v>106</v>
      </c>
      <c r="EB1" s="14" t="s">
        <v>107</v>
      </c>
      <c r="EC1" s="14" t="s">
        <v>108</v>
      </c>
      <c r="ED1" s="14" t="s">
        <v>109</v>
      </c>
      <c r="EE1" s="15" t="s">
        <v>18</v>
      </c>
      <c r="EF1" s="14" t="s">
        <v>19</v>
      </c>
      <c r="EG1" s="14" t="s">
        <v>20</v>
      </c>
      <c r="EH1" s="14" t="s">
        <v>21</v>
      </c>
      <c r="EI1" s="14" t="s">
        <v>110</v>
      </c>
      <c r="EJ1" s="14" t="s">
        <v>23</v>
      </c>
      <c r="EK1" s="14" t="s">
        <v>111</v>
      </c>
      <c r="EL1" s="14" t="s">
        <v>112</v>
      </c>
      <c r="EM1" s="14" t="s">
        <v>26</v>
      </c>
      <c r="EN1" s="16" t="s">
        <v>27</v>
      </c>
      <c r="EO1" s="16" t="s">
        <v>28</v>
      </c>
      <c r="EP1" s="16" t="s">
        <v>29</v>
      </c>
      <c r="EQ1" s="16" t="s">
        <v>113</v>
      </c>
      <c r="ER1" s="16" t="s">
        <v>31</v>
      </c>
      <c r="ES1" s="16" t="s">
        <v>32</v>
      </c>
      <c r="ET1" s="16" t="s">
        <v>114</v>
      </c>
      <c r="EU1" s="16" t="s">
        <v>34</v>
      </c>
      <c r="EV1" s="16" t="s">
        <v>35</v>
      </c>
      <c r="EW1" s="16" t="s">
        <v>115</v>
      </c>
      <c r="EX1" s="16" t="s">
        <v>37</v>
      </c>
      <c r="EY1" s="16" t="s">
        <v>38</v>
      </c>
      <c r="EZ1" s="16" t="s">
        <v>39</v>
      </c>
      <c r="FA1" s="16" t="s">
        <v>116</v>
      </c>
      <c r="FB1" s="16" t="s">
        <v>117</v>
      </c>
      <c r="FC1" s="16" t="s">
        <v>118</v>
      </c>
      <c r="FD1" s="16" t="s">
        <v>54</v>
      </c>
      <c r="FE1" s="16" t="s">
        <v>119</v>
      </c>
      <c r="FF1" s="16" t="s">
        <v>120</v>
      </c>
      <c r="FG1" s="16" t="s">
        <v>121</v>
      </c>
      <c r="FH1" s="16" t="s">
        <v>122</v>
      </c>
      <c r="FI1" s="16" t="s">
        <v>123</v>
      </c>
      <c r="FJ1" s="16" t="s">
        <v>124</v>
      </c>
      <c r="FK1" s="16" t="s">
        <v>125</v>
      </c>
      <c r="FL1" s="16" t="s">
        <v>126</v>
      </c>
      <c r="FM1" s="16" t="s">
        <v>127</v>
      </c>
      <c r="FN1" s="16" t="s">
        <v>128</v>
      </c>
      <c r="FO1" s="16" t="s">
        <v>129</v>
      </c>
      <c r="FP1" s="16" t="s">
        <v>130</v>
      </c>
      <c r="FQ1" s="16" t="s">
        <v>131</v>
      </c>
      <c r="FR1" s="16" t="s">
        <v>132</v>
      </c>
      <c r="FS1" s="16" t="s">
        <v>133</v>
      </c>
      <c r="FT1" s="16" t="s">
        <v>134</v>
      </c>
      <c r="FU1" s="16" t="s">
        <v>44</v>
      </c>
      <c r="FV1" s="16" t="s">
        <v>135</v>
      </c>
      <c r="FW1" s="16" t="s">
        <v>58</v>
      </c>
      <c r="FX1" s="16" t="s">
        <v>136</v>
      </c>
      <c r="FY1" s="16" t="s">
        <v>137</v>
      </c>
      <c r="FZ1" s="16" t="s">
        <v>138</v>
      </c>
      <c r="GA1" s="16" t="s">
        <v>139</v>
      </c>
      <c r="GB1" s="16" t="s">
        <v>140</v>
      </c>
      <c r="GC1" s="16" t="s">
        <v>141</v>
      </c>
      <c r="GD1" s="16" t="s">
        <v>142</v>
      </c>
      <c r="GE1" s="16" t="s">
        <v>143</v>
      </c>
      <c r="GF1" s="16" t="s">
        <v>144</v>
      </c>
      <c r="GG1" s="16" t="s">
        <v>145</v>
      </c>
      <c r="GH1" s="16" t="s">
        <v>61</v>
      </c>
      <c r="GI1" s="16" t="s">
        <v>62</v>
      </c>
      <c r="GJ1" s="14" t="s">
        <v>146</v>
      </c>
      <c r="GK1" s="14" t="s">
        <v>147</v>
      </c>
      <c r="GL1" s="14" t="s">
        <v>148</v>
      </c>
      <c r="GM1" s="17" t="s">
        <v>149</v>
      </c>
      <c r="GN1" s="26" t="s">
        <v>150</v>
      </c>
      <c r="GO1" s="26" t="s">
        <v>151</v>
      </c>
      <c r="GP1" s="18" t="s">
        <v>41</v>
      </c>
      <c r="GQ1" s="18" t="s">
        <v>42</v>
      </c>
      <c r="GR1" s="18" t="s">
        <v>43</v>
      </c>
      <c r="GS1" s="21"/>
      <c r="GT1" s="27" t="s">
        <v>52</v>
      </c>
      <c r="GU1" s="27"/>
      <c r="GV1" s="27"/>
      <c r="GW1" s="27"/>
      <c r="GX1" s="28"/>
      <c r="GY1" s="28"/>
      <c r="GZ1" s="28"/>
      <c r="HA1" s="28"/>
      <c r="HB1" s="28"/>
      <c r="HC1" s="28"/>
      <c r="HD1" s="29" t="s">
        <v>13</v>
      </c>
      <c r="HE1" s="30" t="s">
        <v>152</v>
      </c>
      <c r="HF1" s="31"/>
      <c r="HG1" s="32"/>
      <c r="HK1" s="32" t="s">
        <v>4</v>
      </c>
      <c r="HP1" s="33" t="s">
        <v>153</v>
      </c>
      <c r="HQ1" s="33" t="s">
        <v>154</v>
      </c>
      <c r="HR1" s="33" t="s">
        <v>155</v>
      </c>
      <c r="HS1" s="33" t="s">
        <v>156</v>
      </c>
      <c r="HT1" s="33" t="s">
        <v>157</v>
      </c>
      <c r="HU1" s="33" t="s">
        <v>158</v>
      </c>
      <c r="HV1" s="33" t="s">
        <v>159</v>
      </c>
      <c r="HW1" s="33" t="s">
        <v>160</v>
      </c>
      <c r="HX1" s="34" t="s">
        <v>161</v>
      </c>
      <c r="IA1" s="14" t="s">
        <v>162</v>
      </c>
      <c r="IB1" s="35" t="s">
        <v>163</v>
      </c>
      <c r="IC1" s="36" t="s">
        <v>153</v>
      </c>
      <c r="ID1" s="36" t="s">
        <v>154</v>
      </c>
      <c r="IE1" s="36" t="s">
        <v>156</v>
      </c>
      <c r="IF1" s="37" t="s">
        <v>161</v>
      </c>
      <c r="IG1" s="36" t="s">
        <v>157</v>
      </c>
      <c r="IH1" s="36" t="s">
        <v>158</v>
      </c>
      <c r="II1" s="36" t="s">
        <v>155</v>
      </c>
      <c r="IJ1" s="36" t="s">
        <v>159</v>
      </c>
      <c r="IK1" s="36" t="s">
        <v>160</v>
      </c>
      <c r="IO1" s="33" t="s">
        <v>153</v>
      </c>
      <c r="IP1" s="33" t="s">
        <v>154</v>
      </c>
      <c r="IQ1" s="33" t="s">
        <v>155</v>
      </c>
      <c r="IR1" s="33" t="s">
        <v>156</v>
      </c>
      <c r="IS1" s="33" t="s">
        <v>157</v>
      </c>
      <c r="IT1" s="33" t="s">
        <v>158</v>
      </c>
      <c r="IU1" s="33" t="s">
        <v>159</v>
      </c>
      <c r="IV1" s="33" t="s">
        <v>160</v>
      </c>
      <c r="IW1" s="34" t="s">
        <v>161</v>
      </c>
      <c r="IY1" s="5" t="s">
        <v>164</v>
      </c>
    </row>
    <row r="2" spans="1:259" s="44" customFormat="1" ht="38.4" customHeight="1" thickBot="1" x14ac:dyDescent="0.35">
      <c r="A2" s="77" t="s">
        <v>223</v>
      </c>
      <c r="B2" s="78" t="e" vm="96">
        <v>#VALUE!</v>
      </c>
      <c r="C2" s="39">
        <v>1</v>
      </c>
      <c r="D2" s="70" t="s">
        <v>224</v>
      </c>
      <c r="E2" s="40" t="s">
        <v>225</v>
      </c>
      <c r="F2" s="41" t="s">
        <v>165</v>
      </c>
      <c r="G2" s="42">
        <f t="shared" ref="G2:G7" si="0">COUNTIF($A$1:$A$8344,A2)</f>
        <v>1</v>
      </c>
      <c r="H2" s="43"/>
      <c r="I2" s="59" t="s">
        <v>226</v>
      </c>
      <c r="J2" s="44" t="str">
        <f>""</f>
        <v/>
      </c>
      <c r="K2" s="45">
        <v>308000</v>
      </c>
      <c r="L2" s="46">
        <v>304000</v>
      </c>
      <c r="M2" s="46" t="s">
        <v>1156</v>
      </c>
      <c r="N2" s="47" t="s">
        <v>177</v>
      </c>
      <c r="O2" s="74" t="s">
        <v>188</v>
      </c>
      <c r="P2" s="48" t="s">
        <v>227</v>
      </c>
      <c r="Q2" s="73">
        <v>2</v>
      </c>
      <c r="R2" s="49" t="s">
        <v>177</v>
      </c>
      <c r="S2" s="50">
        <v>3</v>
      </c>
      <c r="T2" s="51" t="s">
        <v>166</v>
      </c>
      <c r="U2" s="52" t="s">
        <v>166</v>
      </c>
      <c r="V2" s="52" t="s">
        <v>167</v>
      </c>
      <c r="W2" s="52" t="s">
        <v>166</v>
      </c>
      <c r="X2" s="52" t="s">
        <v>167</v>
      </c>
      <c r="Y2" s="52" t="s">
        <v>166</v>
      </c>
      <c r="Z2" s="52" t="s">
        <v>166</v>
      </c>
      <c r="AA2" s="52" t="s">
        <v>166</v>
      </c>
      <c r="AB2" s="52" t="s">
        <v>166</v>
      </c>
      <c r="AC2" s="52" t="s">
        <v>166</v>
      </c>
      <c r="AD2" s="52" t="s">
        <v>167</v>
      </c>
      <c r="AE2" s="52" t="s">
        <v>166</v>
      </c>
      <c r="AF2" s="53" t="s">
        <v>166</v>
      </c>
      <c r="AG2" s="53" t="s">
        <v>167</v>
      </c>
      <c r="AH2" s="53" t="s">
        <v>167</v>
      </c>
      <c r="AI2" s="53" t="s">
        <v>166</v>
      </c>
      <c r="AJ2" s="53" t="s">
        <v>166</v>
      </c>
      <c r="AK2" s="53" t="s">
        <v>166</v>
      </c>
      <c r="AL2" s="53" t="s">
        <v>167</v>
      </c>
      <c r="AM2" s="53" t="s">
        <v>166</v>
      </c>
      <c r="AN2" s="53" t="s">
        <v>167</v>
      </c>
      <c r="AO2" s="53" t="s">
        <v>166</v>
      </c>
      <c r="AP2" s="53" t="s">
        <v>167</v>
      </c>
      <c r="AQ2" s="53" t="s">
        <v>166</v>
      </c>
      <c r="AR2" s="53" t="s">
        <v>166</v>
      </c>
      <c r="AS2" s="53" t="s">
        <v>167</v>
      </c>
      <c r="AT2" s="54">
        <v>0</v>
      </c>
      <c r="AU2" s="53"/>
      <c r="AV2" s="53" t="str">
        <f t="shared" ref="AV2:AV7" si="1">IF(LEFT(A2,1)="[",LEFT(A2,5)&amp;AU2&amp;A2,"")</f>
        <v/>
      </c>
      <c r="AW2" s="53" t="str">
        <f t="shared" ref="AW2:AW7" si="2">C2&amp;H2&amp;A2</f>
        <v>1French Polynesia</v>
      </c>
      <c r="AX2" s="55" t="str">
        <f>_xlfn.TEXTJOIN(";",TRUE,AU2:AW2)</f>
        <v>1French Polynesia</v>
      </c>
      <c r="AY2" s="55" t="s">
        <v>167</v>
      </c>
      <c r="AZ2" s="56"/>
      <c r="BA2" s="56"/>
      <c r="BB2" s="56"/>
      <c r="BC2" s="57"/>
      <c r="BD2" s="58" t="s">
        <v>156</v>
      </c>
      <c r="BE2" s="59"/>
      <c r="BF2" s="58" t="s">
        <v>156</v>
      </c>
      <c r="BG2" s="58" t="s">
        <v>161</v>
      </c>
      <c r="BH2" s="58" t="s">
        <v>156</v>
      </c>
      <c r="BI2" s="58"/>
      <c r="BJ2" s="58"/>
      <c r="BK2" s="59"/>
      <c r="BL2" s="58" t="s">
        <v>156</v>
      </c>
      <c r="BM2" s="58" t="s">
        <v>161</v>
      </c>
      <c r="BN2" s="58" t="s">
        <v>154</v>
      </c>
      <c r="BO2" s="58" t="s">
        <v>158</v>
      </c>
      <c r="BP2" s="58"/>
      <c r="BQ2" s="58"/>
      <c r="BR2" s="58"/>
      <c r="BS2" s="58"/>
      <c r="BT2" s="58"/>
      <c r="BU2" s="60"/>
      <c r="BV2" s="61" t="s">
        <v>168</v>
      </c>
      <c r="BW2" s="61" t="s">
        <v>170</v>
      </c>
      <c r="BX2" s="59"/>
      <c r="CB2" s="5" t="s">
        <v>139</v>
      </c>
      <c r="CC2" s="5"/>
      <c r="CD2" s="62">
        <v>0</v>
      </c>
      <c r="CE2" s="62">
        <v>0</v>
      </c>
      <c r="CF2" s="62" t="e">
        <v>#REF!</v>
      </c>
      <c r="CG2" s="75" cm="1">
        <f t="array" ref="CG2">SUMPRODUCT(--(LEN(TRIM(BL2:BT2))&gt;0))</f>
        <v>4</v>
      </c>
      <c r="CH2" s="53" t="str">
        <f t="shared" ref="CH2:CH7" si="3">IF(CG2=2,"y","n")</f>
        <v>n</v>
      </c>
      <c r="CI2" s="53" t="str">
        <f t="shared" ref="CI2:CI7" si="4">IF(CG2=3,"y","n")</f>
        <v>n</v>
      </c>
      <c r="CJ2" s="53" t="str">
        <f t="shared" ref="CJ2:CJ7" si="5">IF(CG2=4,"y","n")</f>
        <v>y</v>
      </c>
      <c r="CK2" s="53" t="str">
        <f t="shared" ref="CK2:CK7" si="6">IF(CG2&gt;4,"y","n")</f>
        <v>n</v>
      </c>
      <c r="CL2" s="53" t="str">
        <f t="shared" ref="CL2:CL7" si="7">IF(S2=0,"y","n")</f>
        <v>n</v>
      </c>
      <c r="CM2" s="53" t="str">
        <f t="shared" ref="CM2:CM7" si="8">IF(S2=2,"y","n")</f>
        <v>n</v>
      </c>
      <c r="CN2" s="53" t="str">
        <f t="shared" ref="CN2:CN7" si="9">IF(S2=3,"y","n")</f>
        <v>y</v>
      </c>
      <c r="CO2" s="53" t="str">
        <f t="shared" ref="CO2:CO7" si="10">IF(S2&gt;=4,"y","n")</f>
        <v>n</v>
      </c>
      <c r="CP2" s="53" t="str">
        <f t="shared" ref="CP2:CP7" si="11">IF(AT2=0,"y","n")</f>
        <v>y</v>
      </c>
      <c r="CQ2" s="53" t="str">
        <f t="shared" ref="CQ2:CQ7" si="12">IF(AT2=1,"y","n")</f>
        <v>n</v>
      </c>
      <c r="CR2" s="53" t="str">
        <f t="shared" ref="CR2:CR7" si="13">IF(AT2=2,"y","n")</f>
        <v>n</v>
      </c>
      <c r="CS2" s="53" t="str">
        <f t="shared" ref="CS2:CS7" si="14">IF(AT2&gt;=3,"y","n")</f>
        <v>n</v>
      </c>
      <c r="CT2" s="38" t="str">
        <f t="shared" ref="CT2:CT7" si="15">CHAR(34)&amp;A2&amp;CHAR(34)</f>
        <v>"French Polynesia"</v>
      </c>
      <c r="CU2" s="63" t="str">
        <f t="shared" ref="CU2:CU7" si="16">CHAR(34)&amp;"rgn_"&amp;R2&amp;CHAR(34)</f>
        <v>"rgn_Oceania"</v>
      </c>
      <c r="CV2" s="44" t="str">
        <f t="shared" ref="CV2:CV7" si="17">CHAR(34)&amp;D2&amp;CHAR(34)</f>
        <v>"https://i.ibb.co/jZ2wfRj/Tahiti-Flag.png"</v>
      </c>
      <c r="CW2" s="44" t="str">
        <f t="shared" ref="CW2:CZ7" si="18">IF(CH2="y",CHAR(34)&amp;CH$1&amp;CHAR(34)&amp;",","")</f>
        <v/>
      </c>
      <c r="CX2" s="44" t="str">
        <f t="shared" si="18"/>
        <v/>
      </c>
      <c r="CY2" s="44" t="str">
        <f t="shared" si="18"/>
        <v>"4Color",</v>
      </c>
      <c r="CZ2" s="44" t="str">
        <f t="shared" si="18"/>
        <v/>
      </c>
      <c r="DA2" s="44" t="str">
        <f t="shared" ref="DA2:DA7" si="19">IF(Q2&gt;1,CHAR(34)&amp;"words2"&amp;CHAR(34)&amp;",","")</f>
        <v>"words2",</v>
      </c>
      <c r="DB2" s="44" t="str">
        <f t="shared" ref="DB2:DB7" si="20">IF(Q2&gt;2,CHAR(34)&amp;"words3"&amp;CHAR(34)&amp;",","")</f>
        <v/>
      </c>
      <c r="DC2" s="44" t="str">
        <f t="shared" ref="DC2:DC7" si="21">IF(Q2=2,CHAR(34)&amp;"exact2"&amp;CHAR(34)&amp;",","")</f>
        <v>"exact2",</v>
      </c>
      <c r="DD2" s="44" t="str">
        <f t="shared" ref="DD2:DD7" si="22">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"lets15",</v>
      </c>
      <c r="DE2" s="44" t="str">
        <f t="shared" ref="DE2:DE7" si="23">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"startF",</v>
      </c>
      <c r="DF2" s="44" t="str">
        <f t="shared" ref="DF2:DF7" si="24">IFERROR(IF(SEARCH("tan",A2)&gt;0,CHAR(34)&amp;"withtn"&amp;CHAR(34)&amp;",",""),"")</f>
        <v/>
      </c>
      <c r="DG2" s="44" t="str">
        <f t="shared" ref="DG2:DG7" si="25">IFERROR(IF(SEARCH("q",A2)&gt;0,CHAR(34)&amp;"with_q"&amp;CHAR(34)&amp;",",""),"")</f>
        <v/>
      </c>
      <c r="DH2" s="44" t="str">
        <f t="shared" ref="DH2:DH7" si="26">IFERROR(IF(SEARCH("v",A2)&gt;0,CHAR(34)&amp;"with_v"&amp;CHAR(34)&amp;",",""),"")</f>
        <v/>
      </c>
      <c r="DI2" s="44" t="str">
        <f t="shared" ref="DI2:DI7" si="27">IFERROR(IF(SEARCH("w",A2)&gt;0,CHAR(34)&amp;"with_w"&amp;CHAR(34)&amp;",",""),"")</f>
        <v/>
      </c>
      <c r="DJ2" s="44" t="str">
        <f t="shared" ref="DJ2:DJ7" si="28">IFERROR(IF(SEARCH("y",A2)&gt;0,CHAR(34)&amp;"with_y"&amp;CHAR(34)&amp;",",""),"")</f>
        <v>"with_y",</v>
      </c>
      <c r="DK2" s="44" t="str">
        <f t="shared" ref="DK2:DK7" si="29">IFERROR(IF(SEARCH("z",A2)&gt;0,CHAR(34)&amp;"with_z"&amp;CHAR(34)&amp;",",""),"")</f>
        <v/>
      </c>
      <c r="DL2" s="44" t="str">
        <f t="shared" ref="DL2:DL7" si="30">IF(CG2=2, CHAR(34) &amp; _xlfn.TEXTJOIN("", TRUE, _xlfn._xlws.SORT(HP2:HX2)) &amp; CHAR(34) &amp; ",", "")</f>
        <v/>
      </c>
      <c r="DM2" s="44" t="str" cm="1">
        <f t="array" ref="DM2">IF(CG2=3,CHAR(34) &amp; _xlfn.TEXTJOIN("", TRUE, RIGHT(HP2:HX2, 2)) &amp; CHAR(34) &amp; ",", "")</f>
        <v/>
      </c>
      <c r="DN2" s="44" t="str">
        <f t="shared" ref="DN2:DN7" si="31">IF(AND(ISNUMBER(SEARCH("18", O2)), ISERROR(SEARCH("1918", O2)), ISERROR(SEARCH("2018", O2))), CHAR(34) &amp; "year18" &amp; CHAR(34) &amp; ",", "")</f>
        <v/>
      </c>
      <c r="DO2" s="44" t="str">
        <f t="shared" ref="DO2:DO7" si="32">IF(AND(ISNUMBER(SEARCH("19", O2)), ISERROR(SEARCH("1819", O2)),  ISERROR(SEARCH("1219", O2)),ISERROR(SEARCH("1119", O2)),ISERROR(SEARCH("1190", O2)),ISERROR(SEARCH("2019", O2))), CHAR(34) &amp; "year19" &amp; CHAR(34) &amp; ",", "")</f>
        <v>"year19",</v>
      </c>
      <c r="DP2" s="5" t="str">
        <f t="shared" ref="DP2:DP7" si="33">IF(AND(ISNUMBER(SEARCH("20", O2)), ISERROR(SEARCH("1920", O2))), CHAR(34)&amp;"year00"&amp;CHAR(34)&amp;",", "")</f>
        <v/>
      </c>
      <c r="DQ2" s="5" t="str">
        <f t="shared" ref="DQ2:DQ7" si="34">IF(CC2="y",CHAR(34)&amp;"soviet"&amp;CHAR(34)&amp;",","")</f>
        <v/>
      </c>
      <c r="DR2" s="5" t="str">
        <f t="shared" ref="DR2:DR7" si="35">IF(BY2="y",CHAR(34)&amp;"dgband"&amp;CHAR(34)&amp;",","")</f>
        <v/>
      </c>
      <c r="DS2" s="5" t="str">
        <f t="shared" ref="DS2:DS7" si="36">IF(W2="y",IF(AND(V2="n",BY2&lt;&gt;"y"),CHAR(34)&amp;"allver"&amp;CHAR(34)&amp;",",""),"")</f>
        <v/>
      </c>
      <c r="DT2" s="5" t="str">
        <f t="shared" ref="DT2:DT7" si="37">IF(V2="y",IF(AND(W2="n",BY2&lt;&gt;"y"),CHAR(34)&amp;"allhor"&amp;CHAR(34)&amp;",",""),"")</f>
        <v>"allhor",</v>
      </c>
      <c r="DU2" s="5" t="str">
        <f t="shared" ref="DU2:DU7" si="38">IF(BY2="y",IF(AND(W2="n",V2="n"),CHAR(34)&amp;"alldia"&amp;CHAR(34)&amp;",",""),"")</f>
        <v/>
      </c>
      <c r="DV2" s="44" t="str">
        <f t="shared" ref="DV2:DV7" si="39">IF(IA2&lt;&gt;"",(IF(IA2="y",CHAR(34)&amp;"largec"&amp;CHAR(34)&amp;",",CHAR(34)&amp;"smallc"&amp;CHAR(34)&amp;",")),"")</f>
        <v/>
      </c>
      <c r="DW2" s="44" t="str">
        <f t="shared" ref="DW2:DZ7" si="40">IF(CL2="y",CHAR(34)&amp;CL$1&amp;CHAR(34)&amp;",","")</f>
        <v/>
      </c>
      <c r="DX2" s="44" t="str">
        <f t="shared" si="40"/>
        <v/>
      </c>
      <c r="DY2" s="44" t="str">
        <f t="shared" si="40"/>
        <v>"3Bands",</v>
      </c>
      <c r="DZ2" s="44" t="str">
        <f t="shared" si="40"/>
        <v/>
      </c>
      <c r="EA2" s="44" t="str">
        <f t="shared" ref="EA2:EE7" si="41">IF(T2="y",CHAR(34)&amp;T$1&amp;CHAR(34)&amp;",","")</f>
        <v/>
      </c>
      <c r="EB2" s="44" t="str">
        <f t="shared" si="41"/>
        <v/>
      </c>
      <c r="EC2" s="44" t="str">
        <f t="shared" si="41"/>
        <v>"Horizo",</v>
      </c>
      <c r="ED2" s="44" t="str">
        <f t="shared" si="41"/>
        <v/>
      </c>
      <c r="EE2" s="44" t="str">
        <f t="shared" si="41"/>
        <v>"Circle",</v>
      </c>
      <c r="EF2" s="44" t="str">
        <f t="shared" ref="EF2:EF7" si="42">IF(AND(Y2&lt;&gt;"n",Y2&lt;&gt;""),CHAR(34)&amp;Y$1&amp;CHAR(34)&amp;",","")</f>
        <v/>
      </c>
      <c r="EG2" s="44" t="str">
        <f t="shared" ref="EG2:EP7" si="43">IF(Z2="y",CHAR(34)&amp;Z$1&amp;CHAR(34)&amp;",","")</f>
        <v/>
      </c>
      <c r="EH2" s="44" t="str">
        <f t="shared" si="43"/>
        <v/>
      </c>
      <c r="EI2" s="44" t="str">
        <f t="shared" si="43"/>
        <v/>
      </c>
      <c r="EJ2" s="44" t="str">
        <f t="shared" si="43"/>
        <v/>
      </c>
      <c r="EK2" s="44" t="str">
        <f t="shared" si="43"/>
        <v>"HasSun",</v>
      </c>
      <c r="EL2" s="44" t="str">
        <f t="shared" si="43"/>
        <v/>
      </c>
      <c r="EM2" s="44" t="str">
        <f t="shared" si="43"/>
        <v/>
      </c>
      <c r="EN2" s="44" t="str">
        <f t="shared" si="43"/>
        <v>"Unequa",</v>
      </c>
      <c r="EO2" s="44" t="str">
        <f t="shared" si="43"/>
        <v>"Center",</v>
      </c>
      <c r="EP2" s="44" t="str">
        <f t="shared" si="43"/>
        <v/>
      </c>
      <c r="EQ2" s="44" t="str">
        <f t="shared" ref="EQ2:EZ7" si="44">IF(AJ2="y",CHAR(34)&amp;AJ$1&amp;CHAR(34)&amp;",","")</f>
        <v/>
      </c>
      <c r="ER2" s="44" t="str">
        <f t="shared" si="44"/>
        <v/>
      </c>
      <c r="ES2" s="44" t="str">
        <f t="shared" si="44"/>
        <v>"Wavess",</v>
      </c>
      <c r="ET2" s="44" t="str">
        <f t="shared" si="44"/>
        <v/>
      </c>
      <c r="EU2" s="44" t="str">
        <f t="shared" si="44"/>
        <v>"Humans",</v>
      </c>
      <c r="EV2" s="44" t="str">
        <f t="shared" si="44"/>
        <v/>
      </c>
      <c r="EW2" s="44" t="str">
        <f t="shared" si="44"/>
        <v>"Ships!",</v>
      </c>
      <c r="EX2" s="44" t="str">
        <f t="shared" si="44"/>
        <v/>
      </c>
      <c r="EY2" s="44" t="str">
        <f t="shared" si="44"/>
        <v/>
      </c>
      <c r="EZ2" s="44" t="str">
        <f t="shared" si="44"/>
        <v>"Waters",</v>
      </c>
      <c r="FA2" s="44" t="str">
        <f t="shared" ref="FA2:FA7" si="45">IF(AT2&gt;0,CHAR(34)&amp;"sta"&amp;AZ2&amp;CHAR(34)&amp;",","")</f>
        <v/>
      </c>
      <c r="FB2" s="44" t="str">
        <f t="shared" ref="FB2:FB7" si="46">IF(AND(AT2&gt;0,BA2&lt;&gt;""),CHAR(34)&amp;"sta"&amp;BA2&amp;CHAR(34)&amp;",","")</f>
        <v/>
      </c>
      <c r="FC2" s="44" t="str">
        <f t="shared" ref="FC2:FC7" si="47">IF(AND(AT2&gt;0,BB2&lt;&gt;""),CHAR(34)&amp;"sta"&amp;BB2&amp;CHAR(34)&amp;",","")</f>
        <v/>
      </c>
      <c r="FD2" s="44" t="str">
        <f t="shared" ref="FD2:FD7" si="48">IF(BV2="n",CHAR(34)&amp;"tcWHYE"&amp;CHAR(34)&amp;",",IF(BV2="y",CHAR(34)&amp;FD$1&amp;CHAR(34)&amp;",",""))</f>
        <v/>
      </c>
      <c r="FE2" s="44" t="str">
        <f t="shared" ref="FE2:FE7" si="49">IF(COUNTIF(BL2:BT2,"BLU")=0,CHAR(34)&amp;"NO_BLU"&amp;CHAR(34)&amp;",", "")</f>
        <v/>
      </c>
      <c r="FF2" s="44" t="str">
        <f t="shared" ref="FF2:FF7" si="50">IF(COUNTIF(BL2:BT2,"WHI")=0,CHAR(34)&amp;"NO_WHI"&amp;CHAR(34)&amp;",", "")</f>
        <v/>
      </c>
      <c r="FG2" s="44" t="str">
        <f t="shared" ref="FG2:FG7" si="51">IF(COUNTIF(BL2:BT2,"RED")=0,CHAR(34)&amp;"NO_RED"&amp;CHAR(34)&amp;",", "")</f>
        <v/>
      </c>
      <c r="FH2" s="44" t="str">
        <f t="shared" ref="FH2:FH7" si="52">IF(COUNTIF(BL2:BS2,"GRE")=0,CHAR(34)&amp;"NO_GRE"&amp;CHAR(34)&amp;",", "")</f>
        <v>"NO_GRE",</v>
      </c>
      <c r="FI2" s="44" t="str">
        <f t="shared" ref="FI2:FI7" si="53">IF(COUNTIF(BL2:BT2,"YEL")=0,CHAR(34)&amp;"NO_YEL"&amp;CHAR(34)&amp;",", "")</f>
        <v>"NO_YEL",</v>
      </c>
      <c r="FJ2" s="44" t="str">
        <f t="shared" ref="FJ2:FJ7" si="54">IF(COUNTIF(BL2:BT2,"BLA")=0,CHAR(34)&amp;"NO_BLA"&amp;CHAR(34)&amp;",", "")</f>
        <v>"NO_BLA",</v>
      </c>
      <c r="FK2" s="44" t="str">
        <f t="shared" ref="FK2:FK7" si="55">IF(AND(FH2&lt;&gt;"",FF2&lt;&gt;""),CHAR(34)&amp;"WHGRNO"&amp;CHAR(34)&amp;",","")</f>
        <v/>
      </c>
      <c r="FL2" s="44" t="str">
        <f t="shared" ref="FL2:FL7" si="56">IF(AND(FI2&lt;&gt;"",FF2&lt;&gt;""),CHAR(34)&amp;"WHYENO"&amp;CHAR(34)&amp;",","")</f>
        <v/>
      </c>
      <c r="FM2" s="44" t="str">
        <f t="shared" ref="FM2:FM7" si="57">IF(AND(FJ2&lt;&gt;"",FF2&lt;&gt;""),CHAR(34)&amp;"BAWHNO"&amp;CHAR(34)&amp;",","")</f>
        <v/>
      </c>
      <c r="FN2" s="44" t="str">
        <f t="shared" ref="FN2:FN7" si="58">IF(AND(FE2&lt;&gt;"",FF2&lt;&gt;""),CHAR(34)&amp;"BLWHNO"&amp;CHAR(34)&amp;",","")</f>
        <v/>
      </c>
      <c r="FO2" s="44" t="str">
        <f t="shared" ref="FO2:FO7" si="59">IF(AND(FE2&lt;&gt;"",FG2&lt;&gt;""),CHAR(34)&amp;"BLRENO"&amp;CHAR(34)&amp;",","")</f>
        <v/>
      </c>
      <c r="FP2" s="44" t="str">
        <f t="shared" ref="FP2:FP7" si="60">IF(AND(FF2&lt;&gt;"",FF2&lt;&gt;""),CHAR(34)&amp;"WHRENO"&amp;CHAR(34)&amp;",","")</f>
        <v/>
      </c>
      <c r="FQ2" s="44" t="str">
        <f t="shared" ref="FQ2:FQ7" si="61">IF(LEN(BF2)=3,CHAR(34)&amp;"001"&amp;BF2&amp;CHAR(34)&amp;",","")</f>
        <v>"001RED",</v>
      </c>
      <c r="FR2" s="44" t="str">
        <f t="shared" ref="FR2:FR7" si="62">IF(LEN(BG2)=3,CHAR(34)&amp;"002"&amp;BG2&amp;CHAR(34)&amp;",","")</f>
        <v>"002WHI",</v>
      </c>
      <c r="FS2" s="44" t="str">
        <f t="shared" ref="FS2:FS7" si="63">IF(LEN(BH2)=3,CHAR(34)&amp;"003"&amp;BH2&amp;CHAR(34)&amp;",","")</f>
        <v>"003RED",</v>
      </c>
      <c r="FT2" s="44" t="str">
        <f t="shared" ref="FT2:FT7" si="64">CHAR(34)&amp;"myr"&amp;BD2&amp;CHAR(34)&amp;","</f>
        <v>"myrRED",</v>
      </c>
      <c r="FU2" s="44" t="str">
        <f t="shared" ref="FU2:FU7" si="65">IF(AY2="y",CHAR(34)&amp;"island"&amp;CHAR(34)&amp;",","")</f>
        <v>"island",</v>
      </c>
      <c r="FV2" s="44" t="str">
        <f t="shared" ref="FV2:FV7" si="66">IF(BZ2="y",CHAR(34)&amp;"landlo"&amp;CHAR(34)&amp;",","")</f>
        <v/>
      </c>
      <c r="FW2" s="44" t="str">
        <f t="shared" ref="FW2:FW7" si="67">IF(CA2="y",CHAR(34)&amp;"eunion"&amp;CHAR(34)&amp;",","")</f>
        <v/>
      </c>
      <c r="FX2" s="44" t="str">
        <f t="shared" ref="FX2:FX7" si="68">SUBSTITUTE(IFERROR(SEARCH("[",A2),IFERROR(IF(AND(CA2&lt;&gt;"y",SEARCH("Europe",R2)&gt;0),CHAR(34)&amp;"noeuni"&amp;CHAR(34)&amp;",",""),"")),"1","")</f>
        <v/>
      </c>
      <c r="FY2" s="44" t="str">
        <f t="shared" ref="FY2:FY7" si="69">IFERROR(IF(SEARCH("Arabic",CB2)&gt;0,CHAR(34)&amp;"arabic"&amp;CHAR(34)&amp;",",""),"")</f>
        <v/>
      </c>
      <c r="FZ2" s="44" t="str">
        <f t="shared" ref="FZ2:FZ7" si="70">IFERROR(IF(SEARCH("English",CB2)&gt;0,CHAR(34)&amp;"englis"&amp;CHAR(34)&amp;",",""),"")</f>
        <v/>
      </c>
      <c r="GA2" s="44" t="str">
        <f t="shared" ref="GA2:GA7" si="71">IFERROR(IF(SEARCH("French",CB2)&gt;0,CHAR(34)&amp;"french"&amp;CHAR(34)&amp;",",""),"")</f>
        <v>"french",</v>
      </c>
      <c r="GB2" s="44" t="str">
        <f t="shared" ref="GB2:GB7" si="72">IFERROR(IF(SEARCH("Spanish",CB2)&gt;0,CHAR(34)&amp;"spanis"&amp;CHAR(34)&amp;",",""),"")</f>
        <v/>
      </c>
      <c r="GC2" s="44" t="str">
        <f t="shared" ref="GC2:GC7" si="73">IFERROR(IF(SEARCH("Portuguese",CB2)&gt;0,CHAR(34)&amp;"portug"&amp;CHAR(34)&amp;",",""),"")</f>
        <v/>
      </c>
      <c r="GD2" s="44" t="str">
        <f t="shared" ref="GD2:GD7" si="74">IFERROR(IF(SEARCH("German",CB2)&gt;0,CHAR(34)&amp;"german"&amp;CHAR(34)&amp;",",""),"")</f>
        <v/>
      </c>
      <c r="GE2" s="44" t="str">
        <f t="shared" ref="GE2:GE33" si="75">IFERROR(IF(SEARCH("Dutch",CB2)&gt;0,CHAR(34)&amp;"dutchs"&amp;CHAR(34)&amp;",",""),"")</f>
        <v/>
      </c>
      <c r="GF2" s="44" t="str">
        <f>IFERROR(IF(SEARCH("Histor",AU2)&gt;0,CHAR(34)&amp;"histor"&amp;CHAR(34)&amp;",",""),"")</f>
        <v/>
      </c>
      <c r="GG2" s="44" t="str">
        <f t="shared" ref="GG2:GG33" si="76">IF(BU2="y",CHAR(34)&amp;"unjack"&amp;CHAR(34)&amp;",","")</f>
        <v/>
      </c>
      <c r="GH2" s="44" t="str">
        <f t="shared" ref="GH2:GH33" si="77">IF(CD2=1,CHAR(34)&amp;"southc"&amp;CHAR(34)&amp;",","")</f>
        <v/>
      </c>
      <c r="GI2" s="44" t="str">
        <f t="shared" ref="GI2:GI33" si="78">IF(CE2=1,CHAR(34)&amp;"hasmap"&amp;CHAR(34)&amp;",","")</f>
        <v/>
      </c>
      <c r="GJ2" s="44" t="str">
        <f t="shared" ref="GJ2:GJ7" si="79">IF(CP2="y",CHAR(34)&amp;CP$1&amp;CHAR(34)&amp;",","")</f>
        <v>"NoStar",</v>
      </c>
      <c r="GK2" s="44" t="str">
        <f t="shared" ref="GK2:GK7" si="80">IF(GJ2="",CHAR(34)&amp;"HasSta"&amp;CHAR(34)&amp;",","")</f>
        <v/>
      </c>
      <c r="GL2" s="44" t="str">
        <f t="shared" ref="GL2:GN7" si="81">IF(CQ2="y",CHAR(34)&amp;CQ$1&amp;CHAR(34)&amp;",","")</f>
        <v/>
      </c>
      <c r="GM2" s="44" t="str">
        <f t="shared" si="81"/>
        <v/>
      </c>
      <c r="GN2" s="44" t="str">
        <f t="shared" si="81"/>
        <v/>
      </c>
      <c r="GP2" s="44" t="str">
        <f t="shared" ref="GP2:GP7" si="82">CHAR(34)&amp;AU2&amp;CHAR(34)</f>
        <v>""</v>
      </c>
      <c r="GS2" s="44" t="str">
        <f t="shared" ref="GS2:GS7" si="83">SUBSTITUTE("["&amp;_xlfn.CONCAT(CW2:GN2)&amp;"]",",]","]")</f>
        <v>["4Color","words2","exact2","lets15","startF","with_y","year19","allhor","3Bands","Horizo","Circle","HasSun","Unequa","Center","Wavess","Humans","Ships!","Waters","NO_GRE","NO_YEL","NO_BLA","001RED","002WHI","003RED","myrRED","island","french","NoStar"]</v>
      </c>
      <c r="GT2" s="44" t="str">
        <f t="shared" ref="GT2:HB7" si="84">IF(BL2&lt;&gt;"",CHAR(34)&amp;"cl_"&amp;BL2&amp;CHAR(34)&amp;",","")</f>
        <v>"cl_RED",</v>
      </c>
      <c r="GU2" s="44" t="str">
        <f t="shared" si="84"/>
        <v>"cl_WHI",</v>
      </c>
      <c r="GV2" s="44" t="str">
        <f t="shared" si="84"/>
        <v>"cl_BLU",</v>
      </c>
      <c r="GW2" s="44" t="str">
        <f t="shared" si="84"/>
        <v>"cl_ORA",</v>
      </c>
      <c r="GX2" s="44" t="str">
        <f t="shared" si="84"/>
        <v/>
      </c>
      <c r="GY2" s="44" t="str">
        <f t="shared" si="84"/>
        <v/>
      </c>
      <c r="GZ2" s="44" t="str">
        <f t="shared" si="84"/>
        <v/>
      </c>
      <c r="HA2" s="44" t="str">
        <f t="shared" si="84"/>
        <v/>
      </c>
      <c r="HB2" s="44" t="str">
        <f t="shared" si="84"/>
        <v/>
      </c>
      <c r="HC2" s="44" t="str">
        <f t="shared" ref="HC2:HC7" si="85">SUBSTITUTE("["&amp;_xlfn.CONCAT(GT2:HB2)&amp;"]",",]","]")</f>
        <v>["cl_RED","cl_WHI","cl_BLU","cl_ORA"]</v>
      </c>
      <c r="HE2" s="64"/>
      <c r="HF2" s="65" t="str">
        <f t="shared" ref="HF2:HF7" si="86">"{couname:"&amp;CT2&amp;(IF(HK2&lt;&gt;"",",subtype:"&amp;CHAR(34)&amp;HK2&amp;CHAR(34),""))&amp;",year:"&amp;HJ2&amp;",region:"&amp;CU2&amp;",Colors:"&amp;HC2&amp;",Items:"&amp;GS2&amp;",Flag:"&amp;CV2&amp;",HDFlag:"&amp;CHAR(34)&amp;E2&amp;CHAR(34)&amp;",type:"&amp;GP2&amp;", describe: "&amp;HH2&amp;", isnew:"&amp;CHAR(34)&amp;F2&amp;CHAR(34)&amp;", links: "&amp;HL2&amp;"},"</f>
        <v>{couname:"French Polynesia",year:"1984 ",region:"rgn_Oceania",Colors:["cl_RED","cl_WHI","cl_BLU","cl_ORA"],Items:["4Color","words2","exact2","lets15","startF","with_y","year19","allhor","3Bands","Horizo","Circle","HasSun","Unequa","Center","Wavess","Humans","Ships!","Waters","NO_GRE","NO_YEL","NO_BLA","001RED","002WHI","003RED","myrRED","island","french","NoStar"],Flag:"https://i.ibb.co/jZ2wfRj/Tahiti-Flag.png",HDFlag:"https://upload.wikimedia.org/wikipedia/commons/thumb/d/db/Flag_of_French_Polynesia.svg/2560px-Flag_of_French_Polynesia.svg.png",type:"", describe: "\nIts main feature is a piragua, which is a status symbol as well as an indispensable boat used for fishing and trasportation. The figures in the piragua stand for the five parts of French Polynesia: the Windward Islands, the Leeward Islands, the Tuamotu Archipelago, the Austral Islands and the Marquesas Islands. The rays symbolize the sun and light, and the blue and white waves represent the riches of the Pacific on which the people have always relied for their livelihood.", isnew:".", links: "https://en.wikipedia.org/wiki/Flag_of_French_Polynesia"},</v>
      </c>
      <c r="HG2" s="66" t="str">
        <f t="shared" ref="HG2:HG7" si="87">"{couname:"&amp;CT2&amp;(IF(HK2&lt;&gt;"",",subtype:"&amp;CHAR(34)&amp;HK2&amp;CHAR(34),""))&amp;",year:"&amp;HJ2&amp;",region:"&amp;CU2&amp;",Colors:"&amp;HC2&amp;",Items:"&amp;GS2&amp;",Flag:"&amp;CV2&amp;",HDFlag:"&amp;CHAR(34)&amp;E2&amp;CHAR(34)&amp;",type:"&amp;GP2&amp;", describe: "&amp;HI2&amp;", links: "&amp;HL2&amp;"},"</f>
        <v>{couname:"French Polynesia",year:"1984 ",region:"rgn_Oceania",Colors:["cl_RED","cl_WHI","cl_BLU","cl_ORA"],Items:["4Color","words2","exact2","lets15","startF","with_y","year19","allhor","3Bands","Horizo","Circle","HasSun","Unequa","Center","Wavess","Humans","Ships!","Waters","NO_GRE","NO_YEL","NO_BLA","001RED","002WHI","003RED","myrRED","island","french","NoStar"],Flag:"https://i.ibb.co/jZ2wfRj/Tahiti-Flag.png",HDFlag:"https://upload.wikimedia.org/wikipedia/commons/thumb/d/db/Flag_of_French_Polynesia.svg/2560px-Flag_of_French_Polynesia.svg.png",type:"", describe: "\nIts main feature is a piragua, which is a status symbol as well as an indispensable boat used for fishing and trasportation. The figures in the piragua stand for the five parts of French Polynesia: the Windward Islands, the Leeward Islands, the Tuamotu Archipelago, the Austral Islands and the Marquesas Islands. The rays symbolize the sun and light, and the blue and white waves represent the riches of the Pacific on which the people have always relied for their livelihood.", links: "https://en.wikipedia.org/wiki/Flag_of_French_Polynesia"},</v>
      </c>
      <c r="HH2" s="44" t="str">
        <f t="shared" ref="HH2:HH7" si="88">IF(P2&lt;&gt;"",CHAR(34)&amp;"\n"&amp;P2&amp;CHAR(34),CHAR(34)&amp;CHAR(34))</f>
        <v>"\nIts main feature is a piragua, which is a status symbol as well as an indispensable boat used for fishing and trasportation. The figures in the piragua stand for the five parts of French Polynesia: the Windward Islands, the Leeward Islands, the Tuamotu Archipelago, the Austral Islands and the Marquesas Islands. The rays symbolize the sun and light, and the blue and white waves represent the riches of the Pacific on which the people have always relied for their livelihood."</v>
      </c>
      <c r="HI2" s="44" t="str">
        <f t="shared" ref="HI2:HI7" si="89">IF(J2=0,CHAR(34)&amp;CHAR(34),HH2)</f>
        <v>"\nIts main feature is a piragua, which is a status symbol as well as an indispensable boat used for fishing and trasportation. The figures in the piragua stand for the five parts of French Polynesia: the Windward Islands, the Leeward Islands, the Tuamotu Archipelago, the Austral Islands and the Marquesas Islands. The rays symbolize the sun and light, and the blue and white waves represent the riches of the Pacific on which the people have always relied for their livelihood."</v>
      </c>
      <c r="HJ2" s="44" t="str">
        <f t="shared" ref="HJ2:HJ7" si="90">CHAR(34)&amp;O2&amp;CHAR(34)</f>
        <v>"1984 "</v>
      </c>
      <c r="HL2" s="44" t="str">
        <f t="shared" ref="HL2:HL7" si="91">CHAR(34)&amp;I2&amp;CHAR(34)</f>
        <v>"https://en.wikipedia.org/wiki/Flag_of_French_Polynesia"</v>
      </c>
      <c r="HM2" s="65" t="str">
        <f t="shared" ref="HM2:HM7" si="92">"{"&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{"couname":"French Polynesia","year":"1984 ","region":"rgn_Oceania","Colors":["cl_RED","cl_WHI","cl_BLU","cl_ORA"],"Items":["4Color","words2","exact2","lets15","startF","with_y","year19","allhor","3Bands","Horizo","Circle","HasSun","Unequa","Center","Wavess","Humans","Ships!","Waters","NO_GRE","NO_YEL","NO_BLA","001RED","002WHI","003RED","myrRED","island","french","NoStar"],"Flag":"https://i.ibb.co/jZ2wfRj/Tahiti-Flag.png","HDFlag":"https://upload.wikimedia.org/wikipedia/commons/thumb/d/db/Flag_of_French_Polynesia.svg/2560px-Flag_of_French_Polynesia.svg.png","type":"", "describe": "\nIts main feature is a piragua, which is a status symbol as well as an indispensable boat used for fishing and trasportation. The figures in the piragua stand for the five parts of French Polynesia: the Windward Islands, the Leeward Islands, the Tuamotu Archipelago, the Austral Islands and the Marquesas Islands. The rays symbolize the sun and light, and the blue and white waves represent the riches of the Pacific on which the people have always relied for their livelihood.", "isnew": ".", "links": "https://en.wikipedia.org/wiki/Flag_of_French_Polynesia"},</v>
      </c>
      <c r="HN2" s="67" t="str">
        <f t="shared" ref="HN2:HN7" si="93">"{"&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{"couname":"French Polynesia","year":"1984 ","region":"rgn_Oceania","Colors":["cl_RED","cl_WHI","cl_BLU","cl_ORA"],"Items":["4Color","words2","exact2","lets15","startF","with_y","year19","allhor","3Bands","Horizo","Circle","HasSun","Unequa","Center","Wavess","Humans","Ships!","Waters","NO_GRE","NO_YEL","NO_BLA","001RED","002WHI","003RED","myrRED","island","french","NoStar"],"Flag":"https://i.ibb.co/jZ2wfRj/Tahiti-Flag.png","HDFlag":"https://upload.wikimedia.org/wikipedia/commons/thumb/d/db/Flag_of_French_Polynesia.svg/2560px-Flag_of_French_Polynesia.svg.png","type":"", "describe": "\nIts main feature is a piragua, which is a status symbol as well as an indispensable boat used for fishing and trasportation. The figures in the piragua stand for the five parts of French Polynesia: the Windward Islands, the Leeward Islands, the Tuamotu Archipelago, the Austral Islands and the Marquesas Islands. The rays symbolize the sun and light, and the blue and white waves represent the riches of the Pacific on which the people have always relied for their livelihood.", "isnew": ".", "links": "https://en.wikipedia.org/wiki/Flag_of_French_Polynesia"},</v>
      </c>
      <c r="HO2" s="71"/>
      <c r="HP2" s="44" t="str" cm="1">
        <f t="array" ref="HP2">IF(_xlfn.TEXTJOIN(", ", TRUE, IF(ISNUMBER(SEARCH("BLA", BL2:BT2)), COLUMN(BL2:BT2) - COLUMN(BL2) + 1, ""))&lt;&gt;"","BLA","")</f>
        <v/>
      </c>
      <c r="HQ2" s="44" t="str" cm="1">
        <f t="array" ref="HQ2">IF(_xlfn.TEXTJOIN(", ", TRUE, IF(ISNUMBER(SEARCH("BLU", BL2:BT2)), COLUMN(BL2:BT2) - COLUMN(BL2) + 1, ""))&lt;&gt;"","BLU","")</f>
        <v>BLU</v>
      </c>
      <c r="HR2" s="44" t="str" cm="1">
        <f t="array" ref="HR2">IF(_xlfn.TEXTJOIN(", ", TRUE, IF(ISNUMBER(SEARCH("GRE", BL2:BT2)), COLUMN(BL2:BT2) - COLUMN(BL2) + 1, ""))&lt;&gt;"","GRE","")</f>
        <v/>
      </c>
      <c r="HS2" s="44" t="str" cm="1">
        <f t="array" ref="HS2">IF(_xlfn.TEXTJOIN(", ", TRUE, IF(ISNUMBER(SEARCH("RED", BL2:BT2)), COLUMN(BL2:BT2) - COLUMN(BL2) + 1, ""))&lt;&gt;"","RED","")</f>
        <v>RED</v>
      </c>
      <c r="HT2" s="44" t="str" cm="1">
        <f t="array" ref="HT2">IF(_xlfn.TEXTJOIN(", ", TRUE, IF(ISNUMBER(SEARCH("YEL", BL2:BT2)), COLUMN(BL2:BT2) - COLUMN(BL2) + 1, ""))&lt;&gt;"","YEL","")</f>
        <v/>
      </c>
      <c r="HU2" s="44" t="str" cm="1">
        <f t="array" ref="HU2">IF(_xlfn.TEXTJOIN(", ", TRUE, IF(ISNUMBER(SEARCH("ORA", BL2:BT2)), COLUMN(BL2:BT2) - COLUMN(BL2) + 1, ""))&lt;&gt;"","ORA","")</f>
        <v>ORA</v>
      </c>
      <c r="HV2" s="44" t="str" cm="1">
        <f t="array" ref="HV2">IF(_xlfn.TEXTJOIN(", ", TRUE, IF(ISNUMBER(SEARCH("BRO", BL2:BT2)), COLUMN(BL2:BT2) - COLUMN(BL2) + 1, ""))&lt;&gt;"","BRO","")</f>
        <v/>
      </c>
      <c r="HW2" s="44" t="str" cm="1">
        <f t="array" ref="HW2">IF(_xlfn.TEXTJOIN(", ", TRUE, IF(ISNUMBER(SEARCH("PUR", BL2:BT2)), COLUMN(BL2:BT2) - COLUMN(BL2) + 1, ""))&lt;&gt;"","PUR","")</f>
        <v/>
      </c>
      <c r="HX2" s="44" t="str" cm="1">
        <f t="array" ref="HX2">IF(_xlfn.TEXTJOIN(", ", TRUE, IF(ISNUMBER(SEARCH("WHI", BL2:BT2)), COLUMN(BL2:BT2) - COLUMN(BL2) + 1, ""))&lt;&gt;"","WHI","")</f>
        <v>WHI</v>
      </c>
      <c r="HY2" s="72"/>
      <c r="HZ2" s="72"/>
      <c r="IA2" s="5"/>
      <c r="IB2" s="5"/>
      <c r="IC2" s="68"/>
      <c r="ID2" s="68"/>
      <c r="IE2" s="68"/>
      <c r="IF2" s="68"/>
      <c r="IG2" s="68"/>
      <c r="IH2" s="68"/>
      <c r="II2" s="68"/>
      <c r="IJ2" s="68"/>
      <c r="IK2" s="68"/>
      <c r="IL2" s="44">
        <f t="shared" ref="IL2:IL7" si="94">SUM(IC2:IK2)</f>
        <v>0</v>
      </c>
      <c r="IM2" s="42">
        <f t="shared" ref="IM2:IM7" si="95">COUNTIF(IC2:IK2,"&gt;0")-CG2</f>
        <v>-4</v>
      </c>
      <c r="IN2" s="69" t="str">
        <f t="shared" ref="IN2:IN7" si="96">"http://mkweb.bcgsc.ca/color-summarizer/?url="&amp;D2&amp;"&amp;precision=low&amp;num_clusters="&amp;CG2&amp;"&amp;text=1"</f>
        <v>http://mkweb.bcgsc.ca/color-summarizer/?url=https://i.ibb.co/jZ2wfRj/Tahiti-Flag.png&amp;precision=low&amp;num_clusters=4&amp;text=1</v>
      </c>
      <c r="IO2" s="44" t="str">
        <f t="shared" ref="IO2:IO7" si="97">IF(HP2&lt;&gt;"",CHAR(34)&amp;"black"&amp;CHAR(34),"")</f>
        <v/>
      </c>
      <c r="IP2" s="44" t="str">
        <f t="shared" ref="IP2:IP7" si="98">IF(HQ2&lt;&gt;"",CHAR(34)&amp;"blue"&amp;CHAR(34),"")</f>
        <v>"blue"</v>
      </c>
      <c r="IQ2" s="44" t="str">
        <f t="shared" ref="IQ2:IQ7" si="99">IF(HR2&lt;&gt;"",CHAR(34)&amp;"green"&amp;CHAR(34),"")</f>
        <v/>
      </c>
      <c r="IR2" s="44" t="str">
        <f t="shared" ref="IR2:IR7" si="100">IF(HS2&lt;&gt;"",CHAR(34)&amp;"red"&amp;CHAR(34),"")</f>
        <v>"red"</v>
      </c>
      <c r="IS2" s="44" t="str">
        <f t="shared" ref="IS2:IS7" si="101">IF(HT2&lt;&gt;"",CHAR(34)&amp;"yellow"&amp;CHAR(34),"")</f>
        <v/>
      </c>
      <c r="IT2" s="44" t="str">
        <f t="shared" ref="IT2:IT7" si="102">IF(HU2&lt;&gt;"",CHAR(34)&amp;"orange"&amp;CHAR(34),"")</f>
        <v>"orange"</v>
      </c>
      <c r="IU2" s="44" t="str">
        <f t="shared" ref="IU2:IU7" si="103">IF(HV2&lt;&gt;"",CHAR(34)&amp;"brown"&amp;CHAR(34),"")</f>
        <v/>
      </c>
      <c r="IV2" s="44" t="str">
        <f t="shared" ref="IV2:IV7" si="104">IF(HW2&lt;&gt;"",CHAR(34)&amp;"purple"&amp;CHAR(34),"")</f>
        <v/>
      </c>
      <c r="IW2" s="44" t="str">
        <f t="shared" ref="IW2:IW7" si="105">IF(HX2&lt;&gt;"",CHAR(34)&amp;"white"&amp;CHAR(34),"")</f>
        <v>"white"</v>
      </c>
      <c r="IX2" s="44" t="str">
        <f t="shared" ref="IX2:IX7" si="106">"{"&amp;CHAR(34)&amp;"url"&amp;CHAR(34)&amp;":"&amp;CHAR(34)&amp;IN2&amp;CHAR(34)&amp;","&amp;CHAR(34)&amp;"name"&amp;CHAR(34)&amp;":"&amp;CHAR(34)&amp;A2&amp;CHAR(34)&amp;"},"</f>
        <v>{"url":"http://mkweb.bcgsc.ca/color-summarizer/?url=https://i.ibb.co/jZ2wfRj/Tahiti-Flag.png&amp;precision=low&amp;num_clusters=4&amp;text=1","name":"French Polynesia"},</v>
      </c>
      <c r="IY2" s="44">
        <v>79</v>
      </c>
    </row>
    <row r="3" spans="1:259" s="44" customFormat="1" ht="38.4" customHeight="1" thickBot="1" x14ac:dyDescent="0.35">
      <c r="A3" s="80" t="s">
        <v>490</v>
      </c>
      <c r="B3" s="78" t="e" vm="97">
        <v>#VALUE!</v>
      </c>
      <c r="C3" s="39">
        <v>2</v>
      </c>
      <c r="D3" s="70" t="s">
        <v>491</v>
      </c>
      <c r="E3" s="40" t="s">
        <v>492</v>
      </c>
      <c r="F3" s="41" t="s">
        <v>165</v>
      </c>
      <c r="G3" s="42">
        <f t="shared" si="0"/>
        <v>1</v>
      </c>
      <c r="H3" s="43"/>
      <c r="I3" s="59" t="s">
        <v>493</v>
      </c>
      <c r="J3" s="44" t="str">
        <f>""</f>
        <v/>
      </c>
      <c r="K3" s="45"/>
      <c r="L3" s="46"/>
      <c r="M3" s="46"/>
      <c r="N3" s="47" t="s">
        <v>177</v>
      </c>
      <c r="O3" s="74" t="s">
        <v>494</v>
      </c>
      <c r="P3" s="48" t="s">
        <v>495</v>
      </c>
      <c r="Q3" s="73">
        <v>2</v>
      </c>
      <c r="R3" s="49" t="s">
        <v>177</v>
      </c>
      <c r="S3" s="50">
        <v>3</v>
      </c>
      <c r="T3" s="51" t="s">
        <v>166</v>
      </c>
      <c r="U3" s="52" t="s">
        <v>166</v>
      </c>
      <c r="V3" s="52" t="s">
        <v>166</v>
      </c>
      <c r="W3" s="52" t="s">
        <v>167</v>
      </c>
      <c r="X3" s="52" t="s">
        <v>166</v>
      </c>
      <c r="Y3" s="52" t="s">
        <v>166</v>
      </c>
      <c r="Z3" s="52" t="s">
        <v>166</v>
      </c>
      <c r="AA3" s="52" t="s">
        <v>166</v>
      </c>
      <c r="AB3" s="52" t="s">
        <v>166</v>
      </c>
      <c r="AC3" s="52" t="s">
        <v>166</v>
      </c>
      <c r="AD3" s="52" t="s">
        <v>166</v>
      </c>
      <c r="AE3" s="52" t="s">
        <v>166</v>
      </c>
      <c r="AF3" s="53" t="s">
        <v>166</v>
      </c>
      <c r="AG3" s="53" t="s">
        <v>166</v>
      </c>
      <c r="AH3" s="53" t="s">
        <v>167</v>
      </c>
      <c r="AI3" s="53" t="s">
        <v>166</v>
      </c>
      <c r="AJ3" s="53" t="s">
        <v>166</v>
      </c>
      <c r="AK3" s="53" t="s">
        <v>166</v>
      </c>
      <c r="AL3" s="53" t="s">
        <v>166</v>
      </c>
      <c r="AM3" s="53" t="s">
        <v>167</v>
      </c>
      <c r="AN3" s="53" t="s">
        <v>166</v>
      </c>
      <c r="AO3" s="53" t="s">
        <v>166</v>
      </c>
      <c r="AP3" s="53" t="s">
        <v>166</v>
      </c>
      <c r="AQ3" s="53" t="s">
        <v>166</v>
      </c>
      <c r="AR3" s="53" t="s">
        <v>166</v>
      </c>
      <c r="AS3" s="53" t="s">
        <v>166</v>
      </c>
      <c r="AT3" s="54">
        <v>5</v>
      </c>
      <c r="AU3" s="53" t="s">
        <v>496</v>
      </c>
      <c r="AV3" s="53" t="str">
        <f t="shared" si="1"/>
        <v>[PLY]Archipelago[PLY] Austral Islands</v>
      </c>
      <c r="AW3" s="53" t="str">
        <f t="shared" si="2"/>
        <v>2[PLY] Austral Islands</v>
      </c>
      <c r="AX3" s="55"/>
      <c r="AY3" s="55"/>
      <c r="AZ3" s="56" t="s">
        <v>154</v>
      </c>
      <c r="BA3" s="56"/>
      <c r="BB3" s="56"/>
      <c r="BC3" s="57"/>
      <c r="BD3" s="58" t="s">
        <v>161</v>
      </c>
      <c r="BE3" s="59"/>
      <c r="BF3" s="58" t="s">
        <v>156</v>
      </c>
      <c r="BG3" s="58" t="s">
        <v>161</v>
      </c>
      <c r="BH3" s="58" t="s">
        <v>156</v>
      </c>
      <c r="BI3" s="58"/>
      <c r="BJ3" s="58"/>
      <c r="BK3" s="59"/>
      <c r="BL3" s="58" t="s">
        <v>156</v>
      </c>
      <c r="BM3" s="58" t="s">
        <v>161</v>
      </c>
      <c r="BN3" s="58" t="s">
        <v>154</v>
      </c>
      <c r="BO3" s="58"/>
      <c r="BP3" s="58"/>
      <c r="BQ3" s="58"/>
      <c r="BR3" s="58"/>
      <c r="BS3" s="58"/>
      <c r="BT3" s="58"/>
      <c r="BU3" s="60"/>
      <c r="BV3" s="61"/>
      <c r="BW3" s="61">
        <v>0</v>
      </c>
      <c r="BX3" s="59"/>
      <c r="CB3" s="5"/>
      <c r="CC3" s="5"/>
      <c r="CD3" s="62">
        <v>0</v>
      </c>
      <c r="CE3" s="62">
        <v>0</v>
      </c>
      <c r="CF3" s="62" t="e">
        <v>#REF!</v>
      </c>
      <c r="CG3" s="75" cm="1">
        <f t="array" ref="CG3">SUMPRODUCT(--(LEN(TRIM(BL3:BT3))&gt;0))</f>
        <v>3</v>
      </c>
      <c r="CH3" s="53" t="str">
        <f t="shared" si="3"/>
        <v>n</v>
      </c>
      <c r="CI3" s="53" t="str">
        <f t="shared" si="4"/>
        <v>y</v>
      </c>
      <c r="CJ3" s="53" t="str">
        <f t="shared" si="5"/>
        <v>n</v>
      </c>
      <c r="CK3" s="53" t="str">
        <f t="shared" si="6"/>
        <v>n</v>
      </c>
      <c r="CL3" s="53" t="str">
        <f t="shared" si="7"/>
        <v>n</v>
      </c>
      <c r="CM3" s="53" t="str">
        <f t="shared" si="8"/>
        <v>n</v>
      </c>
      <c r="CN3" s="53" t="str">
        <f t="shared" si="9"/>
        <v>y</v>
      </c>
      <c r="CO3" s="53" t="str">
        <f t="shared" si="10"/>
        <v>n</v>
      </c>
      <c r="CP3" s="53" t="str">
        <f t="shared" si="11"/>
        <v>n</v>
      </c>
      <c r="CQ3" s="53" t="str">
        <f t="shared" si="12"/>
        <v>n</v>
      </c>
      <c r="CR3" s="53" t="str">
        <f t="shared" si="13"/>
        <v>n</v>
      </c>
      <c r="CS3" s="53" t="str">
        <f t="shared" si="14"/>
        <v>y</v>
      </c>
      <c r="CT3" s="38" t="str">
        <f t="shared" si="15"/>
        <v>"[PLY] Austral Islands"</v>
      </c>
      <c r="CU3" s="63" t="str">
        <f t="shared" si="16"/>
        <v>"rgn_Oceania"</v>
      </c>
      <c r="CV3" s="44" t="str">
        <f t="shared" si="17"/>
        <v>"https://upload.wikimedia.org/wikipedia/commons/thumb/2/2e/Flag_of_the_Austral_Islands.svg/1280px-Flag_of_the_Austral_Islands.svg.png"</v>
      </c>
      <c r="CW3" s="44" t="str">
        <f t="shared" si="18"/>
        <v/>
      </c>
      <c r="CX3" s="44" t="str">
        <f t="shared" si="18"/>
        <v>"3Color",</v>
      </c>
      <c r="CY3" s="44" t="str">
        <f t="shared" si="18"/>
        <v/>
      </c>
      <c r="CZ3" s="44" t="str">
        <f t="shared" si="18"/>
        <v/>
      </c>
      <c r="DA3" s="44" t="str">
        <f t="shared" si="19"/>
        <v>"words2",</v>
      </c>
      <c r="DB3" s="44" t="str">
        <f t="shared" si="20"/>
        <v/>
      </c>
      <c r="DC3" s="44" t="str">
        <f t="shared" si="21"/>
        <v>"exact2",</v>
      </c>
      <c r="DD3" s="44" t="str">
        <f t="shared" si="22"/>
        <v>"lets14",</v>
      </c>
      <c r="DE3" s="44" t="str">
        <f t="shared" si="23"/>
        <v>"startA",</v>
      </c>
      <c r="DF3" s="44" t="str">
        <f t="shared" si="24"/>
        <v/>
      </c>
      <c r="DG3" s="44" t="str">
        <f t="shared" si="25"/>
        <v/>
      </c>
      <c r="DH3" s="44" t="str">
        <f t="shared" si="26"/>
        <v/>
      </c>
      <c r="DI3" s="44" t="str">
        <f t="shared" si="27"/>
        <v/>
      </c>
      <c r="DJ3" s="44" t="str">
        <f t="shared" si="28"/>
        <v>"with_y",</v>
      </c>
      <c r="DK3" s="44" t="str">
        <f t="shared" si="29"/>
        <v/>
      </c>
      <c r="DL3" s="44" t="str">
        <f t="shared" si="30"/>
        <v/>
      </c>
      <c r="DM3" s="44" t="str" cm="1">
        <f t="array" ref="DM3">IF(CG3=3,CHAR(34) &amp; _xlfn.TEXTJOIN("", TRUE, RIGHT(HP3:HX3, 2)) &amp; CHAR(34) &amp; ",", "")</f>
        <v>"LUEDHI",</v>
      </c>
      <c r="DN3" s="44" t="str">
        <f t="shared" si="31"/>
        <v/>
      </c>
      <c r="DO3" s="44" t="str">
        <f t="shared" si="32"/>
        <v>"year19",</v>
      </c>
      <c r="DP3" s="5" t="str">
        <f t="shared" si="33"/>
        <v/>
      </c>
      <c r="DQ3" s="5" t="str">
        <f t="shared" si="34"/>
        <v/>
      </c>
      <c r="DR3" s="5" t="str">
        <f t="shared" si="35"/>
        <v/>
      </c>
      <c r="DS3" s="5" t="str">
        <f t="shared" si="36"/>
        <v>"allver",</v>
      </c>
      <c r="DT3" s="5" t="str">
        <f t="shared" si="37"/>
        <v/>
      </c>
      <c r="DU3" s="5" t="str">
        <f t="shared" si="38"/>
        <v/>
      </c>
      <c r="DV3" s="44" t="str">
        <f t="shared" si="39"/>
        <v/>
      </c>
      <c r="DW3" s="44" t="str">
        <f t="shared" si="40"/>
        <v/>
      </c>
      <c r="DX3" s="44" t="str">
        <f t="shared" si="40"/>
        <v/>
      </c>
      <c r="DY3" s="44" t="str">
        <f t="shared" si="40"/>
        <v>"3Bands",</v>
      </c>
      <c r="DZ3" s="44" t="str">
        <f t="shared" si="40"/>
        <v/>
      </c>
      <c r="EA3" s="44" t="str">
        <f t="shared" si="41"/>
        <v/>
      </c>
      <c r="EB3" s="44" t="str">
        <f t="shared" si="41"/>
        <v/>
      </c>
      <c r="EC3" s="44" t="str">
        <f t="shared" si="41"/>
        <v/>
      </c>
      <c r="ED3" s="44" t="str">
        <f t="shared" si="41"/>
        <v>"Vertic",</v>
      </c>
      <c r="EE3" s="44" t="str">
        <f t="shared" si="41"/>
        <v/>
      </c>
      <c r="EF3" s="44" t="str">
        <f t="shared" si="42"/>
        <v/>
      </c>
      <c r="EG3" s="44" t="str">
        <f t="shared" si="43"/>
        <v/>
      </c>
      <c r="EH3" s="44" t="str">
        <f t="shared" si="43"/>
        <v/>
      </c>
      <c r="EI3" s="44" t="str">
        <f t="shared" si="43"/>
        <v/>
      </c>
      <c r="EJ3" s="44" t="str">
        <f t="shared" si="43"/>
        <v/>
      </c>
      <c r="EK3" s="44" t="str">
        <f t="shared" si="43"/>
        <v/>
      </c>
      <c r="EL3" s="44" t="str">
        <f t="shared" si="43"/>
        <v/>
      </c>
      <c r="EM3" s="44" t="str">
        <f t="shared" si="43"/>
        <v/>
      </c>
      <c r="EN3" s="44" t="str">
        <f t="shared" si="43"/>
        <v/>
      </c>
      <c r="EO3" s="44" t="str">
        <f t="shared" si="43"/>
        <v>"Center",</v>
      </c>
      <c r="EP3" s="44" t="str">
        <f t="shared" si="43"/>
        <v/>
      </c>
      <c r="EQ3" s="44" t="str">
        <f t="shared" si="44"/>
        <v/>
      </c>
      <c r="ER3" s="44" t="str">
        <f t="shared" si="44"/>
        <v/>
      </c>
      <c r="ES3" s="44" t="str">
        <f t="shared" si="44"/>
        <v/>
      </c>
      <c r="ET3" s="44" t="str">
        <f t="shared" si="44"/>
        <v>"Geogrh",</v>
      </c>
      <c r="EU3" s="44" t="str">
        <f t="shared" si="44"/>
        <v/>
      </c>
      <c r="EV3" s="44" t="str">
        <f t="shared" si="44"/>
        <v/>
      </c>
      <c r="EW3" s="44" t="str">
        <f t="shared" si="44"/>
        <v/>
      </c>
      <c r="EX3" s="44" t="str">
        <f t="shared" si="44"/>
        <v/>
      </c>
      <c r="EY3" s="44" t="str">
        <f t="shared" si="44"/>
        <v/>
      </c>
      <c r="EZ3" s="44" t="str">
        <f t="shared" si="44"/>
        <v/>
      </c>
      <c r="FA3" s="44" t="str">
        <f t="shared" si="45"/>
        <v>"staBLU",</v>
      </c>
      <c r="FB3" s="44" t="str">
        <f t="shared" si="46"/>
        <v/>
      </c>
      <c r="FC3" s="44" t="str">
        <f t="shared" si="47"/>
        <v/>
      </c>
      <c r="FD3" s="44" t="str">
        <f t="shared" si="48"/>
        <v/>
      </c>
      <c r="FE3" s="44" t="str">
        <f t="shared" si="49"/>
        <v/>
      </c>
      <c r="FF3" s="44" t="str">
        <f t="shared" si="50"/>
        <v/>
      </c>
      <c r="FG3" s="44" t="str">
        <f t="shared" si="51"/>
        <v/>
      </c>
      <c r="FH3" s="44" t="str">
        <f t="shared" si="52"/>
        <v>"NO_GRE",</v>
      </c>
      <c r="FI3" s="44" t="str">
        <f t="shared" si="53"/>
        <v>"NO_YEL",</v>
      </c>
      <c r="FJ3" s="44" t="str">
        <f t="shared" si="54"/>
        <v>"NO_BLA",</v>
      </c>
      <c r="FK3" s="44" t="str">
        <f t="shared" si="55"/>
        <v/>
      </c>
      <c r="FL3" s="44" t="str">
        <f t="shared" si="56"/>
        <v/>
      </c>
      <c r="FM3" s="44" t="str">
        <f t="shared" si="57"/>
        <v/>
      </c>
      <c r="FN3" s="44" t="str">
        <f t="shared" si="58"/>
        <v/>
      </c>
      <c r="FO3" s="44" t="str">
        <f t="shared" si="59"/>
        <v/>
      </c>
      <c r="FP3" s="44" t="str">
        <f t="shared" si="60"/>
        <v/>
      </c>
      <c r="FQ3" s="44" t="str">
        <f t="shared" si="61"/>
        <v>"001RED",</v>
      </c>
      <c r="FR3" s="44" t="str">
        <f t="shared" si="62"/>
        <v>"002WHI",</v>
      </c>
      <c r="FS3" s="44" t="str">
        <f t="shared" si="63"/>
        <v>"003RED",</v>
      </c>
      <c r="FT3" s="44" t="str">
        <f t="shared" si="64"/>
        <v>"myrWHI",</v>
      </c>
      <c r="FU3" s="44" t="str">
        <f t="shared" si="65"/>
        <v/>
      </c>
      <c r="FV3" s="44" t="str">
        <f t="shared" si="66"/>
        <v/>
      </c>
      <c r="FW3" s="44" t="str">
        <f t="shared" si="67"/>
        <v/>
      </c>
      <c r="FX3" s="44" t="str">
        <f t="shared" si="68"/>
        <v/>
      </c>
      <c r="FY3" s="44" t="str">
        <f t="shared" si="69"/>
        <v/>
      </c>
      <c r="FZ3" s="44" t="str">
        <f t="shared" si="70"/>
        <v/>
      </c>
      <c r="GA3" s="44" t="str">
        <f t="shared" si="71"/>
        <v/>
      </c>
      <c r="GB3" s="44" t="str">
        <f t="shared" si="72"/>
        <v/>
      </c>
      <c r="GC3" s="44" t="str">
        <f t="shared" si="73"/>
        <v/>
      </c>
      <c r="GD3" s="44" t="str">
        <f t="shared" si="74"/>
        <v/>
      </c>
      <c r="GE3" s="44" t="str">
        <f t="shared" si="75"/>
        <v/>
      </c>
      <c r="GF3" s="44" t="str">
        <f>IFERROR(IF(SEARCH("Historical",AU3)&gt;0,CHAR(34)&amp;"histor"&amp;CHAR(34)&amp;",",""),"")</f>
        <v/>
      </c>
      <c r="GG3" s="44" t="str">
        <f t="shared" si="76"/>
        <v/>
      </c>
      <c r="GH3" s="44" t="str">
        <f t="shared" si="77"/>
        <v/>
      </c>
      <c r="GI3" s="44" t="str">
        <f t="shared" si="78"/>
        <v/>
      </c>
      <c r="GJ3" s="44" t="str">
        <f t="shared" si="79"/>
        <v/>
      </c>
      <c r="GK3" s="44" t="str">
        <f t="shared" si="80"/>
        <v>"HasSta",</v>
      </c>
      <c r="GL3" s="44" t="str">
        <f t="shared" si="81"/>
        <v/>
      </c>
      <c r="GM3" s="44" t="str">
        <f t="shared" si="81"/>
        <v/>
      </c>
      <c r="GN3" s="44" t="str">
        <f t="shared" si="81"/>
        <v>"3+Star",</v>
      </c>
      <c r="GP3" s="44" t="str">
        <f t="shared" si="82"/>
        <v>"Archipelago"</v>
      </c>
      <c r="GS3" s="44" t="str">
        <f t="shared" si="83"/>
        <v>["3Color","words2","exact2","lets14","startA","with_y","LUEDHI","year19","allver","3Bands","Vertic","Center","Geogrh","staBLU","NO_GRE","NO_YEL","NO_BLA","001RED","002WHI","003RED","myrWHI","HasSta","3+Star"]</v>
      </c>
      <c r="GT3" s="44" t="str">
        <f t="shared" si="84"/>
        <v>"cl_RED",</v>
      </c>
      <c r="GU3" s="44" t="str">
        <f t="shared" si="84"/>
        <v>"cl_WHI",</v>
      </c>
      <c r="GV3" s="44" t="str">
        <f t="shared" si="84"/>
        <v>"cl_BLU",</v>
      </c>
      <c r="GW3" s="44" t="str">
        <f t="shared" si="84"/>
        <v/>
      </c>
      <c r="GX3" s="44" t="str">
        <f t="shared" si="84"/>
        <v/>
      </c>
      <c r="GY3" s="44" t="str">
        <f t="shared" si="84"/>
        <v/>
      </c>
      <c r="GZ3" s="44" t="str">
        <f t="shared" si="84"/>
        <v/>
      </c>
      <c r="HA3" s="44" t="str">
        <f t="shared" si="84"/>
        <v/>
      </c>
      <c r="HB3" s="44" t="str">
        <f t="shared" si="84"/>
        <v/>
      </c>
      <c r="HC3" s="44" t="str">
        <f t="shared" si="85"/>
        <v>["cl_RED","cl_WHI","cl_BLU"]</v>
      </c>
      <c r="HE3" s="64"/>
      <c r="HF3" s="65" t="str">
        <f t="shared" si="86"/>
        <v>{couname:"[PLY] Austral Islands",year:"1985",region:"rgn_Oceania",Colors:["cl_RED","cl_WHI","cl_BLU"],Items:["3Color","words2","exact2","lets14","startA","with_y","LUEDHI","year19","allver","3Bands","Vertic","Center","Geogrh","staBLU","NO_GRE","NO_YEL","NO_BLA","001RED","002WHI","003RED","myrWHI","HasSta","3+Star"],Flag:"https://upload.wikimedia.org/wikipedia/commons/thumb/2/2e/Flag_of_the_Austral_Islands.svg/1280px-Flag_of_the_Austral_Islands.svg.png",HDFlag:"https://upload.wikimedia.org/wikipedia/commons/thumb/2/2e/Flag_of_the_Austral_Islands.svg/2560px-Flag_of_the_Austral_Islands.svg.png",type:"Archipelago", describe: "\nIn the white central stripe is a blue emblem surrounded by five stars representing the five high islands that constitute the Austral Islands: Rūrutu, Tubua'i, Rimatara, Ra'ivāvae and Rapa. The central emblem represents a penu, a traditional carved rock or coral tool common across the archipelago which is used to crush food, similar to a pestle. The red stripes symbolize French Polynesia, of which the archipelago is a part of, and blue symbolizes the sea.", isnew:".", links: "https://en.wikipedia.org/wiki/Flag_of_the_Austral_Islands"},</v>
      </c>
      <c r="HG3" s="66" t="str">
        <f t="shared" si="87"/>
        <v>{couname:"[PLY] Austral Islands",year:"1985",region:"rgn_Oceania",Colors:["cl_RED","cl_WHI","cl_BLU"],Items:["3Color","words2","exact2","lets14","startA","with_y","LUEDHI","year19","allver","3Bands","Vertic","Center","Geogrh","staBLU","NO_GRE","NO_YEL","NO_BLA","001RED","002WHI","003RED","myrWHI","HasSta","3+Star"],Flag:"https://upload.wikimedia.org/wikipedia/commons/thumb/2/2e/Flag_of_the_Austral_Islands.svg/1280px-Flag_of_the_Austral_Islands.svg.png",HDFlag:"https://upload.wikimedia.org/wikipedia/commons/thumb/2/2e/Flag_of_the_Austral_Islands.svg/2560px-Flag_of_the_Austral_Islands.svg.png",type:"Archipelago", describe: "\nIn the white central stripe is a blue emblem surrounded by five stars representing the five high islands that constitute the Austral Islands: Rūrutu, Tubua'i, Rimatara, Ra'ivāvae and Rapa. The central emblem represents a penu, a traditional carved rock or coral tool common across the archipelago which is used to crush food, similar to a pestle. The red stripes symbolize French Polynesia, of which the archipelago is a part of, and blue symbolizes the sea.", links: "https://en.wikipedia.org/wiki/Flag_of_the_Austral_Islands"},</v>
      </c>
      <c r="HH3" s="44" t="str">
        <f t="shared" si="88"/>
        <v>"\nIn the white central stripe is a blue emblem surrounded by five stars representing the five high islands that constitute the Austral Islands: Rūrutu, Tubua'i, Rimatara, Ra'ivāvae and Rapa. The central emblem represents a penu, a traditional carved rock or coral tool common across the archipelago which is used to crush food, similar to a pestle. The red stripes symbolize French Polynesia, of which the archipelago is a part of, and blue symbolizes the sea."</v>
      </c>
      <c r="HI3" s="44" t="str">
        <f t="shared" si="89"/>
        <v>"\nIn the white central stripe is a blue emblem surrounded by five stars representing the five high islands that constitute the Austral Islands: Rūrutu, Tubua'i, Rimatara, Ra'ivāvae and Rapa. The central emblem represents a penu, a traditional carved rock or coral tool common across the archipelago which is used to crush food, similar to a pestle. The red stripes symbolize French Polynesia, of which the archipelago is a part of, and blue symbolizes the sea."</v>
      </c>
      <c r="HJ3" s="44" t="str">
        <f t="shared" si="90"/>
        <v>"1985"</v>
      </c>
      <c r="HL3" s="44" t="str">
        <f t="shared" si="91"/>
        <v>"https://en.wikipedia.org/wiki/Flag_of_the_Austral_Islands"</v>
      </c>
      <c r="HM3" s="65" t="str">
        <f t="shared" si="92"/>
        <v>{"couname":"[PLY] Austral Islands","year":"1985","region":"rgn_Oceania","Colors":["cl_RED","cl_WHI","cl_BLU"],"Items":["3Color","words2","exact2","lets14","startA","with_y","LUEDHI","year19","allver","3Bands","Vertic","Center","Geogrh","staBLU","NO_GRE","NO_YEL","NO_BLA","001RED","002WHI","003RED","myrWHI","HasSta","3+Star"],"Flag":"https://upload.wikimedia.org/wikipedia/commons/thumb/2/2e/Flag_of_the_Austral_Islands.svg/1280px-Flag_of_the_Austral_Islands.svg.png","HDFlag":"https://upload.wikimedia.org/wikipedia/commons/thumb/2/2e/Flag_of_the_Austral_Islands.svg/2560px-Flag_of_the_Austral_Islands.svg.png","type":"Archipelago", "describe": "\nIn the white central stripe is a blue emblem surrounded by five stars representing the five high islands that constitute the Austral Islands: Rūrutu, Tubua'i, Rimatara, Ra'ivāvae and Rapa. The central emblem represents a penu, a traditional carved rock or coral tool common across the archipelago which is used to crush food, similar to a pestle. The red stripes symbolize French Polynesia, of which the archipelago is a part of, and blue symbolizes the sea.", "isnew": ".", "links": "https://en.wikipedia.org/wiki/Flag_of_the_Austral_Islands"},</v>
      </c>
      <c r="HN3" s="67" t="str">
        <f t="shared" si="93"/>
        <v>{"couname":"[PLY] Austral Islands","year":"1985","region":"rgn_Oceania","Colors":["cl_RED","cl_WHI","cl_BLU"],"Items":["3Color","words2","exact2","lets14","startA","with_y","LUEDHI","year19","allver","3Bands","Vertic","Center","Geogrh","staBLU","NO_GRE","NO_YEL","NO_BLA","001RED","002WHI","003RED","myrWHI","HasSta","3+Star"],"Flag":"https://upload.wikimedia.org/wikipedia/commons/thumb/2/2e/Flag_of_the_Austral_Islands.svg/1280px-Flag_of_the_Austral_Islands.svg.png","HDFlag":"https://upload.wikimedia.org/wikipedia/commons/thumb/2/2e/Flag_of_the_Austral_Islands.svg/2560px-Flag_of_the_Austral_Islands.svg.png","type":"Archipelago", "describe": "\nIn the white central stripe is a blue emblem surrounded by five stars representing the five high islands that constitute the Austral Islands: Rūrutu, Tubua'i, Rimatara, Ra'ivāvae and Rapa. The central emblem represents a penu, a traditional carved rock or coral tool common across the archipelago which is used to crush food, similar to a pestle. The red stripes symbolize French Polynesia, of which the archipelago is a part of, and blue symbolizes the sea.", "isnew": ".", "links": "https://en.wikipedia.org/wiki/Flag_of_the_Austral_Islands"},</v>
      </c>
      <c r="HO3" s="71"/>
      <c r="HP3" s="44" t="str" cm="1">
        <f t="array" ref="HP3">IF(_xlfn.TEXTJOIN(", ", TRUE, IF(ISNUMBER(SEARCH("BLA", BL3:BT3)), COLUMN(BL3:BT3) - COLUMN(BL3) + 1, ""))&lt;&gt;"","BLA","")</f>
        <v/>
      </c>
      <c r="HQ3" s="44" t="str" cm="1">
        <f t="array" ref="HQ3">IF(_xlfn.TEXTJOIN(", ", TRUE, IF(ISNUMBER(SEARCH("BLU", BL3:BT3)), COLUMN(BL3:BT3) - COLUMN(BL3) + 1, ""))&lt;&gt;"","BLU","")</f>
        <v>BLU</v>
      </c>
      <c r="HR3" s="44" t="str" cm="1">
        <f t="array" ref="HR3">IF(_xlfn.TEXTJOIN(", ", TRUE, IF(ISNUMBER(SEARCH("GRE", BL3:BT3)), COLUMN(BL3:BT3) - COLUMN(BL3) + 1, ""))&lt;&gt;"","GRE","")</f>
        <v/>
      </c>
      <c r="HS3" s="44" t="str" cm="1">
        <f t="array" ref="HS3">IF(_xlfn.TEXTJOIN(", ", TRUE, IF(ISNUMBER(SEARCH("RED", BL3:BT3)), COLUMN(BL3:BT3) - COLUMN(BL3) + 1, ""))&lt;&gt;"","RED","")</f>
        <v>RED</v>
      </c>
      <c r="HT3" s="44" t="str" cm="1">
        <f t="array" ref="HT3">IF(_xlfn.TEXTJOIN(", ", TRUE, IF(ISNUMBER(SEARCH("YEL", BL3:BT3)), COLUMN(BL3:BT3) - COLUMN(BL3) + 1, ""))&lt;&gt;"","YEL","")</f>
        <v/>
      </c>
      <c r="HU3" s="44" t="str" cm="1">
        <f t="array" ref="HU3">IF(_xlfn.TEXTJOIN(", ", TRUE, IF(ISNUMBER(SEARCH("ORA", BL3:BT3)), COLUMN(BL3:BT3) - COLUMN(BL3) + 1, ""))&lt;&gt;"","ORA","")</f>
        <v/>
      </c>
      <c r="HV3" s="44" t="str" cm="1">
        <f t="array" ref="HV3">IF(_xlfn.TEXTJOIN(", ", TRUE, IF(ISNUMBER(SEARCH("BRO", BL3:BT3)), COLUMN(BL3:BT3) - COLUMN(BL3) + 1, ""))&lt;&gt;"","BRO","")</f>
        <v/>
      </c>
      <c r="HW3" s="44" t="str" cm="1">
        <f t="array" ref="HW3">IF(_xlfn.TEXTJOIN(", ", TRUE, IF(ISNUMBER(SEARCH("PUR", BL3:BT3)), COLUMN(BL3:BT3) - COLUMN(BL3) + 1, ""))&lt;&gt;"","PUR","")</f>
        <v/>
      </c>
      <c r="HX3" s="44" t="str" cm="1">
        <f t="array" ref="HX3">IF(_xlfn.TEXTJOIN(", ", TRUE, IF(ISNUMBER(SEARCH("WHI", BL3:BT3)), COLUMN(BL3:BT3) - COLUMN(BL3) + 1, ""))&lt;&gt;"","WHI","")</f>
        <v>WHI</v>
      </c>
      <c r="HY3" s="72"/>
      <c r="HZ3" s="72"/>
      <c r="IA3" s="5"/>
      <c r="IB3" s="5"/>
      <c r="IC3" s="68"/>
      <c r="ID3" s="68"/>
      <c r="IE3" s="68"/>
      <c r="IF3" s="68"/>
      <c r="IG3" s="68"/>
      <c r="IH3" s="68"/>
      <c r="II3" s="68"/>
      <c r="IJ3" s="68"/>
      <c r="IK3" s="68"/>
      <c r="IL3" s="44">
        <f t="shared" si="94"/>
        <v>0</v>
      </c>
      <c r="IM3" s="42">
        <f t="shared" si="95"/>
        <v>-3</v>
      </c>
      <c r="IN3" s="69" t="str">
        <f t="shared" si="96"/>
        <v>http://mkweb.bcgsc.ca/color-summarizer/?url=https://upload.wikimedia.org/wikipedia/commons/thumb/2/2e/Flag_of_the_Austral_Islands.svg/1280px-Flag_of_the_Austral_Islands.svg.png&amp;precision=low&amp;num_clusters=3&amp;text=1</v>
      </c>
      <c r="IO3" s="44" t="str">
        <f t="shared" si="97"/>
        <v/>
      </c>
      <c r="IP3" s="44" t="str">
        <f t="shared" si="98"/>
        <v>"blue"</v>
      </c>
      <c r="IQ3" s="44" t="str">
        <f t="shared" si="99"/>
        <v/>
      </c>
      <c r="IR3" s="44" t="str">
        <f t="shared" si="100"/>
        <v>"red"</v>
      </c>
      <c r="IS3" s="44" t="str">
        <f t="shared" si="101"/>
        <v/>
      </c>
      <c r="IT3" s="44" t="str">
        <f t="shared" si="102"/>
        <v/>
      </c>
      <c r="IU3" s="44" t="str">
        <f t="shared" si="103"/>
        <v/>
      </c>
      <c r="IV3" s="44" t="str">
        <f t="shared" si="104"/>
        <v/>
      </c>
      <c r="IW3" s="44" t="str">
        <f t="shared" si="105"/>
        <v>"white"</v>
      </c>
      <c r="IX3" s="44" t="str">
        <f t="shared" si="106"/>
        <v>{"url":"http://mkweb.bcgsc.ca/color-summarizer/?url=https://upload.wikimedia.org/wikipedia/commons/thumb/2/2e/Flag_of_the_Austral_Islands.svg/1280px-Flag_of_the_Austral_Islands.svg.png&amp;precision=low&amp;num_clusters=3&amp;text=1","name":"[PLY] Austral Islands"},</v>
      </c>
      <c r="IY3" s="44">
        <v>696</v>
      </c>
    </row>
    <row r="4" spans="1:259" s="44" customFormat="1" ht="38.4" customHeight="1" thickBot="1" x14ac:dyDescent="0.35">
      <c r="A4" s="80" t="s">
        <v>497</v>
      </c>
      <c r="B4" s="78" t="e" vm="98">
        <v>#VALUE!</v>
      </c>
      <c r="C4" s="39">
        <v>2</v>
      </c>
      <c r="D4" s="70" t="s">
        <v>498</v>
      </c>
      <c r="E4" s="40" t="s">
        <v>499</v>
      </c>
      <c r="F4" s="41" t="s">
        <v>165</v>
      </c>
      <c r="G4" s="42">
        <f t="shared" si="0"/>
        <v>1</v>
      </c>
      <c r="H4" s="43"/>
      <c r="I4" s="59" t="s">
        <v>500</v>
      </c>
      <c r="J4" s="44" t="str">
        <f>""</f>
        <v/>
      </c>
      <c r="K4" s="45"/>
      <c r="L4" s="46"/>
      <c r="M4" s="46"/>
      <c r="N4" s="47" t="s">
        <v>177</v>
      </c>
      <c r="O4" s="74" t="s">
        <v>501</v>
      </c>
      <c r="P4" s="48" t="s">
        <v>502</v>
      </c>
      <c r="Q4" s="73">
        <v>2</v>
      </c>
      <c r="R4" s="49" t="s">
        <v>177</v>
      </c>
      <c r="S4" s="50">
        <v>3</v>
      </c>
      <c r="T4" s="51" t="s">
        <v>166</v>
      </c>
      <c r="U4" s="52" t="s">
        <v>166</v>
      </c>
      <c r="V4" s="52" t="s">
        <v>167</v>
      </c>
      <c r="W4" s="52" t="s">
        <v>166</v>
      </c>
      <c r="X4" s="52" t="s">
        <v>166</v>
      </c>
      <c r="Y4" s="52" t="s">
        <v>166</v>
      </c>
      <c r="Z4" s="52" t="s">
        <v>166</v>
      </c>
      <c r="AA4" s="52" t="s">
        <v>166</v>
      </c>
      <c r="AB4" s="52" t="s">
        <v>166</v>
      </c>
      <c r="AC4" s="52" t="s">
        <v>166</v>
      </c>
      <c r="AD4" s="52" t="s">
        <v>166</v>
      </c>
      <c r="AE4" s="52" t="s">
        <v>166</v>
      </c>
      <c r="AF4" s="53" t="s">
        <v>166</v>
      </c>
      <c r="AG4" s="53" t="s">
        <v>166</v>
      </c>
      <c r="AH4" s="53" t="s">
        <v>166</v>
      </c>
      <c r="AI4" s="53" t="s">
        <v>166</v>
      </c>
      <c r="AJ4" s="53" t="s">
        <v>166</v>
      </c>
      <c r="AK4" s="53" t="s">
        <v>166</v>
      </c>
      <c r="AL4" s="53" t="s">
        <v>166</v>
      </c>
      <c r="AM4" s="53" t="s">
        <v>166</v>
      </c>
      <c r="AN4" s="53" t="s">
        <v>166</v>
      </c>
      <c r="AO4" s="53" t="s">
        <v>166</v>
      </c>
      <c r="AP4" s="53" t="s">
        <v>166</v>
      </c>
      <c r="AQ4" s="53" t="s">
        <v>166</v>
      </c>
      <c r="AR4" s="53" t="s">
        <v>166</v>
      </c>
      <c r="AS4" s="53" t="s">
        <v>166</v>
      </c>
      <c r="AT4" s="54">
        <v>5</v>
      </c>
      <c r="AU4" s="53" t="s">
        <v>496</v>
      </c>
      <c r="AV4" s="53" t="str">
        <f t="shared" si="1"/>
        <v>[PLY]Archipelago[PLY] Gambier Islands</v>
      </c>
      <c r="AW4" s="53" t="str">
        <f t="shared" si="2"/>
        <v>2[PLY] Gambier Islands</v>
      </c>
      <c r="AX4" s="55"/>
      <c r="AY4" s="55"/>
      <c r="AZ4" s="56" t="s">
        <v>161</v>
      </c>
      <c r="BA4" s="56" t="s">
        <v>154</v>
      </c>
      <c r="BB4" s="56"/>
      <c r="BC4" s="57"/>
      <c r="BD4" s="58" t="s">
        <v>161</v>
      </c>
      <c r="BE4" s="59"/>
      <c r="BF4" s="58" t="s">
        <v>161</v>
      </c>
      <c r="BG4" s="58" t="s">
        <v>154</v>
      </c>
      <c r="BH4" s="58" t="s">
        <v>161</v>
      </c>
      <c r="BI4" s="58"/>
      <c r="BJ4" s="58"/>
      <c r="BK4" s="59"/>
      <c r="BL4" s="58" t="s">
        <v>161</v>
      </c>
      <c r="BM4" s="58" t="s">
        <v>154</v>
      </c>
      <c r="BN4" s="58"/>
      <c r="BO4" s="58"/>
      <c r="BP4" s="58"/>
      <c r="BQ4" s="58"/>
      <c r="BR4" s="58"/>
      <c r="BS4" s="58"/>
      <c r="BT4" s="58"/>
      <c r="BU4" s="60"/>
      <c r="BV4" s="61"/>
      <c r="BW4" s="61">
        <v>0</v>
      </c>
      <c r="BX4" s="59"/>
      <c r="CB4" s="5"/>
      <c r="CC4" s="5"/>
      <c r="CD4" s="62">
        <v>0</v>
      </c>
      <c r="CE4" s="62">
        <v>0</v>
      </c>
      <c r="CF4" s="62" t="e">
        <v>#REF!</v>
      </c>
      <c r="CG4" s="75" cm="1">
        <f t="array" ref="CG4">SUMPRODUCT(--(LEN(TRIM(BL4:BT4))&gt;0))</f>
        <v>2</v>
      </c>
      <c r="CH4" s="53" t="str">
        <f t="shared" si="3"/>
        <v>y</v>
      </c>
      <c r="CI4" s="53" t="str">
        <f t="shared" si="4"/>
        <v>n</v>
      </c>
      <c r="CJ4" s="53" t="str">
        <f t="shared" si="5"/>
        <v>n</v>
      </c>
      <c r="CK4" s="53" t="str">
        <f t="shared" si="6"/>
        <v>n</v>
      </c>
      <c r="CL4" s="53" t="str">
        <f t="shared" si="7"/>
        <v>n</v>
      </c>
      <c r="CM4" s="53" t="str">
        <f t="shared" si="8"/>
        <v>n</v>
      </c>
      <c r="CN4" s="53" t="str">
        <f t="shared" si="9"/>
        <v>y</v>
      </c>
      <c r="CO4" s="53" t="str">
        <f t="shared" si="10"/>
        <v>n</v>
      </c>
      <c r="CP4" s="53" t="str">
        <f t="shared" si="11"/>
        <v>n</v>
      </c>
      <c r="CQ4" s="53" t="str">
        <f t="shared" si="12"/>
        <v>n</v>
      </c>
      <c r="CR4" s="53" t="str">
        <f t="shared" si="13"/>
        <v>n</v>
      </c>
      <c r="CS4" s="53" t="str">
        <f t="shared" si="14"/>
        <v>y</v>
      </c>
      <c r="CT4" s="38" t="str">
        <f t="shared" si="15"/>
        <v>"[PLY] Gambier Islands"</v>
      </c>
      <c r="CU4" s="63" t="str">
        <f t="shared" si="16"/>
        <v>"rgn_Oceania"</v>
      </c>
      <c r="CV4" s="44" t="str">
        <f t="shared" si="17"/>
        <v>"https://upload.wikimedia.org/wikipedia/commons/thumb/f/f7/Flag_of_the_Gambier_Islands.svg/1024px-Flag_of_the_Gambier_Islands.svg.png"</v>
      </c>
      <c r="CW4" s="44" t="str">
        <f t="shared" si="18"/>
        <v>"2Color",</v>
      </c>
      <c r="CX4" s="44" t="str">
        <f t="shared" si="18"/>
        <v/>
      </c>
      <c r="CY4" s="44" t="str">
        <f t="shared" si="18"/>
        <v/>
      </c>
      <c r="CZ4" s="44" t="str">
        <f t="shared" si="18"/>
        <v/>
      </c>
      <c r="DA4" s="44" t="str">
        <f t="shared" si="19"/>
        <v>"words2",</v>
      </c>
      <c r="DB4" s="44" t="str">
        <f t="shared" si="20"/>
        <v/>
      </c>
      <c r="DC4" s="44" t="str">
        <f t="shared" si="21"/>
        <v>"exact2",</v>
      </c>
      <c r="DD4" s="44" t="str">
        <f t="shared" si="22"/>
        <v>"lets14",</v>
      </c>
      <c r="DE4" s="44" t="str">
        <f t="shared" si="23"/>
        <v>"startG",</v>
      </c>
      <c r="DF4" s="44" t="str">
        <f t="shared" si="24"/>
        <v/>
      </c>
      <c r="DG4" s="44" t="str">
        <f t="shared" si="25"/>
        <v/>
      </c>
      <c r="DH4" s="44" t="str">
        <f t="shared" si="26"/>
        <v/>
      </c>
      <c r="DI4" s="44" t="str">
        <f t="shared" si="27"/>
        <v/>
      </c>
      <c r="DJ4" s="44" t="str">
        <f t="shared" si="28"/>
        <v>"with_y",</v>
      </c>
      <c r="DK4" s="44" t="str">
        <f t="shared" si="29"/>
        <v/>
      </c>
      <c r="DL4" s="44" t="str">
        <f t="shared" si="30"/>
        <v>"BLUWHI",</v>
      </c>
      <c r="DM4" s="44" t="str" cm="1">
        <f t="array" ref="DM4">IF(CG4=3,CHAR(34) &amp; _xlfn.TEXTJOIN("", TRUE, RIGHT(HP4:HX4, 2)) &amp; CHAR(34) &amp; ",", "")</f>
        <v/>
      </c>
      <c r="DN4" s="44" t="str">
        <f t="shared" si="31"/>
        <v>"year18",</v>
      </c>
      <c r="DO4" s="44" t="str">
        <f t="shared" si="32"/>
        <v/>
      </c>
      <c r="DP4" s="5" t="str">
        <f t="shared" si="33"/>
        <v/>
      </c>
      <c r="DQ4" s="5" t="str">
        <f t="shared" si="34"/>
        <v/>
      </c>
      <c r="DR4" s="5" t="str">
        <f t="shared" si="35"/>
        <v/>
      </c>
      <c r="DS4" s="5" t="str">
        <f t="shared" si="36"/>
        <v/>
      </c>
      <c r="DT4" s="5" t="str">
        <f t="shared" si="37"/>
        <v>"allhor",</v>
      </c>
      <c r="DU4" s="5" t="str">
        <f t="shared" si="38"/>
        <v/>
      </c>
      <c r="DV4" s="44" t="str">
        <f t="shared" si="39"/>
        <v/>
      </c>
      <c r="DW4" s="44" t="str">
        <f t="shared" si="40"/>
        <v/>
      </c>
      <c r="DX4" s="44" t="str">
        <f t="shared" si="40"/>
        <v/>
      </c>
      <c r="DY4" s="44" t="str">
        <f t="shared" si="40"/>
        <v>"3Bands",</v>
      </c>
      <c r="DZ4" s="44" t="str">
        <f t="shared" si="40"/>
        <v/>
      </c>
      <c r="EA4" s="44" t="str">
        <f t="shared" si="41"/>
        <v/>
      </c>
      <c r="EB4" s="44" t="str">
        <f t="shared" si="41"/>
        <v/>
      </c>
      <c r="EC4" s="44" t="str">
        <f t="shared" si="41"/>
        <v>"Horizo",</v>
      </c>
      <c r="ED4" s="44" t="str">
        <f t="shared" si="41"/>
        <v/>
      </c>
      <c r="EE4" s="44" t="str">
        <f t="shared" si="41"/>
        <v/>
      </c>
      <c r="EF4" s="44" t="str">
        <f t="shared" si="42"/>
        <v/>
      </c>
      <c r="EG4" s="44" t="str">
        <f t="shared" si="43"/>
        <v/>
      </c>
      <c r="EH4" s="44" t="str">
        <f t="shared" si="43"/>
        <v/>
      </c>
      <c r="EI4" s="44" t="str">
        <f t="shared" si="43"/>
        <v/>
      </c>
      <c r="EJ4" s="44" t="str">
        <f t="shared" si="43"/>
        <v/>
      </c>
      <c r="EK4" s="44" t="str">
        <f t="shared" si="43"/>
        <v/>
      </c>
      <c r="EL4" s="44" t="str">
        <f t="shared" si="43"/>
        <v/>
      </c>
      <c r="EM4" s="44" t="str">
        <f t="shared" si="43"/>
        <v/>
      </c>
      <c r="EN4" s="44" t="str">
        <f t="shared" si="43"/>
        <v/>
      </c>
      <c r="EO4" s="44" t="str">
        <f t="shared" si="43"/>
        <v/>
      </c>
      <c r="EP4" s="44" t="str">
        <f t="shared" si="43"/>
        <v/>
      </c>
      <c r="EQ4" s="44" t="str">
        <f t="shared" si="44"/>
        <v/>
      </c>
      <c r="ER4" s="44" t="str">
        <f t="shared" si="44"/>
        <v/>
      </c>
      <c r="ES4" s="44" t="str">
        <f t="shared" si="44"/>
        <v/>
      </c>
      <c r="ET4" s="44" t="str">
        <f t="shared" si="44"/>
        <v/>
      </c>
      <c r="EU4" s="44" t="str">
        <f t="shared" si="44"/>
        <v/>
      </c>
      <c r="EV4" s="44" t="str">
        <f t="shared" si="44"/>
        <v/>
      </c>
      <c r="EW4" s="44" t="str">
        <f t="shared" si="44"/>
        <v/>
      </c>
      <c r="EX4" s="44" t="str">
        <f t="shared" si="44"/>
        <v/>
      </c>
      <c r="EY4" s="44" t="str">
        <f t="shared" si="44"/>
        <v/>
      </c>
      <c r="EZ4" s="44" t="str">
        <f t="shared" si="44"/>
        <v/>
      </c>
      <c r="FA4" s="44" t="str">
        <f t="shared" si="45"/>
        <v>"staWHI",</v>
      </c>
      <c r="FB4" s="44" t="str">
        <f t="shared" si="46"/>
        <v>"staBLU",</v>
      </c>
      <c r="FC4" s="44" t="str">
        <f t="shared" si="47"/>
        <v/>
      </c>
      <c r="FD4" s="44" t="str">
        <f t="shared" si="48"/>
        <v/>
      </c>
      <c r="FE4" s="44" t="str">
        <f t="shared" si="49"/>
        <v/>
      </c>
      <c r="FF4" s="44" t="str">
        <f t="shared" si="50"/>
        <v/>
      </c>
      <c r="FG4" s="44" t="str">
        <f t="shared" si="51"/>
        <v>"NO_RED",</v>
      </c>
      <c r="FH4" s="44" t="str">
        <f t="shared" si="52"/>
        <v>"NO_GRE",</v>
      </c>
      <c r="FI4" s="44" t="str">
        <f t="shared" si="53"/>
        <v>"NO_YEL",</v>
      </c>
      <c r="FJ4" s="44" t="str">
        <f t="shared" si="54"/>
        <v>"NO_BLA",</v>
      </c>
      <c r="FK4" s="44" t="str">
        <f t="shared" si="55"/>
        <v/>
      </c>
      <c r="FL4" s="44" t="str">
        <f t="shared" si="56"/>
        <v/>
      </c>
      <c r="FM4" s="44" t="str">
        <f t="shared" si="57"/>
        <v/>
      </c>
      <c r="FN4" s="44" t="str">
        <f t="shared" si="58"/>
        <v/>
      </c>
      <c r="FO4" s="44" t="str">
        <f t="shared" si="59"/>
        <v/>
      </c>
      <c r="FP4" s="44" t="str">
        <f t="shared" si="60"/>
        <v/>
      </c>
      <c r="FQ4" s="44" t="str">
        <f t="shared" si="61"/>
        <v>"001WHI",</v>
      </c>
      <c r="FR4" s="44" t="str">
        <f t="shared" si="62"/>
        <v>"002BLU",</v>
      </c>
      <c r="FS4" s="44" t="str">
        <f t="shared" si="63"/>
        <v>"003WHI",</v>
      </c>
      <c r="FT4" s="44" t="str">
        <f t="shared" si="64"/>
        <v>"myrWHI",</v>
      </c>
      <c r="FU4" s="44" t="str">
        <f t="shared" si="65"/>
        <v/>
      </c>
      <c r="FV4" s="44" t="str">
        <f t="shared" si="66"/>
        <v/>
      </c>
      <c r="FW4" s="44" t="str">
        <f t="shared" si="67"/>
        <v/>
      </c>
      <c r="FX4" s="44" t="str">
        <f t="shared" si="68"/>
        <v/>
      </c>
      <c r="FY4" s="44" t="str">
        <f t="shared" si="69"/>
        <v/>
      </c>
      <c r="FZ4" s="44" t="str">
        <f t="shared" si="70"/>
        <v/>
      </c>
      <c r="GA4" s="44" t="str">
        <f t="shared" si="71"/>
        <v/>
      </c>
      <c r="GB4" s="44" t="str">
        <f t="shared" si="72"/>
        <v/>
      </c>
      <c r="GC4" s="44" t="str">
        <f t="shared" si="73"/>
        <v/>
      </c>
      <c r="GD4" s="44" t="str">
        <f t="shared" si="74"/>
        <v/>
      </c>
      <c r="GE4" s="44" t="str">
        <f t="shared" si="75"/>
        <v/>
      </c>
      <c r="GF4" s="44" t="str">
        <f>IFERROR(IF(SEARCH("Historical",AU4)&gt;0,CHAR(34)&amp;"histor"&amp;CHAR(34)&amp;",",""),"")</f>
        <v/>
      </c>
      <c r="GG4" s="44" t="str">
        <f t="shared" si="76"/>
        <v/>
      </c>
      <c r="GH4" s="44" t="str">
        <f t="shared" si="77"/>
        <v/>
      </c>
      <c r="GI4" s="44" t="str">
        <f t="shared" si="78"/>
        <v/>
      </c>
      <c r="GJ4" s="44" t="str">
        <f t="shared" si="79"/>
        <v/>
      </c>
      <c r="GK4" s="44" t="str">
        <f t="shared" si="80"/>
        <v>"HasSta",</v>
      </c>
      <c r="GL4" s="44" t="str">
        <f t="shared" si="81"/>
        <v/>
      </c>
      <c r="GM4" s="44" t="str">
        <f t="shared" si="81"/>
        <v/>
      </c>
      <c r="GN4" s="44" t="str">
        <f t="shared" si="81"/>
        <v>"3+Star",</v>
      </c>
      <c r="GP4" s="44" t="str">
        <f t="shared" si="82"/>
        <v>"Archipelago"</v>
      </c>
      <c r="GS4" s="44" t="str">
        <f t="shared" si="83"/>
        <v>["2Color","words2","exact2","lets14","startG","with_y","BLUWHI","year18","allhor","3Bands","Horizo","staWHI","staBLU","NO_RED","NO_GRE","NO_YEL","NO_BLA","001WHI","002BLU","003WHI","myrWHI","HasSta","3+Star"]</v>
      </c>
      <c r="GT4" s="44" t="str">
        <f t="shared" si="84"/>
        <v>"cl_WHI",</v>
      </c>
      <c r="GU4" s="44" t="str">
        <f t="shared" si="84"/>
        <v>"cl_BLU",</v>
      </c>
      <c r="GV4" s="44" t="str">
        <f t="shared" si="84"/>
        <v/>
      </c>
      <c r="GW4" s="44" t="str">
        <f t="shared" si="84"/>
        <v/>
      </c>
      <c r="GX4" s="44" t="str">
        <f t="shared" si="84"/>
        <v/>
      </c>
      <c r="GY4" s="44" t="str">
        <f t="shared" si="84"/>
        <v/>
      </c>
      <c r="GZ4" s="44" t="str">
        <f t="shared" si="84"/>
        <v/>
      </c>
      <c r="HA4" s="44" t="str">
        <f t="shared" si="84"/>
        <v/>
      </c>
      <c r="HB4" s="44" t="str">
        <f t="shared" si="84"/>
        <v/>
      </c>
      <c r="HC4" s="44" t="str">
        <f t="shared" si="85"/>
        <v>["cl_WHI","cl_BLU"]</v>
      </c>
      <c r="HE4" s="64"/>
      <c r="HF4" s="65" t="str">
        <f t="shared" si="86"/>
        <v>{couname:"[PLY] Gambier Islands",year:"1837",region:"rgn_Oceania",Colors:["cl_WHI","cl_BLU"],Items:["2Color","words2","exact2","lets14","startG","with_y","BLUWHI","year18","allhor","3Bands","Horizo","staWHI","staBLU","NO_RED","NO_GRE","NO_YEL","NO_BLA","001WHI","002BLU","003WHI","myrWHI","HasSta","3+Star"],Flag:"https://upload.wikimedia.org/wikipedia/commons/thumb/f/f7/Flag_of_the_Gambier_Islands.svg/1024px-Flag_of_the_Gambier_Islands.svg.png",HDFlag:"https://upload.wikimedia.org/wikipedia/commons/thumb/f/f7/Flag_of_the_Gambier_Islands.svg/2560px-Flag_of_the_Gambier_Islands.svg.png",type:"Archipelago", describe: "\nEach of the stars represent one of the major islands in the group, with the blue stars representing Mangareva, Taravai, Aukena, and Akamaru, and the white star representing the islet Temoe, which is geographically distant from the others. The blue represents the sea while the white represents purity, and evangelism. The blue and white may also relate to the distinctive color of the local churches.", isnew:".", links: "https://en.wikipedia.org/wiki/Flag_of_the_Gambier_Islands"},</v>
      </c>
      <c r="HG4" s="66" t="str">
        <f t="shared" si="87"/>
        <v>{couname:"[PLY] Gambier Islands",year:"1837",region:"rgn_Oceania",Colors:["cl_WHI","cl_BLU"],Items:["2Color","words2","exact2","lets14","startG","with_y","BLUWHI","year18","allhor","3Bands","Horizo","staWHI","staBLU","NO_RED","NO_GRE","NO_YEL","NO_BLA","001WHI","002BLU","003WHI","myrWHI","HasSta","3+Star"],Flag:"https://upload.wikimedia.org/wikipedia/commons/thumb/f/f7/Flag_of_the_Gambier_Islands.svg/1024px-Flag_of_the_Gambier_Islands.svg.png",HDFlag:"https://upload.wikimedia.org/wikipedia/commons/thumb/f/f7/Flag_of_the_Gambier_Islands.svg/2560px-Flag_of_the_Gambier_Islands.svg.png",type:"Archipelago", describe: "\nEach of the stars represent one of the major islands in the group, with the blue stars representing Mangareva, Taravai, Aukena, and Akamaru, and the white star representing the islet Temoe, which is geographically distant from the others. The blue represents the sea while the white represents purity, and evangelism. The blue and white may also relate to the distinctive color of the local churches.", links: "https://en.wikipedia.org/wiki/Flag_of_the_Gambier_Islands"},</v>
      </c>
      <c r="HH4" s="44" t="str">
        <f t="shared" si="88"/>
        <v>"\nEach of the stars represent one of the major islands in the group, with the blue stars representing Mangareva, Taravai, Aukena, and Akamaru, and the white star representing the islet Temoe, which is geographically distant from the others. The blue represents the sea while the white represents purity, and evangelism. The blue and white may also relate to the distinctive color of the local churches."</v>
      </c>
      <c r="HI4" s="44" t="str">
        <f t="shared" si="89"/>
        <v>"\nEach of the stars represent one of the major islands in the group, with the blue stars representing Mangareva, Taravai, Aukena, and Akamaru, and the white star representing the islet Temoe, which is geographically distant from the others. The blue represents the sea while the white represents purity, and evangelism. The blue and white may also relate to the distinctive color of the local churches."</v>
      </c>
      <c r="HJ4" s="44" t="str">
        <f t="shared" si="90"/>
        <v>"1837"</v>
      </c>
      <c r="HL4" s="44" t="str">
        <f t="shared" si="91"/>
        <v>"https://en.wikipedia.org/wiki/Flag_of_the_Gambier_Islands"</v>
      </c>
      <c r="HM4" s="65" t="str">
        <f t="shared" si="92"/>
        <v>{"couname":"[PLY] Gambier Islands","year":"1837","region":"rgn_Oceania","Colors":["cl_WHI","cl_BLU"],"Items":["2Color","words2","exact2","lets14","startG","with_y","BLUWHI","year18","allhor","3Bands","Horizo","staWHI","staBLU","NO_RED","NO_GRE","NO_YEL","NO_BLA","001WHI","002BLU","003WHI","myrWHI","HasSta","3+Star"],"Flag":"https://upload.wikimedia.org/wikipedia/commons/thumb/f/f7/Flag_of_the_Gambier_Islands.svg/1024px-Flag_of_the_Gambier_Islands.svg.png","HDFlag":"https://upload.wikimedia.org/wikipedia/commons/thumb/f/f7/Flag_of_the_Gambier_Islands.svg/2560px-Flag_of_the_Gambier_Islands.svg.png","type":"Archipelago", "describe": "\nEach of the stars represent one of the major islands in the group, with the blue stars representing Mangareva, Taravai, Aukena, and Akamaru, and the white star representing the islet Temoe, which is geographically distant from the others. The blue represents the sea while the white represents purity, and evangelism. The blue and white may also relate to the distinctive color of the local churches.", "isnew": ".", "links": "https://en.wikipedia.org/wiki/Flag_of_the_Gambier_Islands"},</v>
      </c>
      <c r="HN4" s="67" t="str">
        <f t="shared" si="93"/>
        <v>{"couname":"[PLY] Gambier Islands","year":"1837","region":"rgn_Oceania","Colors":["cl_WHI","cl_BLU"],"Items":["2Color","words2","exact2","lets14","startG","with_y","BLUWHI","year18","allhor","3Bands","Horizo","staWHI","staBLU","NO_RED","NO_GRE","NO_YEL","NO_BLA","001WHI","002BLU","003WHI","myrWHI","HasSta","3+Star"],"Flag":"https://upload.wikimedia.org/wikipedia/commons/thumb/f/f7/Flag_of_the_Gambier_Islands.svg/1024px-Flag_of_the_Gambier_Islands.svg.png","HDFlag":"https://upload.wikimedia.org/wikipedia/commons/thumb/f/f7/Flag_of_the_Gambier_Islands.svg/2560px-Flag_of_the_Gambier_Islands.svg.png","type":"Archipelago", "describe": "\nEach of the stars represent one of the major islands in the group, with the blue stars representing Mangareva, Taravai, Aukena, and Akamaru, and the white star representing the islet Temoe, which is geographically distant from the others. The blue represents the sea while the white represents purity, and evangelism. The blue and white may also relate to the distinctive color of the local churches.", "isnew": ".", "links": "https://en.wikipedia.org/wiki/Flag_of_the_Gambier_Islands"},</v>
      </c>
      <c r="HO4" s="71"/>
      <c r="HP4" s="44" t="str" cm="1">
        <f t="array" ref="HP4">IF(_xlfn.TEXTJOIN(", ", TRUE, IF(ISNUMBER(SEARCH("BLA", BL4:BT4)), COLUMN(BL4:BT4) - COLUMN(BL4) + 1, ""))&lt;&gt;"","BLA","")</f>
        <v/>
      </c>
      <c r="HQ4" s="44" t="str" cm="1">
        <f t="array" ref="HQ4">IF(_xlfn.TEXTJOIN(", ", TRUE, IF(ISNUMBER(SEARCH("BLU", BL4:BT4)), COLUMN(BL4:BT4) - COLUMN(BL4) + 1, ""))&lt;&gt;"","BLU","")</f>
        <v>BLU</v>
      </c>
      <c r="HR4" s="44" t="str" cm="1">
        <f t="array" ref="HR4">IF(_xlfn.TEXTJOIN(", ", TRUE, IF(ISNUMBER(SEARCH("GRE", BL4:BT4)), COLUMN(BL4:BT4) - COLUMN(BL4) + 1, ""))&lt;&gt;"","GRE","")</f>
        <v/>
      </c>
      <c r="HS4" s="44" t="str" cm="1">
        <f t="array" ref="HS4">IF(_xlfn.TEXTJOIN(", ", TRUE, IF(ISNUMBER(SEARCH("RED", BL4:BT4)), COLUMN(BL4:BT4) - COLUMN(BL4) + 1, ""))&lt;&gt;"","RED","")</f>
        <v/>
      </c>
      <c r="HT4" s="44" t="str" cm="1">
        <f t="array" ref="HT4">IF(_xlfn.TEXTJOIN(", ", TRUE, IF(ISNUMBER(SEARCH("YEL", BL4:BT4)), COLUMN(BL4:BT4) - COLUMN(BL4) + 1, ""))&lt;&gt;"","YEL","")</f>
        <v/>
      </c>
      <c r="HU4" s="44" t="str" cm="1">
        <f t="array" ref="HU4">IF(_xlfn.TEXTJOIN(", ", TRUE, IF(ISNUMBER(SEARCH("ORA", BL4:BT4)), COLUMN(BL4:BT4) - COLUMN(BL4) + 1, ""))&lt;&gt;"","ORA","")</f>
        <v/>
      </c>
      <c r="HV4" s="44" t="str" cm="1">
        <f t="array" ref="HV4">IF(_xlfn.TEXTJOIN(", ", TRUE, IF(ISNUMBER(SEARCH("BRO", BL4:BT4)), COLUMN(BL4:BT4) - COLUMN(BL4) + 1, ""))&lt;&gt;"","BRO","")</f>
        <v/>
      </c>
      <c r="HW4" s="44" t="str" cm="1">
        <f t="array" ref="HW4">IF(_xlfn.TEXTJOIN(", ", TRUE, IF(ISNUMBER(SEARCH("PUR", BL4:BT4)), COLUMN(BL4:BT4) - COLUMN(BL4) + 1, ""))&lt;&gt;"","PUR","")</f>
        <v/>
      </c>
      <c r="HX4" s="44" t="str" cm="1">
        <f t="array" ref="HX4">IF(_xlfn.TEXTJOIN(", ", TRUE, IF(ISNUMBER(SEARCH("WHI", BL4:BT4)), COLUMN(BL4:BT4) - COLUMN(BL4) + 1, ""))&lt;&gt;"","WHI","")</f>
        <v>WHI</v>
      </c>
      <c r="HY4" s="72"/>
      <c r="HZ4" s="72"/>
      <c r="IA4" s="5"/>
      <c r="IB4" s="5"/>
      <c r="IC4" s="68"/>
      <c r="ID4" s="68"/>
      <c r="IE4" s="68"/>
      <c r="IF4" s="68"/>
      <c r="IG4" s="68"/>
      <c r="IH4" s="68"/>
      <c r="II4" s="68"/>
      <c r="IJ4" s="68"/>
      <c r="IK4" s="68"/>
      <c r="IL4" s="44">
        <f t="shared" si="94"/>
        <v>0</v>
      </c>
      <c r="IM4" s="42">
        <f t="shared" si="95"/>
        <v>-2</v>
      </c>
      <c r="IN4" s="69" t="str">
        <f t="shared" si="96"/>
        <v>http://mkweb.bcgsc.ca/color-summarizer/?url=https://upload.wikimedia.org/wikipedia/commons/thumb/f/f7/Flag_of_the_Gambier_Islands.svg/1024px-Flag_of_the_Gambier_Islands.svg.png&amp;precision=low&amp;num_clusters=2&amp;text=1</v>
      </c>
      <c r="IO4" s="44" t="str">
        <f t="shared" si="97"/>
        <v/>
      </c>
      <c r="IP4" s="44" t="str">
        <f t="shared" si="98"/>
        <v>"blue"</v>
      </c>
      <c r="IQ4" s="44" t="str">
        <f t="shared" si="99"/>
        <v/>
      </c>
      <c r="IR4" s="44" t="str">
        <f t="shared" si="100"/>
        <v/>
      </c>
      <c r="IS4" s="44" t="str">
        <f t="shared" si="101"/>
        <v/>
      </c>
      <c r="IT4" s="44" t="str">
        <f t="shared" si="102"/>
        <v/>
      </c>
      <c r="IU4" s="44" t="str">
        <f t="shared" si="103"/>
        <v/>
      </c>
      <c r="IV4" s="44" t="str">
        <f t="shared" si="104"/>
        <v/>
      </c>
      <c r="IW4" s="44" t="str">
        <f t="shared" si="105"/>
        <v>"white"</v>
      </c>
      <c r="IX4" s="44" t="str">
        <f t="shared" si="106"/>
        <v>{"url":"http://mkweb.bcgsc.ca/color-summarizer/?url=https://upload.wikimedia.org/wikipedia/commons/thumb/f/f7/Flag_of_the_Gambier_Islands.svg/1024px-Flag_of_the_Gambier_Islands.svg.png&amp;precision=low&amp;num_clusters=2&amp;text=1","name":"[PLY] Gambier Islands"},</v>
      </c>
      <c r="IY4" s="44">
        <v>697</v>
      </c>
    </row>
    <row r="5" spans="1:259" s="44" customFormat="1" ht="38.4" customHeight="1" thickBot="1" x14ac:dyDescent="0.35">
      <c r="A5" s="80" t="s">
        <v>503</v>
      </c>
      <c r="B5" s="78" t="e" vm="99">
        <v>#VALUE!</v>
      </c>
      <c r="C5" s="39">
        <v>2</v>
      </c>
      <c r="D5" s="70" t="s">
        <v>504</v>
      </c>
      <c r="E5" s="40" t="s">
        <v>505</v>
      </c>
      <c r="F5" s="41" t="s">
        <v>165</v>
      </c>
      <c r="G5" s="42">
        <f t="shared" si="0"/>
        <v>1</v>
      </c>
      <c r="H5" s="43"/>
      <c r="I5" s="59" t="s">
        <v>506</v>
      </c>
      <c r="J5" s="44" t="str">
        <f>""</f>
        <v/>
      </c>
      <c r="K5" s="45"/>
      <c r="L5" s="46"/>
      <c r="M5" s="46"/>
      <c r="N5" s="47" t="s">
        <v>177</v>
      </c>
      <c r="O5" s="74" t="s">
        <v>230</v>
      </c>
      <c r="P5" s="48" t="s">
        <v>405</v>
      </c>
      <c r="Q5" s="73">
        <v>2</v>
      </c>
      <c r="R5" s="49" t="s">
        <v>177</v>
      </c>
      <c r="S5" s="50">
        <v>7</v>
      </c>
      <c r="T5" s="51" t="s">
        <v>166</v>
      </c>
      <c r="U5" s="52" t="s">
        <v>166</v>
      </c>
      <c r="V5" s="52" t="s">
        <v>167</v>
      </c>
      <c r="W5" s="52" t="s">
        <v>166</v>
      </c>
      <c r="X5" s="52" t="s">
        <v>166</v>
      </c>
      <c r="Y5" s="52" t="s">
        <v>166</v>
      </c>
      <c r="Z5" s="52" t="s">
        <v>166</v>
      </c>
      <c r="AA5" s="52" t="s">
        <v>166</v>
      </c>
      <c r="AB5" s="52" t="s">
        <v>166</v>
      </c>
      <c r="AC5" s="52" t="s">
        <v>166</v>
      </c>
      <c r="AD5" s="52" t="s">
        <v>166</v>
      </c>
      <c r="AE5" s="52" t="s">
        <v>166</v>
      </c>
      <c r="AF5" s="53" t="s">
        <v>166</v>
      </c>
      <c r="AG5" s="53" t="s">
        <v>166</v>
      </c>
      <c r="AH5" s="53" t="s">
        <v>166</v>
      </c>
      <c r="AI5" s="53" t="s">
        <v>166</v>
      </c>
      <c r="AJ5" s="53" t="s">
        <v>166</v>
      </c>
      <c r="AK5" s="53" t="s">
        <v>167</v>
      </c>
      <c r="AL5" s="53" t="s">
        <v>166</v>
      </c>
      <c r="AM5" s="53" t="s">
        <v>166</v>
      </c>
      <c r="AN5" s="53" t="s">
        <v>166</v>
      </c>
      <c r="AO5" s="53" t="s">
        <v>166</v>
      </c>
      <c r="AP5" s="53" t="s">
        <v>166</v>
      </c>
      <c r="AQ5" s="53" t="s">
        <v>166</v>
      </c>
      <c r="AR5" s="53" t="s">
        <v>167</v>
      </c>
      <c r="AS5" s="53" t="s">
        <v>166</v>
      </c>
      <c r="AT5" s="54">
        <v>0</v>
      </c>
      <c r="AU5" s="53" t="s">
        <v>496</v>
      </c>
      <c r="AV5" s="53" t="str">
        <f t="shared" si="1"/>
        <v>[PLY]Archipelago[PLY] Leeward Islands</v>
      </c>
      <c r="AW5" s="53" t="str">
        <f t="shared" si="2"/>
        <v>2[PLY] Leeward Islands</v>
      </c>
      <c r="AX5" s="55"/>
      <c r="AY5" s="55"/>
      <c r="AZ5" s="56"/>
      <c r="BA5" s="56"/>
      <c r="BB5" s="56"/>
      <c r="BC5" s="57"/>
      <c r="BD5" s="58" t="s">
        <v>156</v>
      </c>
      <c r="BE5" s="59"/>
      <c r="BF5" s="58" t="s">
        <v>156</v>
      </c>
      <c r="BG5" s="58" t="s">
        <v>161</v>
      </c>
      <c r="BH5" s="58" t="s">
        <v>156</v>
      </c>
      <c r="BI5" s="58"/>
      <c r="BJ5" s="58"/>
      <c r="BK5" s="59"/>
      <c r="BL5" s="58" t="s">
        <v>156</v>
      </c>
      <c r="BM5" s="58" t="s">
        <v>161</v>
      </c>
      <c r="BN5" s="58"/>
      <c r="BO5" s="58"/>
      <c r="BP5" s="58"/>
      <c r="BQ5" s="58"/>
      <c r="BR5" s="58"/>
      <c r="BS5" s="58"/>
      <c r="BT5" s="58"/>
      <c r="BU5" s="60"/>
      <c r="BV5" s="61"/>
      <c r="BW5" s="61">
        <v>0</v>
      </c>
      <c r="BX5" s="59"/>
      <c r="CB5" s="5"/>
      <c r="CC5" s="5"/>
      <c r="CD5" s="62">
        <v>0</v>
      </c>
      <c r="CE5" s="62">
        <v>0</v>
      </c>
      <c r="CF5" s="62" t="e">
        <v>#REF!</v>
      </c>
      <c r="CG5" s="75" cm="1">
        <f t="array" ref="CG5">SUMPRODUCT(--(LEN(TRIM(BL5:BT5))&gt;0))</f>
        <v>2</v>
      </c>
      <c r="CH5" s="53" t="str">
        <f t="shared" si="3"/>
        <v>y</v>
      </c>
      <c r="CI5" s="53" t="str">
        <f t="shared" si="4"/>
        <v>n</v>
      </c>
      <c r="CJ5" s="53" t="str">
        <f t="shared" si="5"/>
        <v>n</v>
      </c>
      <c r="CK5" s="53" t="str">
        <f t="shared" si="6"/>
        <v>n</v>
      </c>
      <c r="CL5" s="53" t="str">
        <f t="shared" si="7"/>
        <v>n</v>
      </c>
      <c r="CM5" s="53" t="str">
        <f t="shared" si="8"/>
        <v>n</v>
      </c>
      <c r="CN5" s="53" t="str">
        <f t="shared" si="9"/>
        <v>n</v>
      </c>
      <c r="CO5" s="53" t="str">
        <f t="shared" si="10"/>
        <v>y</v>
      </c>
      <c r="CP5" s="53" t="str">
        <f t="shared" si="11"/>
        <v>y</v>
      </c>
      <c r="CQ5" s="53" t="str">
        <f t="shared" si="12"/>
        <v>n</v>
      </c>
      <c r="CR5" s="53" t="str">
        <f t="shared" si="13"/>
        <v>n</v>
      </c>
      <c r="CS5" s="53" t="str">
        <f t="shared" si="14"/>
        <v>n</v>
      </c>
      <c r="CT5" s="38" t="str">
        <f t="shared" si="15"/>
        <v>"[PLY] Leeward Islands"</v>
      </c>
      <c r="CU5" s="63" t="str">
        <f t="shared" si="16"/>
        <v>"rgn_Oceania"</v>
      </c>
      <c r="CV5" s="44" t="str">
        <f t="shared" si="17"/>
        <v>"https://upload.wikimedia.org/wikipedia/commons/thumb/e/e0/Flag_of_the_Leeward_Islands.svg/1024px-Flag_of_the_Leeward_Islands.svg.png"</v>
      </c>
      <c r="CW5" s="44" t="str">
        <f t="shared" si="18"/>
        <v>"2Color",</v>
      </c>
      <c r="CX5" s="44" t="str">
        <f t="shared" si="18"/>
        <v/>
      </c>
      <c r="CY5" s="44" t="str">
        <f t="shared" si="18"/>
        <v/>
      </c>
      <c r="CZ5" s="44" t="str">
        <f t="shared" si="18"/>
        <v/>
      </c>
      <c r="DA5" s="44" t="str">
        <f t="shared" si="19"/>
        <v>"words2",</v>
      </c>
      <c r="DB5" s="44" t="str">
        <f t="shared" si="20"/>
        <v/>
      </c>
      <c r="DC5" s="44" t="str">
        <f t="shared" si="21"/>
        <v>"exact2",</v>
      </c>
      <c r="DD5" s="44" t="str">
        <f t="shared" si="22"/>
        <v>"lets14",</v>
      </c>
      <c r="DE5" s="44" t="str">
        <f t="shared" si="23"/>
        <v>"startL",</v>
      </c>
      <c r="DF5" s="44" t="str">
        <f t="shared" si="24"/>
        <v/>
      </c>
      <c r="DG5" s="44" t="str">
        <f t="shared" si="25"/>
        <v/>
      </c>
      <c r="DH5" s="44" t="str">
        <f t="shared" si="26"/>
        <v/>
      </c>
      <c r="DI5" s="44" t="str">
        <f t="shared" si="27"/>
        <v>"with_w",</v>
      </c>
      <c r="DJ5" s="44" t="str">
        <f t="shared" si="28"/>
        <v>"with_y",</v>
      </c>
      <c r="DK5" s="44" t="str">
        <f t="shared" si="29"/>
        <v/>
      </c>
      <c r="DL5" s="44" t="str">
        <f t="shared" si="30"/>
        <v>"REDWHI",</v>
      </c>
      <c r="DM5" s="44" t="str" cm="1">
        <f t="array" ref="DM5">IF(CG5=3,CHAR(34) &amp; _xlfn.TEXTJOIN("", TRUE, RIGHT(HP5:HX5, 2)) &amp; CHAR(34) &amp; ",", "")</f>
        <v/>
      </c>
      <c r="DN5" s="44" t="str">
        <f t="shared" si="31"/>
        <v/>
      </c>
      <c r="DO5" s="44" t="str">
        <f t="shared" si="32"/>
        <v/>
      </c>
      <c r="DP5" s="5" t="str">
        <f t="shared" si="33"/>
        <v/>
      </c>
      <c r="DQ5" s="5" t="str">
        <f t="shared" si="34"/>
        <v/>
      </c>
      <c r="DR5" s="5" t="str">
        <f t="shared" si="35"/>
        <v/>
      </c>
      <c r="DS5" s="5" t="str">
        <f t="shared" si="36"/>
        <v/>
      </c>
      <c r="DT5" s="5" t="str">
        <f t="shared" si="37"/>
        <v>"allhor",</v>
      </c>
      <c r="DU5" s="5" t="str">
        <f t="shared" si="38"/>
        <v/>
      </c>
      <c r="DV5" s="44" t="str">
        <f t="shared" si="39"/>
        <v/>
      </c>
      <c r="DW5" s="44" t="str">
        <f t="shared" si="40"/>
        <v/>
      </c>
      <c r="DX5" s="44" t="str">
        <f t="shared" si="40"/>
        <v/>
      </c>
      <c r="DY5" s="44" t="str">
        <f t="shared" si="40"/>
        <v/>
      </c>
      <c r="DZ5" s="44" t="str">
        <f t="shared" si="40"/>
        <v>"4+Band",</v>
      </c>
      <c r="EA5" s="44" t="str">
        <f t="shared" si="41"/>
        <v/>
      </c>
      <c r="EB5" s="44" t="str">
        <f t="shared" si="41"/>
        <v/>
      </c>
      <c r="EC5" s="44" t="str">
        <f t="shared" si="41"/>
        <v>"Horizo",</v>
      </c>
      <c r="ED5" s="44" t="str">
        <f t="shared" si="41"/>
        <v/>
      </c>
      <c r="EE5" s="44" t="str">
        <f t="shared" si="41"/>
        <v/>
      </c>
      <c r="EF5" s="44" t="str">
        <f t="shared" si="42"/>
        <v/>
      </c>
      <c r="EG5" s="44" t="str">
        <f t="shared" si="43"/>
        <v/>
      </c>
      <c r="EH5" s="44" t="str">
        <f t="shared" si="43"/>
        <v/>
      </c>
      <c r="EI5" s="44" t="str">
        <f t="shared" si="43"/>
        <v/>
      </c>
      <c r="EJ5" s="44" t="str">
        <f t="shared" si="43"/>
        <v/>
      </c>
      <c r="EK5" s="44" t="str">
        <f t="shared" si="43"/>
        <v/>
      </c>
      <c r="EL5" s="44" t="str">
        <f t="shared" si="43"/>
        <v/>
      </c>
      <c r="EM5" s="44" t="str">
        <f t="shared" si="43"/>
        <v/>
      </c>
      <c r="EN5" s="44" t="str">
        <f t="shared" si="43"/>
        <v/>
      </c>
      <c r="EO5" s="44" t="str">
        <f t="shared" si="43"/>
        <v/>
      </c>
      <c r="EP5" s="44" t="str">
        <f t="shared" si="43"/>
        <v/>
      </c>
      <c r="EQ5" s="44" t="str">
        <f t="shared" si="44"/>
        <v/>
      </c>
      <c r="ER5" s="44" t="str">
        <f t="shared" si="44"/>
        <v>"OnlyBa",</v>
      </c>
      <c r="ES5" s="44" t="str">
        <f t="shared" si="44"/>
        <v/>
      </c>
      <c r="ET5" s="44" t="str">
        <f t="shared" si="44"/>
        <v/>
      </c>
      <c r="EU5" s="44" t="str">
        <f t="shared" si="44"/>
        <v/>
      </c>
      <c r="EV5" s="44" t="str">
        <f t="shared" si="44"/>
        <v/>
      </c>
      <c r="EW5" s="44" t="str">
        <f t="shared" si="44"/>
        <v/>
      </c>
      <c r="EX5" s="44" t="str">
        <f t="shared" si="44"/>
        <v/>
      </c>
      <c r="EY5" s="44" t="str">
        <f t="shared" si="44"/>
        <v>"Rotate",</v>
      </c>
      <c r="EZ5" s="44" t="str">
        <f t="shared" si="44"/>
        <v/>
      </c>
      <c r="FA5" s="44" t="str">
        <f t="shared" si="45"/>
        <v/>
      </c>
      <c r="FB5" s="44" t="str">
        <f t="shared" si="46"/>
        <v/>
      </c>
      <c r="FC5" s="44" t="str">
        <f t="shared" si="47"/>
        <v/>
      </c>
      <c r="FD5" s="44" t="str">
        <f t="shared" si="48"/>
        <v/>
      </c>
      <c r="FE5" s="44" t="str">
        <f t="shared" si="49"/>
        <v>"NO_BLU",</v>
      </c>
      <c r="FF5" s="44" t="str">
        <f t="shared" si="50"/>
        <v/>
      </c>
      <c r="FG5" s="44" t="str">
        <f t="shared" si="51"/>
        <v/>
      </c>
      <c r="FH5" s="44" t="str">
        <f t="shared" si="52"/>
        <v>"NO_GRE",</v>
      </c>
      <c r="FI5" s="44" t="str">
        <f t="shared" si="53"/>
        <v>"NO_YEL",</v>
      </c>
      <c r="FJ5" s="44" t="str">
        <f t="shared" si="54"/>
        <v>"NO_BLA",</v>
      </c>
      <c r="FK5" s="44" t="str">
        <f t="shared" si="55"/>
        <v/>
      </c>
      <c r="FL5" s="44" t="str">
        <f t="shared" si="56"/>
        <v/>
      </c>
      <c r="FM5" s="44" t="str">
        <f t="shared" si="57"/>
        <v/>
      </c>
      <c r="FN5" s="44" t="str">
        <f t="shared" si="58"/>
        <v/>
      </c>
      <c r="FO5" s="44" t="str">
        <f t="shared" si="59"/>
        <v/>
      </c>
      <c r="FP5" s="44" t="str">
        <f t="shared" si="60"/>
        <v/>
      </c>
      <c r="FQ5" s="44" t="str">
        <f t="shared" si="61"/>
        <v>"001RED",</v>
      </c>
      <c r="FR5" s="44" t="str">
        <f t="shared" si="62"/>
        <v>"002WHI",</v>
      </c>
      <c r="FS5" s="44" t="str">
        <f t="shared" si="63"/>
        <v>"003RED",</v>
      </c>
      <c r="FT5" s="44" t="str">
        <f t="shared" si="64"/>
        <v>"myrRED",</v>
      </c>
      <c r="FU5" s="44" t="str">
        <f t="shared" si="65"/>
        <v/>
      </c>
      <c r="FV5" s="44" t="str">
        <f t="shared" si="66"/>
        <v/>
      </c>
      <c r="FW5" s="44" t="str">
        <f t="shared" si="67"/>
        <v/>
      </c>
      <c r="FX5" s="44" t="str">
        <f t="shared" si="68"/>
        <v/>
      </c>
      <c r="FY5" s="44" t="str">
        <f t="shared" si="69"/>
        <v/>
      </c>
      <c r="FZ5" s="44" t="str">
        <f t="shared" si="70"/>
        <v/>
      </c>
      <c r="GA5" s="44" t="str">
        <f t="shared" si="71"/>
        <v/>
      </c>
      <c r="GB5" s="44" t="str">
        <f t="shared" si="72"/>
        <v/>
      </c>
      <c r="GC5" s="44" t="str">
        <f t="shared" si="73"/>
        <v/>
      </c>
      <c r="GD5" s="44" t="str">
        <f t="shared" si="74"/>
        <v/>
      </c>
      <c r="GE5" s="44" t="str">
        <f t="shared" si="75"/>
        <v/>
      </c>
      <c r="GF5" s="44" t="str">
        <f>IFERROR(IF(SEARCH("Historical",AU5)&gt;0,CHAR(34)&amp;"histor"&amp;CHAR(34)&amp;",",""),"")</f>
        <v/>
      </c>
      <c r="GG5" s="44" t="str">
        <f t="shared" si="76"/>
        <v/>
      </c>
      <c r="GH5" s="44" t="str">
        <f t="shared" si="77"/>
        <v/>
      </c>
      <c r="GI5" s="44" t="str">
        <f t="shared" si="78"/>
        <v/>
      </c>
      <c r="GJ5" s="44" t="str">
        <f t="shared" si="79"/>
        <v>"NoStar",</v>
      </c>
      <c r="GK5" s="44" t="str">
        <f t="shared" si="80"/>
        <v/>
      </c>
      <c r="GL5" s="44" t="str">
        <f t="shared" si="81"/>
        <v/>
      </c>
      <c r="GM5" s="44" t="str">
        <f t="shared" si="81"/>
        <v/>
      </c>
      <c r="GN5" s="44" t="str">
        <f t="shared" si="81"/>
        <v/>
      </c>
      <c r="GP5" s="44" t="str">
        <f t="shared" si="82"/>
        <v>"Archipelago"</v>
      </c>
      <c r="GS5" s="44" t="str">
        <f t="shared" si="83"/>
        <v>["2Color","words2","exact2","lets14","startL","with_w","with_y","REDWHI","allhor","4+Band","Horizo","OnlyBa","Rotate","NO_BLU","NO_GRE","NO_YEL","NO_BLA","001RED","002WHI","003RED","myrRED","NoStar"]</v>
      </c>
      <c r="GT5" s="44" t="str">
        <f t="shared" si="84"/>
        <v>"cl_RED",</v>
      </c>
      <c r="GU5" s="44" t="str">
        <f t="shared" si="84"/>
        <v>"cl_WHI",</v>
      </c>
      <c r="GV5" s="44" t="str">
        <f t="shared" si="84"/>
        <v/>
      </c>
      <c r="GW5" s="44" t="str">
        <f t="shared" si="84"/>
        <v/>
      </c>
      <c r="GX5" s="44" t="str">
        <f t="shared" si="84"/>
        <v/>
      </c>
      <c r="GY5" s="44" t="str">
        <f t="shared" si="84"/>
        <v/>
      </c>
      <c r="GZ5" s="44" t="str">
        <f t="shared" si="84"/>
        <v/>
      </c>
      <c r="HA5" s="44" t="str">
        <f t="shared" si="84"/>
        <v/>
      </c>
      <c r="HB5" s="44" t="str">
        <f t="shared" si="84"/>
        <v/>
      </c>
      <c r="HC5" s="44" t="str">
        <f t="shared" si="85"/>
        <v>["cl_RED","cl_WHI"]</v>
      </c>
      <c r="HE5" s="64"/>
      <c r="HF5" s="65" t="str">
        <f t="shared" si="86"/>
        <v>{couname:"[PLY] Leeward Islands",year:"???",region:"rgn_Oceania",Colors:["cl_RED","cl_WHI"],Items:["2Color","words2","exact2","lets14","startL","with_w","with_y","REDWHI","allhor","4+Band","Horizo","OnlyBa","Rotate","NO_BLU","NO_GRE","NO_YEL","NO_BLA","001RED","002WHI","003RED","myrRED","NoStar"],Flag:"https://upload.wikimedia.org/wikipedia/commons/thumb/e/e0/Flag_of_the_Leeward_Islands.svg/1024px-Flag_of_the_Leeward_Islands.svg.png",HDFlag:"https://upload.wikimedia.org/wikipedia/commons/thumb/e/e0/Flag_of_the_Leeward_Islands.svg/2560px-Flag_of_the_Leeward_Islands.svg.png",type:"Archipelago", describe: "\nNot available", isnew:".", links: "https://www.fotw.info/flags/pf-li.html"},</v>
      </c>
      <c r="HG5" s="66" t="str">
        <f t="shared" si="87"/>
        <v>{couname:"[PLY] Leeward Islands",year:"???",region:"rgn_Oceania",Colors:["cl_RED","cl_WHI"],Items:["2Color","words2","exact2","lets14","startL","with_w","with_y","REDWHI","allhor","4+Band","Horizo","OnlyBa","Rotate","NO_BLU","NO_GRE","NO_YEL","NO_BLA","001RED","002WHI","003RED","myrRED","NoStar"],Flag:"https://upload.wikimedia.org/wikipedia/commons/thumb/e/e0/Flag_of_the_Leeward_Islands.svg/1024px-Flag_of_the_Leeward_Islands.svg.png",HDFlag:"https://upload.wikimedia.org/wikipedia/commons/thumb/e/e0/Flag_of_the_Leeward_Islands.svg/2560px-Flag_of_the_Leeward_Islands.svg.png",type:"Archipelago", describe: "\nNot available", links: "https://www.fotw.info/flags/pf-li.html"},</v>
      </c>
      <c r="HH5" s="44" t="str">
        <f t="shared" si="88"/>
        <v>"\nNot available"</v>
      </c>
      <c r="HI5" s="44" t="str">
        <f t="shared" si="89"/>
        <v>"\nNot available"</v>
      </c>
      <c r="HJ5" s="44" t="str">
        <f t="shared" si="90"/>
        <v>"???"</v>
      </c>
      <c r="HL5" s="44" t="str">
        <f t="shared" si="91"/>
        <v>"https://www.fotw.info/flags/pf-li.html"</v>
      </c>
      <c r="HM5" s="65" t="str">
        <f t="shared" si="92"/>
        <v>{"couname":"[PLY] Leeward Islands","year":"???","region":"rgn_Oceania","Colors":["cl_RED","cl_WHI"],"Items":["2Color","words2","exact2","lets14","startL","with_w","with_y","REDWHI","allhor","4+Band","Horizo","OnlyBa","Rotate","NO_BLU","NO_GRE","NO_YEL","NO_BLA","001RED","002WHI","003RED","myrRED","NoStar"],"Flag":"https://upload.wikimedia.org/wikipedia/commons/thumb/e/e0/Flag_of_the_Leeward_Islands.svg/1024px-Flag_of_the_Leeward_Islands.svg.png","HDFlag":"https://upload.wikimedia.org/wikipedia/commons/thumb/e/e0/Flag_of_the_Leeward_Islands.svg/2560px-Flag_of_the_Leeward_Islands.svg.png","type":"Archipelago", "describe": "\nNot available", "isnew": ".", "links": "https://www.fotw.info/flags/pf-li.html"},</v>
      </c>
      <c r="HN5" s="67" t="str">
        <f t="shared" si="93"/>
        <v>{"couname":"[PLY] Leeward Islands","year":"???","region":"rgn_Oceania","Colors":["cl_RED","cl_WHI"],"Items":["2Color","words2","exact2","lets14","startL","with_w","with_y","REDWHI","allhor","4+Band","Horizo","OnlyBa","Rotate","NO_BLU","NO_GRE","NO_YEL","NO_BLA","001RED","002WHI","003RED","myrRED","NoStar"],"Flag":"https://upload.wikimedia.org/wikipedia/commons/thumb/e/e0/Flag_of_the_Leeward_Islands.svg/1024px-Flag_of_the_Leeward_Islands.svg.png","HDFlag":"https://upload.wikimedia.org/wikipedia/commons/thumb/e/e0/Flag_of_the_Leeward_Islands.svg/2560px-Flag_of_the_Leeward_Islands.svg.png","type":"Archipelago", "describe": "\nNot available", "isnew": ".", "links": "https://www.fotw.info/flags/pf-li.html"},</v>
      </c>
      <c r="HO5" s="71"/>
      <c r="HP5" s="44" t="str" cm="1">
        <f t="array" ref="HP5">IF(_xlfn.TEXTJOIN(", ", TRUE, IF(ISNUMBER(SEARCH("BLA", BL5:BT5)), COLUMN(BL5:BT5) - COLUMN(BL5) + 1, ""))&lt;&gt;"","BLA","")</f>
        <v/>
      </c>
      <c r="HQ5" s="44" t="str" cm="1">
        <f t="array" ref="HQ5">IF(_xlfn.TEXTJOIN(", ", TRUE, IF(ISNUMBER(SEARCH("BLU", BL5:BT5)), COLUMN(BL5:BT5) - COLUMN(BL5) + 1, ""))&lt;&gt;"","BLU","")</f>
        <v/>
      </c>
      <c r="HR5" s="44" t="str" cm="1">
        <f t="array" ref="HR5">IF(_xlfn.TEXTJOIN(", ", TRUE, IF(ISNUMBER(SEARCH("GRE", BL5:BT5)), COLUMN(BL5:BT5) - COLUMN(BL5) + 1, ""))&lt;&gt;"","GRE","")</f>
        <v/>
      </c>
      <c r="HS5" s="44" t="str" cm="1">
        <f t="array" ref="HS5">IF(_xlfn.TEXTJOIN(", ", TRUE, IF(ISNUMBER(SEARCH("RED", BL5:BT5)), COLUMN(BL5:BT5) - COLUMN(BL5) + 1, ""))&lt;&gt;"","RED","")</f>
        <v>RED</v>
      </c>
      <c r="HT5" s="44" t="str" cm="1">
        <f t="array" ref="HT5">IF(_xlfn.TEXTJOIN(", ", TRUE, IF(ISNUMBER(SEARCH("YEL", BL5:BT5)), COLUMN(BL5:BT5) - COLUMN(BL5) + 1, ""))&lt;&gt;"","YEL","")</f>
        <v/>
      </c>
      <c r="HU5" s="44" t="str" cm="1">
        <f t="array" ref="HU5">IF(_xlfn.TEXTJOIN(", ", TRUE, IF(ISNUMBER(SEARCH("ORA", BL5:BT5)), COLUMN(BL5:BT5) - COLUMN(BL5) + 1, ""))&lt;&gt;"","ORA","")</f>
        <v/>
      </c>
      <c r="HV5" s="44" t="str" cm="1">
        <f t="array" ref="HV5">IF(_xlfn.TEXTJOIN(", ", TRUE, IF(ISNUMBER(SEARCH("BRO", BL5:BT5)), COLUMN(BL5:BT5) - COLUMN(BL5) + 1, ""))&lt;&gt;"","BRO","")</f>
        <v/>
      </c>
      <c r="HW5" s="44" t="str" cm="1">
        <f t="array" ref="HW5">IF(_xlfn.TEXTJOIN(", ", TRUE, IF(ISNUMBER(SEARCH("PUR", BL5:BT5)), COLUMN(BL5:BT5) - COLUMN(BL5) + 1, ""))&lt;&gt;"","PUR","")</f>
        <v/>
      </c>
      <c r="HX5" s="44" t="str" cm="1">
        <f t="array" ref="HX5">IF(_xlfn.TEXTJOIN(", ", TRUE, IF(ISNUMBER(SEARCH("WHI", BL5:BT5)), COLUMN(BL5:BT5) - COLUMN(BL5) + 1, ""))&lt;&gt;"","WHI","")</f>
        <v>WHI</v>
      </c>
      <c r="HY5" s="72"/>
      <c r="HZ5" s="72"/>
      <c r="IA5" s="5"/>
      <c r="IB5" s="5"/>
      <c r="IC5" s="68"/>
      <c r="ID5" s="68"/>
      <c r="IE5" s="68"/>
      <c r="IF5" s="68"/>
      <c r="IG5" s="68"/>
      <c r="IH5" s="68"/>
      <c r="II5" s="68"/>
      <c r="IJ5" s="68"/>
      <c r="IK5" s="68"/>
      <c r="IL5" s="44">
        <f t="shared" si="94"/>
        <v>0</v>
      </c>
      <c r="IM5" s="42">
        <f t="shared" si="95"/>
        <v>-2</v>
      </c>
      <c r="IN5" s="69" t="str">
        <f t="shared" si="96"/>
        <v>http://mkweb.bcgsc.ca/color-summarizer/?url=https://upload.wikimedia.org/wikipedia/commons/thumb/e/e0/Flag_of_the_Leeward_Islands.svg/1024px-Flag_of_the_Leeward_Islands.svg.png&amp;precision=low&amp;num_clusters=2&amp;text=1</v>
      </c>
      <c r="IO5" s="44" t="str">
        <f t="shared" si="97"/>
        <v/>
      </c>
      <c r="IP5" s="44" t="str">
        <f t="shared" si="98"/>
        <v/>
      </c>
      <c r="IQ5" s="44" t="str">
        <f t="shared" si="99"/>
        <v/>
      </c>
      <c r="IR5" s="44" t="str">
        <f t="shared" si="100"/>
        <v>"red"</v>
      </c>
      <c r="IS5" s="44" t="str">
        <f t="shared" si="101"/>
        <v/>
      </c>
      <c r="IT5" s="44" t="str">
        <f t="shared" si="102"/>
        <v/>
      </c>
      <c r="IU5" s="44" t="str">
        <f t="shared" si="103"/>
        <v/>
      </c>
      <c r="IV5" s="44" t="str">
        <f t="shared" si="104"/>
        <v/>
      </c>
      <c r="IW5" s="44" t="str">
        <f t="shared" si="105"/>
        <v>"white"</v>
      </c>
      <c r="IX5" s="44" t="str">
        <f t="shared" si="106"/>
        <v>{"url":"http://mkweb.bcgsc.ca/color-summarizer/?url=https://upload.wikimedia.org/wikipedia/commons/thumb/e/e0/Flag_of_the_Leeward_Islands.svg/1024px-Flag_of_the_Leeward_Islands.svg.png&amp;precision=low&amp;num_clusters=2&amp;text=1","name":"[PLY] Leeward Islands"},</v>
      </c>
      <c r="IY5" s="44">
        <v>698</v>
      </c>
    </row>
    <row r="6" spans="1:259" s="44" customFormat="1" ht="38.4" customHeight="1" thickBot="1" x14ac:dyDescent="0.35">
      <c r="A6" s="80" t="s">
        <v>507</v>
      </c>
      <c r="B6" s="78" t="e" vm="100">
        <v>#VALUE!</v>
      </c>
      <c r="C6" s="39">
        <v>2</v>
      </c>
      <c r="D6" s="70" t="s">
        <v>508</v>
      </c>
      <c r="E6" s="40" t="s">
        <v>509</v>
      </c>
      <c r="F6" s="41" t="s">
        <v>165</v>
      </c>
      <c r="G6" s="42">
        <f t="shared" si="0"/>
        <v>1</v>
      </c>
      <c r="H6" s="43"/>
      <c r="I6" s="59" t="s">
        <v>510</v>
      </c>
      <c r="J6" s="44" t="str">
        <f>""</f>
        <v/>
      </c>
      <c r="K6" s="45"/>
      <c r="L6" s="46"/>
      <c r="M6" s="46"/>
      <c r="N6" s="47" t="s">
        <v>177</v>
      </c>
      <c r="O6" s="74" t="s">
        <v>511</v>
      </c>
      <c r="P6" s="48" t="s">
        <v>512</v>
      </c>
      <c r="Q6" s="73">
        <v>2</v>
      </c>
      <c r="R6" s="49" t="s">
        <v>177</v>
      </c>
      <c r="S6" s="50">
        <v>2</v>
      </c>
      <c r="T6" s="51" t="s">
        <v>166</v>
      </c>
      <c r="U6" s="52" t="s">
        <v>166</v>
      </c>
      <c r="V6" s="52" t="s">
        <v>167</v>
      </c>
      <c r="W6" s="52" t="s">
        <v>166</v>
      </c>
      <c r="X6" s="52" t="s">
        <v>166</v>
      </c>
      <c r="Y6" s="52" t="s">
        <v>166</v>
      </c>
      <c r="Z6" s="52" t="s">
        <v>166</v>
      </c>
      <c r="AA6" s="52" t="s">
        <v>166</v>
      </c>
      <c r="AB6" s="52" t="s">
        <v>166</v>
      </c>
      <c r="AC6" s="52" t="s">
        <v>166</v>
      </c>
      <c r="AD6" s="52" t="s">
        <v>166</v>
      </c>
      <c r="AE6" s="52" t="s">
        <v>166</v>
      </c>
      <c r="AF6" s="53" t="s">
        <v>167</v>
      </c>
      <c r="AG6" s="53" t="s">
        <v>166</v>
      </c>
      <c r="AH6" s="53" t="s">
        <v>166</v>
      </c>
      <c r="AI6" s="53" t="s">
        <v>166</v>
      </c>
      <c r="AJ6" s="53" t="s">
        <v>166</v>
      </c>
      <c r="AK6" s="53" t="s">
        <v>166</v>
      </c>
      <c r="AL6" s="53" t="s">
        <v>166</v>
      </c>
      <c r="AM6" s="53" t="s">
        <v>166</v>
      </c>
      <c r="AN6" s="53" t="s">
        <v>167</v>
      </c>
      <c r="AO6" s="53" t="s">
        <v>166</v>
      </c>
      <c r="AP6" s="53" t="s">
        <v>166</v>
      </c>
      <c r="AQ6" s="53" t="s">
        <v>166</v>
      </c>
      <c r="AR6" s="53" t="s">
        <v>166</v>
      </c>
      <c r="AS6" s="53" t="s">
        <v>166</v>
      </c>
      <c r="AT6" s="54"/>
      <c r="AU6" s="53" t="s">
        <v>496</v>
      </c>
      <c r="AV6" s="53" t="str">
        <f t="shared" si="1"/>
        <v>[PLY]Archipelago[PLY] Marquesas Islands</v>
      </c>
      <c r="AW6" s="53" t="str">
        <f t="shared" si="2"/>
        <v>2[PLY] Marquesas Islands</v>
      </c>
      <c r="AX6" s="55"/>
      <c r="AY6" s="55"/>
      <c r="AZ6" s="56"/>
      <c r="BA6" s="56"/>
      <c r="BB6" s="56"/>
      <c r="BC6" s="57"/>
      <c r="BD6" s="58" t="s">
        <v>169</v>
      </c>
      <c r="BE6" s="59"/>
      <c r="BF6" s="58" t="s">
        <v>157</v>
      </c>
      <c r="BG6" s="58"/>
      <c r="BH6" s="58" t="s">
        <v>156</v>
      </c>
      <c r="BI6" s="58"/>
      <c r="BJ6" s="58"/>
      <c r="BK6" s="59"/>
      <c r="BL6" s="58" t="s">
        <v>156</v>
      </c>
      <c r="BM6" s="58" t="s">
        <v>157</v>
      </c>
      <c r="BN6" s="58" t="s">
        <v>161</v>
      </c>
      <c r="BO6" s="58" t="s">
        <v>153</v>
      </c>
      <c r="BP6" s="58"/>
      <c r="BQ6" s="58"/>
      <c r="BR6" s="58"/>
      <c r="BS6" s="58"/>
      <c r="BT6" s="58"/>
      <c r="BU6" s="60"/>
      <c r="BV6" s="61"/>
      <c r="BW6" s="61">
        <v>0</v>
      </c>
      <c r="BX6" s="59"/>
      <c r="CB6" s="5"/>
      <c r="CC6" s="5"/>
      <c r="CD6" s="62">
        <v>0</v>
      </c>
      <c r="CE6" s="62">
        <v>0</v>
      </c>
      <c r="CF6" s="62" t="e">
        <v>#REF!</v>
      </c>
      <c r="CG6" s="75" cm="1">
        <f t="array" ref="CG6">SUMPRODUCT(--(LEN(TRIM(BL6:BT6))&gt;0))</f>
        <v>4</v>
      </c>
      <c r="CH6" s="53" t="str">
        <f t="shared" si="3"/>
        <v>n</v>
      </c>
      <c r="CI6" s="53" t="str">
        <f t="shared" si="4"/>
        <v>n</v>
      </c>
      <c r="CJ6" s="53" t="str">
        <f t="shared" si="5"/>
        <v>y</v>
      </c>
      <c r="CK6" s="53" t="str">
        <f t="shared" si="6"/>
        <v>n</v>
      </c>
      <c r="CL6" s="53" t="str">
        <f t="shared" si="7"/>
        <v>n</v>
      </c>
      <c r="CM6" s="53" t="str">
        <f t="shared" si="8"/>
        <v>y</v>
      </c>
      <c r="CN6" s="53" t="str">
        <f t="shared" si="9"/>
        <v>n</v>
      </c>
      <c r="CO6" s="53" t="str">
        <f t="shared" si="10"/>
        <v>n</v>
      </c>
      <c r="CP6" s="53" t="str">
        <f t="shared" si="11"/>
        <v>y</v>
      </c>
      <c r="CQ6" s="53" t="str">
        <f t="shared" si="12"/>
        <v>n</v>
      </c>
      <c r="CR6" s="53" t="str">
        <f t="shared" si="13"/>
        <v>n</v>
      </c>
      <c r="CS6" s="53" t="str">
        <f t="shared" si="14"/>
        <v>n</v>
      </c>
      <c r="CT6" s="38" t="str">
        <f t="shared" si="15"/>
        <v>"[PLY] Marquesas Islands"</v>
      </c>
      <c r="CU6" s="63" t="str">
        <f t="shared" si="16"/>
        <v>"rgn_Oceania"</v>
      </c>
      <c r="CV6" s="44" t="str">
        <f t="shared" si="17"/>
        <v>"https://upload.wikimedia.org/wikipedia/commons/thumb/3/3f/Flag_of_Marquesas_Islands.svg/1024px-Flag_of_Marquesas_Islands.svg.png"</v>
      </c>
      <c r="CW6" s="44" t="str">
        <f t="shared" si="18"/>
        <v/>
      </c>
      <c r="CX6" s="44" t="str">
        <f t="shared" si="18"/>
        <v/>
      </c>
      <c r="CY6" s="44" t="str">
        <f t="shared" si="18"/>
        <v>"4Color",</v>
      </c>
      <c r="CZ6" s="44" t="str">
        <f t="shared" si="18"/>
        <v/>
      </c>
      <c r="DA6" s="44" t="str">
        <f t="shared" si="19"/>
        <v>"words2",</v>
      </c>
      <c r="DB6" s="44" t="str">
        <f t="shared" si="20"/>
        <v/>
      </c>
      <c r="DC6" s="44" t="str">
        <f t="shared" si="21"/>
        <v>"exact2",</v>
      </c>
      <c r="DD6" s="44" t="str">
        <f t="shared" si="22"/>
        <v>"lets16",</v>
      </c>
      <c r="DE6" s="44" t="str">
        <f t="shared" si="23"/>
        <v>"startM",</v>
      </c>
      <c r="DF6" s="44" t="str">
        <f t="shared" si="24"/>
        <v/>
      </c>
      <c r="DG6" s="44" t="str">
        <f t="shared" si="25"/>
        <v>"with_q",</v>
      </c>
      <c r="DH6" s="44" t="str">
        <f t="shared" si="26"/>
        <v/>
      </c>
      <c r="DI6" s="44" t="str">
        <f t="shared" si="27"/>
        <v/>
      </c>
      <c r="DJ6" s="44" t="str">
        <f t="shared" si="28"/>
        <v>"with_y",</v>
      </c>
      <c r="DK6" s="44" t="str">
        <f t="shared" si="29"/>
        <v/>
      </c>
      <c r="DL6" s="44" t="str">
        <f t="shared" si="30"/>
        <v/>
      </c>
      <c r="DM6" s="44" t="str" cm="1">
        <f t="array" ref="DM6">IF(CG6=3,CHAR(34) &amp; _xlfn.TEXTJOIN("", TRUE, RIGHT(HP6:HX6, 2)) &amp; CHAR(34) &amp; ",", "")</f>
        <v/>
      </c>
      <c r="DN6" s="44" t="str">
        <f t="shared" si="31"/>
        <v/>
      </c>
      <c r="DO6" s="44" t="str">
        <f t="shared" si="32"/>
        <v>"year19",</v>
      </c>
      <c r="DP6" s="5" t="str">
        <f t="shared" si="33"/>
        <v>"year00",</v>
      </c>
      <c r="DQ6" s="5" t="str">
        <f t="shared" si="34"/>
        <v/>
      </c>
      <c r="DR6" s="5" t="str">
        <f t="shared" si="35"/>
        <v/>
      </c>
      <c r="DS6" s="5" t="str">
        <f t="shared" si="36"/>
        <v/>
      </c>
      <c r="DT6" s="5" t="str">
        <f t="shared" si="37"/>
        <v>"allhor",</v>
      </c>
      <c r="DU6" s="5" t="str">
        <f t="shared" si="38"/>
        <v/>
      </c>
      <c r="DV6" s="44" t="str">
        <f t="shared" si="39"/>
        <v/>
      </c>
      <c r="DW6" s="44" t="str">
        <f t="shared" si="40"/>
        <v/>
      </c>
      <c r="DX6" s="44" t="str">
        <f t="shared" si="40"/>
        <v>"2Bands",</v>
      </c>
      <c r="DY6" s="44" t="str">
        <f t="shared" si="40"/>
        <v/>
      </c>
      <c r="DZ6" s="44" t="str">
        <f t="shared" si="40"/>
        <v/>
      </c>
      <c r="EA6" s="44" t="str">
        <f t="shared" si="41"/>
        <v/>
      </c>
      <c r="EB6" s="44" t="str">
        <f t="shared" si="41"/>
        <v/>
      </c>
      <c r="EC6" s="44" t="str">
        <f t="shared" si="41"/>
        <v>"Horizo",</v>
      </c>
      <c r="ED6" s="44" t="str">
        <f t="shared" si="41"/>
        <v/>
      </c>
      <c r="EE6" s="44" t="str">
        <f t="shared" si="41"/>
        <v/>
      </c>
      <c r="EF6" s="44" t="str">
        <f t="shared" si="42"/>
        <v/>
      </c>
      <c r="EG6" s="44" t="str">
        <f t="shared" si="43"/>
        <v/>
      </c>
      <c r="EH6" s="44" t="str">
        <f t="shared" si="43"/>
        <v/>
      </c>
      <c r="EI6" s="44" t="str">
        <f t="shared" si="43"/>
        <v/>
      </c>
      <c r="EJ6" s="44" t="str">
        <f t="shared" si="43"/>
        <v/>
      </c>
      <c r="EK6" s="44" t="str">
        <f t="shared" si="43"/>
        <v/>
      </c>
      <c r="EL6" s="44" t="str">
        <f t="shared" si="43"/>
        <v/>
      </c>
      <c r="EM6" s="44" t="str">
        <f t="shared" si="43"/>
        <v>"Trside",</v>
      </c>
      <c r="EN6" s="44" t="str">
        <f t="shared" si="43"/>
        <v/>
      </c>
      <c r="EO6" s="44" t="str">
        <f t="shared" si="43"/>
        <v/>
      </c>
      <c r="EP6" s="44" t="str">
        <f t="shared" si="43"/>
        <v/>
      </c>
      <c r="EQ6" s="44" t="str">
        <f t="shared" si="44"/>
        <v/>
      </c>
      <c r="ER6" s="44" t="str">
        <f t="shared" si="44"/>
        <v/>
      </c>
      <c r="ES6" s="44" t="str">
        <f t="shared" si="44"/>
        <v/>
      </c>
      <c r="ET6" s="44" t="str">
        <f t="shared" si="44"/>
        <v/>
      </c>
      <c r="EU6" s="44" t="str">
        <f t="shared" si="44"/>
        <v>"Humans",</v>
      </c>
      <c r="EV6" s="44" t="str">
        <f t="shared" si="44"/>
        <v/>
      </c>
      <c r="EW6" s="44" t="str">
        <f t="shared" si="44"/>
        <v/>
      </c>
      <c r="EX6" s="44" t="str">
        <f t="shared" si="44"/>
        <v/>
      </c>
      <c r="EY6" s="44" t="str">
        <f t="shared" si="44"/>
        <v/>
      </c>
      <c r="EZ6" s="44" t="str">
        <f t="shared" si="44"/>
        <v/>
      </c>
      <c r="FA6" s="44" t="str">
        <f t="shared" si="45"/>
        <v/>
      </c>
      <c r="FB6" s="44" t="str">
        <f t="shared" si="46"/>
        <v/>
      </c>
      <c r="FC6" s="44" t="str">
        <f t="shared" si="47"/>
        <v/>
      </c>
      <c r="FD6" s="44" t="str">
        <f t="shared" si="48"/>
        <v/>
      </c>
      <c r="FE6" s="44" t="str">
        <f t="shared" si="49"/>
        <v>"NO_BLU",</v>
      </c>
      <c r="FF6" s="44" t="str">
        <f t="shared" si="50"/>
        <v/>
      </c>
      <c r="FG6" s="44" t="str">
        <f t="shared" si="51"/>
        <v/>
      </c>
      <c r="FH6" s="44" t="str">
        <f t="shared" si="52"/>
        <v>"NO_GRE",</v>
      </c>
      <c r="FI6" s="44" t="str">
        <f t="shared" si="53"/>
        <v/>
      </c>
      <c r="FJ6" s="44" t="str">
        <f t="shared" si="54"/>
        <v/>
      </c>
      <c r="FK6" s="44" t="str">
        <f t="shared" si="55"/>
        <v/>
      </c>
      <c r="FL6" s="44" t="str">
        <f t="shared" si="56"/>
        <v/>
      </c>
      <c r="FM6" s="44" t="str">
        <f t="shared" si="57"/>
        <v/>
      </c>
      <c r="FN6" s="44" t="str">
        <f t="shared" si="58"/>
        <v/>
      </c>
      <c r="FO6" s="44" t="str">
        <f t="shared" si="59"/>
        <v/>
      </c>
      <c r="FP6" s="44" t="str">
        <f t="shared" si="60"/>
        <v/>
      </c>
      <c r="FQ6" s="44" t="str">
        <f t="shared" si="61"/>
        <v>"001YEL",</v>
      </c>
      <c r="FR6" s="44" t="str">
        <f t="shared" si="62"/>
        <v/>
      </c>
      <c r="FS6" s="44" t="str">
        <f t="shared" si="63"/>
        <v>"003RED",</v>
      </c>
      <c r="FT6" s="44" t="str">
        <f t="shared" si="64"/>
        <v>"myrEQ",</v>
      </c>
      <c r="FU6" s="44" t="str">
        <f t="shared" si="65"/>
        <v/>
      </c>
      <c r="FV6" s="44" t="str">
        <f t="shared" si="66"/>
        <v/>
      </c>
      <c r="FW6" s="44" t="str">
        <f t="shared" si="67"/>
        <v/>
      </c>
      <c r="FX6" s="44" t="str">
        <f t="shared" si="68"/>
        <v/>
      </c>
      <c r="FY6" s="44" t="str">
        <f t="shared" si="69"/>
        <v/>
      </c>
      <c r="FZ6" s="44" t="str">
        <f t="shared" si="70"/>
        <v/>
      </c>
      <c r="GA6" s="44" t="str">
        <f t="shared" si="71"/>
        <v/>
      </c>
      <c r="GB6" s="44" t="str">
        <f t="shared" si="72"/>
        <v/>
      </c>
      <c r="GC6" s="44" t="str">
        <f t="shared" si="73"/>
        <v/>
      </c>
      <c r="GD6" s="44" t="str">
        <f t="shared" si="74"/>
        <v/>
      </c>
      <c r="GE6" s="44" t="str">
        <f t="shared" si="75"/>
        <v/>
      </c>
      <c r="GF6" s="44" t="str">
        <f>IFERROR(IF(SEARCH("Historical",AU6)&gt;0,CHAR(34)&amp;"histor"&amp;CHAR(34)&amp;",",""),"")</f>
        <v/>
      </c>
      <c r="GG6" s="44" t="str">
        <f t="shared" si="76"/>
        <v/>
      </c>
      <c r="GH6" s="44" t="str">
        <f t="shared" si="77"/>
        <v/>
      </c>
      <c r="GI6" s="44" t="str">
        <f t="shared" si="78"/>
        <v/>
      </c>
      <c r="GJ6" s="44" t="str">
        <f t="shared" si="79"/>
        <v>"NoStar",</v>
      </c>
      <c r="GK6" s="44" t="str">
        <f t="shared" si="80"/>
        <v/>
      </c>
      <c r="GL6" s="44" t="str">
        <f t="shared" si="81"/>
        <v/>
      </c>
      <c r="GM6" s="44" t="str">
        <f t="shared" si="81"/>
        <v/>
      </c>
      <c r="GN6" s="44" t="str">
        <f t="shared" si="81"/>
        <v/>
      </c>
      <c r="GP6" s="44" t="str">
        <f t="shared" si="82"/>
        <v>"Archipelago"</v>
      </c>
      <c r="GS6" s="44" t="str">
        <f t="shared" si="83"/>
        <v>["4Color","words2","exact2","lets16","startM","with_q","with_y","year19","year00","allhor","2Bands","Horizo","Trside","Humans","NO_BLU","NO_GRE","001YEL","003RED","myrEQ","NoStar"]</v>
      </c>
      <c r="GT6" s="44" t="str">
        <f t="shared" si="84"/>
        <v>"cl_RED",</v>
      </c>
      <c r="GU6" s="44" t="str">
        <f t="shared" si="84"/>
        <v>"cl_YEL",</v>
      </c>
      <c r="GV6" s="44" t="str">
        <f t="shared" si="84"/>
        <v>"cl_WHI",</v>
      </c>
      <c r="GW6" s="44" t="str">
        <f t="shared" si="84"/>
        <v>"cl_BLA",</v>
      </c>
      <c r="GX6" s="44" t="str">
        <f t="shared" si="84"/>
        <v/>
      </c>
      <c r="GY6" s="44" t="str">
        <f t="shared" si="84"/>
        <v/>
      </c>
      <c r="GZ6" s="44" t="str">
        <f t="shared" si="84"/>
        <v/>
      </c>
      <c r="HA6" s="44" t="str">
        <f t="shared" si="84"/>
        <v/>
      </c>
      <c r="HB6" s="44" t="str">
        <f t="shared" si="84"/>
        <v/>
      </c>
      <c r="HC6" s="44" t="str">
        <f t="shared" si="85"/>
        <v>["cl_RED","cl_YEL","cl_WHI","cl_BLA"]</v>
      </c>
      <c r="HE6" s="64"/>
      <c r="HF6" s="65" t="str">
        <f t="shared" si="86"/>
        <v>{couname:"[PLY] Marquesas Islands",year:"1998, 2017",region:"rgn_Oceania",Colors:["cl_RED","cl_YEL","cl_WHI","cl_BLA"],Items:["4Color","words2","exact2","lets16","startM","with_q","with_y","year19","year00","allhor","2Bands","Horizo","Trside","Humans","NO_BLU","NO_GRE","001YEL","003RED","myrEQ","NoStar"],Flag:"https://upload.wikimedia.org/wikipedia/commons/thumb/3/3f/Flag_of_Marquesas_Islands.svg/1024px-Flag_of_Marquesas_Islands.svg.png",HDFlag:"https://upload.wikimedia.org/wikipedia/commons/thumb/3/3f/Flag_of_Marquesas_Islands.svg/2560px-Flag_of_Marquesas_Islands.svg.png",type:"Archipelago", describe: "\nThe flag is divided into two horizontal stripes with yellow on top and red on the bottom, with a white equilateral triangle emerging from the hoist. The yellow represents youth and joy, while the red and white are tapu, or sacred, to the chiefs and priests respectively.\n\nIn the white triangle, a black design of Matatiki (the gaze of Tiki) represents the first man in Polynesian mythology, and the inventor of sculpture and tattooing. The tattoo design on Tiki's cheeks are tapu symbols.", isnew:".", links: "https://en.wikipedia.org/wiki/Flag_of_the_Marquesas_Islands"},</v>
      </c>
      <c r="HG6" s="66" t="str">
        <f t="shared" si="87"/>
        <v>{couname:"[PLY] Marquesas Islands",year:"1998, 2017",region:"rgn_Oceania",Colors:["cl_RED","cl_YEL","cl_WHI","cl_BLA"],Items:["4Color","words2","exact2","lets16","startM","with_q","with_y","year19","year00","allhor","2Bands","Horizo","Trside","Humans","NO_BLU","NO_GRE","001YEL","003RED","myrEQ","NoStar"],Flag:"https://upload.wikimedia.org/wikipedia/commons/thumb/3/3f/Flag_of_Marquesas_Islands.svg/1024px-Flag_of_Marquesas_Islands.svg.png",HDFlag:"https://upload.wikimedia.org/wikipedia/commons/thumb/3/3f/Flag_of_Marquesas_Islands.svg/2560px-Flag_of_Marquesas_Islands.svg.png",type:"Archipelago", describe: "\nThe flag is divided into two horizontal stripes with yellow on top and red on the bottom, with a white equilateral triangle emerging from the hoist. The yellow represents youth and joy, while the red and white are tapu, or sacred, to the chiefs and priests respectively.\n\nIn the white triangle, a black design of Matatiki (the gaze of Tiki) represents the first man in Polynesian mythology, and the inventor of sculpture and tattooing. The tattoo design on Tiki's cheeks are tapu symbols.", links: "https://en.wikipedia.org/wiki/Flag_of_the_Marquesas_Islands"},</v>
      </c>
      <c r="HH6" s="44" t="str">
        <f t="shared" si="88"/>
        <v>"\nThe flag is divided into two horizontal stripes with yellow on top and red on the bottom, with a white equilateral triangle emerging from the hoist. The yellow represents youth and joy, while the red and white are tapu, or sacred, to the chiefs and priests respectively.\n\nIn the white triangle, a black design of Matatiki (the gaze of Tiki) represents the first man in Polynesian mythology, and the inventor of sculpture and tattooing. The tattoo design on Tiki's cheeks are tapu symbols."</v>
      </c>
      <c r="HI6" s="44" t="str">
        <f t="shared" si="89"/>
        <v>"\nThe flag is divided into two horizontal stripes with yellow on top and red on the bottom, with a white equilateral triangle emerging from the hoist. The yellow represents youth and joy, while the red and white are tapu, or sacred, to the chiefs and priests respectively.\n\nIn the white triangle, a black design of Matatiki (the gaze of Tiki) represents the first man in Polynesian mythology, and the inventor of sculpture and tattooing. The tattoo design on Tiki's cheeks are tapu symbols."</v>
      </c>
      <c r="HJ6" s="44" t="str">
        <f t="shared" si="90"/>
        <v>"1998, 2017"</v>
      </c>
      <c r="HL6" s="44" t="str">
        <f t="shared" si="91"/>
        <v>"https://en.wikipedia.org/wiki/Flag_of_the_Marquesas_Islands"</v>
      </c>
      <c r="HM6" s="65" t="str">
        <f t="shared" si="92"/>
        <v>{"couname":"[PLY] Marquesas Islands","year":"1998, 2017","region":"rgn_Oceania","Colors":["cl_RED","cl_YEL","cl_WHI","cl_BLA"],"Items":["4Color","words2","exact2","lets16","startM","with_q","with_y","year19","year00","allhor","2Bands","Horizo","Trside","Humans","NO_BLU","NO_GRE","001YEL","003RED","myrEQ","NoStar"],"Flag":"https://upload.wikimedia.org/wikipedia/commons/thumb/3/3f/Flag_of_Marquesas_Islands.svg/1024px-Flag_of_Marquesas_Islands.svg.png","HDFlag":"https://upload.wikimedia.org/wikipedia/commons/thumb/3/3f/Flag_of_Marquesas_Islands.svg/2560px-Flag_of_Marquesas_Islands.svg.png","type":"Archipelago", "describe": "\nThe flag is divided into two horizontal stripes with yellow on top and red on the bottom, with a white equilateral triangle emerging from the hoist. The yellow represents youth and joy, while the red and white are tapu, or sacred, to the chiefs and priests respectively.\n\nIn the white triangle, a black design of Matatiki (the gaze of Tiki) represents the first man in Polynesian mythology, and the inventor of sculpture and tattooing. The tattoo design on Tiki's cheeks are tapu symbols.", "isnew": ".", "links": "https://en.wikipedia.org/wiki/Flag_of_the_Marquesas_Islands"},</v>
      </c>
      <c r="HN6" s="67" t="str">
        <f t="shared" si="93"/>
        <v>{"couname":"[PLY] Marquesas Islands","year":"1998, 2017","region":"rgn_Oceania","Colors":["cl_RED","cl_YEL","cl_WHI","cl_BLA"],"Items":["4Color","words2","exact2","lets16","startM","with_q","with_y","year19","year00","allhor","2Bands","Horizo","Trside","Humans","NO_BLU","NO_GRE","001YEL","003RED","myrEQ","NoStar"],"Flag":"https://upload.wikimedia.org/wikipedia/commons/thumb/3/3f/Flag_of_Marquesas_Islands.svg/1024px-Flag_of_Marquesas_Islands.svg.png","HDFlag":"https://upload.wikimedia.org/wikipedia/commons/thumb/3/3f/Flag_of_Marquesas_Islands.svg/2560px-Flag_of_Marquesas_Islands.svg.png","type":"Archipelago", "describe": "\nThe flag is divided into two horizontal stripes with yellow on top and red on the bottom, with a white equilateral triangle emerging from the hoist. The yellow represents youth and joy, while the red and white are tapu, or sacred, to the chiefs and priests respectively.\n\nIn the white triangle, a black design of Matatiki (the gaze of Tiki) represents the first man in Polynesian mythology, and the inventor of sculpture and tattooing. The tattoo design on Tiki's cheeks are tapu symbols.", "isnew": ".", "links": "https://en.wikipedia.org/wiki/Flag_of_the_Marquesas_Islands"},</v>
      </c>
      <c r="HO6" s="71"/>
      <c r="HP6" s="44" t="str" cm="1">
        <f t="array" ref="HP6">IF(_xlfn.TEXTJOIN(", ", TRUE, IF(ISNUMBER(SEARCH("BLA", BL6:BT6)), COLUMN(BL6:BT6) - COLUMN(BL6) + 1, ""))&lt;&gt;"","BLA","")</f>
        <v>BLA</v>
      </c>
      <c r="HQ6" s="44" t="str" cm="1">
        <f t="array" ref="HQ6">IF(_xlfn.TEXTJOIN(", ", TRUE, IF(ISNUMBER(SEARCH("BLU", BL6:BT6)), COLUMN(BL6:BT6) - COLUMN(BL6) + 1, ""))&lt;&gt;"","BLU","")</f>
        <v/>
      </c>
      <c r="HR6" s="44" t="str" cm="1">
        <f t="array" ref="HR6">IF(_xlfn.TEXTJOIN(", ", TRUE, IF(ISNUMBER(SEARCH("GRE", BL6:BT6)), COLUMN(BL6:BT6) - COLUMN(BL6) + 1, ""))&lt;&gt;"","GRE","")</f>
        <v/>
      </c>
      <c r="HS6" s="44" t="str" cm="1">
        <f t="array" ref="HS6">IF(_xlfn.TEXTJOIN(", ", TRUE, IF(ISNUMBER(SEARCH("RED", BL6:BT6)), COLUMN(BL6:BT6) - COLUMN(BL6) + 1, ""))&lt;&gt;"","RED","")</f>
        <v>RED</v>
      </c>
      <c r="HT6" s="44" t="str" cm="1">
        <f t="array" ref="HT6">IF(_xlfn.TEXTJOIN(", ", TRUE, IF(ISNUMBER(SEARCH("YEL", BL6:BT6)), COLUMN(BL6:BT6) - COLUMN(BL6) + 1, ""))&lt;&gt;"","YEL","")</f>
        <v>YEL</v>
      </c>
      <c r="HU6" s="44" t="str" cm="1">
        <f t="array" ref="HU6">IF(_xlfn.TEXTJOIN(", ", TRUE, IF(ISNUMBER(SEARCH("ORA", BL6:BT6)), COLUMN(BL6:BT6) - COLUMN(BL6) + 1, ""))&lt;&gt;"","ORA","")</f>
        <v/>
      </c>
      <c r="HV6" s="44" t="str" cm="1">
        <f t="array" ref="HV6">IF(_xlfn.TEXTJOIN(", ", TRUE, IF(ISNUMBER(SEARCH("BRO", BL6:BT6)), COLUMN(BL6:BT6) - COLUMN(BL6) + 1, ""))&lt;&gt;"","BRO","")</f>
        <v/>
      </c>
      <c r="HW6" s="44" t="str" cm="1">
        <f t="array" ref="HW6">IF(_xlfn.TEXTJOIN(", ", TRUE, IF(ISNUMBER(SEARCH("PUR", BL6:BT6)), COLUMN(BL6:BT6) - COLUMN(BL6) + 1, ""))&lt;&gt;"","PUR","")</f>
        <v/>
      </c>
      <c r="HX6" s="44" t="str" cm="1">
        <f t="array" ref="HX6">IF(_xlfn.TEXTJOIN(", ", TRUE, IF(ISNUMBER(SEARCH("WHI", BL6:BT6)), COLUMN(BL6:BT6) - COLUMN(BL6) + 1, ""))&lt;&gt;"","WHI","")</f>
        <v>WHI</v>
      </c>
      <c r="HY6" s="72"/>
      <c r="HZ6" s="72"/>
      <c r="IA6" s="5"/>
      <c r="IB6" s="5"/>
      <c r="IC6" s="68"/>
      <c r="ID6" s="68"/>
      <c r="IE6" s="68"/>
      <c r="IF6" s="68"/>
      <c r="IG6" s="68"/>
      <c r="IH6" s="68"/>
      <c r="II6" s="68"/>
      <c r="IJ6" s="68"/>
      <c r="IK6" s="68"/>
      <c r="IL6" s="44">
        <f t="shared" si="94"/>
        <v>0</v>
      </c>
      <c r="IM6" s="42">
        <f t="shared" si="95"/>
        <v>-4</v>
      </c>
      <c r="IN6" s="69" t="str">
        <f t="shared" si="96"/>
        <v>http://mkweb.bcgsc.ca/color-summarizer/?url=https://upload.wikimedia.org/wikipedia/commons/thumb/3/3f/Flag_of_Marquesas_Islands.svg/1024px-Flag_of_Marquesas_Islands.svg.png&amp;precision=low&amp;num_clusters=4&amp;text=1</v>
      </c>
      <c r="IO6" s="44" t="str">
        <f t="shared" si="97"/>
        <v>"black"</v>
      </c>
      <c r="IP6" s="44" t="str">
        <f t="shared" si="98"/>
        <v/>
      </c>
      <c r="IQ6" s="44" t="str">
        <f t="shared" si="99"/>
        <v/>
      </c>
      <c r="IR6" s="44" t="str">
        <f t="shared" si="100"/>
        <v>"red"</v>
      </c>
      <c r="IS6" s="44" t="str">
        <f t="shared" si="101"/>
        <v>"yellow"</v>
      </c>
      <c r="IT6" s="44" t="str">
        <f t="shared" si="102"/>
        <v/>
      </c>
      <c r="IU6" s="44" t="str">
        <f t="shared" si="103"/>
        <v/>
      </c>
      <c r="IV6" s="44" t="str">
        <f t="shared" si="104"/>
        <v/>
      </c>
      <c r="IW6" s="44" t="str">
        <f t="shared" si="105"/>
        <v>"white"</v>
      </c>
      <c r="IX6" s="44" t="str">
        <f t="shared" si="106"/>
        <v>{"url":"http://mkweb.bcgsc.ca/color-summarizer/?url=https://upload.wikimedia.org/wikipedia/commons/thumb/3/3f/Flag_of_Marquesas_Islands.svg/1024px-Flag_of_Marquesas_Islands.svg.png&amp;precision=low&amp;num_clusters=4&amp;text=1","name":"[PLY] Marquesas Islands"},</v>
      </c>
      <c r="IY6" s="44">
        <v>699</v>
      </c>
    </row>
    <row r="7" spans="1:259" s="44" customFormat="1" ht="37.799999999999997" customHeight="1" thickBot="1" x14ac:dyDescent="0.35">
      <c r="A7" s="80" t="s">
        <v>513</v>
      </c>
      <c r="B7" s="78" t="e" vm="101">
        <v>#VALUE!</v>
      </c>
      <c r="C7" s="39">
        <v>2</v>
      </c>
      <c r="D7" s="70" t="s">
        <v>514</v>
      </c>
      <c r="E7" s="40" t="s">
        <v>515</v>
      </c>
      <c r="F7" s="41" t="s">
        <v>165</v>
      </c>
      <c r="G7" s="42">
        <f t="shared" si="0"/>
        <v>1</v>
      </c>
      <c r="H7" s="43"/>
      <c r="I7" s="59" t="s">
        <v>516</v>
      </c>
      <c r="J7" s="44" t="str">
        <f>""</f>
        <v/>
      </c>
      <c r="K7" s="45"/>
      <c r="L7" s="46"/>
      <c r="M7" s="46"/>
      <c r="N7" s="47" t="s">
        <v>177</v>
      </c>
      <c r="O7" s="74" t="s">
        <v>494</v>
      </c>
      <c r="P7" s="48" t="s">
        <v>517</v>
      </c>
      <c r="Q7" s="73">
        <v>2</v>
      </c>
      <c r="R7" s="49" t="s">
        <v>177</v>
      </c>
      <c r="S7" s="50">
        <v>4</v>
      </c>
      <c r="T7" s="51" t="s">
        <v>166</v>
      </c>
      <c r="U7" s="52" t="s">
        <v>166</v>
      </c>
      <c r="V7" s="52" t="s">
        <v>167</v>
      </c>
      <c r="W7" s="52" t="s">
        <v>167</v>
      </c>
      <c r="X7" s="52" t="s">
        <v>166</v>
      </c>
      <c r="Y7" s="52" t="s">
        <v>166</v>
      </c>
      <c r="Z7" s="52" t="s">
        <v>166</v>
      </c>
      <c r="AA7" s="52" t="s">
        <v>166</v>
      </c>
      <c r="AB7" s="52" t="s">
        <v>166</v>
      </c>
      <c r="AC7" s="52" t="s">
        <v>166</v>
      </c>
      <c r="AD7" s="52" t="s">
        <v>166</v>
      </c>
      <c r="AE7" s="52" t="s">
        <v>166</v>
      </c>
      <c r="AF7" s="53" t="s">
        <v>166</v>
      </c>
      <c r="AG7" s="53" t="s">
        <v>167</v>
      </c>
      <c r="AH7" s="53" t="s">
        <v>166</v>
      </c>
      <c r="AI7" s="53" t="s">
        <v>166</v>
      </c>
      <c r="AJ7" s="53" t="s">
        <v>166</v>
      </c>
      <c r="AK7" s="53" t="s">
        <v>166</v>
      </c>
      <c r="AL7" s="53" t="s">
        <v>166</v>
      </c>
      <c r="AM7" s="53" t="s">
        <v>166</v>
      </c>
      <c r="AN7" s="53" t="s">
        <v>166</v>
      </c>
      <c r="AO7" s="53" t="s">
        <v>166</v>
      </c>
      <c r="AP7" s="53" t="s">
        <v>166</v>
      </c>
      <c r="AQ7" s="53" t="s">
        <v>166</v>
      </c>
      <c r="AR7" s="53" t="s">
        <v>166</v>
      </c>
      <c r="AS7" s="53" t="s">
        <v>166</v>
      </c>
      <c r="AT7" s="54">
        <v>16</v>
      </c>
      <c r="AU7" s="53" t="s">
        <v>496</v>
      </c>
      <c r="AV7" s="53" t="str">
        <f t="shared" si="1"/>
        <v>[PLY]Archipelago[PLY] Tuamotu Archipelago</v>
      </c>
      <c r="AW7" s="53" t="str">
        <f t="shared" si="2"/>
        <v>2[PLY] Tuamotu Archipelago</v>
      </c>
      <c r="AX7" s="55"/>
      <c r="AY7" s="55"/>
      <c r="AZ7" s="56" t="s">
        <v>154</v>
      </c>
      <c r="BA7" s="56"/>
      <c r="BB7" s="56"/>
      <c r="BC7" s="57"/>
      <c r="BD7" s="58" t="s">
        <v>156</v>
      </c>
      <c r="BE7" s="59"/>
      <c r="BF7" s="58"/>
      <c r="BG7" s="58"/>
      <c r="BH7" s="58" t="s">
        <v>156</v>
      </c>
      <c r="BI7" s="58" t="s">
        <v>161</v>
      </c>
      <c r="BJ7" s="58" t="s">
        <v>154</v>
      </c>
      <c r="BK7" s="59"/>
      <c r="BL7" s="58" t="s">
        <v>156</v>
      </c>
      <c r="BM7" s="58" t="s">
        <v>161</v>
      </c>
      <c r="BN7" s="58" t="s">
        <v>154</v>
      </c>
      <c r="BO7" s="58"/>
      <c r="BP7" s="58"/>
      <c r="BQ7" s="58"/>
      <c r="BR7" s="58"/>
      <c r="BS7" s="58"/>
      <c r="BT7" s="58"/>
      <c r="BU7" s="60"/>
      <c r="BV7" s="61"/>
      <c r="BW7" s="61">
        <v>0</v>
      </c>
      <c r="BX7" s="59"/>
      <c r="CB7" s="5"/>
      <c r="CC7" s="5"/>
      <c r="CD7" s="62">
        <v>0</v>
      </c>
      <c r="CE7" s="62">
        <v>0</v>
      </c>
      <c r="CF7" s="62" t="e">
        <v>#REF!</v>
      </c>
      <c r="CG7" s="75" cm="1">
        <f t="array" ref="CG7">SUMPRODUCT(--(LEN(TRIM(BL7:BT7))&gt;0))</f>
        <v>3</v>
      </c>
      <c r="CH7" s="53" t="str">
        <f t="shared" si="3"/>
        <v>n</v>
      </c>
      <c r="CI7" s="53" t="str">
        <f t="shared" si="4"/>
        <v>y</v>
      </c>
      <c r="CJ7" s="53" t="str">
        <f t="shared" si="5"/>
        <v>n</v>
      </c>
      <c r="CK7" s="53" t="str">
        <f t="shared" si="6"/>
        <v>n</v>
      </c>
      <c r="CL7" s="53" t="str">
        <f t="shared" si="7"/>
        <v>n</v>
      </c>
      <c r="CM7" s="53" t="str">
        <f t="shared" si="8"/>
        <v>n</v>
      </c>
      <c r="CN7" s="53" t="str">
        <f t="shared" si="9"/>
        <v>n</v>
      </c>
      <c r="CO7" s="53" t="str">
        <f t="shared" si="10"/>
        <v>y</v>
      </c>
      <c r="CP7" s="53" t="str">
        <f t="shared" si="11"/>
        <v>n</v>
      </c>
      <c r="CQ7" s="53" t="str">
        <f t="shared" si="12"/>
        <v>n</v>
      </c>
      <c r="CR7" s="53" t="str">
        <f t="shared" si="13"/>
        <v>n</v>
      </c>
      <c r="CS7" s="53" t="str">
        <f t="shared" si="14"/>
        <v>y</v>
      </c>
      <c r="CT7" s="38" t="str">
        <f t="shared" si="15"/>
        <v>"[PLY] Tuamotu Archipelago"</v>
      </c>
      <c r="CU7" s="63" t="str">
        <f t="shared" si="16"/>
        <v>"rgn_Oceania"</v>
      </c>
      <c r="CV7" s="44" t="str">
        <f t="shared" si="17"/>
        <v>"https://upload.wikimedia.org/wikipedia/commons/thumb/d/dc/Flag_of_Tuamotu_Archipelago.svg/640px-Flag_of_Tuamotu_Archipelago.svg.png"</v>
      </c>
      <c r="CW7" s="44" t="str">
        <f t="shared" si="18"/>
        <v/>
      </c>
      <c r="CX7" s="44" t="str">
        <f t="shared" si="18"/>
        <v>"3Color",</v>
      </c>
      <c r="CY7" s="44" t="str">
        <f t="shared" si="18"/>
        <v/>
      </c>
      <c r="CZ7" s="44" t="str">
        <f t="shared" si="18"/>
        <v/>
      </c>
      <c r="DA7" s="44" t="str">
        <f t="shared" si="19"/>
        <v>"words2",</v>
      </c>
      <c r="DB7" s="44" t="str">
        <f t="shared" si="20"/>
        <v/>
      </c>
      <c r="DC7" s="44" t="str">
        <f t="shared" si="21"/>
        <v>"exact2",</v>
      </c>
      <c r="DD7" s="44" t="str">
        <f t="shared" si="22"/>
        <v>"lets18",</v>
      </c>
      <c r="DE7" s="44" t="str">
        <f t="shared" si="23"/>
        <v>"startT",</v>
      </c>
      <c r="DF7" s="44" t="str">
        <f t="shared" si="24"/>
        <v/>
      </c>
      <c r="DG7" s="44" t="str">
        <f t="shared" si="25"/>
        <v/>
      </c>
      <c r="DH7" s="44" t="str">
        <f t="shared" si="26"/>
        <v/>
      </c>
      <c r="DI7" s="44" t="str">
        <f t="shared" si="27"/>
        <v/>
      </c>
      <c r="DJ7" s="44" t="str">
        <f t="shared" si="28"/>
        <v>"with_y",</v>
      </c>
      <c r="DK7" s="44" t="str">
        <f t="shared" si="29"/>
        <v/>
      </c>
      <c r="DL7" s="44" t="str">
        <f t="shared" si="30"/>
        <v/>
      </c>
      <c r="DM7" s="44" t="str" cm="1">
        <f t="array" ref="DM7">IF(CG7=3,CHAR(34) &amp; _xlfn.TEXTJOIN("", TRUE, RIGHT(HP7:HX7, 2)) &amp; CHAR(34) &amp; ",", "")</f>
        <v>"LUEDHI",</v>
      </c>
      <c r="DN7" s="44" t="str">
        <f t="shared" si="31"/>
        <v/>
      </c>
      <c r="DO7" s="44" t="str">
        <f t="shared" si="32"/>
        <v>"year19",</v>
      </c>
      <c r="DP7" s="5" t="str">
        <f t="shared" si="33"/>
        <v/>
      </c>
      <c r="DQ7" s="5" t="str">
        <f t="shared" si="34"/>
        <v/>
      </c>
      <c r="DR7" s="5" t="str">
        <f t="shared" si="35"/>
        <v/>
      </c>
      <c r="DS7" s="5" t="str">
        <f t="shared" si="36"/>
        <v/>
      </c>
      <c r="DT7" s="5" t="str">
        <f t="shared" si="37"/>
        <v/>
      </c>
      <c r="DU7" s="5" t="str">
        <f t="shared" si="38"/>
        <v/>
      </c>
      <c r="DV7" s="44" t="str">
        <f t="shared" si="39"/>
        <v/>
      </c>
      <c r="DW7" s="44" t="str">
        <f t="shared" si="40"/>
        <v/>
      </c>
      <c r="DX7" s="44" t="str">
        <f t="shared" si="40"/>
        <v/>
      </c>
      <c r="DY7" s="44" t="str">
        <f t="shared" si="40"/>
        <v/>
      </c>
      <c r="DZ7" s="44" t="str">
        <f t="shared" si="40"/>
        <v>"4+Band",</v>
      </c>
      <c r="EA7" s="44" t="str">
        <f t="shared" si="41"/>
        <v/>
      </c>
      <c r="EB7" s="44" t="str">
        <f t="shared" si="41"/>
        <v/>
      </c>
      <c r="EC7" s="44" t="str">
        <f t="shared" si="41"/>
        <v>"Horizo",</v>
      </c>
      <c r="ED7" s="44" t="str">
        <f t="shared" si="41"/>
        <v>"Vertic",</v>
      </c>
      <c r="EE7" s="44" t="str">
        <f t="shared" si="41"/>
        <v/>
      </c>
      <c r="EF7" s="44" t="str">
        <f t="shared" si="42"/>
        <v/>
      </c>
      <c r="EG7" s="44" t="str">
        <f t="shared" si="43"/>
        <v/>
      </c>
      <c r="EH7" s="44" t="str">
        <f t="shared" si="43"/>
        <v/>
      </c>
      <c r="EI7" s="44" t="str">
        <f t="shared" si="43"/>
        <v/>
      </c>
      <c r="EJ7" s="44" t="str">
        <f t="shared" si="43"/>
        <v/>
      </c>
      <c r="EK7" s="44" t="str">
        <f t="shared" si="43"/>
        <v/>
      </c>
      <c r="EL7" s="44" t="str">
        <f t="shared" si="43"/>
        <v/>
      </c>
      <c r="EM7" s="44" t="str">
        <f t="shared" si="43"/>
        <v/>
      </c>
      <c r="EN7" s="44" t="str">
        <f t="shared" si="43"/>
        <v>"Unequa",</v>
      </c>
      <c r="EO7" s="44" t="str">
        <f t="shared" si="43"/>
        <v/>
      </c>
      <c r="EP7" s="44" t="str">
        <f t="shared" si="43"/>
        <v/>
      </c>
      <c r="EQ7" s="44" t="str">
        <f t="shared" si="44"/>
        <v/>
      </c>
      <c r="ER7" s="44" t="str">
        <f t="shared" si="44"/>
        <v/>
      </c>
      <c r="ES7" s="44" t="str">
        <f t="shared" si="44"/>
        <v/>
      </c>
      <c r="ET7" s="44" t="str">
        <f t="shared" si="44"/>
        <v/>
      </c>
      <c r="EU7" s="44" t="str">
        <f t="shared" si="44"/>
        <v/>
      </c>
      <c r="EV7" s="44" t="str">
        <f t="shared" si="44"/>
        <v/>
      </c>
      <c r="EW7" s="44" t="str">
        <f t="shared" si="44"/>
        <v/>
      </c>
      <c r="EX7" s="44" t="str">
        <f t="shared" si="44"/>
        <v/>
      </c>
      <c r="EY7" s="44" t="str">
        <f t="shared" si="44"/>
        <v/>
      </c>
      <c r="EZ7" s="44" t="str">
        <f t="shared" si="44"/>
        <v/>
      </c>
      <c r="FA7" s="44" t="str">
        <f t="shared" si="45"/>
        <v>"staBLU",</v>
      </c>
      <c r="FB7" s="44" t="str">
        <f t="shared" si="46"/>
        <v/>
      </c>
      <c r="FC7" s="44" t="str">
        <f t="shared" si="47"/>
        <v/>
      </c>
      <c r="FD7" s="44" t="str">
        <f t="shared" si="48"/>
        <v/>
      </c>
      <c r="FE7" s="44" t="str">
        <f t="shared" si="49"/>
        <v/>
      </c>
      <c r="FF7" s="44" t="str">
        <f t="shared" si="50"/>
        <v/>
      </c>
      <c r="FG7" s="44" t="str">
        <f t="shared" si="51"/>
        <v/>
      </c>
      <c r="FH7" s="44" t="str">
        <f t="shared" si="52"/>
        <v>"NO_GRE",</v>
      </c>
      <c r="FI7" s="44" t="str">
        <f t="shared" si="53"/>
        <v>"NO_YEL",</v>
      </c>
      <c r="FJ7" s="44" t="str">
        <f t="shared" si="54"/>
        <v>"NO_BLA",</v>
      </c>
      <c r="FK7" s="44" t="str">
        <f t="shared" si="55"/>
        <v/>
      </c>
      <c r="FL7" s="44" t="str">
        <f t="shared" si="56"/>
        <v/>
      </c>
      <c r="FM7" s="44" t="str">
        <f t="shared" si="57"/>
        <v/>
      </c>
      <c r="FN7" s="44" t="str">
        <f t="shared" si="58"/>
        <v/>
      </c>
      <c r="FO7" s="44" t="str">
        <f t="shared" si="59"/>
        <v/>
      </c>
      <c r="FP7" s="44" t="str">
        <f t="shared" si="60"/>
        <v/>
      </c>
      <c r="FQ7" s="44" t="str">
        <f t="shared" si="61"/>
        <v/>
      </c>
      <c r="FR7" s="44" t="str">
        <f t="shared" si="62"/>
        <v/>
      </c>
      <c r="FS7" s="44" t="str">
        <f t="shared" si="63"/>
        <v>"003RED",</v>
      </c>
      <c r="FT7" s="44" t="str">
        <f t="shared" si="64"/>
        <v>"myrRED",</v>
      </c>
      <c r="FU7" s="44" t="str">
        <f t="shared" si="65"/>
        <v/>
      </c>
      <c r="FV7" s="44" t="str">
        <f t="shared" si="66"/>
        <v/>
      </c>
      <c r="FW7" s="44" t="str">
        <f t="shared" si="67"/>
        <v/>
      </c>
      <c r="FX7" s="44" t="str">
        <f t="shared" si="68"/>
        <v/>
      </c>
      <c r="FY7" s="44" t="str">
        <f t="shared" si="69"/>
        <v/>
      </c>
      <c r="FZ7" s="44" t="str">
        <f t="shared" si="70"/>
        <v/>
      </c>
      <c r="GA7" s="44" t="str">
        <f t="shared" si="71"/>
        <v/>
      </c>
      <c r="GB7" s="44" t="str">
        <f t="shared" si="72"/>
        <v/>
      </c>
      <c r="GC7" s="44" t="str">
        <f t="shared" si="73"/>
        <v/>
      </c>
      <c r="GD7" s="44" t="str">
        <f t="shared" si="74"/>
        <v/>
      </c>
      <c r="GE7" s="44" t="str">
        <f t="shared" si="75"/>
        <v/>
      </c>
      <c r="GF7" s="44" t="str">
        <f>IFERROR(IF(SEARCH("Historical",AU7)&gt;0,CHAR(34)&amp;"histor"&amp;CHAR(34)&amp;",",""),"")</f>
        <v/>
      </c>
      <c r="GG7" s="44" t="str">
        <f t="shared" si="76"/>
        <v/>
      </c>
      <c r="GH7" s="44" t="str">
        <f t="shared" si="77"/>
        <v/>
      </c>
      <c r="GI7" s="44" t="str">
        <f t="shared" si="78"/>
        <v/>
      </c>
      <c r="GJ7" s="44" t="str">
        <f t="shared" si="79"/>
        <v/>
      </c>
      <c r="GK7" s="44" t="str">
        <f t="shared" si="80"/>
        <v>"HasSta",</v>
      </c>
      <c r="GL7" s="44" t="str">
        <f t="shared" si="81"/>
        <v/>
      </c>
      <c r="GM7" s="44" t="str">
        <f t="shared" si="81"/>
        <v/>
      </c>
      <c r="GN7" s="44" t="str">
        <f t="shared" si="81"/>
        <v>"3+Star",</v>
      </c>
      <c r="GP7" s="44" t="str">
        <f t="shared" si="82"/>
        <v>"Archipelago"</v>
      </c>
      <c r="GS7" s="44" t="str">
        <f t="shared" si="83"/>
        <v>["3Color","words2","exact2","lets18","startT","with_y","LUEDHI","year19","4+Band","Horizo","Vertic","Unequa","staBLU","NO_GRE","NO_YEL","NO_BLA","003RED","myrRED","HasSta","3+Star"]</v>
      </c>
      <c r="GT7" s="44" t="str">
        <f t="shared" si="84"/>
        <v>"cl_RED",</v>
      </c>
      <c r="GU7" s="44" t="str">
        <f t="shared" si="84"/>
        <v>"cl_WHI",</v>
      </c>
      <c r="GV7" s="44" t="str">
        <f t="shared" si="84"/>
        <v>"cl_BLU",</v>
      </c>
      <c r="GW7" s="44" t="str">
        <f t="shared" si="84"/>
        <v/>
      </c>
      <c r="GX7" s="44" t="str">
        <f t="shared" si="84"/>
        <v/>
      </c>
      <c r="GY7" s="44" t="str">
        <f t="shared" si="84"/>
        <v/>
      </c>
      <c r="GZ7" s="44" t="str">
        <f t="shared" si="84"/>
        <v/>
      </c>
      <c r="HA7" s="44" t="str">
        <f t="shared" si="84"/>
        <v/>
      </c>
      <c r="HB7" s="44" t="str">
        <f t="shared" si="84"/>
        <v/>
      </c>
      <c r="HC7" s="44" t="str">
        <f t="shared" si="85"/>
        <v>["cl_RED","cl_WHI","cl_BLU"]</v>
      </c>
      <c r="HE7" s="64"/>
      <c r="HF7" s="65" t="str">
        <f t="shared" si="86"/>
        <v>{couname:"[PLY] Tuamotu Archipelago",year:"1985",region:"rgn_Oceania",Colors:["cl_RED","cl_WHI","cl_BLU"],Items:["3Color","words2","exact2","lets18","startT","with_y","LUEDHI","year19","4+Band","Horizo","Vertic","Unequa","staBLU","NO_GRE","NO_YEL","NO_BLA","003RED","myrRED","HasSta","3+Star"],Flag:"https://upload.wikimedia.org/wikipedia/commons/thumb/d/dc/Flag_of_Tuamotu_Archipelago.svg/640px-Flag_of_Tuamotu_Archipelago.svg.png",HDFlag:"https://upload.wikimedia.org/wikipedia/commons/thumb/d/dc/Flag_of_Tuamotu_Archipelago.svg/2560px-Flag_of_Tuamotu_Archipelago.svg.png",type:"Archipelago", describe: "\nThe sixteen stars represent the sixteen municipalities forming the archipelago and not its number of islands and atolls. The red and white stripes recall the flag of French Polynesia, whereas the blue stripe recalls the French flag and represents also the sky and the sea.", isnew:".", links: "https://vexillology.fandom.com/wiki/Tuamotu_Archipelago"},</v>
      </c>
      <c r="HG7" s="66" t="str">
        <f t="shared" si="87"/>
        <v>{couname:"[PLY] Tuamotu Archipelago",year:"1985",region:"rgn_Oceania",Colors:["cl_RED","cl_WHI","cl_BLU"],Items:["3Color","words2","exact2","lets18","startT","with_y","LUEDHI","year19","4+Band","Horizo","Vertic","Unequa","staBLU","NO_GRE","NO_YEL","NO_BLA","003RED","myrRED","HasSta","3+Star"],Flag:"https://upload.wikimedia.org/wikipedia/commons/thumb/d/dc/Flag_of_Tuamotu_Archipelago.svg/640px-Flag_of_Tuamotu_Archipelago.svg.png",HDFlag:"https://upload.wikimedia.org/wikipedia/commons/thumb/d/dc/Flag_of_Tuamotu_Archipelago.svg/2560px-Flag_of_Tuamotu_Archipelago.svg.png",type:"Archipelago", describe: "\nThe sixteen stars represent the sixteen municipalities forming the archipelago and not its number of islands and atolls. The red and white stripes recall the flag of French Polynesia, whereas the blue stripe recalls the French flag and represents also the sky and the sea.", links: "https://vexillology.fandom.com/wiki/Tuamotu_Archipelago"},</v>
      </c>
      <c r="HH7" s="44" t="str">
        <f t="shared" si="88"/>
        <v>"\nThe sixteen stars represent the sixteen municipalities forming the archipelago and not its number of islands and atolls. The red and white stripes recall the flag of French Polynesia, whereas the blue stripe recalls the French flag and represents also the sky and the sea."</v>
      </c>
      <c r="HI7" s="44" t="str">
        <f t="shared" si="89"/>
        <v>"\nThe sixteen stars represent the sixteen municipalities forming the archipelago and not its number of islands and atolls. The red and white stripes recall the flag of French Polynesia, whereas the blue stripe recalls the French flag and represents also the sky and the sea."</v>
      </c>
      <c r="HJ7" s="44" t="str">
        <f t="shared" si="90"/>
        <v>"1985"</v>
      </c>
      <c r="HL7" s="44" t="str">
        <f t="shared" si="91"/>
        <v>"https://vexillology.fandom.com/wiki/Tuamotu_Archipelago"</v>
      </c>
      <c r="HM7" s="65" t="str">
        <f t="shared" si="92"/>
        <v>{"couname":"[PLY] Tuamotu Archipelago","year":"1985","region":"rgn_Oceania","Colors":["cl_RED","cl_WHI","cl_BLU"],"Items":["3Color","words2","exact2","lets18","startT","with_y","LUEDHI","year19","4+Band","Horizo","Vertic","Unequa","staBLU","NO_GRE","NO_YEL","NO_BLA","003RED","myrRED","HasSta","3+Star"],"Flag":"https://upload.wikimedia.org/wikipedia/commons/thumb/d/dc/Flag_of_Tuamotu_Archipelago.svg/640px-Flag_of_Tuamotu_Archipelago.svg.png","HDFlag":"https://upload.wikimedia.org/wikipedia/commons/thumb/d/dc/Flag_of_Tuamotu_Archipelago.svg/2560px-Flag_of_Tuamotu_Archipelago.svg.png","type":"Archipelago", "describe": "\nThe sixteen stars represent the sixteen municipalities forming the archipelago and not its number of islands and atolls. The red and white stripes recall the flag of French Polynesia, whereas the blue stripe recalls the French flag and represents also the sky and the sea.", "isnew": ".", "links": "https://vexillology.fandom.com/wiki/Tuamotu_Archipelago"},</v>
      </c>
      <c r="HN7" s="67" t="str">
        <f t="shared" si="93"/>
        <v>{"couname":"[PLY] Tuamotu Archipelago","year":"1985","region":"rgn_Oceania","Colors":["cl_RED","cl_WHI","cl_BLU"],"Items":["3Color","words2","exact2","lets18","startT","with_y","LUEDHI","year19","4+Band","Horizo","Vertic","Unequa","staBLU","NO_GRE","NO_YEL","NO_BLA","003RED","myrRED","HasSta","3+Star"],"Flag":"https://upload.wikimedia.org/wikipedia/commons/thumb/d/dc/Flag_of_Tuamotu_Archipelago.svg/640px-Flag_of_Tuamotu_Archipelago.svg.png","HDFlag":"https://upload.wikimedia.org/wikipedia/commons/thumb/d/dc/Flag_of_Tuamotu_Archipelago.svg/2560px-Flag_of_Tuamotu_Archipelago.svg.png","type":"Archipelago", "describe": "\nThe sixteen stars represent the sixteen municipalities forming the archipelago and not its number of islands and atolls. The red and white stripes recall the flag of French Polynesia, whereas the blue stripe recalls the French flag and represents also the sky and the sea.", "isnew": ".", "links": "https://vexillology.fandom.com/wiki/Tuamotu_Archipelago"},</v>
      </c>
      <c r="HO7" s="71"/>
      <c r="HP7" s="44" t="str" cm="1">
        <f t="array" ref="HP7">IF(_xlfn.TEXTJOIN(", ", TRUE, IF(ISNUMBER(SEARCH("BLA", BL7:BT7)), COLUMN(BL7:BT7) - COLUMN(BL7) + 1, ""))&lt;&gt;"","BLA","")</f>
        <v/>
      </c>
      <c r="HQ7" s="44" t="str" cm="1">
        <f t="array" ref="HQ7">IF(_xlfn.TEXTJOIN(", ", TRUE, IF(ISNUMBER(SEARCH("BLU", BL7:BT7)), COLUMN(BL7:BT7) - COLUMN(BL7) + 1, ""))&lt;&gt;"","BLU","")</f>
        <v>BLU</v>
      </c>
      <c r="HR7" s="44" t="str" cm="1">
        <f t="array" ref="HR7">IF(_xlfn.TEXTJOIN(", ", TRUE, IF(ISNUMBER(SEARCH("GRE", BL7:BT7)), COLUMN(BL7:BT7) - COLUMN(BL7) + 1, ""))&lt;&gt;"","GRE","")</f>
        <v/>
      </c>
      <c r="HS7" s="44" t="str" cm="1">
        <f t="array" ref="HS7">IF(_xlfn.TEXTJOIN(", ", TRUE, IF(ISNUMBER(SEARCH("RED", BL7:BT7)), COLUMN(BL7:BT7) - COLUMN(BL7) + 1, ""))&lt;&gt;"","RED","")</f>
        <v>RED</v>
      </c>
      <c r="HT7" s="44" t="str" cm="1">
        <f t="array" ref="HT7">IF(_xlfn.TEXTJOIN(", ", TRUE, IF(ISNUMBER(SEARCH("YEL", BL7:BT7)), COLUMN(BL7:BT7) - COLUMN(BL7) + 1, ""))&lt;&gt;"","YEL","")</f>
        <v/>
      </c>
      <c r="HU7" s="44" t="str" cm="1">
        <f t="array" ref="HU7">IF(_xlfn.TEXTJOIN(", ", TRUE, IF(ISNUMBER(SEARCH("ORA", BL7:BT7)), COLUMN(BL7:BT7) - COLUMN(BL7) + 1, ""))&lt;&gt;"","ORA","")</f>
        <v/>
      </c>
      <c r="HV7" s="44" t="str" cm="1">
        <f t="array" ref="HV7">IF(_xlfn.TEXTJOIN(", ", TRUE, IF(ISNUMBER(SEARCH("BRO", BL7:BT7)), COLUMN(BL7:BT7) - COLUMN(BL7) + 1, ""))&lt;&gt;"","BRO","")</f>
        <v/>
      </c>
      <c r="HW7" s="44" t="str" cm="1">
        <f t="array" ref="HW7">IF(_xlfn.TEXTJOIN(", ", TRUE, IF(ISNUMBER(SEARCH("PUR", BL7:BT7)), COLUMN(BL7:BT7) - COLUMN(BL7) + 1, ""))&lt;&gt;"","PUR","")</f>
        <v/>
      </c>
      <c r="HX7" s="44" t="str" cm="1">
        <f t="array" ref="HX7">IF(_xlfn.TEXTJOIN(", ", TRUE, IF(ISNUMBER(SEARCH("WHI", BL7:BT7)), COLUMN(BL7:BT7) - COLUMN(BL7) + 1, ""))&lt;&gt;"","WHI","")</f>
        <v>WHI</v>
      </c>
      <c r="HY7" s="72"/>
      <c r="HZ7" s="72"/>
      <c r="IA7" s="5"/>
      <c r="IB7" s="5"/>
      <c r="IC7" s="68"/>
      <c r="ID7" s="68"/>
      <c r="IE7" s="68"/>
      <c r="IF7" s="68"/>
      <c r="IG7" s="68"/>
      <c r="IH7" s="68"/>
      <c r="II7" s="68"/>
      <c r="IJ7" s="68"/>
      <c r="IK7" s="68"/>
      <c r="IL7" s="44">
        <f t="shared" si="94"/>
        <v>0</v>
      </c>
      <c r="IM7" s="42">
        <f t="shared" si="95"/>
        <v>-3</v>
      </c>
      <c r="IN7" s="69" t="str">
        <f t="shared" si="96"/>
        <v>http://mkweb.bcgsc.ca/color-summarizer/?url=https://upload.wikimedia.org/wikipedia/commons/thumb/d/dc/Flag_of_Tuamotu_Archipelago.svg/640px-Flag_of_Tuamotu_Archipelago.svg.png&amp;precision=low&amp;num_clusters=3&amp;text=1</v>
      </c>
      <c r="IO7" s="44" t="str">
        <f t="shared" si="97"/>
        <v/>
      </c>
      <c r="IP7" s="44" t="str">
        <f t="shared" si="98"/>
        <v>"blue"</v>
      </c>
      <c r="IQ7" s="44" t="str">
        <f t="shared" si="99"/>
        <v/>
      </c>
      <c r="IR7" s="44" t="str">
        <f t="shared" si="100"/>
        <v>"red"</v>
      </c>
      <c r="IS7" s="44" t="str">
        <f t="shared" si="101"/>
        <v/>
      </c>
      <c r="IT7" s="44" t="str">
        <f t="shared" si="102"/>
        <v/>
      </c>
      <c r="IU7" s="44" t="str">
        <f t="shared" si="103"/>
        <v/>
      </c>
      <c r="IV7" s="44" t="str">
        <f t="shared" si="104"/>
        <v/>
      </c>
      <c r="IW7" s="44" t="str">
        <f t="shared" si="105"/>
        <v>"white"</v>
      </c>
      <c r="IX7" s="44" t="str">
        <f t="shared" si="106"/>
        <v>{"url":"http://mkweb.bcgsc.ca/color-summarizer/?url=https://upload.wikimedia.org/wikipedia/commons/thumb/d/dc/Flag_of_Tuamotu_Archipelago.svg/640px-Flag_of_Tuamotu_Archipelago.svg.png&amp;precision=low&amp;num_clusters=3&amp;text=1","name":"[PLY] Tuamotu Archipelago"},</v>
      </c>
      <c r="IY7" s="44">
        <v>700</v>
      </c>
    </row>
    <row r="8" spans="1:259" ht="38.4" customHeight="1" x14ac:dyDescent="0.3">
      <c r="J8" s="44" t="str">
        <f>""</f>
        <v/>
      </c>
      <c r="BW8" s="82">
        <v>0</v>
      </c>
      <c r="CE8" s="82">
        <v>0</v>
      </c>
      <c r="CF8" s="82" t="e">
        <v>#REF!</v>
      </c>
      <c r="GE8" s="82" t="str">
        <f t="shared" si="75"/>
        <v/>
      </c>
      <c r="GG8" s="82" t="str">
        <f t="shared" si="76"/>
        <v/>
      </c>
      <c r="GH8" s="82" t="str">
        <f t="shared" si="77"/>
        <v/>
      </c>
      <c r="GI8" s="82" t="str">
        <f t="shared" si="78"/>
        <v/>
      </c>
    </row>
    <row r="9" spans="1:259" ht="38.4" customHeight="1" x14ac:dyDescent="0.3">
      <c r="D9" s="83"/>
      <c r="E9" s="83"/>
      <c r="F9" s="83"/>
      <c r="G9" s="83"/>
      <c r="H9" s="83"/>
      <c r="J9" s="44" t="str">
        <f>""</f>
        <v/>
      </c>
      <c r="BW9" s="82">
        <v>0</v>
      </c>
      <c r="CE9" s="82">
        <v>0</v>
      </c>
      <c r="CF9" s="82" t="e">
        <v>#REF!</v>
      </c>
      <c r="GE9" s="82" t="str">
        <f t="shared" si="75"/>
        <v/>
      </c>
      <c r="GG9" s="82" t="str">
        <f t="shared" si="76"/>
        <v/>
      </c>
      <c r="GH9" s="82" t="str">
        <f t="shared" si="77"/>
        <v/>
      </c>
      <c r="GI9" s="82" t="str">
        <f t="shared" si="78"/>
        <v/>
      </c>
    </row>
    <row r="10" spans="1:259" ht="38.4" customHeight="1" x14ac:dyDescent="0.3">
      <c r="D10" s="83"/>
      <c r="E10" s="83"/>
      <c r="F10" s="83"/>
      <c r="G10" s="83"/>
      <c r="H10" s="83"/>
      <c r="J10" s="44" t="str">
        <f>""</f>
        <v/>
      </c>
      <c r="BW10" s="82">
        <v>0</v>
      </c>
      <c r="CE10" s="82">
        <v>0</v>
      </c>
      <c r="CF10" s="82" t="e">
        <v>#REF!</v>
      </c>
      <c r="GE10" s="82" t="str">
        <f t="shared" si="75"/>
        <v/>
      </c>
      <c r="GG10" s="82" t="str">
        <f t="shared" si="76"/>
        <v/>
      </c>
      <c r="GH10" s="82" t="str">
        <f t="shared" si="77"/>
        <v/>
      </c>
      <c r="GI10" s="82" t="str">
        <f t="shared" si="78"/>
        <v/>
      </c>
    </row>
    <row r="11" spans="1:259" ht="38.4" customHeight="1" x14ac:dyDescent="0.3">
      <c r="D11" s="83"/>
      <c r="E11" s="83"/>
      <c r="F11" s="83"/>
      <c r="G11" s="83"/>
      <c r="H11" s="83"/>
      <c r="J11" s="44" t="str">
        <f>""</f>
        <v/>
      </c>
      <c r="BW11" s="82">
        <v>0</v>
      </c>
      <c r="CE11" s="82">
        <v>0</v>
      </c>
      <c r="CF11" s="82" t="e">
        <v>#REF!</v>
      </c>
      <c r="GE11" s="82" t="str">
        <f t="shared" si="75"/>
        <v/>
      </c>
      <c r="GG11" s="82" t="str">
        <f t="shared" si="76"/>
        <v/>
      </c>
      <c r="GH11" s="82" t="str">
        <f t="shared" si="77"/>
        <v/>
      </c>
      <c r="GI11" s="82" t="str">
        <f t="shared" si="78"/>
        <v/>
      </c>
    </row>
    <row r="12" spans="1:259" ht="38.4" customHeight="1" x14ac:dyDescent="0.3">
      <c r="BW12" s="82">
        <v>0</v>
      </c>
      <c r="CE12" s="82">
        <v>0</v>
      </c>
      <c r="CF12" s="82" t="e">
        <v>#REF!</v>
      </c>
      <c r="GE12" s="82" t="str">
        <f t="shared" si="75"/>
        <v/>
      </c>
      <c r="GG12" s="82" t="str">
        <f t="shared" si="76"/>
        <v/>
      </c>
      <c r="GH12" s="82" t="str">
        <f t="shared" si="77"/>
        <v/>
      </c>
      <c r="GI12" s="82" t="str">
        <f t="shared" si="78"/>
        <v/>
      </c>
    </row>
    <row r="13" spans="1:259" ht="38.4" customHeight="1" x14ac:dyDescent="0.3">
      <c r="BW13" s="82">
        <v>0</v>
      </c>
      <c r="CE13" s="82">
        <v>0</v>
      </c>
      <c r="CF13" s="82" t="e">
        <v>#REF!</v>
      </c>
      <c r="GE13" s="82" t="str">
        <f t="shared" si="75"/>
        <v/>
      </c>
      <c r="GG13" s="82" t="str">
        <f t="shared" si="76"/>
        <v/>
      </c>
      <c r="GH13" s="82" t="str">
        <f t="shared" si="77"/>
        <v/>
      </c>
      <c r="GI13" s="82" t="str">
        <f t="shared" si="78"/>
        <v/>
      </c>
    </row>
    <row r="14" spans="1:259" ht="38.4" customHeight="1" x14ac:dyDescent="0.3">
      <c r="BW14" s="82">
        <v>0</v>
      </c>
      <c r="CE14" s="82">
        <v>0</v>
      </c>
      <c r="CF14" s="82" t="e">
        <v>#REF!</v>
      </c>
      <c r="GE14" s="82" t="str">
        <f t="shared" si="75"/>
        <v/>
      </c>
      <c r="GG14" s="82" t="str">
        <f t="shared" si="76"/>
        <v/>
      </c>
      <c r="GH14" s="82" t="str">
        <f t="shared" si="77"/>
        <v/>
      </c>
      <c r="GI14" s="82" t="str">
        <f t="shared" si="78"/>
        <v/>
      </c>
    </row>
    <row r="15" spans="1:259" ht="38.4" customHeight="1" x14ac:dyDescent="0.3">
      <c r="BW15" s="82">
        <v>0</v>
      </c>
      <c r="CE15" s="82">
        <v>0</v>
      </c>
      <c r="CF15" s="82" t="e">
        <v>#REF!</v>
      </c>
      <c r="GE15" s="82" t="str">
        <f t="shared" si="75"/>
        <v/>
      </c>
      <c r="GG15" s="82" t="str">
        <f t="shared" si="76"/>
        <v/>
      </c>
      <c r="GH15" s="82" t="str">
        <f t="shared" si="77"/>
        <v/>
      </c>
      <c r="GI15" s="82" t="str">
        <f t="shared" si="78"/>
        <v/>
      </c>
    </row>
    <row r="16" spans="1:259" ht="38.4" customHeight="1" x14ac:dyDescent="0.3">
      <c r="BW16" s="82">
        <v>0</v>
      </c>
      <c r="CE16" s="82">
        <v>0</v>
      </c>
      <c r="CF16" s="82" t="e">
        <v>#REF!</v>
      </c>
      <c r="GE16" s="82" t="str">
        <f t="shared" si="75"/>
        <v/>
      </c>
      <c r="GG16" s="82" t="str">
        <f t="shared" si="76"/>
        <v/>
      </c>
      <c r="GH16" s="82" t="str">
        <f t="shared" si="77"/>
        <v/>
      </c>
      <c r="GI16" s="82" t="str">
        <f t="shared" si="78"/>
        <v/>
      </c>
    </row>
    <row r="17" spans="75:191" ht="38.4" customHeight="1" x14ac:dyDescent="0.3">
      <c r="BW17" s="82">
        <v>0</v>
      </c>
      <c r="CE17" s="82">
        <v>0</v>
      </c>
      <c r="CF17" s="82" t="e">
        <v>#REF!</v>
      </c>
      <c r="GE17" s="82" t="str">
        <f t="shared" si="75"/>
        <v/>
      </c>
      <c r="GG17" s="82" t="str">
        <f t="shared" si="76"/>
        <v/>
      </c>
      <c r="GH17" s="82" t="str">
        <f t="shared" si="77"/>
        <v/>
      </c>
      <c r="GI17" s="82" t="str">
        <f t="shared" si="78"/>
        <v/>
      </c>
    </row>
    <row r="18" spans="75:191" ht="38.4" customHeight="1" x14ac:dyDescent="0.3">
      <c r="BW18" s="82">
        <v>0</v>
      </c>
      <c r="CE18" s="82">
        <v>0</v>
      </c>
      <c r="CF18" s="82" t="e">
        <v>#REF!</v>
      </c>
      <c r="GE18" s="82" t="str">
        <f t="shared" si="75"/>
        <v/>
      </c>
      <c r="GG18" s="82" t="str">
        <f t="shared" si="76"/>
        <v/>
      </c>
      <c r="GH18" s="82" t="str">
        <f t="shared" si="77"/>
        <v/>
      </c>
      <c r="GI18" s="82" t="str">
        <f t="shared" si="78"/>
        <v/>
      </c>
    </row>
    <row r="19" spans="75:191" ht="38.4" customHeight="1" x14ac:dyDescent="0.3">
      <c r="BW19" s="82">
        <v>0</v>
      </c>
      <c r="CE19" s="82">
        <v>0</v>
      </c>
      <c r="CF19" s="82" t="e">
        <v>#REF!</v>
      </c>
      <c r="GE19" s="82" t="str">
        <f t="shared" si="75"/>
        <v/>
      </c>
      <c r="GG19" s="82" t="str">
        <f t="shared" si="76"/>
        <v/>
      </c>
      <c r="GH19" s="82" t="str">
        <f t="shared" si="77"/>
        <v/>
      </c>
      <c r="GI19" s="82" t="str">
        <f t="shared" si="78"/>
        <v/>
      </c>
    </row>
    <row r="20" spans="75:191" ht="38.4" customHeight="1" x14ac:dyDescent="0.3">
      <c r="BW20" s="82">
        <v>0</v>
      </c>
      <c r="CE20" s="82">
        <v>0</v>
      </c>
      <c r="CF20" s="82" t="e">
        <v>#REF!</v>
      </c>
      <c r="GE20" s="82" t="str">
        <f t="shared" si="75"/>
        <v/>
      </c>
      <c r="GG20" s="82" t="str">
        <f t="shared" si="76"/>
        <v/>
      </c>
      <c r="GH20" s="82" t="str">
        <f t="shared" si="77"/>
        <v/>
      </c>
      <c r="GI20" s="82" t="str">
        <f t="shared" si="78"/>
        <v/>
      </c>
    </row>
    <row r="21" spans="75:191" ht="38.4" customHeight="1" x14ac:dyDescent="0.3">
      <c r="BW21" s="82">
        <v>0</v>
      </c>
      <c r="CE21" s="82">
        <v>0</v>
      </c>
      <c r="CF21" s="82" t="e">
        <v>#REF!</v>
      </c>
      <c r="GE21" s="82" t="str">
        <f t="shared" si="75"/>
        <v/>
      </c>
      <c r="GG21" s="82" t="str">
        <f t="shared" si="76"/>
        <v/>
      </c>
      <c r="GH21" s="82" t="str">
        <f t="shared" si="77"/>
        <v/>
      </c>
      <c r="GI21" s="82" t="str">
        <f t="shared" si="78"/>
        <v/>
      </c>
    </row>
    <row r="22" spans="75:191" ht="38.4" customHeight="1" x14ac:dyDescent="0.3">
      <c r="BW22" s="82">
        <v>0</v>
      </c>
      <c r="CE22" s="82">
        <v>0</v>
      </c>
      <c r="CF22" s="82" t="e">
        <v>#REF!</v>
      </c>
      <c r="GE22" s="82" t="str">
        <f t="shared" si="75"/>
        <v/>
      </c>
      <c r="GG22" s="82" t="str">
        <f t="shared" si="76"/>
        <v/>
      </c>
      <c r="GH22" s="82" t="str">
        <f t="shared" si="77"/>
        <v/>
      </c>
      <c r="GI22" s="82" t="str">
        <f t="shared" si="78"/>
        <v/>
      </c>
    </row>
    <row r="23" spans="75:191" ht="38.4" customHeight="1" x14ac:dyDescent="0.3">
      <c r="BW23" s="82">
        <v>0</v>
      </c>
      <c r="CE23" s="82">
        <v>0</v>
      </c>
      <c r="CF23" s="82" t="e">
        <v>#REF!</v>
      </c>
      <c r="GE23" s="82" t="str">
        <f t="shared" si="75"/>
        <v/>
      </c>
      <c r="GG23" s="82" t="str">
        <f t="shared" si="76"/>
        <v/>
      </c>
      <c r="GH23" s="82" t="str">
        <f t="shared" si="77"/>
        <v/>
      </c>
      <c r="GI23" s="82" t="str">
        <f t="shared" si="78"/>
        <v/>
      </c>
    </row>
    <row r="24" spans="75:191" ht="38.4" customHeight="1" x14ac:dyDescent="0.3">
      <c r="BW24" s="82">
        <v>0</v>
      </c>
      <c r="CE24" s="82">
        <v>0</v>
      </c>
      <c r="CF24" s="82" t="e">
        <v>#REF!</v>
      </c>
      <c r="GE24" s="82" t="str">
        <f t="shared" si="75"/>
        <v/>
      </c>
      <c r="GG24" s="82" t="str">
        <f t="shared" si="76"/>
        <v/>
      </c>
      <c r="GH24" s="82" t="str">
        <f t="shared" si="77"/>
        <v/>
      </c>
      <c r="GI24" s="82" t="str">
        <f t="shared" si="78"/>
        <v/>
      </c>
    </row>
    <row r="25" spans="75:191" ht="38.4" customHeight="1" x14ac:dyDescent="0.3">
      <c r="BW25" s="82">
        <v>0</v>
      </c>
      <c r="CE25" s="82">
        <v>0</v>
      </c>
      <c r="CF25" s="82" t="e">
        <v>#REF!</v>
      </c>
      <c r="GE25" s="82" t="str">
        <f t="shared" si="75"/>
        <v/>
      </c>
      <c r="GG25" s="82" t="str">
        <f t="shared" si="76"/>
        <v/>
      </c>
      <c r="GH25" s="82" t="str">
        <f t="shared" si="77"/>
        <v/>
      </c>
      <c r="GI25" s="82" t="str">
        <f t="shared" si="78"/>
        <v/>
      </c>
    </row>
    <row r="26" spans="75:191" ht="38.4" customHeight="1" x14ac:dyDescent="0.3">
      <c r="BW26" s="82">
        <v>0</v>
      </c>
      <c r="CE26" s="82">
        <v>0</v>
      </c>
      <c r="CF26" s="82" t="e">
        <v>#REF!</v>
      </c>
      <c r="GE26" s="82" t="str">
        <f t="shared" si="75"/>
        <v/>
      </c>
      <c r="GG26" s="82" t="str">
        <f t="shared" si="76"/>
        <v/>
      </c>
      <c r="GH26" s="82" t="str">
        <f t="shared" si="77"/>
        <v/>
      </c>
      <c r="GI26" s="82" t="str">
        <f t="shared" si="78"/>
        <v/>
      </c>
    </row>
    <row r="27" spans="75:191" ht="38.4" customHeight="1" x14ac:dyDescent="0.3">
      <c r="BW27" s="82">
        <v>0</v>
      </c>
      <c r="CE27" s="82">
        <v>0</v>
      </c>
      <c r="CF27" s="82" t="e">
        <v>#REF!</v>
      </c>
      <c r="GE27" s="82" t="str">
        <f t="shared" si="75"/>
        <v/>
      </c>
      <c r="GG27" s="82" t="str">
        <f t="shared" si="76"/>
        <v/>
      </c>
      <c r="GH27" s="82" t="str">
        <f t="shared" si="77"/>
        <v/>
      </c>
      <c r="GI27" s="82" t="str">
        <f t="shared" si="78"/>
        <v/>
      </c>
    </row>
    <row r="28" spans="75:191" ht="38.4" customHeight="1" x14ac:dyDescent="0.3">
      <c r="BW28" s="82">
        <v>0</v>
      </c>
      <c r="CE28" s="82">
        <v>0</v>
      </c>
      <c r="CF28" s="82" t="e">
        <v>#REF!</v>
      </c>
      <c r="GE28" s="82" t="str">
        <f t="shared" si="75"/>
        <v/>
      </c>
      <c r="GG28" s="82" t="str">
        <f t="shared" si="76"/>
        <v/>
      </c>
      <c r="GH28" s="82" t="str">
        <f t="shared" si="77"/>
        <v/>
      </c>
      <c r="GI28" s="82" t="str">
        <f t="shared" si="78"/>
        <v/>
      </c>
    </row>
    <row r="29" spans="75:191" ht="38.4" customHeight="1" x14ac:dyDescent="0.3">
      <c r="BW29" s="82">
        <v>0</v>
      </c>
      <c r="CE29" s="82">
        <v>0</v>
      </c>
      <c r="CF29" s="82" t="e">
        <v>#REF!</v>
      </c>
      <c r="GE29" s="82" t="str">
        <f t="shared" si="75"/>
        <v/>
      </c>
      <c r="GG29" s="82" t="str">
        <f t="shared" si="76"/>
        <v/>
      </c>
      <c r="GH29" s="82" t="str">
        <f t="shared" si="77"/>
        <v/>
      </c>
      <c r="GI29" s="82" t="str">
        <f t="shared" si="78"/>
        <v/>
      </c>
    </row>
    <row r="30" spans="75:191" ht="38.4" customHeight="1" x14ac:dyDescent="0.3">
      <c r="BW30" s="82">
        <v>0</v>
      </c>
      <c r="CE30" s="82">
        <v>0</v>
      </c>
      <c r="CF30" s="82" t="e">
        <v>#REF!</v>
      </c>
      <c r="GE30" s="82" t="str">
        <f t="shared" si="75"/>
        <v/>
      </c>
      <c r="GG30" s="82" t="str">
        <f t="shared" si="76"/>
        <v/>
      </c>
      <c r="GH30" s="82" t="str">
        <f t="shared" si="77"/>
        <v/>
      </c>
      <c r="GI30" s="82" t="str">
        <f t="shared" si="78"/>
        <v/>
      </c>
    </row>
    <row r="31" spans="75:191" ht="38.4" customHeight="1" x14ac:dyDescent="0.3">
      <c r="BW31" s="82">
        <v>0</v>
      </c>
      <c r="CE31" s="82">
        <v>0</v>
      </c>
      <c r="CF31" s="82" t="e">
        <v>#REF!</v>
      </c>
      <c r="GE31" s="82" t="str">
        <f t="shared" si="75"/>
        <v/>
      </c>
      <c r="GG31" s="82" t="str">
        <f t="shared" si="76"/>
        <v/>
      </c>
      <c r="GH31" s="82" t="str">
        <f t="shared" si="77"/>
        <v/>
      </c>
      <c r="GI31" s="82" t="str">
        <f t="shared" si="78"/>
        <v/>
      </c>
    </row>
    <row r="32" spans="75:191" ht="38.4" customHeight="1" x14ac:dyDescent="0.3">
      <c r="BW32" s="82">
        <v>0</v>
      </c>
      <c r="CE32" s="82">
        <v>0</v>
      </c>
      <c r="CF32" s="82" t="e">
        <v>#REF!</v>
      </c>
      <c r="GE32" s="82" t="str">
        <f t="shared" si="75"/>
        <v/>
      </c>
      <c r="GG32" s="82" t="str">
        <f t="shared" si="76"/>
        <v/>
      </c>
      <c r="GH32" s="82" t="str">
        <f t="shared" si="77"/>
        <v/>
      </c>
      <c r="GI32" s="82" t="str">
        <f t="shared" si="78"/>
        <v/>
      </c>
    </row>
    <row r="33" spans="75:191" ht="38.4" customHeight="1" x14ac:dyDescent="0.3">
      <c r="BW33" s="82">
        <v>0</v>
      </c>
      <c r="CE33" s="82">
        <v>0</v>
      </c>
      <c r="CF33" s="82" t="e">
        <v>#REF!</v>
      </c>
      <c r="GE33" s="82" t="str">
        <f t="shared" si="75"/>
        <v/>
      </c>
      <c r="GG33" s="82" t="str">
        <f t="shared" si="76"/>
        <v/>
      </c>
      <c r="GH33" s="82" t="str">
        <f t="shared" si="77"/>
        <v/>
      </c>
      <c r="GI33" s="82" t="str">
        <f t="shared" si="78"/>
        <v/>
      </c>
    </row>
    <row r="34" spans="75:191" ht="38.4" customHeight="1" x14ac:dyDescent="0.3">
      <c r="BW34" s="82">
        <v>0</v>
      </c>
      <c r="CE34" s="82">
        <v>0</v>
      </c>
      <c r="CF34" s="82" t="e">
        <v>#REF!</v>
      </c>
      <c r="GE34" s="82" t="str">
        <f t="shared" ref="GE34:GE50" si="107">IFERROR(IF(SEARCH("Dutch",CB34)&gt;0,CHAR(34)&amp;"dutchs"&amp;CHAR(34)&amp;",",""),"")</f>
        <v/>
      </c>
      <c r="GG34" s="82" t="str">
        <f t="shared" ref="GG34:GG50" si="108">IF(BU34="y",CHAR(34)&amp;"unjack"&amp;CHAR(34)&amp;",","")</f>
        <v/>
      </c>
      <c r="GH34" s="82" t="str">
        <f t="shared" ref="GH34:GH50" si="109">IF(CD34=1,CHAR(34)&amp;"southc"&amp;CHAR(34)&amp;",","")</f>
        <v/>
      </c>
      <c r="GI34" s="82" t="str">
        <f t="shared" ref="GI34:GI50" si="110">IF(CE34=1,CHAR(34)&amp;"hasmap"&amp;CHAR(34)&amp;",","")</f>
        <v/>
      </c>
    </row>
    <row r="35" spans="75:191" ht="38.4" customHeight="1" x14ac:dyDescent="0.3">
      <c r="BW35" s="82">
        <v>0</v>
      </c>
      <c r="CE35" s="82">
        <v>0</v>
      </c>
      <c r="CF35" s="82" t="e">
        <v>#REF!</v>
      </c>
      <c r="GE35" s="82" t="str">
        <f t="shared" si="107"/>
        <v/>
      </c>
      <c r="GG35" s="82" t="str">
        <f t="shared" si="108"/>
        <v/>
      </c>
      <c r="GH35" s="82" t="str">
        <f t="shared" si="109"/>
        <v/>
      </c>
      <c r="GI35" s="82" t="str">
        <f t="shared" si="110"/>
        <v/>
      </c>
    </row>
    <row r="36" spans="75:191" ht="38.4" customHeight="1" x14ac:dyDescent="0.3">
      <c r="BW36" s="82">
        <v>0</v>
      </c>
      <c r="CE36" s="82">
        <v>0</v>
      </c>
      <c r="CF36" s="82" t="e">
        <v>#REF!</v>
      </c>
      <c r="GE36" s="82" t="str">
        <f t="shared" si="107"/>
        <v/>
      </c>
      <c r="GG36" s="82" t="str">
        <f t="shared" si="108"/>
        <v/>
      </c>
      <c r="GH36" s="82" t="str">
        <f t="shared" si="109"/>
        <v/>
      </c>
      <c r="GI36" s="82" t="str">
        <f t="shared" si="110"/>
        <v/>
      </c>
    </row>
    <row r="37" spans="75:191" ht="38.4" customHeight="1" x14ac:dyDescent="0.3">
      <c r="BW37" s="82">
        <v>0</v>
      </c>
      <c r="CE37" s="82">
        <v>0</v>
      </c>
      <c r="CF37" s="82" t="e">
        <v>#REF!</v>
      </c>
      <c r="GE37" s="82" t="str">
        <f t="shared" si="107"/>
        <v/>
      </c>
      <c r="GG37" s="82" t="str">
        <f t="shared" si="108"/>
        <v/>
      </c>
      <c r="GH37" s="82" t="str">
        <f t="shared" si="109"/>
        <v/>
      </c>
      <c r="GI37" s="82" t="str">
        <f t="shared" si="110"/>
        <v/>
      </c>
    </row>
    <row r="38" spans="75:191" ht="38.4" customHeight="1" x14ac:dyDescent="0.3">
      <c r="BW38" s="82">
        <v>0</v>
      </c>
      <c r="CE38" s="82">
        <v>0</v>
      </c>
      <c r="CF38" s="82" t="e">
        <v>#REF!</v>
      </c>
      <c r="GE38" s="82" t="str">
        <f t="shared" si="107"/>
        <v/>
      </c>
      <c r="GG38" s="82" t="str">
        <f t="shared" si="108"/>
        <v/>
      </c>
      <c r="GH38" s="82" t="str">
        <f t="shared" si="109"/>
        <v/>
      </c>
      <c r="GI38" s="82" t="str">
        <f t="shared" si="110"/>
        <v/>
      </c>
    </row>
    <row r="39" spans="75:191" ht="38.4" customHeight="1" x14ac:dyDescent="0.3">
      <c r="BW39" s="82">
        <v>0</v>
      </c>
      <c r="CE39" s="82">
        <v>0</v>
      </c>
      <c r="CF39" s="82" t="e">
        <v>#REF!</v>
      </c>
      <c r="GE39" s="82" t="str">
        <f t="shared" si="107"/>
        <v/>
      </c>
      <c r="GG39" s="82" t="str">
        <f t="shared" si="108"/>
        <v/>
      </c>
      <c r="GH39" s="82" t="str">
        <f t="shared" si="109"/>
        <v/>
      </c>
      <c r="GI39" s="82" t="str">
        <f t="shared" si="110"/>
        <v/>
      </c>
    </row>
    <row r="40" spans="75:191" ht="38.4" customHeight="1" x14ac:dyDescent="0.3">
      <c r="BW40" s="82">
        <v>0</v>
      </c>
      <c r="CE40" s="82">
        <v>0</v>
      </c>
      <c r="CF40" s="82" t="e">
        <v>#REF!</v>
      </c>
      <c r="GE40" s="82" t="str">
        <f t="shared" si="107"/>
        <v/>
      </c>
      <c r="GG40" s="82" t="str">
        <f t="shared" si="108"/>
        <v/>
      </c>
      <c r="GH40" s="82" t="str">
        <f t="shared" si="109"/>
        <v/>
      </c>
      <c r="GI40" s="82" t="str">
        <f t="shared" si="110"/>
        <v/>
      </c>
    </row>
    <row r="41" spans="75:191" ht="38.4" customHeight="1" x14ac:dyDescent="0.3">
      <c r="BW41" s="82">
        <v>0</v>
      </c>
      <c r="CE41" s="82">
        <v>0</v>
      </c>
      <c r="CF41" s="82" t="e">
        <v>#REF!</v>
      </c>
      <c r="GE41" s="82" t="str">
        <f t="shared" si="107"/>
        <v/>
      </c>
      <c r="GG41" s="82" t="str">
        <f t="shared" si="108"/>
        <v/>
      </c>
      <c r="GH41" s="82" t="str">
        <f t="shared" si="109"/>
        <v/>
      </c>
      <c r="GI41" s="82" t="str">
        <f t="shared" si="110"/>
        <v/>
      </c>
    </row>
    <row r="42" spans="75:191" ht="38.4" customHeight="1" x14ac:dyDescent="0.3">
      <c r="BW42" s="82">
        <v>0</v>
      </c>
      <c r="CE42" s="82">
        <v>0</v>
      </c>
      <c r="CF42" s="82" t="e">
        <v>#REF!</v>
      </c>
      <c r="GE42" s="82" t="str">
        <f t="shared" si="107"/>
        <v/>
      </c>
      <c r="GG42" s="82" t="str">
        <f t="shared" si="108"/>
        <v/>
      </c>
      <c r="GH42" s="82" t="str">
        <f t="shared" si="109"/>
        <v/>
      </c>
      <c r="GI42" s="82" t="str">
        <f t="shared" si="110"/>
        <v/>
      </c>
    </row>
    <row r="43" spans="75:191" ht="38.4" customHeight="1" x14ac:dyDescent="0.3">
      <c r="BW43" s="82">
        <v>0</v>
      </c>
      <c r="CE43" s="82">
        <v>0</v>
      </c>
      <c r="CF43" s="82" t="e">
        <v>#REF!</v>
      </c>
      <c r="GE43" s="82" t="str">
        <f t="shared" si="107"/>
        <v/>
      </c>
      <c r="GG43" s="82" t="str">
        <f t="shared" si="108"/>
        <v/>
      </c>
      <c r="GH43" s="82" t="str">
        <f t="shared" si="109"/>
        <v/>
      </c>
      <c r="GI43" s="82" t="str">
        <f t="shared" si="110"/>
        <v/>
      </c>
    </row>
    <row r="44" spans="75:191" ht="38.4" customHeight="1" x14ac:dyDescent="0.3">
      <c r="BW44" s="82">
        <v>0</v>
      </c>
      <c r="CE44" s="82">
        <v>0</v>
      </c>
      <c r="CF44" s="82" t="e">
        <v>#REF!</v>
      </c>
      <c r="GE44" s="82" t="str">
        <f t="shared" si="107"/>
        <v/>
      </c>
      <c r="GG44" s="82" t="str">
        <f t="shared" si="108"/>
        <v/>
      </c>
      <c r="GH44" s="82" t="str">
        <f t="shared" si="109"/>
        <v/>
      </c>
      <c r="GI44" s="82" t="str">
        <f t="shared" si="110"/>
        <v/>
      </c>
    </row>
    <row r="45" spans="75:191" ht="38.4" customHeight="1" x14ac:dyDescent="0.3">
      <c r="BW45" s="82">
        <v>0</v>
      </c>
      <c r="CE45" s="82">
        <v>0</v>
      </c>
      <c r="CF45" s="82" t="e">
        <v>#REF!</v>
      </c>
      <c r="GE45" s="82" t="str">
        <f t="shared" si="107"/>
        <v/>
      </c>
      <c r="GG45" s="82" t="str">
        <f t="shared" si="108"/>
        <v/>
      </c>
      <c r="GH45" s="82" t="str">
        <f t="shared" si="109"/>
        <v/>
      </c>
      <c r="GI45" s="82" t="str">
        <f t="shared" si="110"/>
        <v/>
      </c>
    </row>
    <row r="46" spans="75:191" ht="38.4" customHeight="1" x14ac:dyDescent="0.3">
      <c r="BW46" s="82">
        <v>0</v>
      </c>
      <c r="CE46" s="82">
        <v>0</v>
      </c>
      <c r="CF46" s="82" t="e">
        <v>#REF!</v>
      </c>
      <c r="GE46" s="82" t="str">
        <f t="shared" si="107"/>
        <v/>
      </c>
      <c r="GG46" s="82" t="str">
        <f t="shared" si="108"/>
        <v/>
      </c>
      <c r="GH46" s="82" t="str">
        <f t="shared" si="109"/>
        <v/>
      </c>
      <c r="GI46" s="82" t="str">
        <f t="shared" si="110"/>
        <v/>
      </c>
    </row>
    <row r="47" spans="75:191" ht="38.4" customHeight="1" x14ac:dyDescent="0.3">
      <c r="BW47" s="82">
        <v>0</v>
      </c>
      <c r="CE47" s="82">
        <v>0</v>
      </c>
      <c r="CF47" s="82" t="e">
        <v>#REF!</v>
      </c>
      <c r="GE47" s="82" t="str">
        <f t="shared" si="107"/>
        <v/>
      </c>
      <c r="GG47" s="82" t="str">
        <f t="shared" si="108"/>
        <v/>
      </c>
      <c r="GH47" s="82" t="str">
        <f t="shared" si="109"/>
        <v/>
      </c>
      <c r="GI47" s="82" t="str">
        <f t="shared" si="110"/>
        <v/>
      </c>
    </row>
    <row r="48" spans="75:191" ht="38.4" customHeight="1" x14ac:dyDescent="0.3">
      <c r="BW48" s="82">
        <v>0</v>
      </c>
      <c r="CE48" s="82">
        <v>0</v>
      </c>
      <c r="CF48" s="82" t="e">
        <v>#REF!</v>
      </c>
      <c r="GE48" s="82" t="str">
        <f t="shared" si="107"/>
        <v/>
      </c>
      <c r="GG48" s="82" t="str">
        <f t="shared" si="108"/>
        <v/>
      </c>
      <c r="GH48" s="82" t="str">
        <f t="shared" si="109"/>
        <v/>
      </c>
      <c r="GI48" s="82" t="str">
        <f t="shared" si="110"/>
        <v/>
      </c>
    </row>
    <row r="49" spans="75:191" ht="38.4" customHeight="1" x14ac:dyDescent="0.3">
      <c r="BW49" s="82">
        <v>0</v>
      </c>
      <c r="CE49" s="82">
        <v>0</v>
      </c>
      <c r="CF49" s="82" t="e">
        <v>#REF!</v>
      </c>
      <c r="GE49" s="82" t="str">
        <f t="shared" si="107"/>
        <v/>
      </c>
      <c r="GG49" s="82" t="str">
        <f t="shared" si="108"/>
        <v/>
      </c>
      <c r="GH49" s="82" t="str">
        <f t="shared" si="109"/>
        <v/>
      </c>
      <c r="GI49" s="82" t="str">
        <f t="shared" si="110"/>
        <v/>
      </c>
    </row>
    <row r="50" spans="75:191" ht="38.4" customHeight="1" x14ac:dyDescent="0.3">
      <c r="BW50" s="82">
        <v>0</v>
      </c>
      <c r="CE50" s="82">
        <v>0</v>
      </c>
      <c r="CF50" s="82" t="e">
        <v>#REF!</v>
      </c>
      <c r="GE50" s="82" t="str">
        <f t="shared" si="107"/>
        <v/>
      </c>
      <c r="GG50" s="82" t="str">
        <f t="shared" si="108"/>
        <v/>
      </c>
      <c r="GH50" s="82" t="str">
        <f t="shared" si="109"/>
        <v/>
      </c>
      <c r="GI50" s="82" t="str">
        <f t="shared" si="110"/>
        <v/>
      </c>
    </row>
  </sheetData>
  <autoFilter ref="A1:IY50" xr:uid="{A1051193-A95B-4CFB-A73C-F0184620C81F}">
    <sortState xmlns:xlrd2="http://schemas.microsoft.com/office/spreadsheetml/2017/richdata2" ref="A2:IY50">
      <sortCondition ref="AW1:AW50"/>
    </sortState>
  </autoFilter>
  <conditionalFormatting sqref="H1 CW1:GS1 IA1:IB1">
    <cfRule type="cellIs" dxfId="580" priority="66" operator="greaterThan">
      <formula>0</formula>
    </cfRule>
  </conditionalFormatting>
  <conditionalFormatting sqref="H1:H1048576">
    <cfRule type="cellIs" dxfId="579" priority="6" stopIfTrue="1" operator="notEqual">
      <formula>""</formula>
    </cfRule>
  </conditionalFormatting>
  <conditionalFormatting sqref="R2:R7 CU2:CU7">
    <cfRule type="cellIs" dxfId="578" priority="8" operator="greaterThan">
      <formula>0</formula>
    </cfRule>
  </conditionalFormatting>
  <conditionalFormatting sqref="T2:AS7 CH2:CS7">
    <cfRule type="cellIs" dxfId="577" priority="3" stopIfTrue="1" operator="equal">
      <formula>"n"</formula>
    </cfRule>
    <cfRule type="cellIs" dxfId="576" priority="4" stopIfTrue="1" operator="equal">
      <formula>"y"</formula>
    </cfRule>
    <cfRule type="cellIs" dxfId="575" priority="5" operator="greaterThan">
      <formula>0</formula>
    </cfRule>
  </conditionalFormatting>
  <conditionalFormatting sqref="T1:BK1">
    <cfRule type="cellIs" dxfId="574" priority="69" operator="greaterThan">
      <formula>0</formula>
    </cfRule>
  </conditionalFormatting>
  <conditionalFormatting sqref="AZ2:BB7">
    <cfRule type="expression" dxfId="573" priority="2">
      <formula>$AT2=0</formula>
    </cfRule>
  </conditionalFormatting>
  <conditionalFormatting sqref="AZ2:BU7">
    <cfRule type="cellIs" dxfId="572" priority="44" operator="equal">
      <formula>"PIN"</formula>
    </cfRule>
    <cfRule type="cellIs" dxfId="571" priority="45" operator="equal">
      <formula>"ORA"</formula>
    </cfRule>
    <cfRule type="cellIs" dxfId="570" priority="46" operator="equal">
      <formula>"GRA"</formula>
    </cfRule>
    <cfRule type="cellIs" dxfId="569" priority="47" operator="equal">
      <formula>"PUR"</formula>
    </cfRule>
    <cfRule type="cellIs" dxfId="568" priority="48" operator="equal">
      <formula>"BRO"</formula>
    </cfRule>
    <cfRule type="cellIs" dxfId="567" priority="49" operator="equal">
      <formula>"YEL"</formula>
    </cfRule>
    <cfRule type="cellIs" dxfId="566" priority="50" operator="equal">
      <formula>"BLU"</formula>
    </cfRule>
    <cfRule type="cellIs" dxfId="565" priority="51" operator="equal">
      <formula>"WHI"</formula>
    </cfRule>
    <cfRule type="cellIs" dxfId="564" priority="52" operator="equal">
      <formula>"GRE"</formula>
    </cfRule>
    <cfRule type="cellIs" dxfId="563" priority="53" operator="equal">
      <formula>"RED"</formula>
    </cfRule>
    <cfRule type="cellIs" dxfId="562" priority="54" operator="equal">
      <formula>"BLA"</formula>
    </cfRule>
  </conditionalFormatting>
  <conditionalFormatting sqref="BV1:BW1048576">
    <cfRule type="cellIs" dxfId="561" priority="68" operator="equal">
      <formula>"nc"</formula>
    </cfRule>
  </conditionalFormatting>
  <conditionalFormatting sqref="BX2:CA7 CD2:CF7">
    <cfRule type="cellIs" dxfId="560" priority="7" operator="equal">
      <formula>"y"</formula>
    </cfRule>
    <cfRule type="cellIs" dxfId="559" priority="55" operator="equal">
      <formula>"PIN"</formula>
    </cfRule>
    <cfRule type="cellIs" dxfId="558" priority="56" operator="equal">
      <formula>"ORA"</formula>
    </cfRule>
    <cfRule type="cellIs" dxfId="557" priority="57" operator="equal">
      <formula>"GRA"</formula>
    </cfRule>
    <cfRule type="cellIs" dxfId="556" priority="58" operator="equal">
      <formula>"PUR"</formula>
    </cfRule>
    <cfRule type="cellIs" dxfId="555" priority="59" operator="equal">
      <formula>"BRO"</formula>
    </cfRule>
    <cfRule type="cellIs" dxfId="554" priority="60" operator="equal">
      <formula>"YEL"</formula>
    </cfRule>
    <cfRule type="cellIs" dxfId="553" priority="61" operator="equal">
      <formula>"BLU"</formula>
    </cfRule>
    <cfRule type="cellIs" dxfId="552" priority="62" operator="equal">
      <formula>"WHI"</formula>
    </cfRule>
    <cfRule type="cellIs" dxfId="551" priority="63" operator="equal">
      <formula>"GRE"</formula>
    </cfRule>
    <cfRule type="cellIs" dxfId="550" priority="64" operator="equal">
      <formula>"RED"</formula>
    </cfRule>
    <cfRule type="cellIs" dxfId="549" priority="65" operator="equal">
      <formula>"BLA"</formula>
    </cfRule>
  </conditionalFormatting>
  <conditionalFormatting sqref="BZ2:CA7 CD2:CF7">
    <cfRule type="cellIs" dxfId="548" priority="9" operator="greaterThan">
      <formula>0</formula>
    </cfRule>
  </conditionalFormatting>
  <conditionalFormatting sqref="HF1:HG1">
    <cfRule type="cellIs" dxfId="547" priority="70" operator="greaterThan">
      <formula>0</formula>
    </cfRule>
  </conditionalFormatting>
  <conditionalFormatting sqref="HK1">
    <cfRule type="cellIs" dxfId="546" priority="67" operator="greaterThan">
      <formula>0</formula>
    </cfRule>
  </conditionalFormatting>
  <conditionalFormatting sqref="HP1:HX1">
    <cfRule type="cellIs" dxfId="545" priority="21" operator="equal">
      <formula>"PIN"</formula>
    </cfRule>
    <cfRule type="cellIs" dxfId="544" priority="22" operator="equal">
      <formula>"ORA"</formula>
    </cfRule>
    <cfRule type="cellIs" dxfId="543" priority="23" operator="equal">
      <formula>"GRA"</formula>
    </cfRule>
    <cfRule type="cellIs" dxfId="542" priority="24" operator="equal">
      <formula>"PUR"</formula>
    </cfRule>
    <cfRule type="cellIs" dxfId="541" priority="25" operator="equal">
      <formula>"BRO"</formula>
    </cfRule>
    <cfRule type="cellIs" dxfId="540" priority="26" operator="equal">
      <formula>"YEL"</formula>
    </cfRule>
    <cfRule type="cellIs" dxfId="539" priority="27" operator="equal">
      <formula>"BLU"</formula>
    </cfRule>
    <cfRule type="cellIs" dxfId="538" priority="28" operator="equal">
      <formula>"WHI"</formula>
    </cfRule>
    <cfRule type="cellIs" dxfId="537" priority="29" operator="equal">
      <formula>"GRE"</formula>
    </cfRule>
    <cfRule type="cellIs" dxfId="536" priority="30" operator="equal">
      <formula>"RED"</formula>
    </cfRule>
    <cfRule type="cellIs" dxfId="535" priority="31" operator="equal">
      <formula>"BLA"</formula>
    </cfRule>
  </conditionalFormatting>
  <conditionalFormatting sqref="IC1:IK1">
    <cfRule type="cellIs" dxfId="534" priority="33" operator="equal">
      <formula>"PIN"</formula>
    </cfRule>
    <cfRule type="cellIs" dxfId="533" priority="34" operator="equal">
      <formula>"ORA"</formula>
    </cfRule>
    <cfRule type="cellIs" dxfId="532" priority="35" operator="equal">
      <formula>"GRA"</formula>
    </cfRule>
    <cfRule type="cellIs" dxfId="531" priority="36" operator="equal">
      <formula>"PUR"</formula>
    </cfRule>
    <cfRule type="cellIs" dxfId="530" priority="37" operator="equal">
      <formula>"BRO"</formula>
    </cfRule>
    <cfRule type="cellIs" dxfId="529" priority="38" operator="equal">
      <formula>"YEL"</formula>
    </cfRule>
    <cfRule type="cellIs" dxfId="528" priority="39" operator="equal">
      <formula>"BLU"</formula>
    </cfRule>
    <cfRule type="cellIs" dxfId="527" priority="40" operator="equal">
      <formula>"WHI"</formula>
    </cfRule>
    <cfRule type="cellIs" dxfId="526" priority="41" operator="equal">
      <formula>"GRE"</formula>
    </cfRule>
    <cfRule type="cellIs" dxfId="525" priority="42" operator="equal">
      <formula>"RED"</formula>
    </cfRule>
    <cfRule type="cellIs" dxfId="524" priority="43" operator="equal">
      <formula>"BLA"</formula>
    </cfRule>
  </conditionalFormatting>
  <conditionalFormatting sqref="IC2:IK7">
    <cfRule type="expression" dxfId="523" priority="32">
      <formula>$IL2&gt;0</formula>
    </cfRule>
  </conditionalFormatting>
  <conditionalFormatting sqref="IO1:IW1">
    <cfRule type="cellIs" dxfId="522" priority="10" operator="equal">
      <formula>"PIN"</formula>
    </cfRule>
    <cfRule type="cellIs" dxfId="521" priority="11" operator="equal">
      <formula>"ORA"</formula>
    </cfRule>
    <cfRule type="cellIs" dxfId="520" priority="12" operator="equal">
      <formula>"GRA"</formula>
    </cfRule>
    <cfRule type="cellIs" dxfId="519" priority="13" operator="equal">
      <formula>"PUR"</formula>
    </cfRule>
    <cfRule type="cellIs" dxfId="518" priority="14" operator="equal">
      <formula>"BRO"</formula>
    </cfRule>
    <cfRule type="cellIs" dxfId="517" priority="15" operator="equal">
      <formula>"YEL"</formula>
    </cfRule>
    <cfRule type="cellIs" dxfId="516" priority="16" operator="equal">
      <formula>"BLU"</formula>
    </cfRule>
    <cfRule type="cellIs" dxfId="515" priority="17" operator="equal">
      <formula>"WHI"</formula>
    </cfRule>
    <cfRule type="cellIs" dxfId="514" priority="18" operator="equal">
      <formula>"GRE"</formula>
    </cfRule>
    <cfRule type="cellIs" dxfId="513" priority="19" operator="equal">
      <formula>"RED"</formula>
    </cfRule>
    <cfRule type="cellIs" dxfId="512" priority="20" operator="equal">
      <formula>"BLA"</formula>
    </cfRule>
  </conditionalFormatting>
  <conditionalFormatting sqref="S2:S7">
    <cfRule type="colorScale" priority="1384">
      <colorScale>
        <cfvo type="min"/>
        <cfvo type="max"/>
        <color rgb="FFFCFCFF"/>
        <color rgb="FF754BFB"/>
      </colorScale>
    </cfRule>
  </conditionalFormatting>
  <conditionalFormatting sqref="AT2:AT7">
    <cfRule type="colorScale" priority="1385">
      <colorScale>
        <cfvo type="min"/>
        <cfvo type="max"/>
        <color rgb="FFFCFCFF"/>
        <color theme="8" tint="0.39997558519241921"/>
      </colorScale>
    </cfRule>
  </conditionalFormatting>
  <conditionalFormatting sqref="CG2:CG7">
    <cfRule type="colorScale" priority="1386">
      <colorScale>
        <cfvo type="min"/>
        <cfvo type="max"/>
        <color rgb="FFFCFCFF"/>
        <color rgb="FF63BE7B"/>
      </colorScale>
    </cfRule>
  </conditionalFormatting>
  <conditionalFormatting sqref="J2:J11">
    <cfRule type="colorScale" priority="1">
      <colorScale>
        <cfvo type="min"/>
        <cfvo type="percentile" val="50"/>
        <cfvo type="max"/>
        <color rgb="FFF8696B"/>
        <color rgb="FFFFEB84"/>
        <color rgb="FF63BE7B"/>
      </colorScale>
    </cfRule>
  </conditionalFormatting>
  <hyperlinks>
    <hyperlink ref="A2" r:id="rId1" display="https://fbref.com/en/country/TAH/Tahiti-Football" xr:uid="{8F63D082-4563-46AB-8BF7-1B5BD4A076E1}"/>
    <hyperlink ref="E2" r:id="rId2" xr:uid="{4C0598DD-F763-4724-808C-BFEE4CD55C33}"/>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1265" r:id="rId6" name="Button 1">
              <controlPr defaultSize="0" print="0" autoFill="0" autoPict="0" macro="[0]!InsertImagesFromSelectedRange">
                <anchor moveWithCells="1" sizeWithCells="1">
                  <from>
                    <xdr:col>1</xdr:col>
                    <xdr:colOff>76200</xdr:colOff>
                    <xdr:row>0</xdr:row>
                    <xdr:rowOff>7620</xdr:rowOff>
                  </from>
                  <to>
                    <xdr:col>2</xdr:col>
                    <xdr:colOff>0</xdr:colOff>
                    <xdr:row>0</xdr:row>
                    <xdr:rowOff>487680</xdr:rowOff>
                  </to>
                </anchor>
              </controlPr>
            </control>
          </mc:Choice>
        </mc:AlternateContent>
        <mc:AlternateContent xmlns:mc="http://schemas.openxmlformats.org/markup-compatibility/2006">
          <mc:Choice Requires="x14">
            <control shapeId="11266" r:id="rId7" name="Button 2">
              <controlPr defaultSize="0" print="0" autoFill="0" autoPict="0" macro="[0]!ReplaceLineBreaksWithNewLineManualRange">
                <anchor moveWithCells="1" sizeWithCells="1">
                  <from>
                    <xdr:col>7</xdr:col>
                    <xdr:colOff>15240</xdr:colOff>
                    <xdr:row>0</xdr:row>
                    <xdr:rowOff>45720</xdr:rowOff>
                  </from>
                  <to>
                    <xdr:col>7</xdr:col>
                    <xdr:colOff>685800</xdr:colOff>
                    <xdr:row>0</xdr:row>
                    <xdr:rowOff>403860</xdr:rowOff>
                  </to>
                </anchor>
              </controlPr>
            </control>
          </mc:Choice>
        </mc:AlternateContent>
        <mc:AlternateContent xmlns:mc="http://schemas.openxmlformats.org/markup-compatibility/2006">
          <mc:Choice Requires="x14">
            <control shapeId="11267" r:id="rId8" name="Button 3">
              <controlPr defaultSize="0" print="0" autoFill="0" autoPict="0" macro="[0]!GoToSheet">
                <anchor moveWithCells="1" sizeWithCells="1">
                  <from>
                    <xdr:col>0</xdr:col>
                    <xdr:colOff>137160</xdr:colOff>
                    <xdr:row>0</xdr:row>
                    <xdr:rowOff>114300</xdr:rowOff>
                  </from>
                  <to>
                    <xdr:col>0</xdr:col>
                    <xdr:colOff>762000</xdr:colOff>
                    <xdr:row>0</xdr:row>
                    <xdr:rowOff>419100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9B678F-8B3C-4A06-B20F-726A74B51E53}">
  <sheetPr codeName="Sheet10"/>
  <dimension ref="A1:IY8"/>
  <sheetViews>
    <sheetView zoomScale="70" zoomScaleNormal="70" workbookViewId="0">
      <pane xSplit="5" ySplit="1" topLeftCell="F2" activePane="bottomRight" state="frozen"/>
      <selection activeCell="A2" sqref="A2"/>
      <selection pane="topRight" activeCell="A2" sqref="A2"/>
      <selection pane="bottomLeft" activeCell="A2" sqref="A2"/>
      <selection pane="bottomRight" activeCell="B2" sqref="B2"/>
    </sheetView>
  </sheetViews>
  <sheetFormatPr defaultRowHeight="38.4" customHeight="1" x14ac:dyDescent="0.3"/>
  <cols>
    <col min="1" max="1" width="52.44140625" style="82" bestFit="1" customWidth="1"/>
    <col min="2" max="2" width="10.109375" style="82" customWidth="1"/>
    <col min="3" max="3" width="7.44140625" style="83" customWidth="1"/>
    <col min="4" max="4" width="4.77734375" style="84" customWidth="1"/>
    <col min="5" max="5" width="4.5546875" style="84" customWidth="1"/>
    <col min="6" max="6" width="5.77734375" style="84" customWidth="1"/>
    <col min="7" max="7" width="7.44140625" style="82" customWidth="1"/>
    <col min="8" max="8" width="11.44140625" style="82" customWidth="1"/>
    <col min="9" max="9" width="10" style="82" customWidth="1"/>
    <col min="10" max="10" width="4.21875" style="82" customWidth="1"/>
    <col min="11" max="11" width="5.6640625" style="84" customWidth="1"/>
    <col min="12" max="12" width="2.88671875" style="84" customWidth="1"/>
    <col min="13" max="13" width="6.44140625" style="84" customWidth="1"/>
    <col min="14" max="14" width="4.5546875" style="84" customWidth="1"/>
    <col min="15" max="15" width="10.5546875" style="85" customWidth="1"/>
    <col min="16" max="16" width="6.88671875" style="84" customWidth="1"/>
    <col min="17" max="17" width="4.77734375" style="84" customWidth="1"/>
    <col min="18" max="18" width="13.109375" style="83" customWidth="1"/>
    <col min="19" max="19" width="6.77734375" style="83" customWidth="1"/>
    <col min="20" max="46" width="8.44140625" style="82" customWidth="1"/>
    <col min="47" max="47" width="24.5546875" style="82" customWidth="1"/>
    <col min="48" max="51" width="16.6640625" style="82" customWidth="1"/>
    <col min="52" max="52" width="6.5546875" style="82" customWidth="1"/>
    <col min="53" max="54" width="5.88671875" style="82" customWidth="1"/>
    <col min="55" max="55" width="1.33203125" style="82" customWidth="1"/>
    <col min="56" max="56" width="7.44140625" style="82" customWidth="1"/>
    <col min="57" max="57" width="2.33203125" style="82" customWidth="1"/>
    <col min="58" max="62" width="6.109375" style="82" customWidth="1"/>
    <col min="63" max="63" width="2.33203125" style="82" customWidth="1"/>
    <col min="64" max="64" width="7" style="82" bestFit="1" customWidth="1"/>
    <col min="65" max="65" width="6.44140625" style="82" bestFit="1" customWidth="1"/>
    <col min="66" max="66" width="7.109375" style="82" bestFit="1" customWidth="1"/>
    <col min="67" max="71" width="6.44140625" style="82" bestFit="1" customWidth="1"/>
    <col min="72" max="73" width="6.44140625" style="82" customWidth="1"/>
    <col min="74" max="75" width="13.44140625" style="82" customWidth="1"/>
    <col min="76" max="84" width="14.6640625" style="82" customWidth="1"/>
    <col min="85" max="85" width="6.44140625" style="82" customWidth="1"/>
    <col min="86" max="87" width="11.6640625" style="82" bestFit="1" customWidth="1"/>
    <col min="88" max="88" width="11.6640625" style="82" customWidth="1"/>
    <col min="89" max="89" width="12.77734375" style="82" bestFit="1" customWidth="1"/>
    <col min="90" max="90" width="16.44140625" style="83" bestFit="1" customWidth="1"/>
    <col min="91" max="92" width="14.88671875" style="83" bestFit="1" customWidth="1"/>
    <col min="93" max="93" width="16" style="83" bestFit="1" customWidth="1"/>
    <col min="94" max="97" width="7.77734375" style="82" customWidth="1"/>
    <col min="98" max="98" width="33.21875" style="82" customWidth="1"/>
    <col min="99" max="99" width="18" style="82" customWidth="1"/>
    <col min="100" max="100" width="75.6640625" style="82" customWidth="1"/>
    <col min="101" max="125" width="33" style="82" customWidth="1"/>
    <col min="126" max="126" width="8.88671875" style="82"/>
    <col min="127" max="128" width="9.44140625" style="82" bestFit="1" customWidth="1"/>
    <col min="129" max="129" width="10.77734375" style="82" bestFit="1" customWidth="1"/>
    <col min="130" max="134" width="10.77734375" style="82" customWidth="1"/>
    <col min="135" max="135" width="10.109375" style="82" bestFit="1" customWidth="1"/>
    <col min="136" max="136" width="7.77734375" style="82" bestFit="1" customWidth="1"/>
    <col min="137" max="137" width="7.77734375" style="82" customWidth="1"/>
    <col min="138" max="138" width="9" style="82" bestFit="1" customWidth="1"/>
    <col min="139" max="139" width="11.33203125" style="82" bestFit="1" customWidth="1"/>
    <col min="140" max="140" width="9.109375" style="82" bestFit="1" customWidth="1"/>
    <col min="141" max="141" width="9" style="82" bestFit="1" customWidth="1"/>
    <col min="142" max="142" width="12" style="82" bestFit="1" customWidth="1"/>
    <col min="143" max="166" width="12" style="82" customWidth="1"/>
    <col min="167" max="167" width="17.21875" style="82" customWidth="1"/>
    <col min="168" max="191" width="12" style="82" customWidth="1"/>
    <col min="192" max="192" width="8.5546875" style="82" bestFit="1" customWidth="1"/>
    <col min="193" max="193" width="8.5546875" style="82" customWidth="1"/>
    <col min="194" max="194" width="7.109375" style="82" bestFit="1" customWidth="1"/>
    <col min="195" max="195" width="7.5546875" style="82" bestFit="1" customWidth="1"/>
    <col min="196" max="196" width="8.5546875" style="82" bestFit="1" customWidth="1"/>
    <col min="197" max="200" width="8.5546875" style="82" customWidth="1"/>
    <col min="201" max="201" width="188.88671875" style="82" customWidth="1"/>
    <col min="202" max="202" width="9.5546875" style="82" bestFit="1" customWidth="1"/>
    <col min="203" max="203" width="10.44140625" style="82" bestFit="1" customWidth="1"/>
    <col min="204" max="204" width="11.109375" style="82" bestFit="1" customWidth="1"/>
    <col min="205" max="205" width="10.44140625" style="82" bestFit="1" customWidth="1"/>
    <col min="206" max="210" width="10.44140625" style="82" customWidth="1"/>
    <col min="211" max="211" width="45.44140625" style="82" customWidth="1"/>
    <col min="212" max="212" width="47.5546875" style="82" bestFit="1" customWidth="1"/>
    <col min="213" max="213" width="9.33203125" style="86" customWidth="1"/>
    <col min="214" max="214" width="119.5546875" style="82" customWidth="1"/>
    <col min="215" max="215" width="69.6640625" style="82" customWidth="1"/>
    <col min="216" max="218" width="8.88671875" style="82"/>
    <col min="219" max="219" width="37.109375" style="82" customWidth="1"/>
    <col min="220" max="220" width="16.33203125" style="82" customWidth="1"/>
    <col min="221" max="222" width="8.88671875" style="82"/>
    <col min="223" max="223" width="10.109375" style="82" bestFit="1" customWidth="1"/>
    <col min="224" max="232" width="10.88671875" style="82" customWidth="1"/>
    <col min="233" max="234" width="30.77734375" style="82" customWidth="1"/>
    <col min="235" max="235" width="5.109375" style="82" customWidth="1"/>
    <col min="236" max="236" width="3" style="82" customWidth="1"/>
    <col min="237" max="245" width="6.77734375" style="76" customWidth="1"/>
    <col min="246" max="247" width="8.88671875" style="82"/>
    <col min="248" max="248" width="61.5546875" style="82" customWidth="1"/>
    <col min="249" max="253" width="8.88671875" style="82"/>
    <col min="254" max="254" width="9" style="82" customWidth="1"/>
    <col min="255" max="16384" width="8.88671875" style="82"/>
  </cols>
  <sheetData>
    <row r="1" spans="1:259" s="5" customFormat="1" ht="38.4" customHeight="1" thickBot="1" x14ac:dyDescent="0.35">
      <c r="A1" s="1" t="s">
        <v>0</v>
      </c>
      <c r="B1" s="79" t="s">
        <v>1</v>
      </c>
      <c r="C1" s="2" t="s">
        <v>2</v>
      </c>
      <c r="D1" s="3"/>
      <c r="E1" s="3" t="s">
        <v>3</v>
      </c>
      <c r="F1" s="4"/>
      <c r="H1" s="6" t="s">
        <v>4</v>
      </c>
      <c r="J1" s="5" t="s">
        <v>5</v>
      </c>
      <c r="K1" s="7" t="s">
        <v>6</v>
      </c>
      <c r="L1" s="8" t="s">
        <v>7</v>
      </c>
      <c r="M1" s="8" t="s">
        <v>8</v>
      </c>
      <c r="N1" s="9" t="s">
        <v>9</v>
      </c>
      <c r="O1" s="10" t="s">
        <v>10</v>
      </c>
      <c r="P1" s="11" t="s">
        <v>11</v>
      </c>
      <c r="Q1" s="11" t="s">
        <v>12</v>
      </c>
      <c r="R1" s="12" t="s">
        <v>0</v>
      </c>
      <c r="S1" s="13" t="s">
        <v>13</v>
      </c>
      <c r="T1" s="14" t="s">
        <v>14</v>
      </c>
      <c r="U1" s="14" t="s">
        <v>15</v>
      </c>
      <c r="V1" s="15" t="s">
        <v>16</v>
      </c>
      <c r="W1" s="14" t="s">
        <v>17</v>
      </c>
      <c r="X1" s="14" t="s">
        <v>18</v>
      </c>
      <c r="Y1" s="14" t="s">
        <v>19</v>
      </c>
      <c r="Z1" s="14" t="s">
        <v>20</v>
      </c>
      <c r="AA1" s="14" t="s">
        <v>21</v>
      </c>
      <c r="AB1" s="14" t="s">
        <v>22</v>
      </c>
      <c r="AC1" s="14" t="s">
        <v>23</v>
      </c>
      <c r="AD1" s="14" t="s">
        <v>24</v>
      </c>
      <c r="AE1" s="14" t="s">
        <v>25</v>
      </c>
      <c r="AF1" s="16" t="s">
        <v>26</v>
      </c>
      <c r="AG1" s="16" t="s">
        <v>27</v>
      </c>
      <c r="AH1" s="16" t="s">
        <v>28</v>
      </c>
      <c r="AI1" s="16" t="s">
        <v>29</v>
      </c>
      <c r="AJ1" s="16" t="s">
        <v>30</v>
      </c>
      <c r="AK1" s="16" t="s">
        <v>31</v>
      </c>
      <c r="AL1" s="16" t="s">
        <v>32</v>
      </c>
      <c r="AM1" s="16" t="s">
        <v>33</v>
      </c>
      <c r="AN1" s="16" t="s">
        <v>34</v>
      </c>
      <c r="AO1" s="16" t="s">
        <v>35</v>
      </c>
      <c r="AP1" s="16" t="s">
        <v>36</v>
      </c>
      <c r="AQ1" s="16" t="s">
        <v>37</v>
      </c>
      <c r="AR1" s="16" t="s">
        <v>38</v>
      </c>
      <c r="AS1" s="16" t="s">
        <v>39</v>
      </c>
      <c r="AT1" s="17" t="s">
        <v>40</v>
      </c>
      <c r="AU1" s="18" t="s">
        <v>41</v>
      </c>
      <c r="AV1" s="18" t="s">
        <v>42</v>
      </c>
      <c r="AW1" s="18" t="s">
        <v>43</v>
      </c>
      <c r="AX1" s="19"/>
      <c r="AY1" s="20" t="s">
        <v>44</v>
      </c>
      <c r="AZ1" s="19" t="s">
        <v>45</v>
      </c>
      <c r="BA1" s="19"/>
      <c r="BB1" s="19"/>
      <c r="BC1" s="21"/>
      <c r="BD1" s="19" t="s">
        <v>46</v>
      </c>
      <c r="BE1" s="21"/>
      <c r="BF1" s="19" t="s">
        <v>47</v>
      </c>
      <c r="BG1" s="19" t="s">
        <v>48</v>
      </c>
      <c r="BH1" s="19" t="s">
        <v>49</v>
      </c>
      <c r="BI1" s="19" t="s">
        <v>50</v>
      </c>
      <c r="BJ1" s="19" t="s">
        <v>51</v>
      </c>
      <c r="BK1" s="21"/>
      <c r="BL1" s="22" t="s">
        <v>52</v>
      </c>
      <c r="BM1" s="22"/>
      <c r="BN1" s="22"/>
      <c r="BO1" s="22"/>
      <c r="BP1" s="22"/>
      <c r="BQ1" s="22"/>
      <c r="BR1" s="22"/>
      <c r="BS1" s="22"/>
      <c r="BT1" s="23"/>
      <c r="BU1" s="23" t="s">
        <v>53</v>
      </c>
      <c r="BV1" s="23" t="s">
        <v>54</v>
      </c>
      <c r="BW1" s="23" t="s">
        <v>55</v>
      </c>
      <c r="BX1" s="23"/>
      <c r="BY1" s="23" t="s">
        <v>56</v>
      </c>
      <c r="BZ1" s="23" t="s">
        <v>57</v>
      </c>
      <c r="CA1" s="23" t="s">
        <v>58</v>
      </c>
      <c r="CB1" s="23" t="s">
        <v>59</v>
      </c>
      <c r="CC1" s="23" t="s">
        <v>60</v>
      </c>
      <c r="CD1" s="23" t="s">
        <v>61</v>
      </c>
      <c r="CE1" s="23" t="s">
        <v>62</v>
      </c>
      <c r="CF1" s="23" t="s">
        <v>63</v>
      </c>
      <c r="CG1" s="23"/>
      <c r="CH1" s="23" t="s">
        <v>64</v>
      </c>
      <c r="CI1" s="23" t="s">
        <v>65</v>
      </c>
      <c r="CJ1" s="23" t="s">
        <v>66</v>
      </c>
      <c r="CK1" s="23" t="s">
        <v>67</v>
      </c>
      <c r="CL1" s="24" t="s">
        <v>68</v>
      </c>
      <c r="CM1" s="24" t="s">
        <v>69</v>
      </c>
      <c r="CN1" s="24" t="s">
        <v>70</v>
      </c>
      <c r="CO1" s="24" t="s">
        <v>71</v>
      </c>
      <c r="CP1" s="24" t="s">
        <v>72</v>
      </c>
      <c r="CQ1" s="24" t="s">
        <v>73</v>
      </c>
      <c r="CR1" s="24" t="s">
        <v>74</v>
      </c>
      <c r="CS1" s="24" t="s">
        <v>75</v>
      </c>
      <c r="CT1" s="1" t="s">
        <v>76</v>
      </c>
      <c r="CU1" s="25" t="s">
        <v>0</v>
      </c>
      <c r="CV1" s="5" t="s">
        <v>77</v>
      </c>
      <c r="CW1" s="14" t="s">
        <v>78</v>
      </c>
      <c r="CX1" s="14" t="s">
        <v>79</v>
      </c>
      <c r="CY1" s="14" t="s">
        <v>66</v>
      </c>
      <c r="CZ1" s="14" t="s">
        <v>80</v>
      </c>
      <c r="DA1" s="14" t="s">
        <v>81</v>
      </c>
      <c r="DB1" s="14" t="s">
        <v>82</v>
      </c>
      <c r="DC1" s="14" t="s">
        <v>83</v>
      </c>
      <c r="DD1" s="14" t="s">
        <v>84</v>
      </c>
      <c r="DE1" s="14" t="s">
        <v>85</v>
      </c>
      <c r="DF1" s="14" t="s">
        <v>86</v>
      </c>
      <c r="DG1" s="14" t="s">
        <v>87</v>
      </c>
      <c r="DH1" s="14" t="s">
        <v>88</v>
      </c>
      <c r="DI1" s="14" t="s">
        <v>89</v>
      </c>
      <c r="DJ1" s="14" t="s">
        <v>90</v>
      </c>
      <c r="DK1" s="14" t="s">
        <v>91</v>
      </c>
      <c r="DL1" s="14" t="s">
        <v>92</v>
      </c>
      <c r="DM1" s="14" t="s">
        <v>93</v>
      </c>
      <c r="DN1" s="14" t="s">
        <v>94</v>
      </c>
      <c r="DO1" s="14" t="s">
        <v>95</v>
      </c>
      <c r="DP1" s="14" t="s">
        <v>96</v>
      </c>
      <c r="DQ1" s="14" t="s">
        <v>97</v>
      </c>
      <c r="DR1" s="14" t="s">
        <v>56</v>
      </c>
      <c r="DS1" s="14" t="s">
        <v>98</v>
      </c>
      <c r="DT1" s="14" t="s">
        <v>99</v>
      </c>
      <c r="DU1" s="14" t="s">
        <v>100</v>
      </c>
      <c r="DV1" s="14" t="s">
        <v>101</v>
      </c>
      <c r="DW1" s="14" t="s">
        <v>102</v>
      </c>
      <c r="DX1" s="14" t="s">
        <v>103</v>
      </c>
      <c r="DY1" s="14" t="s">
        <v>104</v>
      </c>
      <c r="DZ1" s="14" t="s">
        <v>105</v>
      </c>
      <c r="EA1" s="14" t="s">
        <v>106</v>
      </c>
      <c r="EB1" s="14" t="s">
        <v>107</v>
      </c>
      <c r="EC1" s="14" t="s">
        <v>108</v>
      </c>
      <c r="ED1" s="14" t="s">
        <v>109</v>
      </c>
      <c r="EE1" s="15" t="s">
        <v>18</v>
      </c>
      <c r="EF1" s="14" t="s">
        <v>19</v>
      </c>
      <c r="EG1" s="14" t="s">
        <v>20</v>
      </c>
      <c r="EH1" s="14" t="s">
        <v>21</v>
      </c>
      <c r="EI1" s="14" t="s">
        <v>110</v>
      </c>
      <c r="EJ1" s="14" t="s">
        <v>23</v>
      </c>
      <c r="EK1" s="14" t="s">
        <v>111</v>
      </c>
      <c r="EL1" s="14" t="s">
        <v>112</v>
      </c>
      <c r="EM1" s="14" t="s">
        <v>26</v>
      </c>
      <c r="EN1" s="16" t="s">
        <v>27</v>
      </c>
      <c r="EO1" s="16" t="s">
        <v>28</v>
      </c>
      <c r="EP1" s="16" t="s">
        <v>29</v>
      </c>
      <c r="EQ1" s="16" t="s">
        <v>113</v>
      </c>
      <c r="ER1" s="16" t="s">
        <v>31</v>
      </c>
      <c r="ES1" s="16" t="s">
        <v>32</v>
      </c>
      <c r="ET1" s="16" t="s">
        <v>114</v>
      </c>
      <c r="EU1" s="16" t="s">
        <v>34</v>
      </c>
      <c r="EV1" s="16" t="s">
        <v>35</v>
      </c>
      <c r="EW1" s="16" t="s">
        <v>115</v>
      </c>
      <c r="EX1" s="16" t="s">
        <v>37</v>
      </c>
      <c r="EY1" s="16" t="s">
        <v>38</v>
      </c>
      <c r="EZ1" s="16" t="s">
        <v>39</v>
      </c>
      <c r="FA1" s="16" t="s">
        <v>116</v>
      </c>
      <c r="FB1" s="16" t="s">
        <v>117</v>
      </c>
      <c r="FC1" s="16" t="s">
        <v>118</v>
      </c>
      <c r="FD1" s="16" t="s">
        <v>54</v>
      </c>
      <c r="FE1" s="16" t="s">
        <v>119</v>
      </c>
      <c r="FF1" s="16" t="s">
        <v>120</v>
      </c>
      <c r="FG1" s="16" t="s">
        <v>121</v>
      </c>
      <c r="FH1" s="16" t="s">
        <v>122</v>
      </c>
      <c r="FI1" s="16" t="s">
        <v>123</v>
      </c>
      <c r="FJ1" s="16" t="s">
        <v>124</v>
      </c>
      <c r="FK1" s="16" t="s">
        <v>125</v>
      </c>
      <c r="FL1" s="16" t="s">
        <v>126</v>
      </c>
      <c r="FM1" s="16" t="s">
        <v>127</v>
      </c>
      <c r="FN1" s="16" t="s">
        <v>128</v>
      </c>
      <c r="FO1" s="16" t="s">
        <v>129</v>
      </c>
      <c r="FP1" s="16" t="s">
        <v>130</v>
      </c>
      <c r="FQ1" s="16" t="s">
        <v>131</v>
      </c>
      <c r="FR1" s="16" t="s">
        <v>132</v>
      </c>
      <c r="FS1" s="16" t="s">
        <v>133</v>
      </c>
      <c r="FT1" s="16" t="s">
        <v>134</v>
      </c>
      <c r="FU1" s="16" t="s">
        <v>44</v>
      </c>
      <c r="FV1" s="16" t="s">
        <v>135</v>
      </c>
      <c r="FW1" s="16" t="s">
        <v>58</v>
      </c>
      <c r="FX1" s="16" t="s">
        <v>136</v>
      </c>
      <c r="FY1" s="16" t="s">
        <v>137</v>
      </c>
      <c r="FZ1" s="16" t="s">
        <v>138</v>
      </c>
      <c r="GA1" s="16" t="s">
        <v>139</v>
      </c>
      <c r="GB1" s="16" t="s">
        <v>140</v>
      </c>
      <c r="GC1" s="16" t="s">
        <v>141</v>
      </c>
      <c r="GD1" s="16" t="s">
        <v>142</v>
      </c>
      <c r="GE1" s="16" t="s">
        <v>143</v>
      </c>
      <c r="GF1" s="16" t="s">
        <v>144</v>
      </c>
      <c r="GG1" s="16" t="s">
        <v>145</v>
      </c>
      <c r="GH1" s="16" t="s">
        <v>61</v>
      </c>
      <c r="GI1" s="16" t="s">
        <v>62</v>
      </c>
      <c r="GJ1" s="14" t="s">
        <v>146</v>
      </c>
      <c r="GK1" s="14" t="s">
        <v>147</v>
      </c>
      <c r="GL1" s="14" t="s">
        <v>148</v>
      </c>
      <c r="GM1" s="17" t="s">
        <v>149</v>
      </c>
      <c r="GN1" s="26" t="s">
        <v>150</v>
      </c>
      <c r="GO1" s="26" t="s">
        <v>151</v>
      </c>
      <c r="GP1" s="18" t="s">
        <v>41</v>
      </c>
      <c r="GQ1" s="18" t="s">
        <v>42</v>
      </c>
      <c r="GR1" s="18" t="s">
        <v>43</v>
      </c>
      <c r="GS1" s="21"/>
      <c r="GT1" s="27" t="s">
        <v>52</v>
      </c>
      <c r="GU1" s="27"/>
      <c r="GV1" s="27"/>
      <c r="GW1" s="27"/>
      <c r="GX1" s="28"/>
      <c r="GY1" s="28"/>
      <c r="GZ1" s="28"/>
      <c r="HA1" s="28"/>
      <c r="HB1" s="28"/>
      <c r="HC1" s="28"/>
      <c r="HD1" s="29" t="s">
        <v>13</v>
      </c>
      <c r="HE1" s="30" t="s">
        <v>152</v>
      </c>
      <c r="HF1" s="31"/>
      <c r="HG1" s="32"/>
      <c r="HK1" s="32" t="s">
        <v>4</v>
      </c>
      <c r="HP1" s="33" t="s">
        <v>153</v>
      </c>
      <c r="HQ1" s="33" t="s">
        <v>154</v>
      </c>
      <c r="HR1" s="33" t="s">
        <v>155</v>
      </c>
      <c r="HS1" s="33" t="s">
        <v>156</v>
      </c>
      <c r="HT1" s="33" t="s">
        <v>157</v>
      </c>
      <c r="HU1" s="33" t="s">
        <v>158</v>
      </c>
      <c r="HV1" s="33" t="s">
        <v>159</v>
      </c>
      <c r="HW1" s="33" t="s">
        <v>160</v>
      </c>
      <c r="HX1" s="34" t="s">
        <v>161</v>
      </c>
      <c r="IA1" s="14" t="s">
        <v>162</v>
      </c>
      <c r="IB1" s="35" t="s">
        <v>163</v>
      </c>
      <c r="IC1" s="36" t="s">
        <v>153</v>
      </c>
      <c r="ID1" s="36" t="s">
        <v>154</v>
      </c>
      <c r="IE1" s="36" t="s">
        <v>156</v>
      </c>
      <c r="IF1" s="37" t="s">
        <v>161</v>
      </c>
      <c r="IG1" s="36" t="s">
        <v>157</v>
      </c>
      <c r="IH1" s="36" t="s">
        <v>158</v>
      </c>
      <c r="II1" s="36" t="s">
        <v>155</v>
      </c>
      <c r="IJ1" s="36" t="s">
        <v>159</v>
      </c>
      <c r="IK1" s="36" t="s">
        <v>160</v>
      </c>
      <c r="IO1" s="33" t="s">
        <v>153</v>
      </c>
      <c r="IP1" s="33" t="s">
        <v>154</v>
      </c>
      <c r="IQ1" s="33" t="s">
        <v>155</v>
      </c>
      <c r="IR1" s="33" t="s">
        <v>156</v>
      </c>
      <c r="IS1" s="33" t="s">
        <v>157</v>
      </c>
      <c r="IT1" s="33" t="s">
        <v>158</v>
      </c>
      <c r="IU1" s="33" t="s">
        <v>159</v>
      </c>
      <c r="IV1" s="33" t="s">
        <v>160</v>
      </c>
      <c r="IW1" s="34" t="s">
        <v>161</v>
      </c>
      <c r="IY1" s="5" t="s">
        <v>164</v>
      </c>
    </row>
    <row r="2" spans="1:259" s="44" customFormat="1" ht="38.4" customHeight="1" thickBot="1" x14ac:dyDescent="0.35">
      <c r="A2" s="77" t="s">
        <v>297</v>
      </c>
      <c r="B2" s="78" t="e" vm="102">
        <v>#VALUE!</v>
      </c>
      <c r="C2" s="39">
        <v>1</v>
      </c>
      <c r="D2" s="70" t="s">
        <v>298</v>
      </c>
      <c r="E2" s="40" t="s">
        <v>299</v>
      </c>
      <c r="F2" s="41" t="s">
        <v>165</v>
      </c>
      <c r="G2" s="42">
        <f>COUNTIF($A$1:$A$8279,A2)</f>
        <v>1</v>
      </c>
      <c r="H2" s="43"/>
      <c r="I2" s="59" t="s">
        <v>300</v>
      </c>
      <c r="J2" s="44" t="str">
        <f>""</f>
        <v/>
      </c>
      <c r="K2" s="45">
        <v>10300000</v>
      </c>
      <c r="L2" s="46">
        <v>140000</v>
      </c>
      <c r="M2" s="46" t="s">
        <v>1157</v>
      </c>
      <c r="N2" s="47" t="s">
        <v>177</v>
      </c>
      <c r="O2" s="74" t="s">
        <v>301</v>
      </c>
      <c r="P2" s="48" t="s">
        <v>302</v>
      </c>
      <c r="Q2" s="73">
        <v>3</v>
      </c>
      <c r="R2" s="49" t="s">
        <v>177</v>
      </c>
      <c r="S2" s="50">
        <v>2</v>
      </c>
      <c r="T2" s="51" t="s">
        <v>167</v>
      </c>
      <c r="U2" s="52" t="s">
        <v>166</v>
      </c>
      <c r="V2" s="52" t="s">
        <v>166</v>
      </c>
      <c r="W2" s="52" t="s">
        <v>166</v>
      </c>
      <c r="X2" s="52" t="s">
        <v>166</v>
      </c>
      <c r="Y2" s="52" t="s">
        <v>167</v>
      </c>
      <c r="Z2" s="52" t="s">
        <v>167</v>
      </c>
      <c r="AA2" s="52" t="s">
        <v>166</v>
      </c>
      <c r="AB2" s="52" t="s">
        <v>166</v>
      </c>
      <c r="AC2" s="52" t="s">
        <v>166</v>
      </c>
      <c r="AD2" s="52" t="s">
        <v>166</v>
      </c>
      <c r="AE2" s="52" t="s">
        <v>166</v>
      </c>
      <c r="AF2" s="53" t="s">
        <v>166</v>
      </c>
      <c r="AG2" s="53" t="s">
        <v>166</v>
      </c>
      <c r="AH2" s="53" t="s">
        <v>166</v>
      </c>
      <c r="AI2" s="53" t="s">
        <v>166</v>
      </c>
      <c r="AJ2" s="53" t="s">
        <v>166</v>
      </c>
      <c r="AK2" s="53" t="s">
        <v>166</v>
      </c>
      <c r="AL2" s="53" t="s">
        <v>166</v>
      </c>
      <c r="AM2" s="53" t="s">
        <v>166</v>
      </c>
      <c r="AN2" s="53" t="s">
        <v>166</v>
      </c>
      <c r="AO2" s="53" t="s">
        <v>166</v>
      </c>
      <c r="AP2" s="53" t="s">
        <v>166</v>
      </c>
      <c r="AQ2" s="53" t="s">
        <v>166</v>
      </c>
      <c r="AR2" s="53" t="s">
        <v>166</v>
      </c>
      <c r="AS2" s="53" t="s">
        <v>166</v>
      </c>
      <c r="AT2" s="54">
        <v>5</v>
      </c>
      <c r="AU2" s="53"/>
      <c r="AV2" s="53" t="str">
        <f>IF(LEFT(A2,1)="[",LEFT(A2,5)&amp;AU2&amp;A2,"")</f>
        <v/>
      </c>
      <c r="AW2" s="53" t="str">
        <f>C2&amp;H2&amp;A2</f>
        <v>1Papua New Guinea</v>
      </c>
      <c r="AX2" s="55" t="str">
        <f>_xlfn.TEXTJOIN(";",TRUE,AU2:AW2)</f>
        <v>1Papua New Guinea</v>
      </c>
      <c r="AY2" s="55" t="s">
        <v>167</v>
      </c>
      <c r="AZ2" s="56" t="s">
        <v>161</v>
      </c>
      <c r="BA2" s="56"/>
      <c r="BB2" s="56"/>
      <c r="BC2" s="57"/>
      <c r="BD2" s="58" t="s">
        <v>169</v>
      </c>
      <c r="BE2" s="59"/>
      <c r="BF2" s="58"/>
      <c r="BG2" s="58"/>
      <c r="BH2" s="58"/>
      <c r="BI2" s="58" t="s">
        <v>153</v>
      </c>
      <c r="BJ2" s="58" t="s">
        <v>156</v>
      </c>
      <c r="BK2" s="59"/>
      <c r="BL2" s="58" t="s">
        <v>153</v>
      </c>
      <c r="BM2" s="58" t="s">
        <v>156</v>
      </c>
      <c r="BN2" s="58" t="s">
        <v>157</v>
      </c>
      <c r="BO2" s="58" t="s">
        <v>161</v>
      </c>
      <c r="BP2" s="58"/>
      <c r="BQ2" s="58"/>
      <c r="BR2" s="58"/>
      <c r="BS2" s="58"/>
      <c r="BT2" s="58"/>
      <c r="BU2" s="60"/>
      <c r="BV2" s="61" t="s">
        <v>167</v>
      </c>
      <c r="BW2" s="61" t="s">
        <v>186</v>
      </c>
      <c r="BX2" s="59"/>
      <c r="BY2" s="44" t="s">
        <v>167</v>
      </c>
      <c r="CB2" s="5" t="s">
        <v>303</v>
      </c>
      <c r="CC2" s="5"/>
      <c r="CD2" s="62">
        <v>1</v>
      </c>
      <c r="CE2" s="62">
        <v>0</v>
      </c>
      <c r="CF2" s="62" t="e">
        <v>#REF!</v>
      </c>
      <c r="CG2" s="75" cm="1">
        <f t="array" ref="CG2">SUMPRODUCT(--(LEN(TRIM(BL2:BT2))&gt;0))</f>
        <v>4</v>
      </c>
      <c r="CH2" s="53" t="str">
        <f>IF(CG2=2,"y","n")</f>
        <v>n</v>
      </c>
      <c r="CI2" s="53" t="str">
        <f>IF(CG2=3,"y","n")</f>
        <v>n</v>
      </c>
      <c r="CJ2" s="53" t="str">
        <f>IF(CG2=4,"y","n")</f>
        <v>y</v>
      </c>
      <c r="CK2" s="53" t="str">
        <f>IF(CG2&gt;4,"y","n")</f>
        <v>n</v>
      </c>
      <c r="CL2" s="53" t="str">
        <f>IF(S2=0,"y","n")</f>
        <v>n</v>
      </c>
      <c r="CM2" s="53" t="str">
        <f>IF(S2=2,"y","n")</f>
        <v>y</v>
      </c>
      <c r="CN2" s="53" t="str">
        <f>IF(S2=3,"y","n")</f>
        <v>n</v>
      </c>
      <c r="CO2" s="53" t="str">
        <f>IF(S2&gt;=4,"y","n")</f>
        <v>n</v>
      </c>
      <c r="CP2" s="53" t="str">
        <f>IF(AT2=0,"y","n")</f>
        <v>n</v>
      </c>
      <c r="CQ2" s="53" t="str">
        <f>IF(AT2=1,"y","n")</f>
        <v>n</v>
      </c>
      <c r="CR2" s="53" t="str">
        <f>IF(AT2=2,"y","n")</f>
        <v>n</v>
      </c>
      <c r="CS2" s="53" t="str">
        <f>IF(AT2&gt;=3,"y","n")</f>
        <v>y</v>
      </c>
      <c r="CT2" s="38" t="str">
        <f>CHAR(34)&amp;A2&amp;CHAR(34)</f>
        <v>"Papua New Guinea"</v>
      </c>
      <c r="CU2" s="63" t="str">
        <f>CHAR(34)&amp;"rgn_"&amp;R2&amp;CHAR(34)</f>
        <v>"rgn_Oceania"</v>
      </c>
      <c r="CV2" s="44" t="str">
        <f>CHAR(34)&amp;D2&amp;CHAR(34)</f>
        <v>"https://i.ibb.co/dGNHyxn/Papua-Flag.png"</v>
      </c>
      <c r="CW2" s="44" t="str">
        <f t="shared" ref="CW2:CZ5" si="0">IF(CH2="y",CHAR(34)&amp;CH$1&amp;CHAR(34)&amp;",","")</f>
        <v/>
      </c>
      <c r="CX2" s="44" t="str">
        <f t="shared" si="0"/>
        <v/>
      </c>
      <c r="CY2" s="44" t="str">
        <f t="shared" si="0"/>
        <v>"4Color",</v>
      </c>
      <c r="CZ2" s="44" t="str">
        <f t="shared" si="0"/>
        <v/>
      </c>
      <c r="DA2" s="44" t="str">
        <f>IF(Q2&gt;1,CHAR(34)&amp;"words2"&amp;CHAR(34)&amp;",","")</f>
        <v>"words2",</v>
      </c>
      <c r="DB2" s="44" t="str">
        <f>IF(Q2&gt;2,CHAR(34)&amp;"words3"&amp;CHAR(34)&amp;",","")</f>
        <v>"words3",</v>
      </c>
      <c r="DC2" s="44" t="str">
        <f>IF(Q2=2,CHAR(34)&amp;"exact2"&amp;CHAR(34)&amp;",","")</f>
        <v/>
      </c>
      <c r="DD2" s="44"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"lets14",</v>
      </c>
      <c r="DE2" s="44"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"startP",</v>
      </c>
      <c r="DF2" s="44" t="str">
        <f>IFERROR(IF(SEARCH("tan",A2)&gt;0,CHAR(34)&amp;"withtn"&amp;CHAR(34)&amp;",",""),"")</f>
        <v/>
      </c>
      <c r="DG2" s="44" t="str">
        <f>IFERROR(IF(SEARCH("q",A2)&gt;0,CHAR(34)&amp;"with_q"&amp;CHAR(34)&amp;",",""),"")</f>
        <v/>
      </c>
      <c r="DH2" s="44" t="str">
        <f>IFERROR(IF(SEARCH("v",A2)&gt;0,CHAR(34)&amp;"with_v"&amp;CHAR(34)&amp;",",""),"")</f>
        <v/>
      </c>
      <c r="DI2" s="44" t="str">
        <f>IFERROR(IF(SEARCH("w",A2)&gt;0,CHAR(34)&amp;"with_w"&amp;CHAR(34)&amp;",",""),"")</f>
        <v>"with_w",</v>
      </c>
      <c r="DJ2" s="44" t="str">
        <f>IFERROR(IF(SEARCH("y",A2)&gt;0,CHAR(34)&amp;"with_y"&amp;CHAR(34)&amp;",",""),"")</f>
        <v/>
      </c>
      <c r="DK2" s="44" t="str">
        <f>IFERROR(IF(SEARCH("z",A2)&gt;0,CHAR(34)&amp;"with_z"&amp;CHAR(34)&amp;",",""),"")</f>
        <v/>
      </c>
      <c r="DL2" s="44" t="str">
        <f>IF(CG2=2, CHAR(34) &amp; _xlfn.TEXTJOIN("", TRUE, _xlfn._xlws.SORT(HP2:HX2)) &amp; CHAR(34) &amp; ",", "")</f>
        <v/>
      </c>
      <c r="DM2" s="44" t="str" cm="1">
        <f t="array" ref="DM2">IF(CG2=3,CHAR(34) &amp; _xlfn.TEXTJOIN("", TRUE, RIGHT(HP2:HX2, 2)) &amp; CHAR(34) &amp; ",", "")</f>
        <v/>
      </c>
      <c r="DN2" s="44" t="str">
        <f>IF(AND(ISNUMBER(SEARCH("18", O2)), ISERROR(SEARCH("1918", O2)), ISERROR(SEARCH("2018", O2))), CHAR(34) &amp; "year18" &amp; CHAR(34) &amp; ",", "")</f>
        <v/>
      </c>
      <c r="DO2" s="44" t="str">
        <f>IF(AND(ISNUMBER(SEARCH("19", O2)), ISERROR(SEARCH("1819", O2)),  ISERROR(SEARCH("1219", O2)),ISERROR(SEARCH("1119", O2)),ISERROR(SEARCH("1190", O2)),ISERROR(SEARCH("2019", O2))), CHAR(34) &amp; "year19" &amp; CHAR(34) &amp; ",", "")</f>
        <v>"year19",</v>
      </c>
      <c r="DP2" s="5" t="str">
        <f>IF(AND(ISNUMBER(SEARCH("20", O2)), ISERROR(SEARCH("1920", O2))), CHAR(34)&amp;"year00"&amp;CHAR(34)&amp;",", "")</f>
        <v/>
      </c>
      <c r="DQ2" s="5" t="str">
        <f>IF(CC2="y",CHAR(34)&amp;"soviet"&amp;CHAR(34)&amp;",","")</f>
        <v/>
      </c>
      <c r="DR2" s="5" t="str">
        <f>IF(BY2="y",CHAR(34)&amp;"dgband"&amp;CHAR(34)&amp;",","")</f>
        <v>"dgband",</v>
      </c>
      <c r="DS2" s="5" t="str">
        <f>IF(W2="y",IF(AND(V2="n",BY2&lt;&gt;"y"),CHAR(34)&amp;"allver"&amp;CHAR(34)&amp;",",""),"")</f>
        <v/>
      </c>
      <c r="DT2" s="5" t="str">
        <f>IF(V2="y",IF(AND(W2="n",BY2&lt;&gt;"y"),CHAR(34)&amp;"allhor"&amp;CHAR(34)&amp;",",""),"")</f>
        <v/>
      </c>
      <c r="DU2" s="5" t="str">
        <f>IF(BY2="y",IF(AND(W2="n",V2="n"),CHAR(34)&amp;"alldia"&amp;CHAR(34)&amp;",",""),"")</f>
        <v>"alldia",</v>
      </c>
      <c r="DV2" s="44" t="str">
        <f>IF(IA2&lt;&gt;"",(IF(IA2="y",CHAR(34)&amp;"largec"&amp;CHAR(34)&amp;",",CHAR(34)&amp;"smallc"&amp;CHAR(34)&amp;",")),"")</f>
        <v/>
      </c>
      <c r="DW2" s="44" t="str">
        <f t="shared" ref="DW2:DZ5" si="1">IF(CL2="y",CHAR(34)&amp;CL$1&amp;CHAR(34)&amp;",","")</f>
        <v/>
      </c>
      <c r="DX2" s="44" t="str">
        <f t="shared" si="1"/>
        <v>"2Bands",</v>
      </c>
      <c r="DY2" s="44" t="str">
        <f t="shared" si="1"/>
        <v/>
      </c>
      <c r="DZ2" s="44" t="str">
        <f t="shared" si="1"/>
        <v/>
      </c>
      <c r="EA2" s="44" t="str">
        <f t="shared" ref="EA2:EE5" si="2">IF(T2="y",CHAR(34)&amp;T$1&amp;CHAR(34)&amp;",","")</f>
        <v>"Diagon",</v>
      </c>
      <c r="EB2" s="44" t="str">
        <f t="shared" si="2"/>
        <v/>
      </c>
      <c r="EC2" s="44" t="str">
        <f t="shared" si="2"/>
        <v/>
      </c>
      <c r="ED2" s="44" t="str">
        <f t="shared" si="2"/>
        <v/>
      </c>
      <c r="EE2" s="44" t="str">
        <f t="shared" si="2"/>
        <v/>
      </c>
      <c r="EF2" s="44" t="str">
        <f>IF(AND(Y2&lt;&gt;"n",Y2&lt;&gt;""),CHAR(34)&amp;Y$1&amp;CHAR(34)&amp;",","")</f>
        <v>"Animal",</v>
      </c>
      <c r="EG2" s="44" t="str">
        <f t="shared" ref="EG2:EP5" si="3">IF(Z2="y",CHAR(34)&amp;Z$1&amp;CHAR(34)&amp;",","")</f>
        <v>"Bird",</v>
      </c>
      <c r="EH2" s="44" t="str">
        <f t="shared" si="3"/>
        <v/>
      </c>
      <c r="EI2" s="44" t="str">
        <f t="shared" si="3"/>
        <v/>
      </c>
      <c r="EJ2" s="44" t="str">
        <f t="shared" si="3"/>
        <v/>
      </c>
      <c r="EK2" s="44" t="str">
        <f t="shared" si="3"/>
        <v/>
      </c>
      <c r="EL2" s="44" t="str">
        <f t="shared" si="3"/>
        <v/>
      </c>
      <c r="EM2" s="44" t="str">
        <f t="shared" si="3"/>
        <v/>
      </c>
      <c r="EN2" s="44" t="str">
        <f t="shared" si="3"/>
        <v/>
      </c>
      <c r="EO2" s="44" t="str">
        <f t="shared" si="3"/>
        <v/>
      </c>
      <c r="EP2" s="44" t="str">
        <f t="shared" si="3"/>
        <v/>
      </c>
      <c r="EQ2" s="44" t="str">
        <f t="shared" ref="EQ2:EZ5" si="4">IF(AJ2="y",CHAR(34)&amp;AJ$1&amp;CHAR(34)&amp;",","")</f>
        <v/>
      </c>
      <c r="ER2" s="44" t="str">
        <f t="shared" si="4"/>
        <v/>
      </c>
      <c r="ES2" s="44" t="str">
        <f t="shared" si="4"/>
        <v/>
      </c>
      <c r="ET2" s="44" t="str">
        <f t="shared" si="4"/>
        <v/>
      </c>
      <c r="EU2" s="44" t="str">
        <f t="shared" si="4"/>
        <v/>
      </c>
      <c r="EV2" s="44" t="str">
        <f t="shared" si="4"/>
        <v/>
      </c>
      <c r="EW2" s="44" t="str">
        <f t="shared" si="4"/>
        <v/>
      </c>
      <c r="EX2" s="44" t="str">
        <f t="shared" si="4"/>
        <v/>
      </c>
      <c r="EY2" s="44" t="str">
        <f t="shared" si="4"/>
        <v/>
      </c>
      <c r="EZ2" s="44" t="str">
        <f t="shared" si="4"/>
        <v/>
      </c>
      <c r="FA2" s="44" t="str">
        <f>IF(AT2&gt;0,CHAR(34)&amp;"sta"&amp;AZ2&amp;CHAR(34)&amp;",","")</f>
        <v>"staWHI",</v>
      </c>
      <c r="FB2" s="44" t="str">
        <f>IF(AND(AT2&gt;0,BA2&lt;&gt;""),CHAR(34)&amp;"sta"&amp;BA2&amp;CHAR(34)&amp;",","")</f>
        <v/>
      </c>
      <c r="FC2" s="44" t="str">
        <f>IF(AND(AT2&gt;0,BB2&lt;&gt;""),CHAR(34)&amp;"sta"&amp;BB2&amp;CHAR(34)&amp;",","")</f>
        <v/>
      </c>
      <c r="FD2" s="44" t="str">
        <f>IF(BV2="n",CHAR(34)&amp;"tcWHYE"&amp;CHAR(34)&amp;",",IF(BV2="y",CHAR(34)&amp;FD$1&amp;CHAR(34)&amp;",",""))</f>
        <v>"ntWHYE",</v>
      </c>
      <c r="FE2" s="44" t="str">
        <f>IF(COUNTIF(BL2:BT2,"BLU")=0,CHAR(34)&amp;"NO_BLU"&amp;CHAR(34)&amp;",", "")</f>
        <v>"NO_BLU",</v>
      </c>
      <c r="FF2" s="44" t="str">
        <f>IF(COUNTIF(BL2:BT2,"WHI")=0,CHAR(34)&amp;"NO_WHI"&amp;CHAR(34)&amp;",", "")</f>
        <v/>
      </c>
      <c r="FG2" s="44" t="str">
        <f>IF(COUNTIF(BL2:BT2,"RED")=0,CHAR(34)&amp;"NO_RED"&amp;CHAR(34)&amp;",", "")</f>
        <v/>
      </c>
      <c r="FH2" s="44" t="str">
        <f>IF(COUNTIF(BL2:BS2,"GRE")=0,CHAR(34)&amp;"NO_GRE"&amp;CHAR(34)&amp;",", "")</f>
        <v>"NO_GRE",</v>
      </c>
      <c r="FI2" s="44" t="str">
        <f>IF(COUNTIF(BL2:BT2,"YEL")=0,CHAR(34)&amp;"NO_YEL"&amp;CHAR(34)&amp;",", "")</f>
        <v/>
      </c>
      <c r="FJ2" s="44" t="str">
        <f>IF(COUNTIF(BL2:BT2,"BLA")=0,CHAR(34)&amp;"NO_BLA"&amp;CHAR(34)&amp;",", "")</f>
        <v/>
      </c>
      <c r="FK2" s="44" t="str">
        <f>IF(AND(FH2&lt;&gt;"",FF2&lt;&gt;""),CHAR(34)&amp;"WHGRNO"&amp;CHAR(34)&amp;",","")</f>
        <v/>
      </c>
      <c r="FL2" s="44" t="str">
        <f>IF(AND(FI2&lt;&gt;"",FF2&lt;&gt;""),CHAR(34)&amp;"WHYENO"&amp;CHAR(34)&amp;",","")</f>
        <v/>
      </c>
      <c r="FM2" s="44" t="str">
        <f>IF(AND(FJ2&lt;&gt;"",FF2&lt;&gt;""),CHAR(34)&amp;"BAWHNO"&amp;CHAR(34)&amp;",","")</f>
        <v/>
      </c>
      <c r="FN2" s="44" t="str">
        <f>IF(AND(FE2&lt;&gt;"",FF2&lt;&gt;""),CHAR(34)&amp;"BLWHNO"&amp;CHAR(34)&amp;",","")</f>
        <v/>
      </c>
      <c r="FO2" s="44" t="str">
        <f>IF(AND(FE2&lt;&gt;"",FG2&lt;&gt;""),CHAR(34)&amp;"BLRENO"&amp;CHAR(34)&amp;",","")</f>
        <v/>
      </c>
      <c r="FP2" s="44" t="str">
        <f>IF(AND(FF2&lt;&gt;"",FF2&lt;&gt;""),CHAR(34)&amp;"WHRENO"&amp;CHAR(34)&amp;",","")</f>
        <v/>
      </c>
      <c r="FQ2" s="44" t="str">
        <f>IF(LEN(BF2)=3,CHAR(34)&amp;"001"&amp;BF2&amp;CHAR(34)&amp;",","")</f>
        <v/>
      </c>
      <c r="FR2" s="44" t="str">
        <f>IF(LEN(BG2)=3,CHAR(34)&amp;"002"&amp;BG2&amp;CHAR(34)&amp;",","")</f>
        <v/>
      </c>
      <c r="FS2" s="44" t="str">
        <f>IF(LEN(BH2)=3,CHAR(34)&amp;"003"&amp;BH2&amp;CHAR(34)&amp;",","")</f>
        <v/>
      </c>
      <c r="FT2" s="44" t="str">
        <f>CHAR(34)&amp;"myr"&amp;BD2&amp;CHAR(34)&amp;","</f>
        <v>"myrEQ",</v>
      </c>
      <c r="FU2" s="44" t="str">
        <f>IF(AY2="y",CHAR(34)&amp;"island"&amp;CHAR(34)&amp;",","")</f>
        <v>"island",</v>
      </c>
      <c r="FV2" s="44" t="str">
        <f>IF(BZ2="y",CHAR(34)&amp;"landlo"&amp;CHAR(34)&amp;",","")</f>
        <v/>
      </c>
      <c r="FW2" s="44" t="str">
        <f>IF(CA2="y",CHAR(34)&amp;"eunion"&amp;CHAR(34)&amp;",","")</f>
        <v/>
      </c>
      <c r="FX2" s="44" t="str">
        <f>SUBSTITUTE(IFERROR(SEARCH("[",A2),IFERROR(IF(AND(CA2&lt;&gt;"y",SEARCH("Europe",R2)&gt;0),CHAR(34)&amp;"noeuni"&amp;CHAR(34)&amp;",",""),"")),"1","")</f>
        <v/>
      </c>
      <c r="FY2" s="44" t="str">
        <f>IFERROR(IF(SEARCH("Arabic",CB2)&gt;0,CHAR(34)&amp;"arabic"&amp;CHAR(34)&amp;",",""),"")</f>
        <v/>
      </c>
      <c r="FZ2" s="44" t="str">
        <f>IFERROR(IF(SEARCH("English",CB2)&gt;0,CHAR(34)&amp;"englis"&amp;CHAR(34)&amp;",",""),"")</f>
        <v>"englis",</v>
      </c>
      <c r="GA2" s="44" t="str">
        <f>IFERROR(IF(SEARCH("French",CB2)&gt;0,CHAR(34)&amp;"french"&amp;CHAR(34)&amp;",",""),"")</f>
        <v/>
      </c>
      <c r="GB2" s="44" t="str">
        <f>IFERROR(IF(SEARCH("Spanish",CB2)&gt;0,CHAR(34)&amp;"spanis"&amp;CHAR(34)&amp;",",""),"")</f>
        <v/>
      </c>
      <c r="GC2" s="44" t="str">
        <f>IFERROR(IF(SEARCH("Portuguese",CB2)&gt;0,CHAR(34)&amp;"portug"&amp;CHAR(34)&amp;",",""),"")</f>
        <v/>
      </c>
      <c r="GD2" s="44" t="str">
        <f>IFERROR(IF(SEARCH("German",CB2)&gt;0,CHAR(34)&amp;"german"&amp;CHAR(34)&amp;",",""),"")</f>
        <v/>
      </c>
      <c r="GE2" s="44" t="str">
        <f>IFERROR(IF(SEARCH("Dutch",CB2)&gt;0,CHAR(34)&amp;"dutchs"&amp;CHAR(34)&amp;",",""),"")</f>
        <v/>
      </c>
      <c r="GF2" s="44" t="str">
        <f>IFERROR(IF(SEARCH("Histor",AU2)&gt;0,CHAR(34)&amp;"histor"&amp;CHAR(34)&amp;",",""),"")</f>
        <v/>
      </c>
      <c r="GG2" s="44" t="str">
        <f>IF(BU2="y",CHAR(34)&amp;"unjack"&amp;CHAR(34)&amp;",","")</f>
        <v/>
      </c>
      <c r="GH2" s="44" t="str">
        <f>IF(CD2=1,CHAR(34)&amp;"southc"&amp;CHAR(34)&amp;",","")</f>
        <v>"southc",</v>
      </c>
      <c r="GI2" s="44" t="str">
        <f>IF(CE2=1,CHAR(34)&amp;"hasmap"&amp;CHAR(34)&amp;",","")</f>
        <v/>
      </c>
      <c r="GJ2" s="44" t="str">
        <f>IF(CP2="y",CHAR(34)&amp;CP$1&amp;CHAR(34)&amp;",","")</f>
        <v/>
      </c>
      <c r="GK2" s="44" t="str">
        <f>IF(GJ2="",CHAR(34)&amp;"HasSta"&amp;CHAR(34)&amp;",","")</f>
        <v>"HasSta",</v>
      </c>
      <c r="GL2" s="44" t="str">
        <f t="shared" ref="GL2:GN5" si="5">IF(CQ2="y",CHAR(34)&amp;CQ$1&amp;CHAR(34)&amp;",","")</f>
        <v/>
      </c>
      <c r="GM2" s="44" t="str">
        <f t="shared" si="5"/>
        <v/>
      </c>
      <c r="GN2" s="44" t="str">
        <f t="shared" si="5"/>
        <v>"3+Star",</v>
      </c>
      <c r="GP2" s="44" t="str">
        <f>CHAR(34)&amp;AU2&amp;CHAR(34)</f>
        <v>""</v>
      </c>
      <c r="GS2" s="44" t="str">
        <f>SUBSTITUTE("["&amp;_xlfn.CONCAT(CW2:GN2)&amp;"]",",]","]")</f>
        <v>["4Color","words2","words3","lets14","startP","with_w","year19","dgband","alldia","2Bands","Diagon","Animal","Bird","staWHI","ntWHYE","NO_BLU","NO_GRE","myrEQ","island","englis","southc","HasSta","3+Star"]</v>
      </c>
      <c r="GT2" s="44" t="str">
        <f t="shared" ref="GT2:HB5" si="6">IF(BL2&lt;&gt;"",CHAR(34)&amp;"cl_"&amp;BL2&amp;CHAR(34)&amp;",","")</f>
        <v>"cl_BLA",</v>
      </c>
      <c r="GU2" s="44" t="str">
        <f t="shared" si="6"/>
        <v>"cl_RED",</v>
      </c>
      <c r="GV2" s="44" t="str">
        <f t="shared" si="6"/>
        <v>"cl_YEL",</v>
      </c>
      <c r="GW2" s="44" t="str">
        <f t="shared" si="6"/>
        <v>"cl_WHI",</v>
      </c>
      <c r="GX2" s="44" t="str">
        <f t="shared" si="6"/>
        <v/>
      </c>
      <c r="GY2" s="44" t="str">
        <f t="shared" si="6"/>
        <v/>
      </c>
      <c r="GZ2" s="44" t="str">
        <f t="shared" si="6"/>
        <v/>
      </c>
      <c r="HA2" s="44" t="str">
        <f t="shared" si="6"/>
        <v/>
      </c>
      <c r="HB2" s="44" t="str">
        <f t="shared" si="6"/>
        <v/>
      </c>
      <c r="HC2" s="44" t="str">
        <f>SUBSTITUTE("["&amp;_xlfn.CONCAT(GT2:HB2)&amp;"]",",]","]")</f>
        <v>["cl_BLA","cl_RED","cl_YEL","cl_WHI"]</v>
      </c>
      <c r="HE2" s="64"/>
      <c r="HF2" s="65" t="str">
        <f>"{couname:"&amp;CT2&amp;(IF(HK2&lt;&gt;"",",subtype:"&amp;CHAR(34)&amp;HK2&amp;CHAR(34),""))&amp;",year:"&amp;HJ2&amp;",region:"&amp;CU2&amp;",Colors:"&amp;HC2&amp;",Items:"&amp;GS2&amp;",Flag:"&amp;CV2&amp;",HDFlag:"&amp;CHAR(34)&amp;E2&amp;CHAR(34)&amp;",type:"&amp;GP2&amp;", describe: "&amp;HH2&amp;", isnew:"&amp;CHAR(34)&amp;F2&amp;CHAR(34)&amp;", links: "&amp;HL2&amp;"},"</f>
        <v>{couname:"Papua New Guinea",year:"1971 ",region:"rgn_Oceania",Colors:["cl_BLA","cl_RED","cl_YEL","cl_WHI"],Items:["4Color","words2","words3","lets14","startP","with_w","year19","dgband","alldia","2Bands","Diagon","Animal","Bird","staWHI","ntWHYE","NO_BLU","NO_GRE","myrEQ","island","englis","southc","HasSta","3+Star"],Flag:"https://i.ibb.co/dGNHyxn/Papua-Flag.png",HDFlag:"https://upload.wikimedia.org/wikipedia/commons/thumb/e/e3/Flag_of_Papua_New_Guinea.svg/2560px-Flag_of_Papua_New_Guinea.svg.png",type:"", describe: "\nRed and black have long been traditional colours of many Papua New Guinean tribes. Black-white-red was the colour of the German Empire flag, which had colonised New Guinea prior to 1918. The bird-of-paradise is also found on the national coat-of-arms. The Southern Cross shows that it is a country in the Southern Hemisphere and can be seen in Papua New Guinea", isnew:".", links: "https://en.wikipedia.org/wiki/Flag_of_Papua_New_Guinea"},</v>
      </c>
      <c r="HG2" s="66" t="str">
        <f>"{couname:"&amp;CT2&amp;(IF(HK2&lt;&gt;"",",subtype:"&amp;CHAR(34)&amp;HK2&amp;CHAR(34),""))&amp;",year:"&amp;HJ2&amp;",region:"&amp;CU2&amp;",Colors:"&amp;HC2&amp;",Items:"&amp;GS2&amp;",Flag:"&amp;CV2&amp;",HDFlag:"&amp;CHAR(34)&amp;E2&amp;CHAR(34)&amp;",type:"&amp;GP2&amp;", describe: "&amp;HI2&amp;", links: "&amp;HL2&amp;"},"</f>
        <v>{couname:"Papua New Guinea",year:"1971 ",region:"rgn_Oceania",Colors:["cl_BLA","cl_RED","cl_YEL","cl_WHI"],Items:["4Color","words2","words3","lets14","startP","with_w","year19","dgband","alldia","2Bands","Diagon","Animal","Bird","staWHI","ntWHYE","NO_BLU","NO_GRE","myrEQ","island","englis","southc","HasSta","3+Star"],Flag:"https://i.ibb.co/dGNHyxn/Papua-Flag.png",HDFlag:"https://upload.wikimedia.org/wikipedia/commons/thumb/e/e3/Flag_of_Papua_New_Guinea.svg/2560px-Flag_of_Papua_New_Guinea.svg.png",type:"", describe: "\nRed and black have long been traditional colours of many Papua New Guinean tribes. Black-white-red was the colour of the German Empire flag, which had colonised New Guinea prior to 1918. The bird-of-paradise is also found on the national coat-of-arms. The Southern Cross shows that it is a country in the Southern Hemisphere and can be seen in Papua New Guinea", links: "https://en.wikipedia.org/wiki/Flag_of_Papua_New_Guinea"},</v>
      </c>
      <c r="HH2" s="44" t="str">
        <f>IF(P2&lt;&gt;"",CHAR(34)&amp;"\n"&amp;P2&amp;CHAR(34),CHAR(34)&amp;CHAR(34))</f>
        <v>"\nRed and black have long been traditional colours of many Papua New Guinean tribes. Black-white-red was the colour of the German Empire flag, which had colonised New Guinea prior to 1918. The bird-of-paradise is also found on the national coat-of-arms. The Southern Cross shows that it is a country in the Southern Hemisphere and can be seen in Papua New Guinea"</v>
      </c>
      <c r="HI2" s="44" t="str">
        <f>IF(J2=0,CHAR(34)&amp;CHAR(34),HH2)</f>
        <v>"\nRed and black have long been traditional colours of many Papua New Guinean tribes. Black-white-red was the colour of the German Empire flag, which had colonised New Guinea prior to 1918. The bird-of-paradise is also found on the national coat-of-arms. The Southern Cross shows that it is a country in the Southern Hemisphere and can be seen in Papua New Guinea"</v>
      </c>
      <c r="HJ2" s="44" t="str">
        <f>CHAR(34)&amp;O2&amp;CHAR(34)</f>
        <v>"1971 "</v>
      </c>
      <c r="HL2" s="44" t="str">
        <f>CHAR(34)&amp;I2&amp;CHAR(34)</f>
        <v>"https://en.wikipedia.org/wiki/Flag_of_Papua_New_Guinea"</v>
      </c>
      <c r="HM2" s="65"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{"couname":"Papua New Guinea","year":"1971 ","region":"rgn_Oceania","Colors":["cl_BLA","cl_RED","cl_YEL","cl_WHI"],"Items":["4Color","words2","words3","lets14","startP","with_w","year19","dgband","alldia","2Bands","Diagon","Animal","Bird","staWHI","ntWHYE","NO_BLU","NO_GRE","myrEQ","island","englis","southc","HasSta","3+Star"],"Flag":"https://i.ibb.co/dGNHyxn/Papua-Flag.png","HDFlag":"https://upload.wikimedia.org/wikipedia/commons/thumb/e/e3/Flag_of_Papua_New_Guinea.svg/2560px-Flag_of_Papua_New_Guinea.svg.png","type":"", "describe": "\nRed and black have long been traditional colours of many Papua New Guinean tribes. Black-white-red was the colour of the German Empire flag, which had colonised New Guinea prior to 1918. The bird-of-paradise is also found on the national coat-of-arms. The Southern Cross shows that it is a country in the Southern Hemisphere and can be seen in Papua New Guinea", "isnew": ".", "links": "https://en.wikipedia.org/wiki/Flag_of_Papua_New_Guinea"},</v>
      </c>
      <c r="HN2" s="67"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{"couname":"Papua New Guinea","year":"1971 ","region":"rgn_Oceania","Colors":["cl_BLA","cl_RED","cl_YEL","cl_WHI"],"Items":["4Color","words2","words3","lets14","startP","with_w","year19","dgband","alldia","2Bands","Diagon","Animal","Bird","staWHI","ntWHYE","NO_BLU","NO_GRE","myrEQ","island","englis","southc","HasSta","3+Star"],"Flag":"https://i.ibb.co/dGNHyxn/Papua-Flag.png","HDFlag":"https://upload.wikimedia.org/wikipedia/commons/thumb/e/e3/Flag_of_Papua_New_Guinea.svg/2560px-Flag_of_Papua_New_Guinea.svg.png","type":"", "describe": "\nRed and black have long been traditional colours of many Papua New Guinean tribes. Black-white-red was the colour of the German Empire flag, which had colonised New Guinea prior to 1918. The bird-of-paradise is also found on the national coat-of-arms. The Southern Cross shows that it is a country in the Southern Hemisphere and can be seen in Papua New Guinea", "isnew": ".", "links": "https://en.wikipedia.org/wiki/Flag_of_Papua_New_Guinea"},</v>
      </c>
      <c r="HO2" s="71"/>
      <c r="HP2" s="44" t="str" cm="1">
        <f t="array" ref="HP2">IF(_xlfn.TEXTJOIN(", ", TRUE, IF(ISNUMBER(SEARCH("BLA", BL2:BT2)), COLUMN(BL2:BT2) - COLUMN(BL2) + 1, ""))&lt;&gt;"","BLA","")</f>
        <v>BLA</v>
      </c>
      <c r="HQ2" s="44" t="str" cm="1">
        <f t="array" ref="HQ2">IF(_xlfn.TEXTJOIN(", ", TRUE, IF(ISNUMBER(SEARCH("BLU", BL2:BT2)), COLUMN(BL2:BT2) - COLUMN(BL2) + 1, ""))&lt;&gt;"","BLU","")</f>
        <v/>
      </c>
      <c r="HR2" s="44" t="str" cm="1">
        <f t="array" ref="HR2">IF(_xlfn.TEXTJOIN(", ", TRUE, IF(ISNUMBER(SEARCH("GRE", BL2:BT2)), COLUMN(BL2:BT2) - COLUMN(BL2) + 1, ""))&lt;&gt;"","GRE","")</f>
        <v/>
      </c>
      <c r="HS2" s="44" t="str" cm="1">
        <f t="array" ref="HS2">IF(_xlfn.TEXTJOIN(", ", TRUE, IF(ISNUMBER(SEARCH("RED", BL2:BT2)), COLUMN(BL2:BT2) - COLUMN(BL2) + 1, ""))&lt;&gt;"","RED","")</f>
        <v>RED</v>
      </c>
      <c r="HT2" s="44" t="str" cm="1">
        <f t="array" ref="HT2">IF(_xlfn.TEXTJOIN(", ", TRUE, IF(ISNUMBER(SEARCH("YEL", BL2:BT2)), COLUMN(BL2:BT2) - COLUMN(BL2) + 1, ""))&lt;&gt;"","YEL","")</f>
        <v>YEL</v>
      </c>
      <c r="HU2" s="44" t="str" cm="1">
        <f t="array" ref="HU2">IF(_xlfn.TEXTJOIN(", ", TRUE, IF(ISNUMBER(SEARCH("ORA", BL2:BT2)), COLUMN(BL2:BT2) - COLUMN(BL2) + 1, ""))&lt;&gt;"","ORA","")</f>
        <v/>
      </c>
      <c r="HV2" s="44" t="str" cm="1">
        <f t="array" ref="HV2">IF(_xlfn.TEXTJOIN(", ", TRUE, IF(ISNUMBER(SEARCH("BRO", BL2:BT2)), COLUMN(BL2:BT2) - COLUMN(BL2) + 1, ""))&lt;&gt;"","BRO","")</f>
        <v/>
      </c>
      <c r="HW2" s="44" t="str" cm="1">
        <f t="array" ref="HW2">IF(_xlfn.TEXTJOIN(", ", TRUE, IF(ISNUMBER(SEARCH("PUR", BL2:BT2)), COLUMN(BL2:BT2) - COLUMN(BL2) + 1, ""))&lt;&gt;"","PUR","")</f>
        <v/>
      </c>
      <c r="HX2" s="44" t="str" cm="1">
        <f t="array" ref="HX2">IF(_xlfn.TEXTJOIN(", ", TRUE, IF(ISNUMBER(SEARCH("WHI", BL2:BT2)), COLUMN(BL2:BT2) - COLUMN(BL2) + 1, ""))&lt;&gt;"","WHI","")</f>
        <v>WHI</v>
      </c>
      <c r="HY2" s="72"/>
      <c r="HZ2" s="72"/>
      <c r="IA2" s="5"/>
      <c r="IB2" s="5"/>
      <c r="IC2" s="68"/>
      <c r="ID2" s="68"/>
      <c r="IE2" s="68"/>
      <c r="IF2" s="68"/>
      <c r="IG2" s="68"/>
      <c r="IH2" s="68"/>
      <c r="II2" s="68"/>
      <c r="IJ2" s="68"/>
      <c r="IK2" s="68"/>
      <c r="IL2" s="44">
        <f>SUM(IC2:IK2)</f>
        <v>0</v>
      </c>
      <c r="IM2" s="42">
        <f>COUNTIF(IC2:IK2,"&gt;0")-CG2</f>
        <v>-4</v>
      </c>
      <c r="IN2" s="69" t="str">
        <f>"http://mkweb.bcgsc.ca/color-summarizer/?url="&amp;D2&amp;"&amp;precision=low&amp;num_clusters="&amp;CG2&amp;"&amp;text=1"</f>
        <v>http://mkweb.bcgsc.ca/color-summarizer/?url=https://i.ibb.co/dGNHyxn/Papua-Flag.png&amp;precision=low&amp;num_clusters=4&amp;text=1</v>
      </c>
      <c r="IO2" s="44" t="str">
        <f>IF(HP2&lt;&gt;"",CHAR(34)&amp;"black"&amp;CHAR(34),"")</f>
        <v>"black"</v>
      </c>
      <c r="IP2" s="44" t="str">
        <f>IF(HQ2&lt;&gt;"",CHAR(34)&amp;"blue"&amp;CHAR(34),"")</f>
        <v/>
      </c>
      <c r="IQ2" s="44" t="str">
        <f>IF(HR2&lt;&gt;"",CHAR(34)&amp;"green"&amp;CHAR(34),"")</f>
        <v/>
      </c>
      <c r="IR2" s="44" t="str">
        <f>IF(HS2&lt;&gt;"",CHAR(34)&amp;"red"&amp;CHAR(34),"")</f>
        <v>"red"</v>
      </c>
      <c r="IS2" s="44" t="str">
        <f>IF(HT2&lt;&gt;"",CHAR(34)&amp;"yellow"&amp;CHAR(34),"")</f>
        <v>"yellow"</v>
      </c>
      <c r="IT2" s="44" t="str">
        <f>IF(HU2&lt;&gt;"",CHAR(34)&amp;"orange"&amp;CHAR(34),"")</f>
        <v/>
      </c>
      <c r="IU2" s="44" t="str">
        <f>IF(HV2&lt;&gt;"",CHAR(34)&amp;"brown"&amp;CHAR(34),"")</f>
        <v/>
      </c>
      <c r="IV2" s="44" t="str">
        <f>IF(HW2&lt;&gt;"",CHAR(34)&amp;"purple"&amp;CHAR(34),"")</f>
        <v/>
      </c>
      <c r="IW2" s="44" t="str">
        <f>IF(HX2&lt;&gt;"",CHAR(34)&amp;"white"&amp;CHAR(34),"")</f>
        <v>"white"</v>
      </c>
      <c r="IX2" s="44" t="str">
        <f>"{"&amp;CHAR(34)&amp;"url"&amp;CHAR(34)&amp;":"&amp;CHAR(34)&amp;IN2&amp;CHAR(34)&amp;","&amp;CHAR(34)&amp;"name"&amp;CHAR(34)&amp;":"&amp;CHAR(34)&amp;A2&amp;CHAR(34)&amp;"},"</f>
        <v>{"url":"http://mkweb.bcgsc.ca/color-summarizer/?url=https://i.ibb.co/dGNHyxn/Papua-Flag.png&amp;precision=low&amp;num_clusters=4&amp;text=1","name":"Papua New Guinea"},</v>
      </c>
      <c r="IY2" s="44">
        <v>169</v>
      </c>
    </row>
    <row r="3" spans="1:259" s="44" customFormat="1" ht="38.4" customHeight="1" thickBot="1" x14ac:dyDescent="0.35">
      <c r="A3" s="80" t="s">
        <v>775</v>
      </c>
      <c r="B3" s="78" t="e" vm="103">
        <v>#VALUE!</v>
      </c>
      <c r="C3" s="39">
        <v>2</v>
      </c>
      <c r="D3" s="70" t="s">
        <v>776</v>
      </c>
      <c r="E3" s="40" t="s">
        <v>777</v>
      </c>
      <c r="F3" s="41" t="s">
        <v>165</v>
      </c>
      <c r="G3" s="42">
        <f>COUNTIF($A$1:$A$8279,A3)</f>
        <v>1</v>
      </c>
      <c r="H3" s="43"/>
      <c r="I3" s="59" t="s">
        <v>778</v>
      </c>
      <c r="J3" s="44" t="str">
        <f>""</f>
        <v/>
      </c>
      <c r="K3" s="45"/>
      <c r="L3" s="46"/>
      <c r="M3" s="46"/>
      <c r="N3" s="47" t="s">
        <v>177</v>
      </c>
      <c r="O3" s="74">
        <v>1975</v>
      </c>
      <c r="P3" s="48" t="s">
        <v>779</v>
      </c>
      <c r="Q3" s="73">
        <v>1</v>
      </c>
      <c r="R3" s="49" t="s">
        <v>177</v>
      </c>
      <c r="S3" s="50">
        <v>0</v>
      </c>
      <c r="T3" s="51" t="s">
        <v>167</v>
      </c>
      <c r="U3" s="52" t="s">
        <v>166</v>
      </c>
      <c r="V3" s="52" t="s">
        <v>166</v>
      </c>
      <c r="W3" s="52" t="s">
        <v>166</v>
      </c>
      <c r="X3" s="52" t="s">
        <v>167</v>
      </c>
      <c r="Y3" s="52" t="s">
        <v>166</v>
      </c>
      <c r="Z3" s="52" t="s">
        <v>166</v>
      </c>
      <c r="AA3" s="52" t="s">
        <v>166</v>
      </c>
      <c r="AB3" s="52" t="s">
        <v>166</v>
      </c>
      <c r="AC3" s="52" t="s">
        <v>166</v>
      </c>
      <c r="AD3" s="52" t="s">
        <v>166</v>
      </c>
      <c r="AE3" s="52" t="s">
        <v>166</v>
      </c>
      <c r="AF3" s="53" t="s">
        <v>166</v>
      </c>
      <c r="AG3" s="53" t="s">
        <v>166</v>
      </c>
      <c r="AH3" s="53" t="s">
        <v>167</v>
      </c>
      <c r="AI3" s="53" t="s">
        <v>166</v>
      </c>
      <c r="AJ3" s="53" t="s">
        <v>166</v>
      </c>
      <c r="AK3" s="53" t="s">
        <v>166</v>
      </c>
      <c r="AL3" s="53" t="s">
        <v>166</v>
      </c>
      <c r="AM3" s="53" t="s">
        <v>166</v>
      </c>
      <c r="AN3" s="53" t="s">
        <v>166</v>
      </c>
      <c r="AO3" s="53" t="s">
        <v>166</v>
      </c>
      <c r="AP3" s="53" t="s">
        <v>166</v>
      </c>
      <c r="AQ3" s="53" t="s">
        <v>166</v>
      </c>
      <c r="AR3" s="53" t="s">
        <v>166</v>
      </c>
      <c r="AS3" s="53" t="s">
        <v>166</v>
      </c>
      <c r="AT3" s="54">
        <v>0</v>
      </c>
      <c r="AU3" s="53" t="s">
        <v>406</v>
      </c>
      <c r="AV3" s="53" t="str">
        <f>IF(LEFT(A3,1)="[",LEFT(A3,5)&amp;AU3&amp;A3,"")</f>
        <v>[PNG]Autonomous Region[PNG] Bougainville</v>
      </c>
      <c r="AW3" s="53" t="str">
        <f>C3&amp;H3&amp;A3</f>
        <v>2[PNG] Bougainville</v>
      </c>
      <c r="AX3" s="55"/>
      <c r="AY3" s="55"/>
      <c r="AZ3" s="56" t="s">
        <v>231</v>
      </c>
      <c r="BA3" s="56" t="s">
        <v>231</v>
      </c>
      <c r="BB3" s="56"/>
      <c r="BC3" s="57"/>
      <c r="BD3" s="58" t="s">
        <v>154</v>
      </c>
      <c r="BE3" s="59"/>
      <c r="BF3" s="58" t="s">
        <v>231</v>
      </c>
      <c r="BG3" s="58" t="s">
        <v>231</v>
      </c>
      <c r="BH3" s="58" t="s">
        <v>231</v>
      </c>
      <c r="BI3" s="58"/>
      <c r="BJ3" s="58"/>
      <c r="BK3" s="59"/>
      <c r="BL3" s="58" t="s">
        <v>153</v>
      </c>
      <c r="BM3" s="58" t="s">
        <v>154</v>
      </c>
      <c r="BN3" s="58" t="s">
        <v>155</v>
      </c>
      <c r="BO3" s="58" t="s">
        <v>156</v>
      </c>
      <c r="BP3" s="58" t="s">
        <v>231</v>
      </c>
      <c r="BQ3" s="58" t="s">
        <v>231</v>
      </c>
      <c r="BR3" s="58" t="s">
        <v>231</v>
      </c>
      <c r="BS3" s="58" t="s">
        <v>231</v>
      </c>
      <c r="BT3" s="58" t="s">
        <v>161</v>
      </c>
      <c r="BU3" s="60"/>
      <c r="BV3" s="61"/>
      <c r="BW3" s="61">
        <v>0</v>
      </c>
      <c r="BX3" s="59"/>
      <c r="BY3" s="44" t="s">
        <v>166</v>
      </c>
      <c r="CB3" s="5"/>
      <c r="CC3" s="5"/>
      <c r="CD3" s="62">
        <v>0</v>
      </c>
      <c r="CE3" s="62">
        <v>0</v>
      </c>
      <c r="CF3" s="62" t="e">
        <v>#REF!</v>
      </c>
      <c r="CG3" s="75" cm="1">
        <f t="array" ref="CG3">SUMPRODUCT(--(LEN(TRIM(BL3:BT3))&gt;0))</f>
        <v>5</v>
      </c>
      <c r="CH3" s="53" t="str">
        <f>IF(CG3=2,"y","n")</f>
        <v>n</v>
      </c>
      <c r="CI3" s="53" t="str">
        <f>IF(CG3=3,"y","n")</f>
        <v>n</v>
      </c>
      <c r="CJ3" s="53" t="str">
        <f>IF(CG3=4,"y","n")</f>
        <v>n</v>
      </c>
      <c r="CK3" s="53" t="str">
        <f>IF(CG3&gt;4,"y","n")</f>
        <v>y</v>
      </c>
      <c r="CL3" s="53" t="str">
        <f>IF(S3=0,"y","n")</f>
        <v>y</v>
      </c>
      <c r="CM3" s="53" t="str">
        <f>IF(S3=2,"y","n")</f>
        <v>n</v>
      </c>
      <c r="CN3" s="53" t="str">
        <f>IF(S3=3,"y","n")</f>
        <v>n</v>
      </c>
      <c r="CO3" s="53" t="str">
        <f>IF(S3&gt;=4,"y","n")</f>
        <v>n</v>
      </c>
      <c r="CP3" s="53" t="str">
        <f>IF(AT3=0,"y","n")</f>
        <v>y</v>
      </c>
      <c r="CQ3" s="53" t="str">
        <f>IF(AT3=1,"y","n")</f>
        <v>n</v>
      </c>
      <c r="CR3" s="53" t="str">
        <f>IF(AT3=2,"y","n")</f>
        <v>n</v>
      </c>
      <c r="CS3" s="53" t="str">
        <f>IF(AT3&gt;=3,"y","n")</f>
        <v>n</v>
      </c>
      <c r="CT3" s="38" t="str">
        <f>CHAR(34)&amp;A3&amp;CHAR(34)</f>
        <v>"[PNG] Bougainville"</v>
      </c>
      <c r="CU3" s="63" t="str">
        <f>CHAR(34)&amp;"rgn_"&amp;R3&amp;CHAR(34)</f>
        <v>"rgn_Oceania"</v>
      </c>
      <c r="CV3" s="44" t="str">
        <f>CHAR(34)&amp;D3&amp;CHAR(34)</f>
        <v>"https://upload.wikimedia.org/wikipedia/commons/thumb/e/e4/Flag_of_Bougainville.svg/640px-Flag_of_Bougainville.svg.png"</v>
      </c>
      <c r="CW3" s="44" t="str">
        <f t="shared" si="0"/>
        <v/>
      </c>
      <c r="CX3" s="44" t="str">
        <f t="shared" si="0"/>
        <v/>
      </c>
      <c r="CY3" s="44" t="str">
        <f t="shared" si="0"/>
        <v/>
      </c>
      <c r="CZ3" s="44" t="str">
        <f t="shared" si="0"/>
        <v>"5+Colo",</v>
      </c>
      <c r="DA3" s="44" t="str">
        <f>IF(Q3&gt;1,CHAR(34)&amp;"words2"&amp;CHAR(34)&amp;",","")</f>
        <v/>
      </c>
      <c r="DB3" s="44" t="str">
        <f>IF(Q3&gt;2,CHAR(34)&amp;"words3"&amp;CHAR(34)&amp;",","")</f>
        <v/>
      </c>
      <c r="DD3" s="44"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"lets12",</v>
      </c>
      <c r="DE3" s="44" t="str">
        <f>CHAR(34)&amp;"start"&amp;IFERROR(LEFT(SUBSTITUTE(A3,"["&amp;MID(A3,FIND("[",A3)+1,FIND("]",A3)-FIND("[",A3)-1)&amp;"] ",""),1),LEFT(A3,1))&amp;CHAR(34)&amp;","</f>
        <v>"startB",</v>
      </c>
      <c r="DF3" s="44" t="str">
        <f>IFERROR(IF(SEARCH("tan",A3)&gt;0,CHAR(34)&amp;"withtn"&amp;CHAR(34)&amp;",",""),"")</f>
        <v/>
      </c>
      <c r="DG3" s="44" t="str">
        <f>IFERROR(IF(SEARCH("q",A3)&gt;0,CHAR(34)&amp;"with_q"&amp;CHAR(34)&amp;",",""),"")</f>
        <v/>
      </c>
      <c r="DH3" s="44" t="str">
        <f>IFERROR(IF(SEARCH("v",A3)&gt;0,CHAR(34)&amp;"with_v"&amp;CHAR(34)&amp;",",""),"")</f>
        <v>"with_v",</v>
      </c>
      <c r="DI3" s="44" t="str">
        <f>IFERROR(IF(SEARCH("w",A3)&gt;0,CHAR(34)&amp;"with_w"&amp;CHAR(34)&amp;",",""),"")</f>
        <v/>
      </c>
      <c r="DJ3" s="44" t="str">
        <f>IFERROR(IF(SEARCH("y",A3)&gt;0,CHAR(34)&amp;"with_y"&amp;CHAR(34)&amp;",",""),"")</f>
        <v/>
      </c>
      <c r="DK3" s="44" t="str">
        <f>IFERROR(IF(SEARCH("z",A3)&gt;0,CHAR(34)&amp;"with_z"&amp;CHAR(34)&amp;",",""),"")</f>
        <v/>
      </c>
      <c r="DL3" s="44" t="str">
        <f>IF(CG3=2, CHAR(34) &amp; _xlfn.TEXTJOIN("", TRUE, _xlfn._xlws.SORT(HP3:HX3)) &amp; CHAR(34) &amp; ",", "")</f>
        <v/>
      </c>
      <c r="DM3" s="44" t="str" cm="1">
        <f t="array" ref="DM3">IF(CG3=3,CHAR(34) &amp; _xlfn.TEXTJOIN("", TRUE, RIGHT(HP3:HX3, 2)) &amp; CHAR(34) &amp; ",", "")</f>
        <v/>
      </c>
      <c r="DN3" s="44" t="str">
        <f>IF(AND(ISNUMBER(SEARCH("18", O3)), ISERROR(SEARCH("1918", O3)), ISERROR(SEARCH("2018", O3))), CHAR(34) &amp; "year18" &amp; CHAR(34) &amp; ",", "")</f>
        <v/>
      </c>
      <c r="DO3" s="44" t="str">
        <f>IF(AND(ISNUMBER(SEARCH("19", O3)), ISERROR(SEARCH("1819", O3)),  ISERROR(SEARCH("1219", O3)),ISERROR(SEARCH("1119", O3)),ISERROR(SEARCH("1190", O3)),ISERROR(SEARCH("2019", O3))), CHAR(34) &amp; "year19" &amp; CHAR(34) &amp; ",", "")</f>
        <v>"year19",</v>
      </c>
      <c r="DP3" s="5" t="str">
        <f>IF(AND(ISNUMBER(SEARCH("20", O3)), ISERROR(SEARCH("1920", O3))), CHAR(34)&amp;"year00"&amp;CHAR(34)&amp;",", "")</f>
        <v/>
      </c>
      <c r="DQ3" s="5" t="str">
        <f>IF(CC3="y",CHAR(34)&amp;"soviet"&amp;CHAR(34)&amp;",","")</f>
        <v/>
      </c>
      <c r="DR3" s="5" t="str">
        <f>IF(BY3="y",CHAR(34)&amp;"dgband"&amp;CHAR(34)&amp;",","")</f>
        <v/>
      </c>
      <c r="DS3" s="5" t="str">
        <f>IF(W3="y",IF(AND(V3="n",BY3&lt;&gt;"y"),CHAR(34)&amp;"allver"&amp;CHAR(34)&amp;",",""),"")</f>
        <v/>
      </c>
      <c r="DT3" s="5" t="str">
        <f>IF(V3="y",IF(AND(W3="n",BY3&lt;&gt;"y"),CHAR(34)&amp;"allhor"&amp;CHAR(34)&amp;",",""),"")</f>
        <v/>
      </c>
      <c r="DU3" s="5" t="str">
        <f>IF(BY3="y",IF(AND(W3="n",V3="n"),CHAR(34)&amp;"alldia"&amp;CHAR(34)&amp;",",""),"")</f>
        <v/>
      </c>
      <c r="DW3" s="44" t="str">
        <f t="shared" si="1"/>
        <v>"NoBand",</v>
      </c>
      <c r="DX3" s="44" t="str">
        <f t="shared" si="1"/>
        <v/>
      </c>
      <c r="DY3" s="44" t="str">
        <f t="shared" si="1"/>
        <v/>
      </c>
      <c r="DZ3" s="44" t="str">
        <f t="shared" si="1"/>
        <v/>
      </c>
      <c r="EA3" s="44" t="str">
        <f t="shared" si="2"/>
        <v>"Diagon",</v>
      </c>
      <c r="EB3" s="44" t="str">
        <f t="shared" si="2"/>
        <v/>
      </c>
      <c r="EC3" s="44" t="str">
        <f t="shared" si="2"/>
        <v/>
      </c>
      <c r="ED3" s="44" t="str">
        <f t="shared" si="2"/>
        <v/>
      </c>
      <c r="EE3" s="44" t="str">
        <f t="shared" si="2"/>
        <v>"Circle",</v>
      </c>
      <c r="EF3" s="44" t="str">
        <f>IF(AND(Y3&lt;&gt;"n",Y3&lt;&gt;""),CHAR(34)&amp;Y$1&amp;CHAR(34)&amp;",","")</f>
        <v/>
      </c>
      <c r="EG3" s="44" t="str">
        <f t="shared" si="3"/>
        <v/>
      </c>
      <c r="EH3" s="44" t="str">
        <f t="shared" si="3"/>
        <v/>
      </c>
      <c r="EI3" s="44" t="str">
        <f t="shared" si="3"/>
        <v/>
      </c>
      <c r="EJ3" s="44" t="str">
        <f t="shared" si="3"/>
        <v/>
      </c>
      <c r="EK3" s="44" t="str">
        <f t="shared" si="3"/>
        <v/>
      </c>
      <c r="EL3" s="44" t="str">
        <f t="shared" si="3"/>
        <v/>
      </c>
      <c r="EM3" s="44" t="str">
        <f t="shared" si="3"/>
        <v/>
      </c>
      <c r="EN3" s="44" t="str">
        <f t="shared" si="3"/>
        <v/>
      </c>
      <c r="EO3" s="44" t="str">
        <f t="shared" si="3"/>
        <v>"Center",</v>
      </c>
      <c r="EP3" s="44" t="str">
        <f t="shared" si="3"/>
        <v/>
      </c>
      <c r="EQ3" s="44" t="str">
        <f t="shared" si="4"/>
        <v/>
      </c>
      <c r="ER3" s="44" t="str">
        <f t="shared" si="4"/>
        <v/>
      </c>
      <c r="ES3" s="44" t="str">
        <f t="shared" si="4"/>
        <v/>
      </c>
      <c r="ET3" s="44" t="str">
        <f t="shared" si="4"/>
        <v/>
      </c>
      <c r="EU3" s="44" t="str">
        <f t="shared" si="4"/>
        <v/>
      </c>
      <c r="EV3" s="44" t="str">
        <f t="shared" si="4"/>
        <v/>
      </c>
      <c r="EW3" s="44" t="str">
        <f t="shared" si="4"/>
        <v/>
      </c>
      <c r="EX3" s="44" t="str">
        <f t="shared" si="4"/>
        <v/>
      </c>
      <c r="EY3" s="44" t="str">
        <f t="shared" si="4"/>
        <v/>
      </c>
      <c r="EZ3" s="44" t="str">
        <f t="shared" si="4"/>
        <v/>
      </c>
      <c r="FA3" s="44" t="str">
        <f>IF(AT3&gt;0,CHAR(34)&amp;"sta"&amp;AZ3&amp;CHAR(34)&amp;",","")</f>
        <v/>
      </c>
      <c r="FB3" s="44" t="str">
        <f>IF(AND(AT3&gt;0,BA3&lt;&gt;""),CHAR(34)&amp;"sta"&amp;BA3&amp;CHAR(34)&amp;",","")</f>
        <v/>
      </c>
      <c r="FD3" s="44" t="str">
        <f>IF(BV3="n",CHAR(34)&amp;"tcWHYE"&amp;CHAR(34)&amp;",",IF(BV3="y",CHAR(34)&amp;FD$1&amp;CHAR(34)&amp;",",""))</f>
        <v/>
      </c>
      <c r="FE3" s="44" t="str">
        <f>IF(COUNTIF(BL3:BT3,"BLU")=0,CHAR(34)&amp;"NO_BLU"&amp;CHAR(34)&amp;",", "")</f>
        <v/>
      </c>
      <c r="FF3" s="44" t="str">
        <f>IF(COUNTIF(BL3:BT3,"WHI")=0,CHAR(34)&amp;"NO_WHI"&amp;CHAR(34)&amp;",", "")</f>
        <v/>
      </c>
      <c r="FG3" s="44" t="str">
        <f>IF(COUNTIF(BL3:BT3,"RED")=0,CHAR(34)&amp;"NO_RED"&amp;CHAR(34)&amp;",", "")</f>
        <v/>
      </c>
      <c r="FH3" s="44" t="str">
        <f>IF(COUNTIF(BL3:BS3,"GRE")=0,CHAR(34)&amp;"NO_GRE"&amp;CHAR(34)&amp;",", "")</f>
        <v/>
      </c>
      <c r="FI3" s="44" t="str">
        <f>IF(COUNTIF(BL3:BT3,"YEL")=0,CHAR(34)&amp;"NO_YEL"&amp;CHAR(34)&amp;",", "")</f>
        <v>"NO_YEL",</v>
      </c>
      <c r="FJ3" s="44" t="str">
        <f>IF(COUNTIF(BL3:BT3,"BLA")=0,CHAR(34)&amp;"NO_BLA"&amp;CHAR(34)&amp;",", "")</f>
        <v/>
      </c>
      <c r="FK3" s="44" t="str">
        <f>IF(AND(FH3&lt;&gt;"",FF3&lt;&gt;""),CHAR(34)&amp;"WHGRNO"&amp;CHAR(34)&amp;",","")</f>
        <v/>
      </c>
      <c r="FL3" s="44" t="str">
        <f>IF(AND(FI3&lt;&gt;"",FF3&lt;&gt;""),CHAR(34)&amp;"WHYENO"&amp;CHAR(34)&amp;",","")</f>
        <v/>
      </c>
      <c r="FM3" s="44" t="str">
        <f>IF(AND(FJ3&lt;&gt;"",FF3&lt;&gt;""),CHAR(34)&amp;"BAWHNO"&amp;CHAR(34)&amp;",","")</f>
        <v/>
      </c>
      <c r="FN3" s="44" t="str">
        <f>IF(AND(FE3&lt;&gt;"",FF3&lt;&gt;""),CHAR(34)&amp;"BLWHNO"&amp;CHAR(34)&amp;",","")</f>
        <v/>
      </c>
      <c r="FO3" s="44" t="str">
        <f>IF(AND(FE3&lt;&gt;"",FG3&lt;&gt;""),CHAR(34)&amp;"BLRENO"&amp;CHAR(34)&amp;",","")</f>
        <v/>
      </c>
      <c r="FP3" s="44" t="str">
        <f>IF(AND(FF3&lt;&gt;"",FF3&lt;&gt;""),CHAR(34)&amp;"WHRENO"&amp;CHAR(34)&amp;",","")</f>
        <v/>
      </c>
      <c r="FQ3" s="44" t="str">
        <f>IF(LEN(BF3)=3,CHAR(34)&amp;"001"&amp;BF3&amp;CHAR(34)&amp;",","")</f>
        <v/>
      </c>
      <c r="FR3" s="44" t="str">
        <f>IF(LEN(BG3)=3,CHAR(34)&amp;"002"&amp;BG3&amp;CHAR(34)&amp;",","")</f>
        <v/>
      </c>
      <c r="FS3" s="44" t="str">
        <f>IF(LEN(BH3)=3,CHAR(34)&amp;"003"&amp;BH3&amp;CHAR(34)&amp;",","")</f>
        <v/>
      </c>
      <c r="FT3" s="44" t="str">
        <f>CHAR(34)&amp;"myr"&amp;BD3&amp;CHAR(34)&amp;","</f>
        <v>"myrBLU",</v>
      </c>
      <c r="FU3" s="44" t="str">
        <f>IF(AY3="y",CHAR(34)&amp;"island"&amp;CHAR(34)&amp;",","")</f>
        <v/>
      </c>
      <c r="FV3" s="44" t="str">
        <f>IF(BZ3="y",CHAR(34)&amp;"landlo"&amp;CHAR(34)&amp;",","")</f>
        <v/>
      </c>
      <c r="FW3" s="44" t="str">
        <f>IF(CA3="y",CHAR(34)&amp;"eunion"&amp;CHAR(34)&amp;",","")</f>
        <v/>
      </c>
      <c r="FY3" s="44" t="str">
        <f>IFERROR(IF(SEARCH("Arabic",CB3)&gt;0,CHAR(34)&amp;"arabic"&amp;CHAR(34)&amp;",",""),"")</f>
        <v/>
      </c>
      <c r="FZ3" s="44" t="str">
        <f>IFERROR(IF(SEARCH("English",CB3)&gt;0,CHAR(34)&amp;"englis"&amp;CHAR(34)&amp;",",""),"")</f>
        <v/>
      </c>
      <c r="GA3" s="44" t="str">
        <f>IFERROR(IF(SEARCH("French",CB3)&gt;0,CHAR(34)&amp;"french"&amp;CHAR(34)&amp;",",""),"")</f>
        <v/>
      </c>
      <c r="GB3" s="44" t="str">
        <f>IFERROR(IF(SEARCH("Spanish",CB3)&gt;0,CHAR(34)&amp;"spanis"&amp;CHAR(34)&amp;",",""),"")</f>
        <v/>
      </c>
      <c r="GE3" s="44" t="str">
        <f>IFERROR(IF(SEARCH("Dutch",CB3)&gt;0,CHAR(34)&amp;"dutchs"&amp;CHAR(34)&amp;",",""),"")</f>
        <v/>
      </c>
      <c r="GF3" s="44" t="str">
        <f>IFERROR(IF(SEARCH("Historical",AU3)&gt;0,CHAR(34)&amp;"histor"&amp;CHAR(34)&amp;",",""),"")</f>
        <v/>
      </c>
      <c r="GG3" s="44" t="str">
        <f>IF(BU3="y",CHAR(34)&amp;"unjack"&amp;CHAR(34)&amp;",","")</f>
        <v/>
      </c>
      <c r="GH3" s="44" t="str">
        <f>IF(CD3=1,CHAR(34)&amp;"southc"&amp;CHAR(34)&amp;",","")</f>
        <v/>
      </c>
      <c r="GI3" s="44" t="str">
        <f>IF(CE3=1,CHAR(34)&amp;"hasmap"&amp;CHAR(34)&amp;",","")</f>
        <v/>
      </c>
      <c r="GJ3" s="44" t="str">
        <f>IF(CP3="y",CHAR(34)&amp;CP$1&amp;CHAR(34)&amp;",","")</f>
        <v>"NoStar",</v>
      </c>
      <c r="GK3" s="44" t="str">
        <f>IF(GJ3="",CHAR(34)&amp;"HasSta"&amp;CHAR(34)&amp;",","")</f>
        <v/>
      </c>
      <c r="GL3" s="44" t="str">
        <f t="shared" si="5"/>
        <v/>
      </c>
      <c r="GM3" s="44" t="str">
        <f t="shared" si="5"/>
        <v/>
      </c>
      <c r="GN3" s="44" t="str">
        <f t="shared" si="5"/>
        <v/>
      </c>
      <c r="GP3" s="44" t="str">
        <f>CHAR(34)&amp;AU3&amp;CHAR(34)</f>
        <v>"Autonomous Region"</v>
      </c>
      <c r="GS3" s="44" t="str">
        <f>SUBSTITUTE("["&amp;_xlfn.CONCAT(CW3:GN3)&amp;"]",",]","]")</f>
        <v>["5+Colo","lets12","startB","with_v","year19","NoBand","Diagon","Circle","Center","NO_YEL","myrBLU","NoStar"]</v>
      </c>
      <c r="GT3" s="44" t="str">
        <f t="shared" si="6"/>
        <v>"cl_BLA",</v>
      </c>
      <c r="GU3" s="44" t="str">
        <f t="shared" si="6"/>
        <v>"cl_BLU",</v>
      </c>
      <c r="GV3" s="44" t="str">
        <f t="shared" si="6"/>
        <v>"cl_GRE",</v>
      </c>
      <c r="GW3" s="44" t="str">
        <f t="shared" si="6"/>
        <v>"cl_RED",</v>
      </c>
      <c r="GX3" s="44" t="str">
        <f t="shared" si="6"/>
        <v/>
      </c>
      <c r="GY3" s="44" t="str">
        <f t="shared" si="6"/>
        <v/>
      </c>
      <c r="GZ3" s="44" t="str">
        <f t="shared" si="6"/>
        <v/>
      </c>
      <c r="HA3" s="44" t="str">
        <f t="shared" si="6"/>
        <v/>
      </c>
      <c r="HB3" s="44" t="str">
        <f t="shared" si="6"/>
        <v>"cl_WHI",</v>
      </c>
      <c r="HC3" s="44" t="str">
        <f>SUBSTITUTE("["&amp;_xlfn.CONCAT(GT3:HB3)&amp;"]",",]","]")</f>
        <v>["cl_BLA","cl_BLU","cl_GRE","cl_RED","cl_WHI"]</v>
      </c>
      <c r="HE3" s="64"/>
      <c r="HF3" s="65" t="str">
        <f>"{couname:"&amp;CT3&amp;(IF(HK3&lt;&gt;"",",subtype:"&amp;CHAR(34)&amp;HK3&amp;CHAR(34),""))&amp;",year:"&amp;HJ3&amp;",region:"&amp;CU3&amp;",Colors:"&amp;HC3&amp;",Items:"&amp;GS3&amp;",Flag:"&amp;CV3&amp;",HDFlag:"&amp;CHAR(34)&amp;E3&amp;CHAR(34)&amp;",type:"&amp;GP3&amp;", describe: "&amp;HH3&amp;", isnew:"&amp;CHAR(34)&amp;F3&amp;CHAR(34)&amp;", links: "&amp;HL3&amp;"},"</f>
        <v>{couname:"[PNG] Bougainville",year:"1975",region:"rgn_Oceania",Colors:["cl_BLA","cl_BLU","cl_GRE","cl_RED","cl_WHI"],Items:["5+Colo","lets12","startB","with_v","year19","NoBand","Diagon","Circle","Center","NO_YEL","myrBLU","NoStar"],Flag:"https://upload.wikimedia.org/wikipedia/commons/thumb/e/e4/Flag_of_Bougainville.svg/640px-Flag_of_Bougainville.svg.png",HDFlag:"https://upload.wikimedia.org/wikipedia/commons/thumb/e/e4/Flag_of_Bougainville.svg/1280px-Flag_of_Bougainville.svg.png",type:"Autonomous Region", describe: "\nAccording to the Bougainville Flag, Emblem and Anthem (Protection) Act 2018, the flag consists of 'a depiction of an upe superimposed over concentric discs of black and white on a cobalt blue field'. The upe is a traditional headdress worn by Bougainvillean men as a symbol of adulthood. The black disc 'represents the distinctive skin colour of the Bougainvillean people', while the white disc represents the kapkap, a traditional symbol of authority made from mother of pearl. The 24 green equilateral triangles within the kapkap symbolise 'the importance of land to the Bougainvillean people', the blue field represents the ocean. The official flag aspect ratio is 2:3.", isnew:".", links: "https://en.wikipedia.org/wiki/Flag_of_Bougainville"},</v>
      </c>
      <c r="HG3" s="66" t="str">
        <f>"{couname:"&amp;CT3&amp;(IF(HK3&lt;&gt;"",",subtype:"&amp;CHAR(34)&amp;HK3&amp;CHAR(34),""))&amp;",year:"&amp;HJ3&amp;",region:"&amp;CU3&amp;",Colors:"&amp;HC3&amp;",Items:"&amp;GS3&amp;",Flag:"&amp;CV3&amp;",HDFlag:"&amp;CHAR(34)&amp;E3&amp;CHAR(34)&amp;",type:"&amp;GP3&amp;", describe: "&amp;HI3&amp;", links: "&amp;HL3&amp;"},"</f>
        <v>{couname:"[PNG] Bougainville",year:"1975",region:"rgn_Oceania",Colors:["cl_BLA","cl_BLU","cl_GRE","cl_RED","cl_WHI"],Items:["5+Colo","lets12","startB","with_v","year19","NoBand","Diagon","Circle","Center","NO_YEL","myrBLU","NoStar"],Flag:"https://upload.wikimedia.org/wikipedia/commons/thumb/e/e4/Flag_of_Bougainville.svg/640px-Flag_of_Bougainville.svg.png",HDFlag:"https://upload.wikimedia.org/wikipedia/commons/thumb/e/e4/Flag_of_Bougainville.svg/1280px-Flag_of_Bougainville.svg.png",type:"Autonomous Region", describe: "\nAccording to the Bougainville Flag, Emblem and Anthem (Protection) Act 2018, the flag consists of 'a depiction of an upe superimposed over concentric discs of black and white on a cobalt blue field'. The upe is a traditional headdress worn by Bougainvillean men as a symbol of adulthood. The black disc 'represents the distinctive skin colour of the Bougainvillean people', while the white disc represents the kapkap, a traditional symbol of authority made from mother of pearl. The 24 green equilateral triangles within the kapkap symbolise 'the importance of land to the Bougainvillean people', the blue field represents the ocean. The official flag aspect ratio is 2:3.", links: "https://en.wikipedia.org/wiki/Flag_of_Bougainville"},</v>
      </c>
      <c r="HH3" s="44" t="str">
        <f>IF(P3&lt;&gt;"",CHAR(34)&amp;"\n"&amp;P3&amp;CHAR(34),CHAR(34)&amp;CHAR(34))</f>
        <v>"\nAccording to the Bougainville Flag, Emblem and Anthem (Protection) Act 2018, the flag consists of 'a depiction of an upe superimposed over concentric discs of black and white on a cobalt blue field'. The upe is a traditional headdress worn by Bougainvillean men as a symbol of adulthood. The black disc 'represents the distinctive skin colour of the Bougainvillean people', while the white disc represents the kapkap, a traditional symbol of authority made from mother of pearl. The 24 green equilateral triangles within the kapkap symbolise 'the importance of land to the Bougainvillean people', the blue field represents the ocean. The official flag aspect ratio is 2:3."</v>
      </c>
      <c r="HI3" s="44" t="str">
        <f>IF(J3=0,CHAR(34)&amp;CHAR(34),HH3)</f>
        <v>"\nAccording to the Bougainville Flag, Emblem and Anthem (Protection) Act 2018, the flag consists of 'a depiction of an upe superimposed over concentric discs of black and white on a cobalt blue field'. The upe is a traditional headdress worn by Bougainvillean men as a symbol of adulthood. The black disc 'represents the distinctive skin colour of the Bougainvillean people', while the white disc represents the kapkap, a traditional symbol of authority made from mother of pearl. The 24 green equilateral triangles within the kapkap symbolise 'the importance of land to the Bougainvillean people', the blue field represents the ocean. The official flag aspect ratio is 2:3."</v>
      </c>
      <c r="HJ3" s="44" t="str">
        <f>CHAR(34)&amp;O3&amp;CHAR(34)</f>
        <v>"1975"</v>
      </c>
      <c r="HL3" s="44" t="str">
        <f>CHAR(34)&amp;I3&amp;CHAR(34)</f>
        <v>"https://en.wikipedia.org/wiki/Flag_of_Bougainville"</v>
      </c>
      <c r="HM3" s="65"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{"couname":"[PNG] Bougainville","year":"1975","region":"rgn_Oceania","Colors":["cl_BLA","cl_BLU","cl_GRE","cl_RED","cl_WHI"],"Items":["5+Colo","lets12","startB","with_v","year19","NoBand","Diagon","Circle","Center","NO_YEL","myrBLU","NoStar"],"Flag":"https://upload.wikimedia.org/wikipedia/commons/thumb/e/e4/Flag_of_Bougainville.svg/640px-Flag_of_Bougainville.svg.png","HDFlag":"https://upload.wikimedia.org/wikipedia/commons/thumb/e/e4/Flag_of_Bougainville.svg/1280px-Flag_of_Bougainville.svg.png","type":"Autonomous Region", "describe": "\nAccording to the Bougainville Flag, Emblem and Anthem (Protection) Act 2018, the flag consists of 'a depiction of an upe superimposed over concentric discs of black and white on a cobalt blue field'. The upe is a traditional headdress worn by Bougainvillean men as a symbol of adulthood. The black disc 'represents the distinctive skin colour of the Bougainvillean people', while the white disc represents the kapkap, a traditional symbol of authority made from mother of pearl. The 24 green equilateral triangles within the kapkap symbolise 'the importance of land to the Bougainvillean people', the blue field represents the ocean. The official flag aspect ratio is 2:3.", "isnew": ".", "links": "https://en.wikipedia.org/wiki/Flag_of_Bougainville"},</v>
      </c>
      <c r="HN3" s="67"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{"couname":"[PNG] Bougainville","year":"1975","region":"rgn_Oceania","Colors":["cl_BLA","cl_BLU","cl_GRE","cl_RED","cl_WHI"],"Items":["5+Colo","lets12","startB","with_v","year19","NoBand","Diagon","Circle","Center","NO_YEL","myrBLU","NoStar"],"Flag":"https://upload.wikimedia.org/wikipedia/commons/thumb/e/e4/Flag_of_Bougainville.svg/640px-Flag_of_Bougainville.svg.png","HDFlag":"https://upload.wikimedia.org/wikipedia/commons/thumb/e/e4/Flag_of_Bougainville.svg/1280px-Flag_of_Bougainville.svg.png","type":"Autonomous Region", "describe": "\nAccording to the Bougainville Flag, Emblem and Anthem (Protection) Act 2018, the flag consists of 'a depiction of an upe superimposed over concentric discs of black and white on a cobalt blue field'. The upe is a traditional headdress worn by Bougainvillean men as a symbol of adulthood. The black disc 'represents the distinctive skin colour of the Bougainvillean people', while the white disc represents the kapkap, a traditional symbol of authority made from mother of pearl. The 24 green equilateral triangles within the kapkap symbolise 'the importance of land to the Bougainvillean people', the blue field represents the ocean. The official flag aspect ratio is 2:3.", "isnew": ".", "links": "https://en.wikipedia.org/wiki/Flag_of_Bougainville"},</v>
      </c>
      <c r="HO3" s="71">
        <v>45610</v>
      </c>
      <c r="HP3" s="44" t="str" cm="1">
        <f t="array" ref="HP3">IF(_xlfn.TEXTJOIN(", ", TRUE, IF(ISNUMBER(SEARCH("BLA", BL3:BT3)), COLUMN(BL3:BT3) - COLUMN(BL3) + 1, ""))&lt;&gt;"","BLA","")</f>
        <v>BLA</v>
      </c>
      <c r="HQ3" s="44" t="str" cm="1">
        <f t="array" ref="HQ3">IF(_xlfn.TEXTJOIN(", ", TRUE, IF(ISNUMBER(SEARCH("BLU", BL3:BT3)), COLUMN(BL3:BT3) - COLUMN(BL3) + 1, ""))&lt;&gt;"","BLU","")</f>
        <v>BLU</v>
      </c>
      <c r="HR3" s="44" t="str" cm="1">
        <f t="array" ref="HR3">IF(_xlfn.TEXTJOIN(", ", TRUE, IF(ISNUMBER(SEARCH("GRE", BL3:BT3)), COLUMN(BL3:BT3) - COLUMN(BL3) + 1, ""))&lt;&gt;"","GRE","")</f>
        <v>GRE</v>
      </c>
      <c r="HS3" s="44" t="str" cm="1">
        <f t="array" ref="HS3">IF(_xlfn.TEXTJOIN(", ", TRUE, IF(ISNUMBER(SEARCH("RED", BL3:BT3)), COLUMN(BL3:BT3) - COLUMN(BL3) + 1, ""))&lt;&gt;"","RED","")</f>
        <v>RED</v>
      </c>
      <c r="HT3" s="44" t="str" cm="1">
        <f t="array" ref="HT3">IF(_xlfn.TEXTJOIN(", ", TRUE, IF(ISNUMBER(SEARCH("YEL", BL3:BT3)), COLUMN(BL3:BT3) - COLUMN(BL3) + 1, ""))&lt;&gt;"","YEL","")</f>
        <v/>
      </c>
      <c r="HU3" s="44" t="str" cm="1">
        <f t="array" ref="HU3">IF(_xlfn.TEXTJOIN(", ", TRUE, IF(ISNUMBER(SEARCH("ORA", BL3:BT3)), COLUMN(BL3:BT3) - COLUMN(BL3) + 1, ""))&lt;&gt;"","ORA","")</f>
        <v/>
      </c>
      <c r="HV3" s="44" t="str" cm="1">
        <f t="array" ref="HV3">IF(_xlfn.TEXTJOIN(", ", TRUE, IF(ISNUMBER(SEARCH("BRO", BL3:BT3)), COLUMN(BL3:BT3) - COLUMN(BL3) + 1, ""))&lt;&gt;"","BRO","")</f>
        <v/>
      </c>
      <c r="HW3" s="44" t="str" cm="1">
        <f t="array" ref="HW3">IF(_xlfn.TEXTJOIN(", ", TRUE, IF(ISNUMBER(SEARCH("PUR", BL3:BT3)), COLUMN(BL3:BT3) - COLUMN(BL3) + 1, ""))&lt;&gt;"","PUR","")</f>
        <v/>
      </c>
      <c r="HX3" s="44" t="str" cm="1">
        <f t="array" ref="HX3">IF(_xlfn.TEXTJOIN(", ", TRUE, IF(ISNUMBER(SEARCH("WHI", BL3:BT3)), COLUMN(BL3:BT3) - COLUMN(BL3) + 1, ""))&lt;&gt;"","WHI","")</f>
        <v>WHI</v>
      </c>
      <c r="HY3" s="72"/>
      <c r="HZ3" s="72"/>
      <c r="IA3" s="5"/>
      <c r="IB3" s="5"/>
      <c r="IC3" s="68"/>
      <c r="ID3" s="68"/>
      <c r="IE3" s="68"/>
      <c r="IF3" s="68"/>
      <c r="IG3" s="68"/>
      <c r="IH3" s="68"/>
      <c r="II3" s="68"/>
      <c r="IJ3" s="68"/>
      <c r="IK3" s="68"/>
      <c r="IM3" s="42">
        <f>COUNTIF(IC3:IK3,"&gt;0")-CG3</f>
        <v>-5</v>
      </c>
      <c r="IN3" s="69" t="str">
        <f>"http://mkweb.bcgsc.ca/color-summarizer/?url="&amp;D3&amp;"&amp;precision=low&amp;num_clusters="&amp;CG3&amp;"&amp;text=1"</f>
        <v>http://mkweb.bcgsc.ca/color-summarizer/?url=https://upload.wikimedia.org/wikipedia/commons/thumb/e/e4/Flag_of_Bougainville.svg/640px-Flag_of_Bougainville.svg.png&amp;precision=low&amp;num_clusters=5&amp;text=1</v>
      </c>
      <c r="IO3" s="44" t="str">
        <f>IF(HP3&lt;&gt;"",CHAR(34)&amp;"black"&amp;CHAR(34),"")</f>
        <v>"black"</v>
      </c>
      <c r="IP3" s="44" t="str">
        <f>IF(HQ3&lt;&gt;"",CHAR(34)&amp;"blue"&amp;CHAR(34),"")</f>
        <v>"blue"</v>
      </c>
      <c r="IQ3" s="44" t="str">
        <f>IF(HR3&lt;&gt;"",CHAR(34)&amp;"green"&amp;CHAR(34),"")</f>
        <v>"green"</v>
      </c>
      <c r="IR3" s="44" t="str">
        <f>IF(HS3&lt;&gt;"",CHAR(34)&amp;"red"&amp;CHAR(34),"")</f>
        <v>"red"</v>
      </c>
      <c r="IS3" s="44" t="str">
        <f>IF(HT3&lt;&gt;"",CHAR(34)&amp;"yellow"&amp;CHAR(34),"")</f>
        <v/>
      </c>
      <c r="IT3" s="44" t="str">
        <f>IF(HU3&lt;&gt;"",CHAR(34)&amp;"orange"&amp;CHAR(34),"")</f>
        <v/>
      </c>
      <c r="IU3" s="44" t="str">
        <f>IF(HV3&lt;&gt;"",CHAR(34)&amp;"brown"&amp;CHAR(34),"")</f>
        <v/>
      </c>
      <c r="IV3" s="44" t="str">
        <f>IF(HW3&lt;&gt;"",CHAR(34)&amp;"purple"&amp;CHAR(34),"")</f>
        <v/>
      </c>
      <c r="IW3" s="44" t="str">
        <f>IF(HX3&lt;&gt;"",CHAR(34)&amp;"white"&amp;CHAR(34),"")</f>
        <v>"white"</v>
      </c>
      <c r="IX3" s="44" t="str">
        <f>"{"&amp;CHAR(34)&amp;"url"&amp;CHAR(34)&amp;":"&amp;CHAR(34)&amp;IN3&amp;CHAR(34)&amp;","&amp;CHAR(34)&amp;"name"&amp;CHAR(34)&amp;":"&amp;CHAR(34)&amp;A3&amp;CHAR(34)&amp;"},"</f>
        <v>{"url":"http://mkweb.bcgsc.ca/color-summarizer/?url=https://upload.wikimedia.org/wikipedia/commons/thumb/e/e4/Flag_of_Bougainville.svg/640px-Flag_of_Bougainville.svg.png&amp;precision=low&amp;num_clusters=5&amp;text=1","name":"[PNG] Bougainville"},</v>
      </c>
      <c r="IY3" s="44">
        <v>1383</v>
      </c>
    </row>
    <row r="4" spans="1:259" s="44" customFormat="1" ht="38.4" customHeight="1" thickBot="1" x14ac:dyDescent="0.35">
      <c r="A4" s="80" t="s">
        <v>635</v>
      </c>
      <c r="B4" s="78"/>
      <c r="C4" s="39">
        <v>2</v>
      </c>
      <c r="D4" s="70" t="s">
        <v>636</v>
      </c>
      <c r="E4" s="40" t="s">
        <v>636</v>
      </c>
      <c r="F4" s="41" t="s">
        <v>165</v>
      </c>
      <c r="G4" s="42">
        <f>COUNTIF($A$1:$A$8279,A4)</f>
        <v>1</v>
      </c>
      <c r="H4" s="43"/>
      <c r="I4" s="59" t="s">
        <v>637</v>
      </c>
      <c r="J4" s="44" t="str">
        <f>""</f>
        <v/>
      </c>
      <c r="K4" s="45"/>
      <c r="L4" s="46"/>
      <c r="M4" s="46"/>
      <c r="N4" s="47" t="s">
        <v>177</v>
      </c>
      <c r="O4" s="74" t="s">
        <v>230</v>
      </c>
      <c r="P4" s="48" t="s">
        <v>410</v>
      </c>
      <c r="Q4" s="73">
        <v>2</v>
      </c>
      <c r="R4" s="49" t="s">
        <v>177</v>
      </c>
      <c r="S4" s="50">
        <v>0</v>
      </c>
      <c r="T4" s="51" t="s">
        <v>167</v>
      </c>
      <c r="U4" s="52" t="s">
        <v>166</v>
      </c>
      <c r="V4" s="52" t="s">
        <v>166</v>
      </c>
      <c r="W4" s="52" t="s">
        <v>166</v>
      </c>
      <c r="X4" s="52" t="s">
        <v>166</v>
      </c>
      <c r="Y4" s="52" t="s">
        <v>166</v>
      </c>
      <c r="Z4" s="52" t="s">
        <v>166</v>
      </c>
      <c r="AA4" s="52" t="s">
        <v>166</v>
      </c>
      <c r="AB4" s="52" t="s">
        <v>166</v>
      </c>
      <c r="AC4" s="52" t="s">
        <v>166</v>
      </c>
      <c r="AD4" s="52" t="s">
        <v>166</v>
      </c>
      <c r="AE4" s="52" t="s">
        <v>166</v>
      </c>
      <c r="AF4" s="53" t="s">
        <v>166</v>
      </c>
      <c r="AG4" s="53" t="s">
        <v>166</v>
      </c>
      <c r="AH4" s="53" t="s">
        <v>166</v>
      </c>
      <c r="AI4" s="53" t="s">
        <v>166</v>
      </c>
      <c r="AJ4" s="53" t="s">
        <v>166</v>
      </c>
      <c r="AK4" s="53" t="s">
        <v>166</v>
      </c>
      <c r="AL4" s="53" t="s">
        <v>166</v>
      </c>
      <c r="AM4" s="53" t="s">
        <v>166</v>
      </c>
      <c r="AN4" s="53" t="s">
        <v>166</v>
      </c>
      <c r="AO4" s="53" t="s">
        <v>166</v>
      </c>
      <c r="AP4" s="53" t="s">
        <v>167</v>
      </c>
      <c r="AQ4" s="53" t="s">
        <v>166</v>
      </c>
      <c r="AR4" s="53" t="s">
        <v>166</v>
      </c>
      <c r="AS4" s="53" t="s">
        <v>166</v>
      </c>
      <c r="AT4" s="54">
        <v>6</v>
      </c>
      <c r="AU4" s="53" t="s">
        <v>355</v>
      </c>
      <c r="AV4" s="53" t="str">
        <f>IF(LEFT(A4,1)="[",LEFT(A4,5)&amp;AU4&amp;A4,"")</f>
        <v>[PNG]Province[PNG] Central Province</v>
      </c>
      <c r="AW4" s="53" t="str">
        <f>C4&amp;H4&amp;A4</f>
        <v>2[PNG] Central Province</v>
      </c>
      <c r="AX4" s="55"/>
      <c r="AY4" s="55"/>
      <c r="AZ4" s="56" t="s">
        <v>161</v>
      </c>
      <c r="BA4" s="56" t="s">
        <v>231</v>
      </c>
      <c r="BB4" s="56"/>
      <c r="BC4" s="57"/>
      <c r="BD4" s="58" t="s">
        <v>169</v>
      </c>
      <c r="BE4" s="59"/>
      <c r="BF4" s="58" t="s">
        <v>154</v>
      </c>
      <c r="BG4" s="58" t="s">
        <v>231</v>
      </c>
      <c r="BH4" s="58" t="s">
        <v>156</v>
      </c>
      <c r="BI4" s="58"/>
      <c r="BJ4" s="58"/>
      <c r="BK4" s="59"/>
      <c r="BL4" s="58" t="s">
        <v>153</v>
      </c>
      <c r="BM4" s="58" t="s">
        <v>154</v>
      </c>
      <c r="BN4" s="58" t="s">
        <v>231</v>
      </c>
      <c r="BO4" s="58" t="s">
        <v>156</v>
      </c>
      <c r="BP4" s="58" t="s">
        <v>231</v>
      </c>
      <c r="BQ4" s="58" t="s">
        <v>231</v>
      </c>
      <c r="BR4" s="58" t="s">
        <v>231</v>
      </c>
      <c r="BS4" s="58" t="s">
        <v>231</v>
      </c>
      <c r="BT4" s="58" t="s">
        <v>161</v>
      </c>
      <c r="BU4" s="60"/>
      <c r="BV4" s="61"/>
      <c r="BW4" s="61">
        <v>0</v>
      </c>
      <c r="BX4" s="59"/>
      <c r="BY4" s="44" t="s">
        <v>167</v>
      </c>
      <c r="CB4" s="5"/>
      <c r="CC4" s="5"/>
      <c r="CD4" s="62">
        <v>0</v>
      </c>
      <c r="CE4" s="62">
        <v>0</v>
      </c>
      <c r="CF4" s="62" t="e">
        <v>#REF!</v>
      </c>
      <c r="CG4" s="75" cm="1">
        <f t="array" ref="CG4">SUMPRODUCT(--(LEN(TRIM(BL4:BT4))&gt;0))</f>
        <v>4</v>
      </c>
      <c r="CH4" s="53" t="str">
        <f>IF(CG4=2,"y","n")</f>
        <v>n</v>
      </c>
      <c r="CI4" s="53" t="str">
        <f>IF(CG4=3,"y","n")</f>
        <v>n</v>
      </c>
      <c r="CJ4" s="53" t="str">
        <f>IF(CG4=4,"y","n")</f>
        <v>y</v>
      </c>
      <c r="CK4" s="53" t="str">
        <f>IF(CG4&gt;4,"y","n")</f>
        <v>n</v>
      </c>
      <c r="CL4" s="53" t="str">
        <f>IF(S4=0,"y","n")</f>
        <v>y</v>
      </c>
      <c r="CM4" s="53" t="str">
        <f>IF(S4=2,"y","n")</f>
        <v>n</v>
      </c>
      <c r="CN4" s="53" t="str">
        <f>IF(S4=3,"y","n")</f>
        <v>n</v>
      </c>
      <c r="CO4" s="53" t="str">
        <f>IF(S4&gt;=4,"y","n")</f>
        <v>n</v>
      </c>
      <c r="CP4" s="53" t="str">
        <f>IF(AT4=0,"y","n")</f>
        <v>n</v>
      </c>
      <c r="CQ4" s="53" t="str">
        <f>IF(AT4=1,"y","n")</f>
        <v>n</v>
      </c>
      <c r="CR4" s="53" t="str">
        <f>IF(AT4=2,"y","n")</f>
        <v>n</v>
      </c>
      <c r="CS4" s="53" t="str">
        <f>IF(AT4&gt;=3,"y","n")</f>
        <v>y</v>
      </c>
      <c r="CT4" s="38" t="str">
        <f>CHAR(34)&amp;A4&amp;CHAR(34)</f>
        <v>"[PNG] Central Province"</v>
      </c>
      <c r="CU4" s="63" t="str">
        <f>CHAR(34)&amp;"rgn_"&amp;R4&amp;CHAR(34)</f>
        <v>"rgn_Oceania"</v>
      </c>
      <c r="CV4" s="44" t="str">
        <f>CHAR(34)&amp;D4&amp;CHAR(34)</f>
        <v>"https://upload.wikimedia.org/wikipedia/commons/8/84/Flag_of_Central_Province%2C_Papua_New_Guinea.svg"</v>
      </c>
      <c r="CW4" s="44" t="str">
        <f t="shared" si="0"/>
        <v/>
      </c>
      <c r="CX4" s="44" t="str">
        <f t="shared" si="0"/>
        <v/>
      </c>
      <c r="CY4" s="44" t="str">
        <f t="shared" si="0"/>
        <v>"4Color",</v>
      </c>
      <c r="CZ4" s="44" t="str">
        <f t="shared" si="0"/>
        <v/>
      </c>
      <c r="DA4" s="44" t="str">
        <f>IF(Q4&gt;1,CHAR(34)&amp;"words2"&amp;CHAR(34)&amp;",","")</f>
        <v>"words2",</v>
      </c>
      <c r="DB4" s="44" t="str">
        <f>IF(Q4&gt;2,CHAR(34)&amp;"words3"&amp;CHAR(34)&amp;",","")</f>
        <v/>
      </c>
      <c r="DD4" s="44" t="str">
        <f>IF(LEN(CHAR(34)&amp;"lets"&amp;LEN(SUBSTITUTE(SUBSTITUTE(IFERROR(TRIM(SUBSTITUTE(A4,MID(A4,FIND("[",A4),FIND("]",A4)-FIND("[",A4)+1),"")),A4)," ",""),"-",""))&amp;CHAR(34)&amp;",")=9,CHAR(34)&amp;"lets"&amp;LEN(SUBSTITUTE(SUBSTITUTE(IFERROR(TRIM(SUBSTITUTE(A4,MID(A4,FIND("[",A4),FIND("]",A4)-FIND("[",A4)+1),"")),A4)," ",""),"-",""))&amp;CHAR(34)&amp;",",CHAR(34)&amp;"lets0"&amp;LEN(SUBSTITUTE(SUBSTITUTE(IFERROR(TRIM(SUBSTITUTE(A4,MID(A4,FIND("[",A4),FIND("]",A4)-FIND("[",A4)+1),"")),A4)," ",""),"-",""))&amp;CHAR(34)&amp;",")</f>
        <v>"lets15",</v>
      </c>
      <c r="DE4" s="44" t="str">
        <f>CHAR(34)&amp;"start"&amp;IFERROR(LEFT(SUBSTITUTE(A4,"["&amp;MID(A4,FIND("[",A4)+1,FIND("]",A4)-FIND("[",A4)-1)&amp;"] ",""),1),LEFT(A4,1))&amp;CHAR(34)&amp;","</f>
        <v>"startC",</v>
      </c>
      <c r="DF4" s="44" t="str">
        <f>IFERROR(IF(SEARCH("tan",A4)&gt;0,CHAR(34)&amp;"withtn"&amp;CHAR(34)&amp;",",""),"")</f>
        <v/>
      </c>
      <c r="DG4" s="44" t="str">
        <f>IFERROR(IF(SEARCH("q",A4)&gt;0,CHAR(34)&amp;"with_q"&amp;CHAR(34)&amp;",",""),"")</f>
        <v/>
      </c>
      <c r="DH4" s="44" t="str">
        <f>IFERROR(IF(SEARCH("v",A4)&gt;0,CHAR(34)&amp;"with_v"&amp;CHAR(34)&amp;",",""),"")</f>
        <v>"with_v",</v>
      </c>
      <c r="DI4" s="44" t="str">
        <f>IFERROR(IF(SEARCH("w",A4)&gt;0,CHAR(34)&amp;"with_w"&amp;CHAR(34)&amp;",",""),"")</f>
        <v/>
      </c>
      <c r="DJ4" s="44" t="str">
        <f>IFERROR(IF(SEARCH("y",A4)&gt;0,CHAR(34)&amp;"with_y"&amp;CHAR(34)&amp;",",""),"")</f>
        <v/>
      </c>
      <c r="DK4" s="44" t="str">
        <f>IFERROR(IF(SEARCH("z",A4)&gt;0,CHAR(34)&amp;"with_z"&amp;CHAR(34)&amp;",",""),"")</f>
        <v/>
      </c>
      <c r="DL4" s="44" t="str">
        <f>IF(CG4=2, CHAR(34) &amp; _xlfn.TEXTJOIN("", TRUE, _xlfn._xlws.SORT(HP4:HX4)) &amp; CHAR(34) &amp; ",", "")</f>
        <v/>
      </c>
      <c r="DM4" s="44" t="str" cm="1">
        <f t="array" ref="DM4">IF(CG4=3,CHAR(34) &amp; _xlfn.TEXTJOIN("", TRUE, RIGHT(HP4:HX4, 2)) &amp; CHAR(34) &amp; ",", "")</f>
        <v/>
      </c>
      <c r="DN4" s="44" t="str">
        <f>IF(AND(ISNUMBER(SEARCH("18", O4)), ISERROR(SEARCH("1918", O4)), ISERROR(SEARCH("2018", O4))), CHAR(34) &amp; "year18" &amp; CHAR(34) &amp; ",", "")</f>
        <v/>
      </c>
      <c r="DO4" s="44" t="str">
        <f>IF(AND(ISNUMBER(SEARCH("19", O4)), ISERROR(SEARCH("1819", O4)),  ISERROR(SEARCH("1219", O4)),ISERROR(SEARCH("1119", O4)),ISERROR(SEARCH("1190", O4)),ISERROR(SEARCH("2019", O4))), CHAR(34) &amp; "year19" &amp; CHAR(34) &amp; ",", "")</f>
        <v/>
      </c>
      <c r="DP4" s="5" t="str">
        <f>IF(AND(ISNUMBER(SEARCH("20", O4)), ISERROR(SEARCH("1920", O4))), CHAR(34)&amp;"year00"&amp;CHAR(34)&amp;",", "")</f>
        <v/>
      </c>
      <c r="DQ4" s="5" t="str">
        <f>IF(CC4="y",CHAR(34)&amp;"soviet"&amp;CHAR(34)&amp;",","")</f>
        <v/>
      </c>
      <c r="DR4" s="5" t="str">
        <f>IF(BY4="y",CHAR(34)&amp;"dgband"&amp;CHAR(34)&amp;",","")</f>
        <v>"dgband",</v>
      </c>
      <c r="DS4" s="5" t="str">
        <f>IF(W4="y",IF(AND(V4="n",BY4&lt;&gt;"y"),CHAR(34)&amp;"allver"&amp;CHAR(34)&amp;",",""),"")</f>
        <v/>
      </c>
      <c r="DT4" s="5" t="str">
        <f>IF(V4="y",IF(AND(W4="n",BY4&lt;&gt;"y"),CHAR(34)&amp;"allhor"&amp;CHAR(34)&amp;",",""),"")</f>
        <v/>
      </c>
      <c r="DU4" s="5" t="str">
        <f>IF(BY4="y",IF(AND(W4="n",V4="n"),CHAR(34)&amp;"alldia"&amp;CHAR(34)&amp;",",""),"")</f>
        <v>"alldia",</v>
      </c>
      <c r="DW4" s="44" t="str">
        <f t="shared" si="1"/>
        <v>"NoBand",</v>
      </c>
      <c r="DX4" s="44" t="str">
        <f t="shared" si="1"/>
        <v/>
      </c>
      <c r="DY4" s="44" t="str">
        <f t="shared" si="1"/>
        <v/>
      </c>
      <c r="DZ4" s="44" t="str">
        <f t="shared" si="1"/>
        <v/>
      </c>
      <c r="EA4" s="44" t="str">
        <f t="shared" si="2"/>
        <v>"Diagon",</v>
      </c>
      <c r="EB4" s="44" t="str">
        <f t="shared" si="2"/>
        <v/>
      </c>
      <c r="EC4" s="44" t="str">
        <f t="shared" si="2"/>
        <v/>
      </c>
      <c r="ED4" s="44" t="str">
        <f t="shared" si="2"/>
        <v/>
      </c>
      <c r="EE4" s="44" t="str">
        <f t="shared" si="2"/>
        <v/>
      </c>
      <c r="EF4" s="44" t="str">
        <f>IF(AND(Y4&lt;&gt;"n",Y4&lt;&gt;""),CHAR(34)&amp;Y$1&amp;CHAR(34)&amp;",","")</f>
        <v/>
      </c>
      <c r="EG4" s="44" t="str">
        <f t="shared" si="3"/>
        <v/>
      </c>
      <c r="EH4" s="44" t="str">
        <f t="shared" si="3"/>
        <v/>
      </c>
      <c r="EI4" s="44" t="str">
        <f t="shared" si="3"/>
        <v/>
      </c>
      <c r="EJ4" s="44" t="str">
        <f t="shared" si="3"/>
        <v/>
      </c>
      <c r="EK4" s="44" t="str">
        <f t="shared" si="3"/>
        <v/>
      </c>
      <c r="EL4" s="44" t="str">
        <f t="shared" si="3"/>
        <v/>
      </c>
      <c r="EM4" s="44" t="str">
        <f t="shared" si="3"/>
        <v/>
      </c>
      <c r="EN4" s="44" t="str">
        <f t="shared" si="3"/>
        <v/>
      </c>
      <c r="EO4" s="44" t="str">
        <f t="shared" si="3"/>
        <v/>
      </c>
      <c r="EP4" s="44" t="str">
        <f t="shared" si="3"/>
        <v/>
      </c>
      <c r="EQ4" s="44" t="str">
        <f t="shared" si="4"/>
        <v/>
      </c>
      <c r="ER4" s="44" t="str">
        <f t="shared" si="4"/>
        <v/>
      </c>
      <c r="ES4" s="44" t="str">
        <f t="shared" si="4"/>
        <v/>
      </c>
      <c r="ET4" s="44" t="str">
        <f t="shared" si="4"/>
        <v/>
      </c>
      <c r="EU4" s="44" t="str">
        <f t="shared" si="4"/>
        <v/>
      </c>
      <c r="EV4" s="44" t="str">
        <f t="shared" si="4"/>
        <v/>
      </c>
      <c r="EW4" s="44" t="str">
        <f t="shared" si="4"/>
        <v>"Ships!",</v>
      </c>
      <c r="EX4" s="44" t="str">
        <f t="shared" si="4"/>
        <v/>
      </c>
      <c r="EY4" s="44" t="str">
        <f t="shared" si="4"/>
        <v/>
      </c>
      <c r="EZ4" s="44" t="str">
        <f t="shared" si="4"/>
        <v/>
      </c>
      <c r="FA4" s="44" t="str">
        <f>IF(AT4&gt;0,CHAR(34)&amp;"sta"&amp;AZ4&amp;CHAR(34)&amp;",","")</f>
        <v>"staWHI",</v>
      </c>
      <c r="FB4" s="44" t="str">
        <f>IF(AND(AT4&gt;0,BA4&lt;&gt;""),CHAR(34)&amp;"sta"&amp;BA4&amp;CHAR(34)&amp;",","")</f>
        <v/>
      </c>
      <c r="FD4" s="44" t="str">
        <f>IF(BV4="n",CHAR(34)&amp;"tcWHYE"&amp;CHAR(34)&amp;",",IF(BV4="y",CHAR(34)&amp;FD$1&amp;CHAR(34)&amp;",",""))</f>
        <v/>
      </c>
      <c r="FE4" s="44" t="str">
        <f>IF(COUNTIF(BL4:BT4,"BLU")=0,CHAR(34)&amp;"NO_BLU"&amp;CHAR(34)&amp;",", "")</f>
        <v/>
      </c>
      <c r="FF4" s="44" t="str">
        <f>IF(COUNTIF(BL4:BT4,"WHI")=0,CHAR(34)&amp;"NO_WHI"&amp;CHAR(34)&amp;",", "")</f>
        <v/>
      </c>
      <c r="FG4" s="44" t="str">
        <f>IF(COUNTIF(BL4:BT4,"RED")=0,CHAR(34)&amp;"NO_RED"&amp;CHAR(34)&amp;",", "")</f>
        <v/>
      </c>
      <c r="FH4" s="44" t="str">
        <f>IF(COUNTIF(BL4:BS4,"GRE")=0,CHAR(34)&amp;"NO_GRE"&amp;CHAR(34)&amp;",", "")</f>
        <v>"NO_GRE",</v>
      </c>
      <c r="FI4" s="44" t="str">
        <f>IF(COUNTIF(BL4:BT4,"YEL")=0,CHAR(34)&amp;"NO_YEL"&amp;CHAR(34)&amp;",", "")</f>
        <v>"NO_YEL",</v>
      </c>
      <c r="FJ4" s="44" t="str">
        <f>IF(COUNTIF(BL4:BT4,"BLA")=0,CHAR(34)&amp;"NO_BLA"&amp;CHAR(34)&amp;",", "")</f>
        <v/>
      </c>
      <c r="FK4" s="44" t="str">
        <f>IF(AND(FH4&lt;&gt;"",FF4&lt;&gt;""),CHAR(34)&amp;"WHGRNO"&amp;CHAR(34)&amp;",","")</f>
        <v/>
      </c>
      <c r="FL4" s="44" t="str">
        <f>IF(AND(FI4&lt;&gt;"",FF4&lt;&gt;""),CHAR(34)&amp;"WHYENO"&amp;CHAR(34)&amp;",","")</f>
        <v/>
      </c>
      <c r="FM4" s="44" t="str">
        <f>IF(AND(FJ4&lt;&gt;"",FF4&lt;&gt;""),CHAR(34)&amp;"BAWHNO"&amp;CHAR(34)&amp;",","")</f>
        <v/>
      </c>
      <c r="FN4" s="44" t="str">
        <f>IF(AND(FE4&lt;&gt;"",FF4&lt;&gt;""),CHAR(34)&amp;"BLWHNO"&amp;CHAR(34)&amp;",","")</f>
        <v/>
      </c>
      <c r="FO4" s="44" t="str">
        <f>IF(AND(FE4&lt;&gt;"",FG4&lt;&gt;""),CHAR(34)&amp;"BLRENO"&amp;CHAR(34)&amp;",","")</f>
        <v/>
      </c>
      <c r="FP4" s="44" t="str">
        <f>IF(AND(FF4&lt;&gt;"",FF4&lt;&gt;""),CHAR(34)&amp;"WHRENO"&amp;CHAR(34)&amp;",","")</f>
        <v/>
      </c>
      <c r="FQ4" s="44" t="str">
        <f>IF(LEN(BF4)=3,CHAR(34)&amp;"001"&amp;BF4&amp;CHAR(34)&amp;",","")</f>
        <v>"001BLU",</v>
      </c>
      <c r="FR4" s="44" t="str">
        <f>IF(LEN(BG4)=3,CHAR(34)&amp;"002"&amp;BG4&amp;CHAR(34)&amp;",","")</f>
        <v/>
      </c>
      <c r="FS4" s="44" t="str">
        <f>IF(LEN(BH4)=3,CHAR(34)&amp;"003"&amp;BH4&amp;CHAR(34)&amp;",","")</f>
        <v>"003RED",</v>
      </c>
      <c r="FT4" s="44" t="str">
        <f>CHAR(34)&amp;"myr"&amp;BD4&amp;CHAR(34)&amp;","</f>
        <v>"myrEQ",</v>
      </c>
      <c r="FU4" s="44" t="str">
        <f>IF(AY4="y",CHAR(34)&amp;"island"&amp;CHAR(34)&amp;",","")</f>
        <v/>
      </c>
      <c r="FV4" s="44" t="str">
        <f>IF(BZ4="y",CHAR(34)&amp;"landlo"&amp;CHAR(34)&amp;",","")</f>
        <v/>
      </c>
      <c r="FW4" s="44" t="str">
        <f>IF(CA4="y",CHAR(34)&amp;"eunion"&amp;CHAR(34)&amp;",","")</f>
        <v/>
      </c>
      <c r="FY4" s="44" t="str">
        <f>IFERROR(IF(SEARCH("Arabic",CB4)&gt;0,CHAR(34)&amp;"arabic"&amp;CHAR(34)&amp;",",""),"")</f>
        <v/>
      </c>
      <c r="FZ4" s="44" t="str">
        <f>IFERROR(IF(SEARCH("English",CB4)&gt;0,CHAR(34)&amp;"englis"&amp;CHAR(34)&amp;",",""),"")</f>
        <v/>
      </c>
      <c r="GA4" s="44" t="str">
        <f>IFERROR(IF(SEARCH("French",CB4)&gt;0,CHAR(34)&amp;"french"&amp;CHAR(34)&amp;",",""),"")</f>
        <v/>
      </c>
      <c r="GB4" s="44" t="str">
        <f>IFERROR(IF(SEARCH("Spanish",CB4)&gt;0,CHAR(34)&amp;"spanis"&amp;CHAR(34)&amp;",",""),"")</f>
        <v/>
      </c>
      <c r="GE4" s="44" t="str">
        <f>IFERROR(IF(SEARCH("Dutch",CB4)&gt;0,CHAR(34)&amp;"dutchs"&amp;CHAR(34)&amp;",",""),"")</f>
        <v/>
      </c>
      <c r="GF4" s="44" t="str">
        <f>IFERROR(IF(SEARCH("Historical",AU4)&gt;0,CHAR(34)&amp;"histor"&amp;CHAR(34)&amp;",",""),"")</f>
        <v/>
      </c>
      <c r="GG4" s="44" t="str">
        <f>IF(BU4="y",CHAR(34)&amp;"unjack"&amp;CHAR(34)&amp;",","")</f>
        <v/>
      </c>
      <c r="GH4" s="44" t="str">
        <f>IF(CD4=1,CHAR(34)&amp;"southc"&amp;CHAR(34)&amp;",","")</f>
        <v/>
      </c>
      <c r="GI4" s="44" t="str">
        <f>IF(CE4=1,CHAR(34)&amp;"hasmap"&amp;CHAR(34)&amp;",","")</f>
        <v/>
      </c>
      <c r="GJ4" s="44" t="str">
        <f>IF(CP4="y",CHAR(34)&amp;CP$1&amp;CHAR(34)&amp;",","")</f>
        <v/>
      </c>
      <c r="GK4" s="44" t="str">
        <f>IF(GJ4="",CHAR(34)&amp;"HasSta"&amp;CHAR(34)&amp;",","")</f>
        <v>"HasSta",</v>
      </c>
      <c r="GL4" s="44" t="str">
        <f t="shared" si="5"/>
        <v/>
      </c>
      <c r="GM4" s="44" t="str">
        <f t="shared" si="5"/>
        <v/>
      </c>
      <c r="GN4" s="44" t="str">
        <f t="shared" si="5"/>
        <v>"3+Star",</v>
      </c>
      <c r="GP4" s="44" t="str">
        <f>CHAR(34)&amp;AU4&amp;CHAR(34)</f>
        <v>"Province"</v>
      </c>
      <c r="GS4" s="44" t="str">
        <f>SUBSTITUTE("["&amp;_xlfn.CONCAT(CW4:GN4)&amp;"]",",]","]")</f>
        <v>["4Color","words2","lets15","startC","with_v","dgband","alldia","NoBand","Diagon","Ships!","staWHI","NO_GRE","NO_YEL","001BLU","003RED","myrEQ","HasSta","3+Star"]</v>
      </c>
      <c r="GT4" s="44" t="str">
        <f t="shared" si="6"/>
        <v>"cl_BLA",</v>
      </c>
      <c r="GU4" s="44" t="str">
        <f t="shared" si="6"/>
        <v>"cl_BLU",</v>
      </c>
      <c r="GV4" s="44" t="str">
        <f t="shared" si="6"/>
        <v/>
      </c>
      <c r="GW4" s="44" t="str">
        <f t="shared" si="6"/>
        <v>"cl_RED",</v>
      </c>
      <c r="GX4" s="44" t="str">
        <f t="shared" si="6"/>
        <v/>
      </c>
      <c r="GY4" s="44" t="str">
        <f t="shared" si="6"/>
        <v/>
      </c>
      <c r="GZ4" s="44" t="str">
        <f t="shared" si="6"/>
        <v/>
      </c>
      <c r="HA4" s="44" t="str">
        <f t="shared" si="6"/>
        <v/>
      </c>
      <c r="HB4" s="44" t="str">
        <f t="shared" si="6"/>
        <v>"cl_WHI",</v>
      </c>
      <c r="HC4" s="44" t="str">
        <f>SUBSTITUTE("["&amp;_xlfn.CONCAT(GT4:HB4)&amp;"]",",]","]")</f>
        <v>["cl_BLA","cl_BLU","cl_RED","cl_WHI"]</v>
      </c>
      <c r="HE4" s="64"/>
      <c r="HF4" s="65" t="str">
        <f>"{couname:"&amp;CT4&amp;(IF(HK4&lt;&gt;"",",subtype:"&amp;CHAR(34)&amp;HK4&amp;CHAR(34),""))&amp;",year:"&amp;HJ4&amp;",region:"&amp;CU4&amp;",Colors:"&amp;HC4&amp;",Items:"&amp;GS4&amp;",Flag:"&amp;CV4&amp;",HDFlag:"&amp;CHAR(34)&amp;E4&amp;CHAR(34)&amp;",type:"&amp;GP4&amp;", describe: "&amp;HH4&amp;", isnew:"&amp;CHAR(34)&amp;F4&amp;CHAR(34)&amp;", links: "&amp;HL4&amp;"},"</f>
        <v>{couname:"[PNG] Central Province",year:"???",region:"rgn_Oceania",Colors:["cl_BLA","cl_BLU","cl_RED","cl_WHI"],Items:["4Color","words2","lets15","startC","with_v","dgband","alldia","NoBand","Diagon","Ships!","staWHI","NO_GRE","NO_YEL","001BLU","003RED","myrEQ","HasSta","3+Star"],Flag:"https://upload.wikimedia.org/wikipedia/commons/8/84/Flag_of_Central_Province%2C_Papua_New_Guinea.svg",HDFlag:"https://upload.wikimedia.org/wikipedia/commons/8/84/Flag_of_Central_Province%2C_Papua_New_Guinea.svg",type:"Province", describe: "\nNot Available", isnew:".", links: "https://en.wikipedia.org/wiki/Central_Province_(Papua_New_Guinea)"},</v>
      </c>
      <c r="HG4" s="66" t="str">
        <f>"{couname:"&amp;CT4&amp;(IF(HK4&lt;&gt;"",",subtype:"&amp;CHAR(34)&amp;HK4&amp;CHAR(34),""))&amp;",year:"&amp;HJ4&amp;",region:"&amp;CU4&amp;",Colors:"&amp;HC4&amp;",Items:"&amp;GS4&amp;",Flag:"&amp;CV4&amp;",HDFlag:"&amp;CHAR(34)&amp;E4&amp;CHAR(34)&amp;",type:"&amp;GP4&amp;", describe: "&amp;HI4&amp;", links: "&amp;HL4&amp;"},"</f>
        <v>{couname:"[PNG] Central Province",year:"???",region:"rgn_Oceania",Colors:["cl_BLA","cl_BLU","cl_RED","cl_WHI"],Items:["4Color","words2","lets15","startC","with_v","dgband","alldia","NoBand","Diagon","Ships!","staWHI","NO_GRE","NO_YEL","001BLU","003RED","myrEQ","HasSta","3+Star"],Flag:"https://upload.wikimedia.org/wikipedia/commons/8/84/Flag_of_Central_Province%2C_Papua_New_Guinea.svg",HDFlag:"https://upload.wikimedia.org/wikipedia/commons/8/84/Flag_of_Central_Province%2C_Papua_New_Guinea.svg",type:"Province", describe: "\nNot Available", links: "https://en.wikipedia.org/wiki/Central_Province_(Papua_New_Guinea)"},</v>
      </c>
      <c r="HH4" s="44" t="str">
        <f>IF(P4&lt;&gt;"",CHAR(34)&amp;"\n"&amp;P4&amp;CHAR(34),CHAR(34)&amp;CHAR(34))</f>
        <v>"\nNot Available"</v>
      </c>
      <c r="HI4" s="44" t="str">
        <f>IF(J4=0,CHAR(34)&amp;CHAR(34),HH4)</f>
        <v>"\nNot Available"</v>
      </c>
      <c r="HJ4" s="44" t="str">
        <f>CHAR(34)&amp;O4&amp;CHAR(34)</f>
        <v>"???"</v>
      </c>
      <c r="HL4" s="44" t="str">
        <f>CHAR(34)&amp;I4&amp;CHAR(34)</f>
        <v>"https://en.wikipedia.org/wiki/Central_Province_(Papua_New_Guinea)"</v>
      </c>
      <c r="HM4" s="65"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"&amp;HH4&amp;", "&amp;CHAR(34)&amp;"isnew"&amp;CHAR(34)&amp;": "&amp;CHAR(34)&amp;F4&amp;CHAR(34)&amp;", "&amp;CHAR(34)&amp;"links"&amp;CHAR(34)&amp;": "&amp;HL4&amp;"},"</f>
        <v>{"couname":"[PNG] Central Province","year":"???","region":"rgn_Oceania","Colors":["cl_BLA","cl_BLU","cl_RED","cl_WHI"],"Items":["4Color","words2","lets15","startC","with_v","dgband","alldia","NoBand","Diagon","Ships!","staWHI","NO_GRE","NO_YEL","001BLU","003RED","myrEQ","HasSta","3+Star"],"Flag":"https://upload.wikimedia.org/wikipedia/commons/8/84/Flag_of_Central_Province%2C_Papua_New_Guinea.svg","HDFlag":"https://upload.wikimedia.org/wikipedia/commons/8/84/Flag_of_Central_Province%2C_Papua_New_Guinea.svg","type":"Province", "describe": "\nNot Available", "isnew": ".", "links": "https://en.wikipedia.org/wiki/Central_Province_(Papua_New_Guinea)"},</v>
      </c>
      <c r="HN4" s="67"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"&amp;HI4&amp;", "&amp;CHAR(34)&amp;"isnew"&amp;CHAR(34)&amp;": "&amp;CHAR(34)&amp;F4&amp;CHAR(34)&amp;", "&amp;CHAR(34)&amp;"links"&amp;CHAR(34)&amp;": "&amp;HL4&amp;"},"</f>
        <v>{"couname":"[PNG] Central Province","year":"???","region":"rgn_Oceania","Colors":["cl_BLA","cl_BLU","cl_RED","cl_WHI"],"Items":["4Color","words2","lets15","startC","with_v","dgband","alldia","NoBand","Diagon","Ships!","staWHI","NO_GRE","NO_YEL","001BLU","003RED","myrEQ","HasSta","3+Star"],"Flag":"https://upload.wikimedia.org/wikipedia/commons/8/84/Flag_of_Central_Province%2C_Papua_New_Guinea.svg","HDFlag":"https://upload.wikimedia.org/wikipedia/commons/8/84/Flag_of_Central_Province%2C_Papua_New_Guinea.svg","type":"Province", "describe": "\nNot Available", "isnew": ".", "links": "https://en.wikipedia.org/wiki/Central_Province_(Papua_New_Guinea)"},</v>
      </c>
      <c r="HO4" s="71">
        <v>45618</v>
      </c>
      <c r="HP4" s="44" t="str" cm="1">
        <f t="array" ref="HP4">IF(_xlfn.TEXTJOIN(", ", TRUE, IF(ISNUMBER(SEARCH("BLA", BL4:BT4)), COLUMN(BL4:BT4) - COLUMN(BL4) + 1, ""))&lt;&gt;"","BLA","")</f>
        <v>BLA</v>
      </c>
      <c r="HQ4" s="44" t="str" cm="1">
        <f t="array" ref="HQ4">IF(_xlfn.TEXTJOIN(", ", TRUE, IF(ISNUMBER(SEARCH("BLU", BL4:BT4)), COLUMN(BL4:BT4) - COLUMN(BL4) + 1, ""))&lt;&gt;"","BLU","")</f>
        <v>BLU</v>
      </c>
      <c r="HR4" s="44" t="str" cm="1">
        <f t="array" ref="HR4">IF(_xlfn.TEXTJOIN(", ", TRUE, IF(ISNUMBER(SEARCH("GRE", BL4:BT4)), COLUMN(BL4:BT4) - COLUMN(BL4) + 1, ""))&lt;&gt;"","GRE","")</f>
        <v/>
      </c>
      <c r="HS4" s="44" t="str" cm="1">
        <f t="array" ref="HS4">IF(_xlfn.TEXTJOIN(", ", TRUE, IF(ISNUMBER(SEARCH("RED", BL4:BT4)), COLUMN(BL4:BT4) - COLUMN(BL4) + 1, ""))&lt;&gt;"","RED","")</f>
        <v>RED</v>
      </c>
      <c r="HT4" s="44" t="str" cm="1">
        <f t="array" ref="HT4">IF(_xlfn.TEXTJOIN(", ", TRUE, IF(ISNUMBER(SEARCH("YEL", BL4:BT4)), COLUMN(BL4:BT4) - COLUMN(BL4) + 1, ""))&lt;&gt;"","YEL","")</f>
        <v/>
      </c>
      <c r="HU4" s="44" t="str" cm="1">
        <f t="array" ref="HU4">IF(_xlfn.TEXTJOIN(", ", TRUE, IF(ISNUMBER(SEARCH("ORA", BL4:BT4)), COLUMN(BL4:BT4) - COLUMN(BL4) + 1, ""))&lt;&gt;"","ORA","")</f>
        <v/>
      </c>
      <c r="HV4" s="44" t="str" cm="1">
        <f t="array" ref="HV4">IF(_xlfn.TEXTJOIN(", ", TRUE, IF(ISNUMBER(SEARCH("BRO", BL4:BT4)), COLUMN(BL4:BT4) - COLUMN(BL4) + 1, ""))&lt;&gt;"","BRO","")</f>
        <v/>
      </c>
      <c r="HW4" s="44" t="str" cm="1">
        <f t="array" ref="HW4">IF(_xlfn.TEXTJOIN(", ", TRUE, IF(ISNUMBER(SEARCH("PUR", BL4:BT4)), COLUMN(BL4:BT4) - COLUMN(BL4) + 1, ""))&lt;&gt;"","PUR","")</f>
        <v/>
      </c>
      <c r="HX4" s="44" t="str" cm="1">
        <f t="array" ref="HX4">IF(_xlfn.TEXTJOIN(", ", TRUE, IF(ISNUMBER(SEARCH("WHI", BL4:BT4)), COLUMN(BL4:BT4) - COLUMN(BL4) + 1, ""))&lt;&gt;"","WHI","")</f>
        <v>WHI</v>
      </c>
      <c r="HY4" s="72"/>
      <c r="HZ4" s="72"/>
      <c r="IA4" s="5"/>
      <c r="IB4" s="5"/>
      <c r="IC4" s="68"/>
      <c r="ID4" s="68"/>
      <c r="IE4" s="68"/>
      <c r="IF4" s="68"/>
      <c r="IG4" s="68"/>
      <c r="IH4" s="68"/>
      <c r="II4" s="68"/>
      <c r="IJ4" s="68"/>
      <c r="IK4" s="68"/>
      <c r="IM4" s="42">
        <f>COUNTIF(IC4:IK4,"&gt;0")-CG4</f>
        <v>-4</v>
      </c>
      <c r="IN4" s="69" t="str">
        <f>"http://mkweb.bcgsc.ca/color-summarizer/?url="&amp;D4&amp;"&amp;precision=low&amp;num_clusters="&amp;CG4&amp;"&amp;text=1"</f>
        <v>http://mkweb.bcgsc.ca/color-summarizer/?url=https://upload.wikimedia.org/wikipedia/commons/8/84/Flag_of_Central_Province%2C_Papua_New_Guinea.svg&amp;precision=low&amp;num_clusters=4&amp;text=1</v>
      </c>
      <c r="IO4" s="44" t="str">
        <f>IF(HP4&lt;&gt;"",CHAR(34)&amp;"black"&amp;CHAR(34),"")</f>
        <v>"black"</v>
      </c>
      <c r="IP4" s="44" t="str">
        <f>IF(HQ4&lt;&gt;"",CHAR(34)&amp;"blue"&amp;CHAR(34),"")</f>
        <v>"blue"</v>
      </c>
      <c r="IQ4" s="44" t="str">
        <f>IF(HR4&lt;&gt;"",CHAR(34)&amp;"green"&amp;CHAR(34),"")</f>
        <v/>
      </c>
      <c r="IR4" s="44" t="str">
        <f>IF(HS4&lt;&gt;"",CHAR(34)&amp;"red"&amp;CHAR(34),"")</f>
        <v>"red"</v>
      </c>
      <c r="IS4" s="44" t="str">
        <f>IF(HT4&lt;&gt;"",CHAR(34)&amp;"yellow"&amp;CHAR(34),"")</f>
        <v/>
      </c>
      <c r="IT4" s="44" t="str">
        <f>IF(HU4&lt;&gt;"",CHAR(34)&amp;"orange"&amp;CHAR(34),"")</f>
        <v/>
      </c>
      <c r="IU4" s="44" t="str">
        <f>IF(HV4&lt;&gt;"",CHAR(34)&amp;"brown"&amp;CHAR(34),"")</f>
        <v/>
      </c>
      <c r="IV4" s="44" t="str">
        <f>IF(HW4&lt;&gt;"",CHAR(34)&amp;"purple"&amp;CHAR(34),"")</f>
        <v/>
      </c>
      <c r="IW4" s="44" t="str">
        <f>IF(HX4&lt;&gt;"",CHAR(34)&amp;"white"&amp;CHAR(34),"")</f>
        <v>"white"</v>
      </c>
      <c r="IX4" s="44" t="str">
        <f>"{"&amp;CHAR(34)&amp;"url"&amp;CHAR(34)&amp;":"&amp;CHAR(34)&amp;IN4&amp;CHAR(34)&amp;","&amp;CHAR(34)&amp;"name"&amp;CHAR(34)&amp;":"&amp;CHAR(34)&amp;A4&amp;CHAR(34)&amp;"},"</f>
        <v>{"url":"http://mkweb.bcgsc.ca/color-summarizer/?url=https://upload.wikimedia.org/wikipedia/commons/8/84/Flag_of_Central_Province%2C_Papua_New_Guinea.svg&amp;precision=low&amp;num_clusters=4&amp;text=1","name":"[PNG] Central Province"},</v>
      </c>
      <c r="IY4" s="44">
        <v>1053</v>
      </c>
    </row>
    <row r="5" spans="1:259" s="44" customFormat="1" ht="38.4" customHeight="1" thickBot="1" x14ac:dyDescent="0.35">
      <c r="A5" s="80" t="s">
        <v>638</v>
      </c>
      <c r="B5" s="78"/>
      <c r="C5" s="39">
        <v>2</v>
      </c>
      <c r="D5" s="70" t="s">
        <v>639</v>
      </c>
      <c r="E5" s="40" t="s">
        <v>639</v>
      </c>
      <c r="F5" s="41" t="s">
        <v>165</v>
      </c>
      <c r="G5" s="42">
        <f>COUNTIF($A$1:$A$8279,A5)</f>
        <v>1</v>
      </c>
      <c r="H5" s="43"/>
      <c r="I5" s="59" t="s">
        <v>640</v>
      </c>
      <c r="J5" s="44" t="str">
        <f>""</f>
        <v/>
      </c>
      <c r="K5" s="45"/>
      <c r="L5" s="46"/>
      <c r="M5" s="46"/>
      <c r="N5" s="47" t="s">
        <v>177</v>
      </c>
      <c r="O5" s="74" t="s">
        <v>230</v>
      </c>
      <c r="P5" s="48" t="s">
        <v>410</v>
      </c>
      <c r="Q5" s="73">
        <v>1</v>
      </c>
      <c r="R5" s="49" t="s">
        <v>177</v>
      </c>
      <c r="S5" s="50">
        <v>3</v>
      </c>
      <c r="T5" s="51" t="s">
        <v>167</v>
      </c>
      <c r="U5" s="52" t="s">
        <v>166</v>
      </c>
      <c r="V5" s="52" t="s">
        <v>166</v>
      </c>
      <c r="W5" s="52" t="s">
        <v>166</v>
      </c>
      <c r="X5" s="52" t="s">
        <v>167</v>
      </c>
      <c r="Y5" s="52" t="s">
        <v>167</v>
      </c>
      <c r="Z5" s="52" t="s">
        <v>166</v>
      </c>
      <c r="AA5" s="52" t="s">
        <v>167</v>
      </c>
      <c r="AB5" s="52" t="s">
        <v>166</v>
      </c>
      <c r="AC5" s="52" t="s">
        <v>167</v>
      </c>
      <c r="AD5" s="52" t="s">
        <v>166</v>
      </c>
      <c r="AE5" s="52" t="s">
        <v>166</v>
      </c>
      <c r="AF5" s="53" t="s">
        <v>166</v>
      </c>
      <c r="AG5" s="53" t="s">
        <v>167</v>
      </c>
      <c r="AH5" s="53" t="s">
        <v>166</v>
      </c>
      <c r="AI5" s="53" t="s">
        <v>166</v>
      </c>
      <c r="AJ5" s="53" t="s">
        <v>166</v>
      </c>
      <c r="AK5" s="53" t="s">
        <v>166</v>
      </c>
      <c r="AL5" s="53" t="s">
        <v>166</v>
      </c>
      <c r="AM5" s="53" t="s">
        <v>166</v>
      </c>
      <c r="AN5" s="53" t="s">
        <v>166</v>
      </c>
      <c r="AO5" s="53" t="s">
        <v>166</v>
      </c>
      <c r="AP5" s="53" t="s">
        <v>166</v>
      </c>
      <c r="AQ5" s="53" t="s">
        <v>166</v>
      </c>
      <c r="AR5" s="53" t="s">
        <v>166</v>
      </c>
      <c r="AS5" s="53" t="s">
        <v>166</v>
      </c>
      <c r="AT5" s="54">
        <v>5</v>
      </c>
      <c r="AU5" s="53" t="s">
        <v>355</v>
      </c>
      <c r="AV5" s="53" t="str">
        <f>IF(LEFT(A5,1)="[",LEFT(A5,5)&amp;AU5&amp;A5,"")</f>
        <v>[PNG]Province[PNG] Chimbu</v>
      </c>
      <c r="AW5" s="53" t="str">
        <f>C5&amp;H5&amp;A5</f>
        <v>2[PNG] Chimbu</v>
      </c>
      <c r="AX5" s="55"/>
      <c r="AY5" s="55"/>
      <c r="AZ5" s="56" t="s">
        <v>161</v>
      </c>
      <c r="BA5" s="56" t="s">
        <v>231</v>
      </c>
      <c r="BB5" s="56"/>
      <c r="BC5" s="57"/>
      <c r="BD5" s="58" t="s">
        <v>169</v>
      </c>
      <c r="BE5" s="59"/>
      <c r="BF5" s="58" t="s">
        <v>153</v>
      </c>
      <c r="BG5" s="58" t="s">
        <v>155</v>
      </c>
      <c r="BH5" s="58" t="s">
        <v>156</v>
      </c>
      <c r="BI5" s="58"/>
      <c r="BJ5" s="58"/>
      <c r="BK5" s="59"/>
      <c r="BL5" s="58" t="s">
        <v>153</v>
      </c>
      <c r="BM5" s="58" t="s">
        <v>231</v>
      </c>
      <c r="BN5" s="58" t="s">
        <v>155</v>
      </c>
      <c r="BO5" s="58" t="s">
        <v>156</v>
      </c>
      <c r="BP5" s="58" t="s">
        <v>157</v>
      </c>
      <c r="BQ5" s="58" t="s">
        <v>231</v>
      </c>
      <c r="BR5" s="58" t="s">
        <v>231</v>
      </c>
      <c r="BS5" s="58" t="s">
        <v>231</v>
      </c>
      <c r="BT5" s="58" t="s">
        <v>161</v>
      </c>
      <c r="BU5" s="60"/>
      <c r="BV5" s="61"/>
      <c r="BW5" s="61">
        <v>0</v>
      </c>
      <c r="BX5" s="59"/>
      <c r="BY5" s="44" t="s">
        <v>167</v>
      </c>
      <c r="CB5" s="5"/>
      <c r="CC5" s="5"/>
      <c r="CD5" s="62">
        <v>1</v>
      </c>
      <c r="CE5" s="62">
        <v>0</v>
      </c>
      <c r="CF5" s="62" t="e">
        <v>#REF!</v>
      </c>
      <c r="CG5" s="75" cm="1">
        <f t="array" ref="CG5">SUMPRODUCT(--(LEN(TRIM(BL5:BT5))&gt;0))</f>
        <v>5</v>
      </c>
      <c r="CH5" s="53" t="str">
        <f>IF(CG5=2,"y","n")</f>
        <v>n</v>
      </c>
      <c r="CI5" s="53" t="str">
        <f>IF(CG5=3,"y","n")</f>
        <v>n</v>
      </c>
      <c r="CJ5" s="53" t="str">
        <f>IF(CG5=4,"y","n")</f>
        <v>n</v>
      </c>
      <c r="CK5" s="53" t="str">
        <f>IF(CG5&gt;4,"y","n")</f>
        <v>y</v>
      </c>
      <c r="CL5" s="53" t="str">
        <f>IF(S5=0,"y","n")</f>
        <v>n</v>
      </c>
      <c r="CM5" s="53" t="str">
        <f>IF(S5=2,"y","n")</f>
        <v>n</v>
      </c>
      <c r="CN5" s="53" t="str">
        <f>IF(S5=3,"y","n")</f>
        <v>y</v>
      </c>
      <c r="CO5" s="53" t="str">
        <f>IF(S5&gt;=4,"y","n")</f>
        <v>n</v>
      </c>
      <c r="CP5" s="53" t="str">
        <f>IF(AT5=0,"y","n")</f>
        <v>n</v>
      </c>
      <c r="CQ5" s="53" t="str">
        <f>IF(AT5=1,"y","n")</f>
        <v>n</v>
      </c>
      <c r="CR5" s="53" t="str">
        <f>IF(AT5=2,"y","n")</f>
        <v>n</v>
      </c>
      <c r="CS5" s="53" t="str">
        <f>IF(AT5&gt;=3,"y","n")</f>
        <v>y</v>
      </c>
      <c r="CT5" s="38" t="str">
        <f>CHAR(34)&amp;A5&amp;CHAR(34)</f>
        <v>"[PNG] Chimbu"</v>
      </c>
      <c r="CU5" s="63" t="str">
        <f>CHAR(34)&amp;"rgn_"&amp;R5&amp;CHAR(34)</f>
        <v>"rgn_Oceania"</v>
      </c>
      <c r="CV5" s="44" t="str">
        <f>CHAR(34)&amp;D5&amp;CHAR(34)</f>
        <v>"https://upload.wikimedia.org/wikipedia/commons/e/ea/Flag_of_Chimbu.svg"</v>
      </c>
      <c r="CW5" s="44" t="str">
        <f t="shared" si="0"/>
        <v/>
      </c>
      <c r="CX5" s="44" t="str">
        <f t="shared" si="0"/>
        <v/>
      </c>
      <c r="CY5" s="44" t="str">
        <f t="shared" si="0"/>
        <v/>
      </c>
      <c r="CZ5" s="44" t="str">
        <f t="shared" si="0"/>
        <v>"5+Colo",</v>
      </c>
      <c r="DA5" s="44" t="str">
        <f>IF(Q5&gt;1,CHAR(34)&amp;"words2"&amp;CHAR(34)&amp;",","")</f>
        <v/>
      </c>
      <c r="DB5" s="44" t="str">
        <f>IF(Q5&gt;2,CHAR(34)&amp;"words3"&amp;CHAR(34)&amp;",","")</f>
        <v/>
      </c>
      <c r="DD5" s="44" t="str">
        <f>IF(LEN(CHAR(34)&amp;"lets"&amp;LEN(SUBSTITUTE(SUBSTITUTE(IFERROR(TRIM(SUBSTITUTE(A5,MID(A5,FIND("[",A5),FIND("]",A5)-FIND("[",A5)+1),"")),A5)," ",""),"-",""))&amp;CHAR(34)&amp;",")=9,CHAR(34)&amp;"lets"&amp;LEN(SUBSTITUTE(SUBSTITUTE(IFERROR(TRIM(SUBSTITUTE(A5,MID(A5,FIND("[",A5),FIND("]",A5)-FIND("[",A5)+1),"")),A5)," ",""),"-",""))&amp;CHAR(34)&amp;",",CHAR(34)&amp;"lets0"&amp;LEN(SUBSTITUTE(SUBSTITUTE(IFERROR(TRIM(SUBSTITUTE(A5,MID(A5,FIND("[",A5),FIND("]",A5)-FIND("[",A5)+1),"")),A5)," ",""),"-",""))&amp;CHAR(34)&amp;",")</f>
        <v>"lets06",</v>
      </c>
      <c r="DE5" s="44" t="str">
        <f>CHAR(34)&amp;"start"&amp;IFERROR(LEFT(SUBSTITUTE(A5,"["&amp;MID(A5,FIND("[",A5)+1,FIND("]",A5)-FIND("[",A5)-1)&amp;"] ",""),1),LEFT(A5,1))&amp;CHAR(34)&amp;","</f>
        <v>"startC",</v>
      </c>
      <c r="DF5" s="44" t="str">
        <f>IFERROR(IF(SEARCH("tan",A5)&gt;0,CHAR(34)&amp;"withtn"&amp;CHAR(34)&amp;",",""),"")</f>
        <v/>
      </c>
      <c r="DG5" s="44" t="str">
        <f>IFERROR(IF(SEARCH("q",A5)&gt;0,CHAR(34)&amp;"with_q"&amp;CHAR(34)&amp;",",""),"")</f>
        <v/>
      </c>
      <c r="DH5" s="44" t="str">
        <f>IFERROR(IF(SEARCH("v",A5)&gt;0,CHAR(34)&amp;"with_v"&amp;CHAR(34)&amp;",",""),"")</f>
        <v/>
      </c>
      <c r="DI5" s="44" t="str">
        <f>IFERROR(IF(SEARCH("w",A5)&gt;0,CHAR(34)&amp;"with_w"&amp;CHAR(34)&amp;",",""),"")</f>
        <v/>
      </c>
      <c r="DJ5" s="44" t="str">
        <f>IFERROR(IF(SEARCH("y",A5)&gt;0,CHAR(34)&amp;"with_y"&amp;CHAR(34)&amp;",",""),"")</f>
        <v/>
      </c>
      <c r="DK5" s="44" t="str">
        <f>IFERROR(IF(SEARCH("z",A5)&gt;0,CHAR(34)&amp;"with_z"&amp;CHAR(34)&amp;",",""),"")</f>
        <v/>
      </c>
      <c r="DL5" s="44" t="str">
        <f>IF(CG5=2, CHAR(34) &amp; _xlfn.TEXTJOIN("", TRUE, _xlfn._xlws.SORT(HP5:HX5)) &amp; CHAR(34) &amp; ",", "")</f>
        <v/>
      </c>
      <c r="DM5" s="44" t="str" cm="1">
        <f t="array" ref="DM5">IF(CG5=3,CHAR(34) &amp; _xlfn.TEXTJOIN("", TRUE, RIGHT(HP5:HX5, 2)) &amp; CHAR(34) &amp; ",", "")</f>
        <v/>
      </c>
      <c r="DN5" s="44" t="str">
        <f>IF(AND(ISNUMBER(SEARCH("18", O5)), ISERROR(SEARCH("1918", O5)), ISERROR(SEARCH("2018", O5))), CHAR(34) &amp; "year18" &amp; CHAR(34) &amp; ",", "")</f>
        <v/>
      </c>
      <c r="DO5" s="44" t="str">
        <f>IF(AND(ISNUMBER(SEARCH("19", O5)), ISERROR(SEARCH("1819", O5)),  ISERROR(SEARCH("1219", O5)),ISERROR(SEARCH("1119", O5)),ISERROR(SEARCH("1190", O5)),ISERROR(SEARCH("2019", O5))), CHAR(34) &amp; "year19" &amp; CHAR(34) &amp; ",", "")</f>
        <v/>
      </c>
      <c r="DP5" s="5" t="str">
        <f>IF(AND(ISNUMBER(SEARCH("20", O5)), ISERROR(SEARCH("1920", O5))), CHAR(34)&amp;"year00"&amp;CHAR(34)&amp;",", "")</f>
        <v/>
      </c>
      <c r="DQ5" s="5" t="str">
        <f>IF(CC5="y",CHAR(34)&amp;"soviet"&amp;CHAR(34)&amp;",","")</f>
        <v/>
      </c>
      <c r="DR5" s="5" t="str">
        <f>IF(BY5="y",CHAR(34)&amp;"dgband"&amp;CHAR(34)&amp;",","")</f>
        <v>"dgband",</v>
      </c>
      <c r="DS5" s="5" t="str">
        <f>IF(W5="y",IF(AND(V5="n",BY5&lt;&gt;"y"),CHAR(34)&amp;"allver"&amp;CHAR(34)&amp;",",""),"")</f>
        <v/>
      </c>
      <c r="DT5" s="5" t="str">
        <f>IF(V5="y",IF(AND(W5="n",BY5&lt;&gt;"y"),CHAR(34)&amp;"allhor"&amp;CHAR(34)&amp;",",""),"")</f>
        <v/>
      </c>
      <c r="DU5" s="5" t="str">
        <f>IF(BY5="y",IF(AND(W5="n",V5="n"),CHAR(34)&amp;"alldia"&amp;CHAR(34)&amp;",",""),"")</f>
        <v>"alldia",</v>
      </c>
      <c r="DW5" s="44" t="str">
        <f t="shared" si="1"/>
        <v/>
      </c>
      <c r="DX5" s="44" t="str">
        <f t="shared" si="1"/>
        <v/>
      </c>
      <c r="DY5" s="44" t="str">
        <f t="shared" si="1"/>
        <v>"3Bands",</v>
      </c>
      <c r="DZ5" s="44" t="str">
        <f t="shared" si="1"/>
        <v/>
      </c>
      <c r="EA5" s="44" t="str">
        <f t="shared" si="2"/>
        <v>"Diagon",</v>
      </c>
      <c r="EB5" s="44" t="str">
        <f t="shared" si="2"/>
        <v/>
      </c>
      <c r="EC5" s="44" t="str">
        <f t="shared" si="2"/>
        <v/>
      </c>
      <c r="ED5" s="44" t="str">
        <f t="shared" si="2"/>
        <v/>
      </c>
      <c r="EE5" s="44" t="str">
        <f t="shared" si="2"/>
        <v>"Circle",</v>
      </c>
      <c r="EF5" s="44" t="str">
        <f>IF(AND(Y5&lt;&gt;"n",Y5&lt;&gt;""),CHAR(34)&amp;Y$1&amp;CHAR(34)&amp;",","")</f>
        <v>"Animal",</v>
      </c>
      <c r="EG5" s="44" t="str">
        <f t="shared" si="3"/>
        <v/>
      </c>
      <c r="EH5" s="44" t="str">
        <f t="shared" si="3"/>
        <v>"Plants",</v>
      </c>
      <c r="EI5" s="44" t="str">
        <f t="shared" si="3"/>
        <v/>
      </c>
      <c r="EJ5" s="44" t="str">
        <f t="shared" si="3"/>
        <v>"Weapon",</v>
      </c>
      <c r="EK5" s="44" t="str">
        <f t="shared" si="3"/>
        <v/>
      </c>
      <c r="EL5" s="44" t="str">
        <f t="shared" si="3"/>
        <v/>
      </c>
      <c r="EM5" s="44" t="str">
        <f t="shared" si="3"/>
        <v/>
      </c>
      <c r="EN5" s="44" t="str">
        <f t="shared" si="3"/>
        <v>"Unequa",</v>
      </c>
      <c r="EO5" s="44" t="str">
        <f t="shared" si="3"/>
        <v/>
      </c>
      <c r="EP5" s="44" t="str">
        <f t="shared" si="3"/>
        <v/>
      </c>
      <c r="EQ5" s="44" t="str">
        <f t="shared" si="4"/>
        <v/>
      </c>
      <c r="ER5" s="44" t="str">
        <f t="shared" si="4"/>
        <v/>
      </c>
      <c r="ES5" s="44" t="str">
        <f t="shared" si="4"/>
        <v/>
      </c>
      <c r="ET5" s="44" t="str">
        <f t="shared" si="4"/>
        <v/>
      </c>
      <c r="EU5" s="44" t="str">
        <f t="shared" si="4"/>
        <v/>
      </c>
      <c r="EV5" s="44" t="str">
        <f t="shared" si="4"/>
        <v/>
      </c>
      <c r="EW5" s="44" t="str">
        <f t="shared" si="4"/>
        <v/>
      </c>
      <c r="EX5" s="44" t="str">
        <f t="shared" si="4"/>
        <v/>
      </c>
      <c r="EY5" s="44" t="str">
        <f t="shared" si="4"/>
        <v/>
      </c>
      <c r="EZ5" s="44" t="str">
        <f t="shared" si="4"/>
        <v/>
      </c>
      <c r="FA5" s="44" t="str">
        <f>IF(AT5&gt;0,CHAR(34)&amp;"sta"&amp;AZ5&amp;CHAR(34)&amp;",","")</f>
        <v>"staWHI",</v>
      </c>
      <c r="FB5" s="44" t="str">
        <f>IF(AND(AT5&gt;0,BA5&lt;&gt;""),CHAR(34)&amp;"sta"&amp;BA5&amp;CHAR(34)&amp;",","")</f>
        <v/>
      </c>
      <c r="FD5" s="44" t="str">
        <f>IF(BV5="n",CHAR(34)&amp;"tcWHYE"&amp;CHAR(34)&amp;",",IF(BV5="y",CHAR(34)&amp;FD$1&amp;CHAR(34)&amp;",",""))</f>
        <v/>
      </c>
      <c r="FE5" s="44" t="str">
        <f>IF(COUNTIF(BL5:BT5,"BLU")=0,CHAR(34)&amp;"NO_BLU"&amp;CHAR(34)&amp;",", "")</f>
        <v>"NO_BLU",</v>
      </c>
      <c r="FF5" s="44" t="str">
        <f>IF(COUNTIF(BL5:BT5,"WHI")=0,CHAR(34)&amp;"NO_WHI"&amp;CHAR(34)&amp;",", "")</f>
        <v/>
      </c>
      <c r="FG5" s="44" t="str">
        <f>IF(COUNTIF(BL5:BT5,"RED")=0,CHAR(34)&amp;"NO_RED"&amp;CHAR(34)&amp;",", "")</f>
        <v/>
      </c>
      <c r="FH5" s="44" t="str">
        <f>IF(COUNTIF(BL5:BS5,"GRE")=0,CHAR(34)&amp;"NO_GRE"&amp;CHAR(34)&amp;",", "")</f>
        <v/>
      </c>
      <c r="FI5" s="44" t="str">
        <f>IF(COUNTIF(BL5:BT5,"YEL")=0,CHAR(34)&amp;"NO_YEL"&amp;CHAR(34)&amp;",", "")</f>
        <v/>
      </c>
      <c r="FJ5" s="44" t="str">
        <f>IF(COUNTIF(BL5:BT5,"BLA")=0,CHAR(34)&amp;"NO_BLA"&amp;CHAR(34)&amp;",", "")</f>
        <v/>
      </c>
      <c r="FK5" s="44" t="str">
        <f>IF(AND(FH5&lt;&gt;"",FF5&lt;&gt;""),CHAR(34)&amp;"WHGRNO"&amp;CHAR(34)&amp;",","")</f>
        <v/>
      </c>
      <c r="FL5" s="44" t="str">
        <f>IF(AND(FI5&lt;&gt;"",FF5&lt;&gt;""),CHAR(34)&amp;"WHYENO"&amp;CHAR(34)&amp;",","")</f>
        <v/>
      </c>
      <c r="FM5" s="44" t="str">
        <f>IF(AND(FJ5&lt;&gt;"",FF5&lt;&gt;""),CHAR(34)&amp;"BAWHNO"&amp;CHAR(34)&amp;",","")</f>
        <v/>
      </c>
      <c r="FN5" s="44" t="str">
        <f>IF(AND(FE5&lt;&gt;"",FF5&lt;&gt;""),CHAR(34)&amp;"BLWHNO"&amp;CHAR(34)&amp;",","")</f>
        <v/>
      </c>
      <c r="FO5" s="44" t="str">
        <f>IF(AND(FE5&lt;&gt;"",FG5&lt;&gt;""),CHAR(34)&amp;"BLRENO"&amp;CHAR(34)&amp;",","")</f>
        <v/>
      </c>
      <c r="FP5" s="44" t="str">
        <f>IF(AND(FF5&lt;&gt;"",FF5&lt;&gt;""),CHAR(34)&amp;"WHRENO"&amp;CHAR(34)&amp;",","")</f>
        <v/>
      </c>
      <c r="FQ5" s="44" t="str">
        <f>IF(LEN(BF5)=3,CHAR(34)&amp;"001"&amp;BF5&amp;CHAR(34)&amp;",","")</f>
        <v>"001BLA",</v>
      </c>
      <c r="FR5" s="44" t="str">
        <f>IF(LEN(BG5)=3,CHAR(34)&amp;"002"&amp;BG5&amp;CHAR(34)&amp;",","")</f>
        <v>"002GRE",</v>
      </c>
      <c r="FS5" s="44" t="str">
        <f>IF(LEN(BH5)=3,CHAR(34)&amp;"003"&amp;BH5&amp;CHAR(34)&amp;",","")</f>
        <v>"003RED",</v>
      </c>
      <c r="FT5" s="44" t="str">
        <f>CHAR(34)&amp;"myr"&amp;BD5&amp;CHAR(34)&amp;","</f>
        <v>"myrEQ",</v>
      </c>
      <c r="FU5" s="44" t="str">
        <f>IF(AY5="y",CHAR(34)&amp;"island"&amp;CHAR(34)&amp;",","")</f>
        <v/>
      </c>
      <c r="FV5" s="44" t="str">
        <f>IF(BZ5="y",CHAR(34)&amp;"landlo"&amp;CHAR(34)&amp;",","")</f>
        <v/>
      </c>
      <c r="FW5" s="44" t="str">
        <f>IF(CA5="y",CHAR(34)&amp;"eunion"&amp;CHAR(34)&amp;",","")</f>
        <v/>
      </c>
      <c r="FY5" s="44" t="str">
        <f>IFERROR(IF(SEARCH("Arabic",CB5)&gt;0,CHAR(34)&amp;"arabic"&amp;CHAR(34)&amp;",",""),"")</f>
        <v/>
      </c>
      <c r="FZ5" s="44" t="str">
        <f>IFERROR(IF(SEARCH("English",CB5)&gt;0,CHAR(34)&amp;"englis"&amp;CHAR(34)&amp;",",""),"")</f>
        <v/>
      </c>
      <c r="GA5" s="44" t="str">
        <f>IFERROR(IF(SEARCH("French",CB5)&gt;0,CHAR(34)&amp;"french"&amp;CHAR(34)&amp;",",""),"")</f>
        <v/>
      </c>
      <c r="GB5" s="44" t="str">
        <f>IFERROR(IF(SEARCH("Spanish",CB5)&gt;0,CHAR(34)&amp;"spanis"&amp;CHAR(34)&amp;",",""),"")</f>
        <v/>
      </c>
      <c r="GE5" s="44" t="str">
        <f>IFERROR(IF(SEARCH("Dutch",CB5)&gt;0,CHAR(34)&amp;"dutchs"&amp;CHAR(34)&amp;",",""),"")</f>
        <v/>
      </c>
      <c r="GF5" s="44" t="str">
        <f>IFERROR(IF(SEARCH("Historical",AU5)&gt;0,CHAR(34)&amp;"histor"&amp;CHAR(34)&amp;",",""),"")</f>
        <v/>
      </c>
      <c r="GG5" s="44" t="str">
        <f>IF(BU5="y",CHAR(34)&amp;"unjack"&amp;CHAR(34)&amp;",","")</f>
        <v/>
      </c>
      <c r="GH5" s="44" t="str">
        <f>IF(CD5=1,CHAR(34)&amp;"southc"&amp;CHAR(34)&amp;",","")</f>
        <v>"southc",</v>
      </c>
      <c r="GI5" s="44" t="str">
        <f>IF(CE5=1,CHAR(34)&amp;"hasmap"&amp;CHAR(34)&amp;",","")</f>
        <v/>
      </c>
      <c r="GJ5" s="44" t="str">
        <f>IF(CP5="y",CHAR(34)&amp;CP$1&amp;CHAR(34)&amp;",","")</f>
        <v/>
      </c>
      <c r="GK5" s="44" t="str">
        <f>IF(GJ5="",CHAR(34)&amp;"HasSta"&amp;CHAR(34)&amp;",","")</f>
        <v>"HasSta",</v>
      </c>
      <c r="GL5" s="44" t="str">
        <f t="shared" si="5"/>
        <v/>
      </c>
      <c r="GM5" s="44" t="str">
        <f t="shared" si="5"/>
        <v/>
      </c>
      <c r="GN5" s="44" t="str">
        <f t="shared" si="5"/>
        <v>"3+Star",</v>
      </c>
      <c r="GP5" s="44" t="str">
        <f>CHAR(34)&amp;AU5&amp;CHAR(34)</f>
        <v>"Province"</v>
      </c>
      <c r="GS5" s="44" t="str">
        <f>SUBSTITUTE("["&amp;_xlfn.CONCAT(CW5:GN5)&amp;"]",",]","]")</f>
        <v>["5+Colo","lets06","startC","dgband","alldia","3Bands","Diagon","Circle","Animal","Plants","Weapon","Unequa","staWHI","NO_BLU","001BLA","002GRE","003RED","myrEQ","southc","HasSta","3+Star"]</v>
      </c>
      <c r="GT5" s="44" t="str">
        <f t="shared" si="6"/>
        <v>"cl_BLA",</v>
      </c>
      <c r="GU5" s="44" t="str">
        <f t="shared" si="6"/>
        <v/>
      </c>
      <c r="GV5" s="44" t="str">
        <f t="shared" si="6"/>
        <v>"cl_GRE",</v>
      </c>
      <c r="GW5" s="44" t="str">
        <f t="shared" si="6"/>
        <v>"cl_RED",</v>
      </c>
      <c r="GX5" s="44" t="str">
        <f t="shared" si="6"/>
        <v>"cl_YEL",</v>
      </c>
      <c r="GY5" s="44" t="str">
        <f t="shared" si="6"/>
        <v/>
      </c>
      <c r="GZ5" s="44" t="str">
        <f t="shared" si="6"/>
        <v/>
      </c>
      <c r="HA5" s="44" t="str">
        <f t="shared" si="6"/>
        <v/>
      </c>
      <c r="HB5" s="44" t="str">
        <f t="shared" si="6"/>
        <v>"cl_WHI",</v>
      </c>
      <c r="HC5" s="44" t="str">
        <f>SUBSTITUTE("["&amp;_xlfn.CONCAT(GT5:HB5)&amp;"]",",]","]")</f>
        <v>["cl_BLA","cl_GRE","cl_RED","cl_YEL","cl_WHI"]</v>
      </c>
      <c r="HE5" s="64"/>
      <c r="HF5" s="65" t="str">
        <f>"{couname:"&amp;CT5&amp;(IF(HK5&lt;&gt;"",",subtype:"&amp;CHAR(34)&amp;HK5&amp;CHAR(34),""))&amp;",year:"&amp;HJ5&amp;",region:"&amp;CU5&amp;",Colors:"&amp;HC5&amp;",Items:"&amp;GS5&amp;",Flag:"&amp;CV5&amp;",HDFlag:"&amp;CHAR(34)&amp;E5&amp;CHAR(34)&amp;",type:"&amp;GP5&amp;", describe: "&amp;HH5&amp;", isnew:"&amp;CHAR(34)&amp;F5&amp;CHAR(34)&amp;", links: "&amp;HL5&amp;"},"</f>
        <v>{couname:"[PNG] Chimbu",year:"???",region:"rgn_Oceania",Colors:["cl_BLA","cl_GRE","cl_RED","cl_YEL","cl_WHI"],Items:["5+Colo","lets06","startC","dgband","alldia","3Bands","Diagon","Circle","Animal","Plants","Weapon","Unequa","staWHI","NO_BLU","001BLA","002GRE","003RED","myrEQ","southc","HasSta","3+Star"],Flag:"https://upload.wikimedia.org/wikipedia/commons/e/ea/Flag_of_Chimbu.svg",HDFlag:"https://upload.wikimedia.org/wikipedia/commons/e/ea/Flag_of_Chimbu.svg",type:"Province", describe: "\nNot Available", isnew:".", links: "https://en.wikipedia.org/wiki/Chimbu_Province"},</v>
      </c>
      <c r="HG5" s="66" t="str">
        <f>"{couname:"&amp;CT5&amp;(IF(HK5&lt;&gt;"",",subtype:"&amp;CHAR(34)&amp;HK5&amp;CHAR(34),""))&amp;",year:"&amp;HJ5&amp;",region:"&amp;CU5&amp;",Colors:"&amp;HC5&amp;",Items:"&amp;GS5&amp;",Flag:"&amp;CV5&amp;",HDFlag:"&amp;CHAR(34)&amp;E5&amp;CHAR(34)&amp;",type:"&amp;GP5&amp;", describe: "&amp;HI5&amp;", links: "&amp;HL5&amp;"},"</f>
        <v>{couname:"[PNG] Chimbu",year:"???",region:"rgn_Oceania",Colors:["cl_BLA","cl_GRE","cl_RED","cl_YEL","cl_WHI"],Items:["5+Colo","lets06","startC","dgband","alldia","3Bands","Diagon","Circle","Animal","Plants","Weapon","Unequa","staWHI","NO_BLU","001BLA","002GRE","003RED","myrEQ","southc","HasSta","3+Star"],Flag:"https://upload.wikimedia.org/wikipedia/commons/e/ea/Flag_of_Chimbu.svg",HDFlag:"https://upload.wikimedia.org/wikipedia/commons/e/ea/Flag_of_Chimbu.svg",type:"Province", describe: "\nNot Available", links: "https://en.wikipedia.org/wiki/Chimbu_Province"},</v>
      </c>
      <c r="HH5" s="44" t="str">
        <f>IF(P5&lt;&gt;"",CHAR(34)&amp;"\n"&amp;P5&amp;CHAR(34),CHAR(34)&amp;CHAR(34))</f>
        <v>"\nNot Available"</v>
      </c>
      <c r="HI5" s="44" t="str">
        <f>IF(J5=0,CHAR(34)&amp;CHAR(34),HH5)</f>
        <v>"\nNot Available"</v>
      </c>
      <c r="HJ5" s="44" t="str">
        <f>CHAR(34)&amp;O5&amp;CHAR(34)</f>
        <v>"???"</v>
      </c>
      <c r="HL5" s="44" t="str">
        <f>CHAR(34)&amp;I5&amp;CHAR(34)</f>
        <v>"https://en.wikipedia.org/wiki/Chimbu_Province"</v>
      </c>
      <c r="HM5" s="65" t="str">
        <f>"{"&amp;CHAR(34)&amp;"couname"&amp;CHAR(34)&amp;":"&amp;CT5&amp;(IF(H5&lt;&gt;"",","&amp;CHAR(34)&amp;"subtype"&amp;CHAR(34)&amp;":"&amp;CHAR(34)&amp;H5&amp;CHAR(34),""))&amp;","&amp;CHAR(34)&amp;"year"&amp;CHAR(34)&amp;":"&amp;HJ5&amp;","&amp;CHAR(34)&amp;"region"&amp;CHAR(34)&amp;":"&amp;CU5&amp;","&amp;CHAR(34)&amp;"Colors"&amp;CHAR(34)&amp;":"&amp;HC5&amp;","&amp;CHAR(34)&amp;"Items"&amp;CHAR(34)&amp;":"&amp;GS5&amp;","&amp;CHAR(34)&amp;"Flag"&amp;CHAR(34)&amp;":"&amp;CV5&amp;","&amp;CHAR(34)&amp;"HDFlag"&amp;CHAR(34)&amp;":"&amp;CHAR(34)&amp;E5&amp;CHAR(34)&amp;","&amp;CHAR(34)&amp;"type"&amp;CHAR(34)&amp;":"&amp;GP5&amp;", "&amp;CHAR(34)&amp;"describe"&amp;CHAR(34)&amp;": "&amp;HH5&amp;", "&amp;CHAR(34)&amp;"isnew"&amp;CHAR(34)&amp;": "&amp;CHAR(34)&amp;F5&amp;CHAR(34)&amp;", "&amp;CHAR(34)&amp;"links"&amp;CHAR(34)&amp;": "&amp;HL5&amp;"},"</f>
        <v>{"couname":"[PNG] Chimbu","year":"???","region":"rgn_Oceania","Colors":["cl_BLA","cl_GRE","cl_RED","cl_YEL","cl_WHI"],"Items":["5+Colo","lets06","startC","dgband","alldia","3Bands","Diagon","Circle","Animal","Plants","Weapon","Unequa","staWHI","NO_BLU","001BLA","002GRE","003RED","myrEQ","southc","HasSta","3+Star"],"Flag":"https://upload.wikimedia.org/wikipedia/commons/e/ea/Flag_of_Chimbu.svg","HDFlag":"https://upload.wikimedia.org/wikipedia/commons/e/ea/Flag_of_Chimbu.svg","type":"Province", "describe": "\nNot Available", "isnew": ".", "links": "https://en.wikipedia.org/wiki/Chimbu_Province"},</v>
      </c>
      <c r="HN5" s="67" t="str">
        <f>"{"&amp;CHAR(34)&amp;"couname"&amp;CHAR(34)&amp;":"&amp;CT5&amp;(IF(H5&lt;&gt;"",","&amp;CHAR(34)&amp;"subtype"&amp;CHAR(34)&amp;":"&amp;CHAR(34)&amp;H5&amp;CHAR(34),""))&amp;","&amp;CHAR(34)&amp;"year"&amp;CHAR(34)&amp;":"&amp;HJ5&amp;","&amp;CHAR(34)&amp;"region"&amp;CHAR(34)&amp;":"&amp;CU5&amp;","&amp;CHAR(34)&amp;"Colors"&amp;CHAR(34)&amp;":"&amp;HC5&amp;","&amp;CHAR(34)&amp;"Items"&amp;CHAR(34)&amp;":"&amp;GS5&amp;","&amp;CHAR(34)&amp;"Flag"&amp;CHAR(34)&amp;":"&amp;CV5&amp;","&amp;CHAR(34)&amp;"HDFlag"&amp;CHAR(34)&amp;":"&amp;CHAR(34)&amp;E5&amp;CHAR(34)&amp;","&amp;CHAR(34)&amp;"type"&amp;CHAR(34)&amp;":"&amp;GP5&amp;", "&amp;CHAR(34)&amp;"describe"&amp;CHAR(34)&amp;": "&amp;HI5&amp;", "&amp;CHAR(34)&amp;"isnew"&amp;CHAR(34)&amp;": "&amp;CHAR(34)&amp;F5&amp;CHAR(34)&amp;", "&amp;CHAR(34)&amp;"links"&amp;CHAR(34)&amp;": "&amp;HL5&amp;"},"</f>
        <v>{"couname":"[PNG] Chimbu","year":"???","region":"rgn_Oceania","Colors":["cl_BLA","cl_GRE","cl_RED","cl_YEL","cl_WHI"],"Items":["5+Colo","lets06","startC","dgband","alldia","3Bands","Diagon","Circle","Animal","Plants","Weapon","Unequa","staWHI","NO_BLU","001BLA","002GRE","003RED","myrEQ","southc","HasSta","3+Star"],"Flag":"https://upload.wikimedia.org/wikipedia/commons/e/ea/Flag_of_Chimbu.svg","HDFlag":"https://upload.wikimedia.org/wikipedia/commons/e/ea/Flag_of_Chimbu.svg","type":"Province", "describe": "\nNot Available", "isnew": ".", "links": "https://en.wikipedia.org/wiki/Chimbu_Province"},</v>
      </c>
      <c r="HO5" s="71">
        <v>45618</v>
      </c>
      <c r="HP5" s="44" t="str" cm="1">
        <f t="array" ref="HP5">IF(_xlfn.TEXTJOIN(", ", TRUE, IF(ISNUMBER(SEARCH("BLA", BL5:BT5)), COLUMN(BL5:BT5) - COLUMN(BL5) + 1, ""))&lt;&gt;"","BLA","")</f>
        <v>BLA</v>
      </c>
      <c r="HQ5" s="44" t="str" cm="1">
        <f t="array" ref="HQ5">IF(_xlfn.TEXTJOIN(", ", TRUE, IF(ISNUMBER(SEARCH("BLU", BL5:BT5)), COLUMN(BL5:BT5) - COLUMN(BL5) + 1, ""))&lt;&gt;"","BLU","")</f>
        <v/>
      </c>
      <c r="HR5" s="44" t="str" cm="1">
        <f t="array" ref="HR5">IF(_xlfn.TEXTJOIN(", ", TRUE, IF(ISNUMBER(SEARCH("GRE", BL5:BT5)), COLUMN(BL5:BT5) - COLUMN(BL5) + 1, ""))&lt;&gt;"","GRE","")</f>
        <v>GRE</v>
      </c>
      <c r="HS5" s="44" t="str" cm="1">
        <f t="array" ref="HS5">IF(_xlfn.TEXTJOIN(", ", TRUE, IF(ISNUMBER(SEARCH("RED", BL5:BT5)), COLUMN(BL5:BT5) - COLUMN(BL5) + 1, ""))&lt;&gt;"","RED","")</f>
        <v>RED</v>
      </c>
      <c r="HT5" s="44" t="str" cm="1">
        <f t="array" ref="HT5">IF(_xlfn.TEXTJOIN(", ", TRUE, IF(ISNUMBER(SEARCH("YEL", BL5:BT5)), COLUMN(BL5:BT5) - COLUMN(BL5) + 1, ""))&lt;&gt;"","YEL","")</f>
        <v>YEL</v>
      </c>
      <c r="HU5" s="44" t="str" cm="1">
        <f t="array" ref="HU5">IF(_xlfn.TEXTJOIN(", ", TRUE, IF(ISNUMBER(SEARCH("ORA", BL5:BT5)), COLUMN(BL5:BT5) - COLUMN(BL5) + 1, ""))&lt;&gt;"","ORA","")</f>
        <v/>
      </c>
      <c r="HV5" s="44" t="str" cm="1">
        <f t="array" ref="HV5">IF(_xlfn.TEXTJOIN(", ", TRUE, IF(ISNUMBER(SEARCH("BRO", BL5:BT5)), COLUMN(BL5:BT5) - COLUMN(BL5) + 1, ""))&lt;&gt;"","BRO","")</f>
        <v/>
      </c>
      <c r="HW5" s="44" t="str" cm="1">
        <f t="array" ref="HW5">IF(_xlfn.TEXTJOIN(", ", TRUE, IF(ISNUMBER(SEARCH("PUR", BL5:BT5)), COLUMN(BL5:BT5) - COLUMN(BL5) + 1, ""))&lt;&gt;"","PUR","")</f>
        <v/>
      </c>
      <c r="HX5" s="44" t="str" cm="1">
        <f t="array" ref="HX5">IF(_xlfn.TEXTJOIN(", ", TRUE, IF(ISNUMBER(SEARCH("WHI", BL5:BT5)), COLUMN(BL5:BT5) - COLUMN(BL5) + 1, ""))&lt;&gt;"","WHI","")</f>
        <v>WHI</v>
      </c>
      <c r="HY5" s="72"/>
      <c r="HZ5" s="72"/>
      <c r="IA5" s="5"/>
      <c r="IB5" s="5"/>
      <c r="IC5" s="68"/>
      <c r="ID5" s="68"/>
      <c r="IE5" s="68"/>
      <c r="IF5" s="68"/>
      <c r="IG5" s="68"/>
      <c r="IH5" s="68"/>
      <c r="II5" s="68"/>
      <c r="IJ5" s="68"/>
      <c r="IK5" s="68"/>
      <c r="IM5" s="42">
        <f>COUNTIF(IC5:IK5,"&gt;0")-CG5</f>
        <v>-5</v>
      </c>
      <c r="IN5" s="69" t="str">
        <f>"http://mkweb.bcgsc.ca/color-summarizer/?url="&amp;D5&amp;"&amp;precision=low&amp;num_clusters="&amp;CG5&amp;"&amp;text=1"</f>
        <v>http://mkweb.bcgsc.ca/color-summarizer/?url=https://upload.wikimedia.org/wikipedia/commons/e/ea/Flag_of_Chimbu.svg&amp;precision=low&amp;num_clusters=5&amp;text=1</v>
      </c>
      <c r="IO5" s="44" t="str">
        <f>IF(HP5&lt;&gt;"",CHAR(34)&amp;"black"&amp;CHAR(34),"")</f>
        <v>"black"</v>
      </c>
      <c r="IP5" s="44" t="str">
        <f>IF(HQ5&lt;&gt;"",CHAR(34)&amp;"blue"&amp;CHAR(34),"")</f>
        <v/>
      </c>
      <c r="IQ5" s="44" t="str">
        <f>IF(HR5&lt;&gt;"",CHAR(34)&amp;"green"&amp;CHAR(34),"")</f>
        <v>"green"</v>
      </c>
      <c r="IR5" s="44" t="str">
        <f>IF(HS5&lt;&gt;"",CHAR(34)&amp;"red"&amp;CHAR(34),"")</f>
        <v>"red"</v>
      </c>
      <c r="IS5" s="44" t="str">
        <f>IF(HT5&lt;&gt;"",CHAR(34)&amp;"yellow"&amp;CHAR(34),"")</f>
        <v>"yellow"</v>
      </c>
      <c r="IT5" s="44" t="str">
        <f>IF(HU5&lt;&gt;"",CHAR(34)&amp;"orange"&amp;CHAR(34),"")</f>
        <v/>
      </c>
      <c r="IU5" s="44" t="str">
        <f>IF(HV5&lt;&gt;"",CHAR(34)&amp;"brown"&amp;CHAR(34),"")</f>
        <v/>
      </c>
      <c r="IV5" s="44" t="str">
        <f>IF(HW5&lt;&gt;"",CHAR(34)&amp;"purple"&amp;CHAR(34),"")</f>
        <v/>
      </c>
      <c r="IW5" s="44" t="str">
        <f>IF(HX5&lt;&gt;"",CHAR(34)&amp;"white"&amp;CHAR(34),"")</f>
        <v>"white"</v>
      </c>
      <c r="IX5" s="44" t="str">
        <f>"{"&amp;CHAR(34)&amp;"url"&amp;CHAR(34)&amp;":"&amp;CHAR(34)&amp;IN5&amp;CHAR(34)&amp;","&amp;CHAR(34)&amp;"name"&amp;CHAR(34)&amp;":"&amp;CHAR(34)&amp;A5&amp;CHAR(34)&amp;"},"</f>
        <v>{"url":"http://mkweb.bcgsc.ca/color-summarizer/?url=https://upload.wikimedia.org/wikipedia/commons/e/ea/Flag_of_Chimbu.svg&amp;precision=low&amp;num_clusters=5&amp;text=1","name":"[PNG] Chimbu"},</v>
      </c>
      <c r="IY5" s="44">
        <v>1054</v>
      </c>
    </row>
    <row r="6" spans="1:259" ht="38.4" customHeight="1" x14ac:dyDescent="0.3">
      <c r="J6" s="44" t="str">
        <f>""</f>
        <v/>
      </c>
    </row>
    <row r="7" spans="1:259" ht="38.4" customHeight="1" x14ac:dyDescent="0.3">
      <c r="J7" s="44" t="str">
        <f>""</f>
        <v/>
      </c>
    </row>
    <row r="8" spans="1:259" ht="38.4" customHeight="1" x14ac:dyDescent="0.3">
      <c r="J8" s="44" t="str">
        <f>""</f>
        <v/>
      </c>
    </row>
  </sheetData>
  <autoFilter ref="A1:IY5" xr:uid="{A1051193-A95B-4CFB-A73C-F0184620C81F}">
    <sortState xmlns:xlrd2="http://schemas.microsoft.com/office/spreadsheetml/2017/richdata2" ref="A2:IY5">
      <sortCondition ref="AW1:AW5"/>
    </sortState>
  </autoFilter>
  <conditionalFormatting sqref="H1 CW1:GS1 IA1:IB1">
    <cfRule type="cellIs" dxfId="511" priority="66" operator="greaterThan">
      <formula>0</formula>
    </cfRule>
  </conditionalFormatting>
  <conditionalFormatting sqref="H1:H1048576">
    <cfRule type="cellIs" dxfId="510" priority="6" stopIfTrue="1" operator="notEqual">
      <formula>""</formula>
    </cfRule>
  </conditionalFormatting>
  <conditionalFormatting sqref="R2:R5 CU2:CU5">
    <cfRule type="cellIs" dxfId="509" priority="8" operator="greaterThan">
      <formula>0</formula>
    </cfRule>
  </conditionalFormatting>
  <conditionalFormatting sqref="T2:AS5 CH2:CS5">
    <cfRule type="cellIs" dxfId="508" priority="3" stopIfTrue="1" operator="equal">
      <formula>"n"</formula>
    </cfRule>
    <cfRule type="cellIs" dxfId="507" priority="4" stopIfTrue="1" operator="equal">
      <formula>"y"</formula>
    </cfRule>
    <cfRule type="cellIs" dxfId="506" priority="5" operator="greaterThan">
      <formula>0</formula>
    </cfRule>
  </conditionalFormatting>
  <conditionalFormatting sqref="T1:BK1">
    <cfRule type="cellIs" dxfId="505" priority="69" operator="greaterThan">
      <formula>0</formula>
    </cfRule>
  </conditionalFormatting>
  <conditionalFormatting sqref="AZ2:BB5">
    <cfRule type="expression" dxfId="504" priority="2">
      <formula>$AT2=0</formula>
    </cfRule>
  </conditionalFormatting>
  <conditionalFormatting sqref="AZ2:BU5">
    <cfRule type="cellIs" dxfId="503" priority="44" operator="equal">
      <formula>"PIN"</formula>
    </cfRule>
    <cfRule type="cellIs" dxfId="502" priority="45" operator="equal">
      <formula>"ORA"</formula>
    </cfRule>
    <cfRule type="cellIs" dxfId="501" priority="46" operator="equal">
      <formula>"GRA"</formula>
    </cfRule>
    <cfRule type="cellIs" dxfId="500" priority="47" operator="equal">
      <formula>"PUR"</formula>
    </cfRule>
    <cfRule type="cellIs" dxfId="499" priority="48" operator="equal">
      <formula>"BRO"</formula>
    </cfRule>
    <cfRule type="cellIs" dxfId="498" priority="49" operator="equal">
      <formula>"YEL"</formula>
    </cfRule>
    <cfRule type="cellIs" dxfId="497" priority="50" operator="equal">
      <formula>"BLU"</formula>
    </cfRule>
    <cfRule type="cellIs" dxfId="496" priority="51" operator="equal">
      <formula>"WHI"</formula>
    </cfRule>
    <cfRule type="cellIs" dxfId="495" priority="52" operator="equal">
      <formula>"GRE"</formula>
    </cfRule>
    <cfRule type="cellIs" dxfId="494" priority="53" operator="equal">
      <formula>"RED"</formula>
    </cfRule>
    <cfRule type="cellIs" dxfId="493" priority="54" operator="equal">
      <formula>"BLA"</formula>
    </cfRule>
  </conditionalFormatting>
  <conditionalFormatting sqref="BV1:BW1048576">
    <cfRule type="cellIs" dxfId="492" priority="68" operator="equal">
      <formula>"nc"</formula>
    </cfRule>
  </conditionalFormatting>
  <conditionalFormatting sqref="BX2:CA5 CD2:CF5">
    <cfRule type="cellIs" dxfId="491" priority="7" operator="equal">
      <formula>"y"</formula>
    </cfRule>
    <cfRule type="cellIs" dxfId="490" priority="55" operator="equal">
      <formula>"PIN"</formula>
    </cfRule>
    <cfRule type="cellIs" dxfId="489" priority="56" operator="equal">
      <formula>"ORA"</formula>
    </cfRule>
    <cfRule type="cellIs" dxfId="488" priority="57" operator="equal">
      <formula>"GRA"</formula>
    </cfRule>
    <cfRule type="cellIs" dxfId="487" priority="58" operator="equal">
      <formula>"PUR"</formula>
    </cfRule>
    <cfRule type="cellIs" dxfId="486" priority="59" operator="equal">
      <formula>"BRO"</formula>
    </cfRule>
    <cfRule type="cellIs" dxfId="485" priority="60" operator="equal">
      <formula>"YEL"</formula>
    </cfRule>
    <cfRule type="cellIs" dxfId="484" priority="61" operator="equal">
      <formula>"BLU"</formula>
    </cfRule>
    <cfRule type="cellIs" dxfId="483" priority="62" operator="equal">
      <formula>"WHI"</formula>
    </cfRule>
    <cfRule type="cellIs" dxfId="482" priority="63" operator="equal">
      <formula>"GRE"</formula>
    </cfRule>
    <cfRule type="cellIs" dxfId="481" priority="64" operator="equal">
      <formula>"RED"</formula>
    </cfRule>
    <cfRule type="cellIs" dxfId="480" priority="65" operator="equal">
      <formula>"BLA"</formula>
    </cfRule>
  </conditionalFormatting>
  <conditionalFormatting sqref="BZ2:CA5 CD2:CF5">
    <cfRule type="cellIs" dxfId="479" priority="9" operator="greaterThan">
      <formula>0</formula>
    </cfRule>
  </conditionalFormatting>
  <conditionalFormatting sqref="HF1:HG1">
    <cfRule type="cellIs" dxfId="478" priority="70" operator="greaterThan">
      <formula>0</formula>
    </cfRule>
  </conditionalFormatting>
  <conditionalFormatting sqref="HK1">
    <cfRule type="cellIs" dxfId="477" priority="67" operator="greaterThan">
      <formula>0</formula>
    </cfRule>
  </conditionalFormatting>
  <conditionalFormatting sqref="HP1:HX1">
    <cfRule type="cellIs" dxfId="476" priority="21" operator="equal">
      <formula>"PIN"</formula>
    </cfRule>
    <cfRule type="cellIs" dxfId="475" priority="22" operator="equal">
      <formula>"ORA"</formula>
    </cfRule>
    <cfRule type="cellIs" dxfId="474" priority="23" operator="equal">
      <formula>"GRA"</formula>
    </cfRule>
    <cfRule type="cellIs" dxfId="473" priority="24" operator="equal">
      <formula>"PUR"</formula>
    </cfRule>
    <cfRule type="cellIs" dxfId="472" priority="25" operator="equal">
      <formula>"BRO"</formula>
    </cfRule>
    <cfRule type="cellIs" dxfId="471" priority="26" operator="equal">
      <formula>"YEL"</formula>
    </cfRule>
    <cfRule type="cellIs" dxfId="470" priority="27" operator="equal">
      <formula>"BLU"</formula>
    </cfRule>
    <cfRule type="cellIs" dxfId="469" priority="28" operator="equal">
      <formula>"WHI"</formula>
    </cfRule>
    <cfRule type="cellIs" dxfId="468" priority="29" operator="equal">
      <formula>"GRE"</formula>
    </cfRule>
    <cfRule type="cellIs" dxfId="467" priority="30" operator="equal">
      <formula>"RED"</formula>
    </cfRule>
    <cfRule type="cellIs" dxfId="466" priority="31" operator="equal">
      <formula>"BLA"</formula>
    </cfRule>
  </conditionalFormatting>
  <conditionalFormatting sqref="IC1:IK1">
    <cfRule type="cellIs" dxfId="465" priority="33" operator="equal">
      <formula>"PIN"</formula>
    </cfRule>
    <cfRule type="cellIs" dxfId="464" priority="34" operator="equal">
      <formula>"ORA"</formula>
    </cfRule>
    <cfRule type="cellIs" dxfId="463" priority="35" operator="equal">
      <formula>"GRA"</formula>
    </cfRule>
    <cfRule type="cellIs" dxfId="462" priority="36" operator="equal">
      <formula>"PUR"</formula>
    </cfRule>
    <cfRule type="cellIs" dxfId="461" priority="37" operator="equal">
      <formula>"BRO"</formula>
    </cfRule>
    <cfRule type="cellIs" dxfId="460" priority="38" operator="equal">
      <formula>"YEL"</formula>
    </cfRule>
    <cfRule type="cellIs" dxfId="459" priority="39" operator="equal">
      <formula>"BLU"</formula>
    </cfRule>
    <cfRule type="cellIs" dxfId="458" priority="40" operator="equal">
      <formula>"WHI"</formula>
    </cfRule>
    <cfRule type="cellIs" dxfId="457" priority="41" operator="equal">
      <formula>"GRE"</formula>
    </cfRule>
    <cfRule type="cellIs" dxfId="456" priority="42" operator="equal">
      <formula>"RED"</formula>
    </cfRule>
    <cfRule type="cellIs" dxfId="455" priority="43" operator="equal">
      <formula>"BLA"</formula>
    </cfRule>
  </conditionalFormatting>
  <conditionalFormatting sqref="IC2:IK5">
    <cfRule type="expression" dxfId="454" priority="32">
      <formula>$IL2&gt;0</formula>
    </cfRule>
  </conditionalFormatting>
  <conditionalFormatting sqref="IO1:IW1">
    <cfRule type="cellIs" dxfId="453" priority="10" operator="equal">
      <formula>"PIN"</formula>
    </cfRule>
    <cfRule type="cellIs" dxfId="452" priority="11" operator="equal">
      <formula>"ORA"</formula>
    </cfRule>
    <cfRule type="cellIs" dxfId="451" priority="12" operator="equal">
      <formula>"GRA"</formula>
    </cfRule>
    <cfRule type="cellIs" dxfId="450" priority="13" operator="equal">
      <formula>"PUR"</formula>
    </cfRule>
    <cfRule type="cellIs" dxfId="449" priority="14" operator="equal">
      <formula>"BRO"</formula>
    </cfRule>
    <cfRule type="cellIs" dxfId="448" priority="15" operator="equal">
      <formula>"YEL"</formula>
    </cfRule>
    <cfRule type="cellIs" dxfId="447" priority="16" operator="equal">
      <formula>"BLU"</formula>
    </cfRule>
    <cfRule type="cellIs" dxfId="446" priority="17" operator="equal">
      <formula>"WHI"</formula>
    </cfRule>
    <cfRule type="cellIs" dxfId="445" priority="18" operator="equal">
      <formula>"GRE"</formula>
    </cfRule>
    <cfRule type="cellIs" dxfId="444" priority="19" operator="equal">
      <formula>"RED"</formula>
    </cfRule>
    <cfRule type="cellIs" dxfId="443" priority="20" operator="equal">
      <formula>"BLA"</formula>
    </cfRule>
  </conditionalFormatting>
  <conditionalFormatting sqref="S2:S5">
    <cfRule type="colorScale" priority="1734">
      <colorScale>
        <cfvo type="min"/>
        <cfvo type="max"/>
        <color rgb="FFFCFCFF"/>
        <color rgb="FF754BFB"/>
      </colorScale>
    </cfRule>
  </conditionalFormatting>
  <conditionalFormatting sqref="AT2:AT5">
    <cfRule type="colorScale" priority="1735">
      <colorScale>
        <cfvo type="min"/>
        <cfvo type="max"/>
        <color rgb="FFFCFCFF"/>
        <color theme="8" tint="0.39997558519241921"/>
      </colorScale>
    </cfRule>
  </conditionalFormatting>
  <conditionalFormatting sqref="CG2:CG5">
    <cfRule type="colorScale" priority="1736">
      <colorScale>
        <cfvo type="min"/>
        <cfvo type="max"/>
        <color rgb="FFFCFCFF"/>
        <color rgb="FF63BE7B"/>
      </colorScale>
    </cfRule>
  </conditionalFormatting>
  <conditionalFormatting sqref="J2:J8">
    <cfRule type="colorScale" priority="1">
      <colorScale>
        <cfvo type="min"/>
        <cfvo type="percentile" val="50"/>
        <cfvo type="max"/>
        <color rgb="FFF8696B"/>
        <color rgb="FFFFEB84"/>
        <color rgb="FF63BE7B"/>
      </colorScale>
    </cfRule>
  </conditionalFormatting>
  <hyperlinks>
    <hyperlink ref="A2" r:id="rId1" display="https://fbref.com/en/country/PNG/Papua-New-Guinea-Football" xr:uid="{E0EA4D21-3644-48BA-A9C7-9FF0F52C8793}"/>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3313" r:id="rId5" name="Button 1">
              <controlPr defaultSize="0" print="0" autoFill="0" autoPict="0" macro="[0]!InsertImagesFromSelectedRange">
                <anchor moveWithCells="1" sizeWithCells="1">
                  <from>
                    <xdr:col>1</xdr:col>
                    <xdr:colOff>76200</xdr:colOff>
                    <xdr:row>0</xdr:row>
                    <xdr:rowOff>7620</xdr:rowOff>
                  </from>
                  <to>
                    <xdr:col>2</xdr:col>
                    <xdr:colOff>0</xdr:colOff>
                    <xdr:row>0</xdr:row>
                    <xdr:rowOff>487680</xdr:rowOff>
                  </to>
                </anchor>
              </controlPr>
            </control>
          </mc:Choice>
        </mc:AlternateContent>
        <mc:AlternateContent xmlns:mc="http://schemas.openxmlformats.org/markup-compatibility/2006">
          <mc:Choice Requires="x14">
            <control shapeId="13314" r:id="rId6" name="Button 2">
              <controlPr defaultSize="0" print="0" autoFill="0" autoPict="0" macro="[0]!ReplaceLineBreaksWithNewLineManualRange">
                <anchor moveWithCells="1" sizeWithCells="1">
                  <from>
                    <xdr:col>7</xdr:col>
                    <xdr:colOff>15240</xdr:colOff>
                    <xdr:row>0</xdr:row>
                    <xdr:rowOff>45720</xdr:rowOff>
                  </from>
                  <to>
                    <xdr:col>7</xdr:col>
                    <xdr:colOff>685800</xdr:colOff>
                    <xdr:row>0</xdr:row>
                    <xdr:rowOff>403860</xdr:rowOff>
                  </to>
                </anchor>
              </controlPr>
            </control>
          </mc:Choice>
        </mc:AlternateContent>
        <mc:AlternateContent xmlns:mc="http://schemas.openxmlformats.org/markup-compatibility/2006">
          <mc:Choice Requires="x14">
            <control shapeId="13315" r:id="rId7" name="Button 3">
              <controlPr defaultSize="0" print="0" autoFill="0" autoPict="0" macro="[0]!GoToSheet">
                <anchor moveWithCells="1" sizeWithCells="1">
                  <from>
                    <xdr:col>0</xdr:col>
                    <xdr:colOff>137160</xdr:colOff>
                    <xdr:row>0</xdr:row>
                    <xdr:rowOff>114300</xdr:rowOff>
                  </from>
                  <to>
                    <xdr:col>0</xdr:col>
                    <xdr:colOff>762000</xdr:colOff>
                    <xdr:row>0</xdr:row>
                    <xdr:rowOff>419100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1D55A2-597B-46B0-8346-FFB61027DA30}">
  <sheetPr codeName="Sheet16"/>
  <dimension ref="A1:IY44"/>
  <sheetViews>
    <sheetView zoomScale="70" zoomScaleNormal="70" workbookViewId="0">
      <pane xSplit="5" ySplit="1" topLeftCell="F2" activePane="bottomRight" state="frozen"/>
      <selection activeCell="A2" sqref="A2"/>
      <selection pane="topRight" activeCell="A2" sqref="A2"/>
      <selection pane="bottomLeft" activeCell="A2" sqref="A2"/>
      <selection pane="bottomRight" activeCell="B2" sqref="B2"/>
    </sheetView>
  </sheetViews>
  <sheetFormatPr defaultRowHeight="38.4" customHeight="1" x14ac:dyDescent="0.3"/>
  <cols>
    <col min="1" max="1" width="52.44140625" style="82" bestFit="1" customWidth="1"/>
    <col min="2" max="2" width="10.109375" style="82" customWidth="1"/>
    <col min="3" max="3" width="7.44140625" style="83" customWidth="1"/>
    <col min="4" max="4" width="4.77734375" style="84" customWidth="1"/>
    <col min="5" max="5" width="4.5546875" style="84" customWidth="1"/>
    <col min="6" max="6" width="5.77734375" style="84" customWidth="1"/>
    <col min="7" max="7" width="7.44140625" style="82" customWidth="1"/>
    <col min="8" max="8" width="11.44140625" style="82" customWidth="1"/>
    <col min="9" max="9" width="10" style="82" customWidth="1"/>
    <col min="10" max="10" width="4.21875" style="82" customWidth="1"/>
    <col min="11" max="11" width="5.6640625" style="84" customWidth="1"/>
    <col min="12" max="12" width="2.88671875" style="84" customWidth="1"/>
    <col min="13" max="13" width="6.44140625" style="84" customWidth="1"/>
    <col min="14" max="14" width="4.5546875" style="84" customWidth="1"/>
    <col min="15" max="15" width="10.5546875" style="85" customWidth="1"/>
    <col min="16" max="16" width="6.88671875" style="84" customWidth="1"/>
    <col min="17" max="17" width="4.77734375" style="84" customWidth="1"/>
    <col min="18" max="18" width="13.109375" style="83" customWidth="1"/>
    <col min="19" max="19" width="6.77734375" style="83" customWidth="1"/>
    <col min="20" max="46" width="8.44140625" style="82" customWidth="1"/>
    <col min="47" max="47" width="24.5546875" style="82" customWidth="1"/>
    <col min="48" max="51" width="16.6640625" style="82" customWidth="1"/>
    <col min="52" max="52" width="6.5546875" style="82" customWidth="1"/>
    <col min="53" max="54" width="5.88671875" style="82" customWidth="1"/>
    <col min="55" max="55" width="1.33203125" style="82" customWidth="1"/>
    <col min="56" max="56" width="7.44140625" style="82" customWidth="1"/>
    <col min="57" max="57" width="2.33203125" style="82" customWidth="1"/>
    <col min="58" max="62" width="6.109375" style="82" customWidth="1"/>
    <col min="63" max="63" width="2.33203125" style="82" customWidth="1"/>
    <col min="64" max="64" width="7" style="82" bestFit="1" customWidth="1"/>
    <col min="65" max="65" width="6.44140625" style="82" bestFit="1" customWidth="1"/>
    <col min="66" max="66" width="7.109375" style="82" bestFit="1" customWidth="1"/>
    <col min="67" max="71" width="6.44140625" style="82" bestFit="1" customWidth="1"/>
    <col min="72" max="73" width="6.44140625" style="82" customWidth="1"/>
    <col min="74" max="75" width="13.44140625" style="82" customWidth="1"/>
    <col min="76" max="84" width="14.6640625" style="82" customWidth="1"/>
    <col min="85" max="85" width="6.44140625" style="82" customWidth="1"/>
    <col min="86" max="87" width="11.6640625" style="82" bestFit="1" customWidth="1"/>
    <col min="88" max="88" width="11.6640625" style="82" customWidth="1"/>
    <col min="89" max="89" width="12.77734375" style="82" bestFit="1" customWidth="1"/>
    <col min="90" max="90" width="16.44140625" style="83" bestFit="1" customWidth="1"/>
    <col min="91" max="92" width="14.88671875" style="83" bestFit="1" customWidth="1"/>
    <col min="93" max="93" width="16" style="83" bestFit="1" customWidth="1"/>
    <col min="94" max="97" width="7.77734375" style="82" customWidth="1"/>
    <col min="98" max="98" width="33.21875" style="82" customWidth="1"/>
    <col min="99" max="99" width="18" style="82" customWidth="1"/>
    <col min="100" max="100" width="75.6640625" style="82" customWidth="1"/>
    <col min="101" max="125" width="33" style="82" customWidth="1"/>
    <col min="126" max="126" width="8.88671875" style="82"/>
    <col min="127" max="128" width="9.44140625" style="82" bestFit="1" customWidth="1"/>
    <col min="129" max="129" width="10.77734375" style="82" bestFit="1" customWidth="1"/>
    <col min="130" max="134" width="10.77734375" style="82" customWidth="1"/>
    <col min="135" max="135" width="10.109375" style="82" bestFit="1" customWidth="1"/>
    <col min="136" max="136" width="7.77734375" style="82" bestFit="1" customWidth="1"/>
    <col min="137" max="137" width="7.77734375" style="82" customWidth="1"/>
    <col min="138" max="138" width="9" style="82" bestFit="1" customWidth="1"/>
    <col min="139" max="139" width="11.33203125" style="82" bestFit="1" customWidth="1"/>
    <col min="140" max="140" width="9.109375" style="82" bestFit="1" customWidth="1"/>
    <col min="141" max="141" width="9" style="82" bestFit="1" customWidth="1"/>
    <col min="142" max="142" width="12" style="82" bestFit="1" customWidth="1"/>
    <col min="143" max="166" width="12" style="82" customWidth="1"/>
    <col min="167" max="167" width="17.21875" style="82" customWidth="1"/>
    <col min="168" max="191" width="12" style="82" customWidth="1"/>
    <col min="192" max="192" width="8.5546875" style="82" bestFit="1" customWidth="1"/>
    <col min="193" max="193" width="8.5546875" style="82" customWidth="1"/>
    <col min="194" max="194" width="7.109375" style="82" bestFit="1" customWidth="1"/>
    <col min="195" max="195" width="7.5546875" style="82" bestFit="1" customWidth="1"/>
    <col min="196" max="196" width="8.5546875" style="82" bestFit="1" customWidth="1"/>
    <col min="197" max="200" width="8.5546875" style="82" customWidth="1"/>
    <col min="201" max="201" width="188.88671875" style="82" customWidth="1"/>
    <col min="202" max="202" width="9.5546875" style="82" bestFit="1" customWidth="1"/>
    <col min="203" max="203" width="10.44140625" style="82" bestFit="1" customWidth="1"/>
    <col min="204" max="204" width="11.109375" style="82" bestFit="1" customWidth="1"/>
    <col min="205" max="205" width="10.44140625" style="82" bestFit="1" customWidth="1"/>
    <col min="206" max="210" width="10.44140625" style="82" customWidth="1"/>
    <col min="211" max="211" width="45.44140625" style="82" customWidth="1"/>
    <col min="212" max="212" width="47.5546875" style="82" bestFit="1" customWidth="1"/>
    <col min="213" max="213" width="9.33203125" style="86" customWidth="1"/>
    <col min="214" max="214" width="119.5546875" style="82" customWidth="1"/>
    <col min="215" max="215" width="69.6640625" style="82" customWidth="1"/>
    <col min="216" max="218" width="8.88671875" style="82"/>
    <col min="219" max="219" width="37.109375" style="82" customWidth="1"/>
    <col min="220" max="220" width="16.33203125" style="82" customWidth="1"/>
    <col min="221" max="222" width="8.88671875" style="82"/>
    <col min="223" max="223" width="10.109375" style="82" bestFit="1" customWidth="1"/>
    <col min="224" max="232" width="10.88671875" style="82" customWidth="1"/>
    <col min="233" max="234" width="30.77734375" style="82" customWidth="1"/>
    <col min="235" max="235" width="5.109375" style="82" customWidth="1"/>
    <col min="236" max="236" width="3" style="82" customWidth="1"/>
    <col min="237" max="245" width="6.77734375" style="76" customWidth="1"/>
    <col min="246" max="247" width="8.88671875" style="82"/>
    <col min="248" max="248" width="61.5546875" style="82" customWidth="1"/>
    <col min="249" max="253" width="8.88671875" style="82"/>
    <col min="254" max="254" width="9" style="82" customWidth="1"/>
    <col min="255" max="16384" width="8.88671875" style="82"/>
  </cols>
  <sheetData>
    <row r="1" spans="1:259" s="5" customFormat="1" ht="38.4" customHeight="1" thickBot="1" x14ac:dyDescent="0.35">
      <c r="A1" s="1" t="s">
        <v>0</v>
      </c>
      <c r="B1" s="79" t="s">
        <v>1</v>
      </c>
      <c r="C1" s="2" t="s">
        <v>2</v>
      </c>
      <c r="D1" s="3"/>
      <c r="E1" s="3" t="s">
        <v>3</v>
      </c>
      <c r="F1" s="4"/>
      <c r="H1" s="6" t="s">
        <v>4</v>
      </c>
      <c r="J1" s="5" t="s">
        <v>5</v>
      </c>
      <c r="K1" s="7" t="s">
        <v>6</v>
      </c>
      <c r="L1" s="8" t="s">
        <v>7</v>
      </c>
      <c r="M1" s="8" t="s">
        <v>8</v>
      </c>
      <c r="N1" s="9" t="s">
        <v>9</v>
      </c>
      <c r="O1" s="10" t="s">
        <v>10</v>
      </c>
      <c r="P1" s="11" t="s">
        <v>11</v>
      </c>
      <c r="Q1" s="11" t="s">
        <v>12</v>
      </c>
      <c r="R1" s="12" t="s">
        <v>0</v>
      </c>
      <c r="S1" s="13" t="s">
        <v>13</v>
      </c>
      <c r="T1" s="14" t="s">
        <v>14</v>
      </c>
      <c r="U1" s="14" t="s">
        <v>15</v>
      </c>
      <c r="V1" s="15" t="s">
        <v>16</v>
      </c>
      <c r="W1" s="14" t="s">
        <v>17</v>
      </c>
      <c r="X1" s="14" t="s">
        <v>18</v>
      </c>
      <c r="Y1" s="14" t="s">
        <v>19</v>
      </c>
      <c r="Z1" s="14" t="s">
        <v>20</v>
      </c>
      <c r="AA1" s="14" t="s">
        <v>21</v>
      </c>
      <c r="AB1" s="14" t="s">
        <v>22</v>
      </c>
      <c r="AC1" s="14" t="s">
        <v>23</v>
      </c>
      <c r="AD1" s="14" t="s">
        <v>24</v>
      </c>
      <c r="AE1" s="14" t="s">
        <v>25</v>
      </c>
      <c r="AF1" s="16" t="s">
        <v>26</v>
      </c>
      <c r="AG1" s="16" t="s">
        <v>27</v>
      </c>
      <c r="AH1" s="16" t="s">
        <v>28</v>
      </c>
      <c r="AI1" s="16" t="s">
        <v>29</v>
      </c>
      <c r="AJ1" s="16" t="s">
        <v>30</v>
      </c>
      <c r="AK1" s="16" t="s">
        <v>31</v>
      </c>
      <c r="AL1" s="16" t="s">
        <v>32</v>
      </c>
      <c r="AM1" s="16" t="s">
        <v>33</v>
      </c>
      <c r="AN1" s="16" t="s">
        <v>34</v>
      </c>
      <c r="AO1" s="16" t="s">
        <v>35</v>
      </c>
      <c r="AP1" s="16" t="s">
        <v>36</v>
      </c>
      <c r="AQ1" s="16" t="s">
        <v>37</v>
      </c>
      <c r="AR1" s="16" t="s">
        <v>38</v>
      </c>
      <c r="AS1" s="16" t="s">
        <v>39</v>
      </c>
      <c r="AT1" s="17" t="s">
        <v>40</v>
      </c>
      <c r="AU1" s="18" t="s">
        <v>41</v>
      </c>
      <c r="AV1" s="18" t="s">
        <v>42</v>
      </c>
      <c r="AW1" s="18" t="s">
        <v>43</v>
      </c>
      <c r="AX1" s="19"/>
      <c r="AY1" s="20" t="s">
        <v>44</v>
      </c>
      <c r="AZ1" s="19" t="s">
        <v>45</v>
      </c>
      <c r="BA1" s="19"/>
      <c r="BB1" s="19"/>
      <c r="BC1" s="21"/>
      <c r="BD1" s="19" t="s">
        <v>46</v>
      </c>
      <c r="BE1" s="21"/>
      <c r="BF1" s="19" t="s">
        <v>47</v>
      </c>
      <c r="BG1" s="19" t="s">
        <v>48</v>
      </c>
      <c r="BH1" s="19" t="s">
        <v>49</v>
      </c>
      <c r="BI1" s="19" t="s">
        <v>50</v>
      </c>
      <c r="BJ1" s="19" t="s">
        <v>51</v>
      </c>
      <c r="BK1" s="21"/>
      <c r="BL1" s="22" t="s">
        <v>52</v>
      </c>
      <c r="BM1" s="22"/>
      <c r="BN1" s="22"/>
      <c r="BO1" s="22"/>
      <c r="BP1" s="22"/>
      <c r="BQ1" s="22"/>
      <c r="BR1" s="22"/>
      <c r="BS1" s="22"/>
      <c r="BT1" s="23"/>
      <c r="BU1" s="23" t="s">
        <v>53</v>
      </c>
      <c r="BV1" s="23" t="s">
        <v>54</v>
      </c>
      <c r="BW1" s="23" t="s">
        <v>55</v>
      </c>
      <c r="BX1" s="23"/>
      <c r="BY1" s="23" t="s">
        <v>56</v>
      </c>
      <c r="BZ1" s="23" t="s">
        <v>57</v>
      </c>
      <c r="CA1" s="23" t="s">
        <v>58</v>
      </c>
      <c r="CB1" s="23" t="s">
        <v>59</v>
      </c>
      <c r="CC1" s="23" t="s">
        <v>60</v>
      </c>
      <c r="CD1" s="23" t="s">
        <v>61</v>
      </c>
      <c r="CE1" s="23" t="s">
        <v>62</v>
      </c>
      <c r="CF1" s="23" t="s">
        <v>63</v>
      </c>
      <c r="CG1" s="23"/>
      <c r="CH1" s="23" t="s">
        <v>64</v>
      </c>
      <c r="CI1" s="23" t="s">
        <v>65</v>
      </c>
      <c r="CJ1" s="23" t="s">
        <v>66</v>
      </c>
      <c r="CK1" s="23" t="s">
        <v>67</v>
      </c>
      <c r="CL1" s="24" t="s">
        <v>68</v>
      </c>
      <c r="CM1" s="24" t="s">
        <v>69</v>
      </c>
      <c r="CN1" s="24" t="s">
        <v>70</v>
      </c>
      <c r="CO1" s="24" t="s">
        <v>71</v>
      </c>
      <c r="CP1" s="24" t="s">
        <v>72</v>
      </c>
      <c r="CQ1" s="24" t="s">
        <v>73</v>
      </c>
      <c r="CR1" s="24" t="s">
        <v>74</v>
      </c>
      <c r="CS1" s="24" t="s">
        <v>75</v>
      </c>
      <c r="CT1" s="1" t="s">
        <v>76</v>
      </c>
      <c r="CU1" s="25" t="s">
        <v>0</v>
      </c>
      <c r="CV1" s="5" t="s">
        <v>77</v>
      </c>
      <c r="CW1" s="14" t="s">
        <v>78</v>
      </c>
      <c r="CX1" s="14" t="s">
        <v>79</v>
      </c>
      <c r="CY1" s="14" t="s">
        <v>66</v>
      </c>
      <c r="CZ1" s="14" t="s">
        <v>80</v>
      </c>
      <c r="DA1" s="14" t="s">
        <v>81</v>
      </c>
      <c r="DB1" s="14" t="s">
        <v>82</v>
      </c>
      <c r="DC1" s="14" t="s">
        <v>83</v>
      </c>
      <c r="DD1" s="14" t="s">
        <v>84</v>
      </c>
      <c r="DE1" s="14" t="s">
        <v>85</v>
      </c>
      <c r="DF1" s="14" t="s">
        <v>86</v>
      </c>
      <c r="DG1" s="14" t="s">
        <v>87</v>
      </c>
      <c r="DH1" s="14" t="s">
        <v>88</v>
      </c>
      <c r="DI1" s="14" t="s">
        <v>89</v>
      </c>
      <c r="DJ1" s="14" t="s">
        <v>90</v>
      </c>
      <c r="DK1" s="14" t="s">
        <v>91</v>
      </c>
      <c r="DL1" s="14" t="s">
        <v>92</v>
      </c>
      <c r="DM1" s="14" t="s">
        <v>93</v>
      </c>
      <c r="DN1" s="14" t="s">
        <v>94</v>
      </c>
      <c r="DO1" s="14" t="s">
        <v>95</v>
      </c>
      <c r="DP1" s="14" t="s">
        <v>96</v>
      </c>
      <c r="DQ1" s="14" t="s">
        <v>97</v>
      </c>
      <c r="DR1" s="14" t="s">
        <v>56</v>
      </c>
      <c r="DS1" s="14" t="s">
        <v>98</v>
      </c>
      <c r="DT1" s="14" t="s">
        <v>99</v>
      </c>
      <c r="DU1" s="14" t="s">
        <v>100</v>
      </c>
      <c r="DV1" s="14" t="s">
        <v>101</v>
      </c>
      <c r="DW1" s="14" t="s">
        <v>102</v>
      </c>
      <c r="DX1" s="14" t="s">
        <v>103</v>
      </c>
      <c r="DY1" s="14" t="s">
        <v>104</v>
      </c>
      <c r="DZ1" s="14" t="s">
        <v>105</v>
      </c>
      <c r="EA1" s="14" t="s">
        <v>106</v>
      </c>
      <c r="EB1" s="14" t="s">
        <v>107</v>
      </c>
      <c r="EC1" s="14" t="s">
        <v>108</v>
      </c>
      <c r="ED1" s="14" t="s">
        <v>109</v>
      </c>
      <c r="EE1" s="15" t="s">
        <v>18</v>
      </c>
      <c r="EF1" s="14" t="s">
        <v>19</v>
      </c>
      <c r="EG1" s="14" t="s">
        <v>20</v>
      </c>
      <c r="EH1" s="14" t="s">
        <v>21</v>
      </c>
      <c r="EI1" s="14" t="s">
        <v>110</v>
      </c>
      <c r="EJ1" s="14" t="s">
        <v>23</v>
      </c>
      <c r="EK1" s="14" t="s">
        <v>111</v>
      </c>
      <c r="EL1" s="14" t="s">
        <v>112</v>
      </c>
      <c r="EM1" s="14" t="s">
        <v>26</v>
      </c>
      <c r="EN1" s="16" t="s">
        <v>27</v>
      </c>
      <c r="EO1" s="16" t="s">
        <v>28</v>
      </c>
      <c r="EP1" s="16" t="s">
        <v>29</v>
      </c>
      <c r="EQ1" s="16" t="s">
        <v>113</v>
      </c>
      <c r="ER1" s="16" t="s">
        <v>31</v>
      </c>
      <c r="ES1" s="16" t="s">
        <v>32</v>
      </c>
      <c r="ET1" s="16" t="s">
        <v>114</v>
      </c>
      <c r="EU1" s="16" t="s">
        <v>34</v>
      </c>
      <c r="EV1" s="16" t="s">
        <v>35</v>
      </c>
      <c r="EW1" s="16" t="s">
        <v>115</v>
      </c>
      <c r="EX1" s="16" t="s">
        <v>37</v>
      </c>
      <c r="EY1" s="16" t="s">
        <v>38</v>
      </c>
      <c r="EZ1" s="16" t="s">
        <v>39</v>
      </c>
      <c r="FA1" s="16" t="s">
        <v>116</v>
      </c>
      <c r="FB1" s="16" t="s">
        <v>117</v>
      </c>
      <c r="FC1" s="16" t="s">
        <v>118</v>
      </c>
      <c r="FD1" s="16" t="s">
        <v>54</v>
      </c>
      <c r="FE1" s="16" t="s">
        <v>119</v>
      </c>
      <c r="FF1" s="16" t="s">
        <v>120</v>
      </c>
      <c r="FG1" s="16" t="s">
        <v>121</v>
      </c>
      <c r="FH1" s="16" t="s">
        <v>122</v>
      </c>
      <c r="FI1" s="16" t="s">
        <v>123</v>
      </c>
      <c r="FJ1" s="16" t="s">
        <v>124</v>
      </c>
      <c r="FK1" s="16" t="s">
        <v>125</v>
      </c>
      <c r="FL1" s="16" t="s">
        <v>126</v>
      </c>
      <c r="FM1" s="16" t="s">
        <v>127</v>
      </c>
      <c r="FN1" s="16" t="s">
        <v>128</v>
      </c>
      <c r="FO1" s="16" t="s">
        <v>129</v>
      </c>
      <c r="FP1" s="16" t="s">
        <v>130</v>
      </c>
      <c r="FQ1" s="16" t="s">
        <v>131</v>
      </c>
      <c r="FR1" s="16" t="s">
        <v>132</v>
      </c>
      <c r="FS1" s="16" t="s">
        <v>133</v>
      </c>
      <c r="FT1" s="16" t="s">
        <v>134</v>
      </c>
      <c r="FU1" s="16" t="s">
        <v>44</v>
      </c>
      <c r="FV1" s="16" t="s">
        <v>135</v>
      </c>
      <c r="FW1" s="16" t="s">
        <v>58</v>
      </c>
      <c r="FX1" s="16" t="s">
        <v>136</v>
      </c>
      <c r="FY1" s="16" t="s">
        <v>137</v>
      </c>
      <c r="FZ1" s="16" t="s">
        <v>138</v>
      </c>
      <c r="GA1" s="16" t="s">
        <v>139</v>
      </c>
      <c r="GB1" s="16" t="s">
        <v>140</v>
      </c>
      <c r="GC1" s="16" t="s">
        <v>141</v>
      </c>
      <c r="GD1" s="16" t="s">
        <v>142</v>
      </c>
      <c r="GE1" s="16" t="s">
        <v>143</v>
      </c>
      <c r="GF1" s="16" t="s">
        <v>144</v>
      </c>
      <c r="GG1" s="16" t="s">
        <v>145</v>
      </c>
      <c r="GH1" s="16" t="s">
        <v>61</v>
      </c>
      <c r="GI1" s="16" t="s">
        <v>62</v>
      </c>
      <c r="GJ1" s="14" t="s">
        <v>146</v>
      </c>
      <c r="GK1" s="14" t="s">
        <v>147</v>
      </c>
      <c r="GL1" s="14" t="s">
        <v>148</v>
      </c>
      <c r="GM1" s="17" t="s">
        <v>149</v>
      </c>
      <c r="GN1" s="26" t="s">
        <v>150</v>
      </c>
      <c r="GO1" s="26" t="s">
        <v>151</v>
      </c>
      <c r="GP1" s="18" t="s">
        <v>41</v>
      </c>
      <c r="GQ1" s="18" t="s">
        <v>42</v>
      </c>
      <c r="GR1" s="18" t="s">
        <v>43</v>
      </c>
      <c r="GS1" s="21"/>
      <c r="GT1" s="27" t="s">
        <v>52</v>
      </c>
      <c r="GU1" s="27"/>
      <c r="GV1" s="27"/>
      <c r="GW1" s="27"/>
      <c r="GX1" s="28"/>
      <c r="GY1" s="28"/>
      <c r="GZ1" s="28"/>
      <c r="HA1" s="28"/>
      <c r="HB1" s="28"/>
      <c r="HC1" s="28"/>
      <c r="HD1" s="29" t="s">
        <v>13</v>
      </c>
      <c r="HE1" s="30" t="s">
        <v>152</v>
      </c>
      <c r="HF1" s="31"/>
      <c r="HG1" s="32"/>
      <c r="HK1" s="32" t="s">
        <v>4</v>
      </c>
      <c r="HP1" s="33" t="s">
        <v>153</v>
      </c>
      <c r="HQ1" s="33" t="s">
        <v>154</v>
      </c>
      <c r="HR1" s="33" t="s">
        <v>155</v>
      </c>
      <c r="HS1" s="33" t="s">
        <v>156</v>
      </c>
      <c r="HT1" s="33" t="s">
        <v>157</v>
      </c>
      <c r="HU1" s="33" t="s">
        <v>158</v>
      </c>
      <c r="HV1" s="33" t="s">
        <v>159</v>
      </c>
      <c r="HW1" s="33" t="s">
        <v>160</v>
      </c>
      <c r="HX1" s="34" t="s">
        <v>161</v>
      </c>
      <c r="IA1" s="14" t="s">
        <v>162</v>
      </c>
      <c r="IB1" s="35" t="s">
        <v>163</v>
      </c>
      <c r="IC1" s="36" t="s">
        <v>153</v>
      </c>
      <c r="ID1" s="36" t="s">
        <v>154</v>
      </c>
      <c r="IE1" s="36" t="s">
        <v>156</v>
      </c>
      <c r="IF1" s="37" t="s">
        <v>161</v>
      </c>
      <c r="IG1" s="36" t="s">
        <v>157</v>
      </c>
      <c r="IH1" s="36" t="s">
        <v>158</v>
      </c>
      <c r="II1" s="36" t="s">
        <v>155</v>
      </c>
      <c r="IJ1" s="36" t="s">
        <v>159</v>
      </c>
      <c r="IK1" s="36" t="s">
        <v>160</v>
      </c>
      <c r="IO1" s="33" t="s">
        <v>153</v>
      </c>
      <c r="IP1" s="33" t="s">
        <v>154</v>
      </c>
      <c r="IQ1" s="33" t="s">
        <v>155</v>
      </c>
      <c r="IR1" s="33" t="s">
        <v>156</v>
      </c>
      <c r="IS1" s="33" t="s">
        <v>157</v>
      </c>
      <c r="IT1" s="33" t="s">
        <v>158</v>
      </c>
      <c r="IU1" s="33" t="s">
        <v>159</v>
      </c>
      <c r="IV1" s="33" t="s">
        <v>160</v>
      </c>
      <c r="IW1" s="34" t="s">
        <v>161</v>
      </c>
      <c r="IY1" s="5" t="s">
        <v>164</v>
      </c>
    </row>
    <row r="2" spans="1:259" s="44" customFormat="1" ht="38.4" customHeight="1" thickBot="1" x14ac:dyDescent="0.35">
      <c r="A2" s="77" t="s">
        <v>317</v>
      </c>
      <c r="B2" s="78" t="e" vm="104">
        <v>#VALUE!</v>
      </c>
      <c r="C2" s="39">
        <v>1</v>
      </c>
      <c r="D2" s="70" t="s">
        <v>318</v>
      </c>
      <c r="E2" s="40" t="s">
        <v>319</v>
      </c>
      <c r="F2" s="41" t="s">
        <v>165</v>
      </c>
      <c r="G2" s="42">
        <f>COUNTIF($A$1:$A$8338,A2)</f>
        <v>1</v>
      </c>
      <c r="H2" s="43"/>
      <c r="I2" s="59" t="s">
        <v>320</v>
      </c>
      <c r="J2" s="44" t="str">
        <f>""</f>
        <v/>
      </c>
      <c r="K2" s="45">
        <v>740424</v>
      </c>
      <c r="L2" s="46">
        <v>32000</v>
      </c>
      <c r="M2" s="46" t="s">
        <v>1158</v>
      </c>
      <c r="N2" s="47" t="s">
        <v>177</v>
      </c>
      <c r="O2" s="74" t="s">
        <v>212</v>
      </c>
      <c r="P2" s="48" t="s">
        <v>321</v>
      </c>
      <c r="Q2" s="73">
        <v>2</v>
      </c>
      <c r="R2" s="49" t="s">
        <v>177</v>
      </c>
      <c r="S2" s="50">
        <v>3</v>
      </c>
      <c r="T2" s="51" t="s">
        <v>167</v>
      </c>
      <c r="U2" s="52" t="s">
        <v>166</v>
      </c>
      <c r="V2" s="52" t="s">
        <v>166</v>
      </c>
      <c r="W2" s="52" t="s">
        <v>166</v>
      </c>
      <c r="X2" s="52" t="s">
        <v>166</v>
      </c>
      <c r="Y2" s="52" t="s">
        <v>166</v>
      </c>
      <c r="Z2" s="52" t="s">
        <v>166</v>
      </c>
      <c r="AA2" s="52" t="s">
        <v>166</v>
      </c>
      <c r="AB2" s="52" t="s">
        <v>166</v>
      </c>
      <c r="AC2" s="52" t="s">
        <v>166</v>
      </c>
      <c r="AD2" s="52" t="s">
        <v>166</v>
      </c>
      <c r="AE2" s="52" t="s">
        <v>166</v>
      </c>
      <c r="AF2" s="53" t="s">
        <v>166</v>
      </c>
      <c r="AG2" s="53" t="s">
        <v>167</v>
      </c>
      <c r="AH2" s="53" t="s">
        <v>166</v>
      </c>
      <c r="AI2" s="53" t="s">
        <v>166</v>
      </c>
      <c r="AJ2" s="53" t="s">
        <v>166</v>
      </c>
      <c r="AK2" s="53" t="s">
        <v>166</v>
      </c>
      <c r="AL2" s="53" t="s">
        <v>166</v>
      </c>
      <c r="AM2" s="53" t="s">
        <v>166</v>
      </c>
      <c r="AN2" s="53" t="s">
        <v>166</v>
      </c>
      <c r="AO2" s="53" t="s">
        <v>166</v>
      </c>
      <c r="AP2" s="53" t="s">
        <v>166</v>
      </c>
      <c r="AQ2" s="53" t="s">
        <v>166</v>
      </c>
      <c r="AR2" s="53" t="s">
        <v>166</v>
      </c>
      <c r="AS2" s="53" t="s">
        <v>166</v>
      </c>
      <c r="AT2" s="54">
        <v>5</v>
      </c>
      <c r="AU2" s="53"/>
      <c r="AV2" s="53" t="str">
        <f>IF(LEFT(A2,1)="[",LEFT(A2,5)&amp;AU2&amp;A2,"")</f>
        <v/>
      </c>
      <c r="AW2" s="53" t="str">
        <f>C2&amp;H2&amp;A2</f>
        <v>1Solomon Islands</v>
      </c>
      <c r="AX2" s="55" t="str">
        <f>_xlfn.TEXTJOIN(";",TRUE,AU2:AW2)</f>
        <v>1Solomon Islands</v>
      </c>
      <c r="AY2" s="55" t="s">
        <v>167</v>
      </c>
      <c r="AZ2" s="56" t="s">
        <v>161</v>
      </c>
      <c r="BA2" s="56"/>
      <c r="BB2" s="56"/>
      <c r="BC2" s="57"/>
      <c r="BD2" s="58" t="s">
        <v>155</v>
      </c>
      <c r="BE2" s="59"/>
      <c r="BF2" s="58" t="s">
        <v>154</v>
      </c>
      <c r="BG2" s="58" t="s">
        <v>157</v>
      </c>
      <c r="BH2" s="58" t="s">
        <v>155</v>
      </c>
      <c r="BI2" s="58"/>
      <c r="BJ2" s="58"/>
      <c r="BK2" s="59"/>
      <c r="BL2" s="58" t="s">
        <v>154</v>
      </c>
      <c r="BM2" s="58" t="s">
        <v>157</v>
      </c>
      <c r="BN2" s="58" t="s">
        <v>155</v>
      </c>
      <c r="BO2" s="58" t="s">
        <v>161</v>
      </c>
      <c r="BP2" s="58"/>
      <c r="BQ2" s="58"/>
      <c r="BR2" s="58"/>
      <c r="BS2" s="58"/>
      <c r="BT2" s="58"/>
      <c r="BU2" s="60"/>
      <c r="BV2" s="61" t="s">
        <v>167</v>
      </c>
      <c r="BW2" s="61">
        <v>0</v>
      </c>
      <c r="BX2" s="59"/>
      <c r="BY2" s="44" t="s">
        <v>167</v>
      </c>
      <c r="CB2" s="5" t="s">
        <v>322</v>
      </c>
      <c r="CC2" s="5"/>
      <c r="CD2" s="62">
        <v>0</v>
      </c>
      <c r="CE2" s="62">
        <v>0</v>
      </c>
      <c r="CF2" s="62" t="e">
        <v>#REF!</v>
      </c>
      <c r="CG2" s="75" cm="1">
        <f t="array" ref="CG2">SUMPRODUCT(--(LEN(TRIM(BL2:BT2))&gt;0))</f>
        <v>4</v>
      </c>
      <c r="CH2" s="53" t="str">
        <f>IF(CG2=2,"y","n")</f>
        <v>n</v>
      </c>
      <c r="CI2" s="53" t="str">
        <f>IF(CG2=3,"y","n")</f>
        <v>n</v>
      </c>
      <c r="CJ2" s="53" t="str">
        <f>IF(CG2=4,"y","n")</f>
        <v>y</v>
      </c>
      <c r="CK2" s="53" t="str">
        <f>IF(CG2&gt;4,"y","n")</f>
        <v>n</v>
      </c>
      <c r="CL2" s="53" t="str">
        <f>IF(S2=0,"y","n")</f>
        <v>n</v>
      </c>
      <c r="CM2" s="53" t="str">
        <f>IF(S2=2,"y","n")</f>
        <v>n</v>
      </c>
      <c r="CN2" s="53" t="str">
        <f>IF(S2=3,"y","n")</f>
        <v>y</v>
      </c>
      <c r="CO2" s="53" t="str">
        <f>IF(S2&gt;=4,"y","n")</f>
        <v>n</v>
      </c>
      <c r="CP2" s="53" t="str">
        <f>IF(AT2=0,"y","n")</f>
        <v>n</v>
      </c>
      <c r="CQ2" s="53" t="str">
        <f>IF(AT2=1,"y","n")</f>
        <v>n</v>
      </c>
      <c r="CR2" s="53" t="str">
        <f>IF(AT2=2,"y","n")</f>
        <v>n</v>
      </c>
      <c r="CS2" s="53" t="str">
        <f>IF(AT2&gt;=3,"y","n")</f>
        <v>y</v>
      </c>
      <c r="CT2" s="38" t="str">
        <f>CHAR(34)&amp;A2&amp;CHAR(34)</f>
        <v>"Solomon Islands"</v>
      </c>
      <c r="CU2" s="63" t="str">
        <f>CHAR(34)&amp;"rgn_"&amp;R2&amp;CHAR(34)</f>
        <v>"rgn_Oceania"</v>
      </c>
      <c r="CV2" s="44" t="str">
        <f>CHAR(34)&amp;D2&amp;CHAR(34)</f>
        <v>"https://i.ibb.co/C7T6z7q/Solomon-Islands-Flag.png"</v>
      </c>
      <c r="CW2" s="44" t="str">
        <f t="shared" ref="CW2:CZ3" si="0">IF(CH2="y",CHAR(34)&amp;CH$1&amp;CHAR(34)&amp;",","")</f>
        <v/>
      </c>
      <c r="CX2" s="44" t="str">
        <f t="shared" si="0"/>
        <v/>
      </c>
      <c r="CY2" s="44" t="str">
        <f t="shared" si="0"/>
        <v>"4Color",</v>
      </c>
      <c r="CZ2" s="44" t="str">
        <f t="shared" si="0"/>
        <v/>
      </c>
      <c r="DA2" s="44" t="str">
        <f>IF(Q2&gt;1,CHAR(34)&amp;"words2"&amp;CHAR(34)&amp;",","")</f>
        <v>"words2",</v>
      </c>
      <c r="DB2" s="44" t="str">
        <f>IF(Q2&gt;2,CHAR(34)&amp;"words3"&amp;CHAR(34)&amp;",","")</f>
        <v/>
      </c>
      <c r="DC2" s="44" t="str">
        <f>IF(Q2=2,CHAR(34)&amp;"exact2"&amp;CHAR(34)&amp;",","")</f>
        <v>"exact2",</v>
      </c>
      <c r="DD2" s="44"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"lets14",</v>
      </c>
      <c r="DE2" s="44"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"startS",</v>
      </c>
      <c r="DF2" s="44" t="str">
        <f>IFERROR(IF(SEARCH("tan",A2)&gt;0,CHAR(34)&amp;"withtn"&amp;CHAR(34)&amp;",",""),"")</f>
        <v/>
      </c>
      <c r="DG2" s="44" t="str">
        <f>IFERROR(IF(SEARCH("q",A2)&gt;0,CHAR(34)&amp;"with_q"&amp;CHAR(34)&amp;",",""),"")</f>
        <v/>
      </c>
      <c r="DH2" s="44" t="str">
        <f>IFERROR(IF(SEARCH("v",A2)&gt;0,CHAR(34)&amp;"with_v"&amp;CHAR(34)&amp;",",""),"")</f>
        <v/>
      </c>
      <c r="DI2" s="44" t="str">
        <f>IFERROR(IF(SEARCH("w",A2)&gt;0,CHAR(34)&amp;"with_w"&amp;CHAR(34)&amp;",",""),"")</f>
        <v/>
      </c>
      <c r="DJ2" s="44" t="str">
        <f>IFERROR(IF(SEARCH("y",A2)&gt;0,CHAR(34)&amp;"with_y"&amp;CHAR(34)&amp;",",""),"")</f>
        <v/>
      </c>
      <c r="DK2" s="44" t="str">
        <f>IFERROR(IF(SEARCH("z",A2)&gt;0,CHAR(34)&amp;"with_z"&amp;CHAR(34)&amp;",",""),"")</f>
        <v/>
      </c>
      <c r="DL2" s="44" t="str">
        <f>IF(CG2=2, CHAR(34) &amp; _xlfn.TEXTJOIN("", TRUE, _xlfn._xlws.SORT(HP2:HX2)) &amp; CHAR(34) &amp; ",", "")</f>
        <v/>
      </c>
      <c r="DM2" s="44" t="str" cm="1">
        <f t="array" ref="DM2">IF(CG2=3,CHAR(34) &amp; _xlfn.TEXTJOIN("", TRUE, RIGHT(HP2:HX2, 2)) &amp; CHAR(34) &amp; ",", "")</f>
        <v/>
      </c>
      <c r="DN2" s="44" t="str">
        <f>IF(AND(ISNUMBER(SEARCH("18", O2)), ISERROR(SEARCH("1918", O2)), ISERROR(SEARCH("2018", O2))), CHAR(34) &amp; "year18" &amp; CHAR(34) &amp; ",", "")</f>
        <v/>
      </c>
      <c r="DO2" s="44" t="str">
        <f>IF(AND(ISNUMBER(SEARCH("19", O2)), ISERROR(SEARCH("1819", O2)),  ISERROR(SEARCH("1219", O2)),ISERROR(SEARCH("1119", O2)),ISERROR(SEARCH("1190", O2)),ISERROR(SEARCH("2019", O2))), CHAR(34) &amp; "year19" &amp; CHAR(34) &amp; ",", "")</f>
        <v>"year19",</v>
      </c>
      <c r="DP2" s="5" t="str">
        <f>IF(AND(ISNUMBER(SEARCH("20", O2)), ISERROR(SEARCH("1920", O2))), CHAR(34)&amp;"year00"&amp;CHAR(34)&amp;",", "")</f>
        <v/>
      </c>
      <c r="DQ2" s="5" t="str">
        <f>IF(CC2="y",CHAR(34)&amp;"soviet"&amp;CHAR(34)&amp;",","")</f>
        <v/>
      </c>
      <c r="DR2" s="5" t="str">
        <f>IF(BY2="y",CHAR(34)&amp;"dgband"&amp;CHAR(34)&amp;",","")</f>
        <v>"dgband",</v>
      </c>
      <c r="DS2" s="5" t="str">
        <f>IF(W2="y",IF(AND(V2="n",BY2&lt;&gt;"y"),CHAR(34)&amp;"allver"&amp;CHAR(34)&amp;",",""),"")</f>
        <v/>
      </c>
      <c r="DT2" s="5" t="str">
        <f>IF(V2="y",IF(AND(W2="n",BY2&lt;&gt;"y"),CHAR(34)&amp;"allhor"&amp;CHAR(34)&amp;",",""),"")</f>
        <v/>
      </c>
      <c r="DU2" s="5" t="str">
        <f>IF(BY2="y",IF(AND(W2="n",V2="n"),CHAR(34)&amp;"alldia"&amp;CHAR(34)&amp;",",""),"")</f>
        <v>"alldia",</v>
      </c>
      <c r="DV2" s="44" t="str">
        <f>IF(IA2&lt;&gt;"",(IF(IA2="y",CHAR(34)&amp;"largec"&amp;CHAR(34)&amp;",",CHAR(34)&amp;"smallc"&amp;CHAR(34)&amp;",")),"")</f>
        <v/>
      </c>
      <c r="DW2" s="44" t="str">
        <f t="shared" ref="DW2:DZ3" si="1">IF(CL2="y",CHAR(34)&amp;CL$1&amp;CHAR(34)&amp;",","")</f>
        <v/>
      </c>
      <c r="DX2" s="44" t="str">
        <f t="shared" si="1"/>
        <v/>
      </c>
      <c r="DY2" s="44" t="str">
        <f t="shared" si="1"/>
        <v>"3Bands",</v>
      </c>
      <c r="DZ2" s="44" t="str">
        <f t="shared" si="1"/>
        <v/>
      </c>
      <c r="EA2" s="44" t="str">
        <f t="shared" ref="EA2:EE3" si="2">IF(T2="y",CHAR(34)&amp;T$1&amp;CHAR(34)&amp;",","")</f>
        <v>"Diagon",</v>
      </c>
      <c r="EB2" s="44" t="str">
        <f t="shared" si="2"/>
        <v/>
      </c>
      <c r="EC2" s="44" t="str">
        <f t="shared" si="2"/>
        <v/>
      </c>
      <c r="ED2" s="44" t="str">
        <f t="shared" si="2"/>
        <v/>
      </c>
      <c r="EE2" s="44" t="str">
        <f t="shared" si="2"/>
        <v/>
      </c>
      <c r="EF2" s="44" t="str">
        <f>IF(AND(Y2&lt;&gt;"n",Y2&lt;&gt;""),CHAR(34)&amp;Y$1&amp;CHAR(34)&amp;",","")</f>
        <v/>
      </c>
      <c r="EG2" s="44" t="str">
        <f t="shared" ref="EG2:EP3" si="3">IF(Z2="y",CHAR(34)&amp;Z$1&amp;CHAR(34)&amp;",","")</f>
        <v/>
      </c>
      <c r="EH2" s="44" t="str">
        <f t="shared" si="3"/>
        <v/>
      </c>
      <c r="EI2" s="44" t="str">
        <f t="shared" si="3"/>
        <v/>
      </c>
      <c r="EJ2" s="44" t="str">
        <f t="shared" si="3"/>
        <v/>
      </c>
      <c r="EK2" s="44" t="str">
        <f t="shared" si="3"/>
        <v/>
      </c>
      <c r="EL2" s="44" t="str">
        <f t="shared" si="3"/>
        <v/>
      </c>
      <c r="EM2" s="44" t="str">
        <f t="shared" si="3"/>
        <v/>
      </c>
      <c r="EN2" s="44" t="str">
        <f t="shared" si="3"/>
        <v>"Unequa",</v>
      </c>
      <c r="EO2" s="44" t="str">
        <f t="shared" si="3"/>
        <v/>
      </c>
      <c r="EP2" s="44" t="str">
        <f t="shared" si="3"/>
        <v/>
      </c>
      <c r="EQ2" s="44" t="str">
        <f t="shared" ref="EQ2:EZ3" si="4">IF(AJ2="y",CHAR(34)&amp;AJ$1&amp;CHAR(34)&amp;",","")</f>
        <v/>
      </c>
      <c r="ER2" s="44" t="str">
        <f t="shared" si="4"/>
        <v/>
      </c>
      <c r="ES2" s="44" t="str">
        <f t="shared" si="4"/>
        <v/>
      </c>
      <c r="ET2" s="44" t="str">
        <f t="shared" si="4"/>
        <v/>
      </c>
      <c r="EU2" s="44" t="str">
        <f t="shared" si="4"/>
        <v/>
      </c>
      <c r="EV2" s="44" t="str">
        <f t="shared" si="4"/>
        <v/>
      </c>
      <c r="EW2" s="44" t="str">
        <f t="shared" si="4"/>
        <v/>
      </c>
      <c r="EX2" s="44" t="str">
        <f t="shared" si="4"/>
        <v/>
      </c>
      <c r="EY2" s="44" t="str">
        <f t="shared" si="4"/>
        <v/>
      </c>
      <c r="EZ2" s="44" t="str">
        <f t="shared" si="4"/>
        <v/>
      </c>
      <c r="FA2" s="44" t="str">
        <f>IF(AT2&gt;0,CHAR(34)&amp;"sta"&amp;AZ2&amp;CHAR(34)&amp;",","")</f>
        <v>"staWHI",</v>
      </c>
      <c r="FB2" s="44" t="str">
        <f>IF(AND(AT2&gt;0,BA2&lt;&gt;""),CHAR(34)&amp;"sta"&amp;BA2&amp;CHAR(34)&amp;",","")</f>
        <v/>
      </c>
      <c r="FC2" s="44" t="str">
        <f>IF(AND(AT2&gt;0,BB2&lt;&gt;""),CHAR(34)&amp;"sta"&amp;BB2&amp;CHAR(34)&amp;",","")</f>
        <v/>
      </c>
      <c r="FD2" s="44" t="str">
        <f>IF(BV2="n",CHAR(34)&amp;"tcWHYE"&amp;CHAR(34)&amp;",",IF(BV2="y",CHAR(34)&amp;FD$1&amp;CHAR(34)&amp;",",""))</f>
        <v>"ntWHYE",</v>
      </c>
      <c r="FE2" s="44" t="str">
        <f>IF(COUNTIF(BL2:BT2,"BLU")=0,CHAR(34)&amp;"NO_BLU"&amp;CHAR(34)&amp;",", "")</f>
        <v/>
      </c>
      <c r="FF2" s="44" t="str">
        <f>IF(COUNTIF(BL2:BT2,"WHI")=0,CHAR(34)&amp;"NO_WHI"&amp;CHAR(34)&amp;",", "")</f>
        <v/>
      </c>
      <c r="FG2" s="44" t="str">
        <f>IF(COUNTIF(BL2:BT2,"RED")=0,CHAR(34)&amp;"NO_RED"&amp;CHAR(34)&amp;",", "")</f>
        <v>"NO_RED",</v>
      </c>
      <c r="FH2" s="44" t="str">
        <f>IF(COUNTIF(BL2:BS2,"GRE")=0,CHAR(34)&amp;"NO_GRE"&amp;CHAR(34)&amp;",", "")</f>
        <v/>
      </c>
      <c r="FI2" s="44" t="str">
        <f>IF(COUNTIF(BL2:BT2,"YEL")=0,CHAR(34)&amp;"NO_YEL"&amp;CHAR(34)&amp;",", "")</f>
        <v/>
      </c>
      <c r="FJ2" s="44" t="str">
        <f>IF(COUNTIF(BL2:BT2,"BLA")=0,CHAR(34)&amp;"NO_BLA"&amp;CHAR(34)&amp;",", "")</f>
        <v>"NO_BLA",</v>
      </c>
      <c r="FK2" s="44" t="str">
        <f>IF(AND(FH2&lt;&gt;"",FF2&lt;&gt;""),CHAR(34)&amp;"WHGRNO"&amp;CHAR(34)&amp;",","")</f>
        <v/>
      </c>
      <c r="FL2" s="44" t="str">
        <f>IF(AND(FI2&lt;&gt;"",FF2&lt;&gt;""),CHAR(34)&amp;"WHYENO"&amp;CHAR(34)&amp;",","")</f>
        <v/>
      </c>
      <c r="FM2" s="44" t="str">
        <f>IF(AND(FJ2&lt;&gt;"",FF2&lt;&gt;""),CHAR(34)&amp;"BAWHNO"&amp;CHAR(34)&amp;",","")</f>
        <v/>
      </c>
      <c r="FN2" s="44" t="str">
        <f>IF(AND(FE2&lt;&gt;"",FF2&lt;&gt;""),CHAR(34)&amp;"BLWHNO"&amp;CHAR(34)&amp;",","")</f>
        <v/>
      </c>
      <c r="FO2" s="44" t="str">
        <f>IF(AND(FE2&lt;&gt;"",FG2&lt;&gt;""),CHAR(34)&amp;"BLRENO"&amp;CHAR(34)&amp;",","")</f>
        <v/>
      </c>
      <c r="FP2" s="44" t="str">
        <f>IF(AND(FF2&lt;&gt;"",FF2&lt;&gt;""),CHAR(34)&amp;"WHRENO"&amp;CHAR(34)&amp;",","")</f>
        <v/>
      </c>
      <c r="FQ2" s="44" t="str">
        <f>IF(LEN(BF2)=3,CHAR(34)&amp;"001"&amp;BF2&amp;CHAR(34)&amp;",","")</f>
        <v>"001BLU",</v>
      </c>
      <c r="FR2" s="44" t="str">
        <f>IF(LEN(BG2)=3,CHAR(34)&amp;"002"&amp;BG2&amp;CHAR(34)&amp;",","")</f>
        <v>"002YEL",</v>
      </c>
      <c r="FS2" s="44" t="str">
        <f>IF(LEN(BH2)=3,CHAR(34)&amp;"003"&amp;BH2&amp;CHAR(34)&amp;",","")</f>
        <v>"003GRE",</v>
      </c>
      <c r="FT2" s="44" t="str">
        <f>CHAR(34)&amp;"myr"&amp;BD2&amp;CHAR(34)&amp;","</f>
        <v>"myrGRE",</v>
      </c>
      <c r="FU2" s="44" t="str">
        <f>IF(AY2="y",CHAR(34)&amp;"island"&amp;CHAR(34)&amp;",","")</f>
        <v>"island",</v>
      </c>
      <c r="FV2" s="44" t="str">
        <f>IF(BZ2="y",CHAR(34)&amp;"landlo"&amp;CHAR(34)&amp;",","")</f>
        <v/>
      </c>
      <c r="FW2" s="44" t="str">
        <f>IF(CA2="y",CHAR(34)&amp;"eunion"&amp;CHAR(34)&amp;",","")</f>
        <v/>
      </c>
      <c r="FX2" s="44" t="str">
        <f>SUBSTITUTE(IFERROR(SEARCH("[",A2),IFERROR(IF(AND(CA2&lt;&gt;"y",SEARCH("Europe",R2)&gt;0),CHAR(34)&amp;"noeuni"&amp;CHAR(34)&amp;",",""),"")),"1","")</f>
        <v/>
      </c>
      <c r="FY2" s="44" t="str">
        <f>IFERROR(IF(SEARCH("Arabic",CB2)&gt;0,CHAR(34)&amp;"arabic"&amp;CHAR(34)&amp;",",""),"")</f>
        <v/>
      </c>
      <c r="FZ2" s="44" t="str">
        <f>IFERROR(IF(SEARCH("English",CB2)&gt;0,CHAR(34)&amp;"englis"&amp;CHAR(34)&amp;",",""),"")</f>
        <v>"englis",</v>
      </c>
      <c r="GA2" s="44" t="str">
        <f>IFERROR(IF(SEARCH("French",CB2)&gt;0,CHAR(34)&amp;"french"&amp;CHAR(34)&amp;",",""),"")</f>
        <v/>
      </c>
      <c r="GB2" s="44" t="str">
        <f>IFERROR(IF(SEARCH("Spanish",CB2)&gt;0,CHAR(34)&amp;"spanis"&amp;CHAR(34)&amp;",",""),"")</f>
        <v/>
      </c>
      <c r="GC2" s="44" t="str">
        <f>IFERROR(IF(SEARCH("Portuguese",CB2)&gt;0,CHAR(34)&amp;"portug"&amp;CHAR(34)&amp;",",""),"")</f>
        <v/>
      </c>
      <c r="GD2" s="44" t="str">
        <f>IFERROR(IF(SEARCH("German",CB2)&gt;0,CHAR(34)&amp;"german"&amp;CHAR(34)&amp;",",""),"")</f>
        <v/>
      </c>
      <c r="GE2" s="44" t="str">
        <f t="shared" ref="GE2:GE44" si="5">IFERROR(IF(SEARCH("Dutch",CB2)&gt;0,CHAR(34)&amp;"dutchs"&amp;CHAR(34)&amp;",",""),"")</f>
        <v/>
      </c>
      <c r="GF2" s="44" t="str">
        <f>IFERROR(IF(SEARCH("Histor",AU2)&gt;0,CHAR(34)&amp;"histor"&amp;CHAR(34)&amp;",",""),"")</f>
        <v/>
      </c>
      <c r="GG2" s="44" t="str">
        <f t="shared" ref="GG2:GG44" si="6">IF(BU2="y",CHAR(34)&amp;"unjack"&amp;CHAR(34)&amp;",","")</f>
        <v/>
      </c>
      <c r="GH2" s="44" t="str">
        <f t="shared" ref="GH2:GH44" si="7">IF(CD2=1,CHAR(34)&amp;"southc"&amp;CHAR(34)&amp;",","")</f>
        <v/>
      </c>
      <c r="GI2" s="44" t="str">
        <f t="shared" ref="GI2:GI44" si="8">IF(CE2=1,CHAR(34)&amp;"hasmap"&amp;CHAR(34)&amp;",","")</f>
        <v/>
      </c>
      <c r="GJ2" s="44" t="str">
        <f>IF(CP2="y",CHAR(34)&amp;CP$1&amp;CHAR(34)&amp;",","")</f>
        <v/>
      </c>
      <c r="GK2" s="44" t="str">
        <f>IF(GJ2="",CHAR(34)&amp;"HasSta"&amp;CHAR(34)&amp;",","")</f>
        <v>"HasSta",</v>
      </c>
      <c r="GL2" s="44" t="str">
        <f t="shared" ref="GL2:GN3" si="9">IF(CQ2="y",CHAR(34)&amp;CQ$1&amp;CHAR(34)&amp;",","")</f>
        <v/>
      </c>
      <c r="GM2" s="44" t="str">
        <f t="shared" si="9"/>
        <v/>
      </c>
      <c r="GN2" s="44" t="str">
        <f t="shared" si="9"/>
        <v>"3+Star",</v>
      </c>
      <c r="GP2" s="44" t="str">
        <f>CHAR(34)&amp;AU2&amp;CHAR(34)</f>
        <v>""</v>
      </c>
      <c r="GS2" s="44" t="str">
        <f>SUBSTITUTE("["&amp;_xlfn.CONCAT(CW2:GN2)&amp;"]",",]","]")</f>
        <v>["4Color","words2","exact2","lets14","startS","year19","dgband","alldia","3Bands","Diagon","Unequa","staWHI","ntWHYE","NO_RED","NO_BLA","001BLU","002YEL","003GRE","myrGRE","island","englis","HasSta","3+Star"]</v>
      </c>
      <c r="GT2" s="44" t="str">
        <f t="shared" ref="GT2:HB3" si="10">IF(BL2&lt;&gt;"",CHAR(34)&amp;"cl_"&amp;BL2&amp;CHAR(34)&amp;",","")</f>
        <v>"cl_BLU",</v>
      </c>
      <c r="GU2" s="44" t="str">
        <f t="shared" si="10"/>
        <v>"cl_YEL",</v>
      </c>
      <c r="GV2" s="44" t="str">
        <f t="shared" si="10"/>
        <v>"cl_GRE",</v>
      </c>
      <c r="GW2" s="44" t="str">
        <f t="shared" si="10"/>
        <v>"cl_WHI",</v>
      </c>
      <c r="GX2" s="44" t="str">
        <f t="shared" si="10"/>
        <v/>
      </c>
      <c r="GY2" s="44" t="str">
        <f t="shared" si="10"/>
        <v/>
      </c>
      <c r="GZ2" s="44" t="str">
        <f t="shared" si="10"/>
        <v/>
      </c>
      <c r="HA2" s="44" t="str">
        <f t="shared" si="10"/>
        <v/>
      </c>
      <c r="HB2" s="44" t="str">
        <f t="shared" si="10"/>
        <v/>
      </c>
      <c r="HC2" s="44" t="str">
        <f>SUBSTITUTE("["&amp;_xlfn.CONCAT(GT2:HB2)&amp;"]",",]","]")</f>
        <v>["cl_BLU","cl_YEL","cl_GRE","cl_WHI"]</v>
      </c>
      <c r="HE2" s="64"/>
      <c r="HF2" s="65" t="str">
        <f>"{couname:"&amp;CT2&amp;(IF(HK2&lt;&gt;"",",subtype:"&amp;CHAR(34)&amp;HK2&amp;CHAR(34),""))&amp;",year:"&amp;HJ2&amp;",region:"&amp;CU2&amp;",Colors:"&amp;HC2&amp;",Items:"&amp;GS2&amp;",Flag:"&amp;CV2&amp;",HDFlag:"&amp;CHAR(34)&amp;E2&amp;CHAR(34)&amp;",type:"&amp;GP2&amp;", describe: "&amp;HH2&amp;", isnew:"&amp;CHAR(34)&amp;F2&amp;CHAR(34)&amp;", links: "&amp;HL2&amp;"},"</f>
        <v>{couname:"Solomon Islands",year:"1977 ",region:"rgn_Oceania",Colors:["cl_BLU","cl_YEL","cl_GRE","cl_WHI"],Items:["4Color","words2","exact2","lets14","startS","year19","dgband","alldia","3Bands","Diagon","Unequa","staWHI","ntWHYE","NO_RED","NO_BLA","001BLU","002YEL","003GRE","myrGRE","island","englis","HasSta","3+Star"],Flag:"https://i.ibb.co/C7T6z7q/Solomon-Islands-Flag.png",HDFlag:"https://upload.wikimedia.org/wikipedia/commons/thumb/7/74/Flag_of_the_Solomon_Islands.svg/2560px-Flag_of_the_Solomon_Islands.svg.png",type:"", describe: "\nThe blue evokes the water, as well as its significance to the country in the form of rivers, rain, and the Pacific Ocean. The green alludes to the land, along with the trees and crops that grow on it. The yellow epitomizes the sun and its rays separating the land and the ocean.\n\nThe five stars are arranged in three offset rows at the canton, in the shape of the letter X. At first, these were meant to symbolize the provinces that the country was subdivided into at the time of independence (Central, Western, Eastern, Malaita and Honiara Capital). Even though new provinces have since been created, the number of stars has remained unchanged.", isnew:".", links: "https://en.wikipedia.org/wiki/Flag_of_Solomon_Islands"},</v>
      </c>
      <c r="HG2" s="66" t="str">
        <f>"{couname:"&amp;CT2&amp;(IF(HK2&lt;&gt;"",",subtype:"&amp;CHAR(34)&amp;HK2&amp;CHAR(34),""))&amp;",year:"&amp;HJ2&amp;",region:"&amp;CU2&amp;",Colors:"&amp;HC2&amp;",Items:"&amp;GS2&amp;",Flag:"&amp;CV2&amp;",HDFlag:"&amp;CHAR(34)&amp;E2&amp;CHAR(34)&amp;",type:"&amp;GP2&amp;", describe: "&amp;HI2&amp;", links: "&amp;HL2&amp;"},"</f>
        <v>{couname:"Solomon Islands",year:"1977 ",region:"rgn_Oceania",Colors:["cl_BLU","cl_YEL","cl_GRE","cl_WHI"],Items:["4Color","words2","exact2","lets14","startS","year19","dgband","alldia","3Bands","Diagon","Unequa","staWHI","ntWHYE","NO_RED","NO_BLA","001BLU","002YEL","003GRE","myrGRE","island","englis","HasSta","3+Star"],Flag:"https://i.ibb.co/C7T6z7q/Solomon-Islands-Flag.png",HDFlag:"https://upload.wikimedia.org/wikipedia/commons/thumb/7/74/Flag_of_the_Solomon_Islands.svg/2560px-Flag_of_the_Solomon_Islands.svg.png",type:"", describe: "\nThe blue evokes the water, as well as its significance to the country in the form of rivers, rain, and the Pacific Ocean. The green alludes to the land, along with the trees and crops that grow on it. The yellow epitomizes the sun and its rays separating the land and the ocean.\n\nThe five stars are arranged in three offset rows at the canton, in the shape of the letter X. At first, these were meant to symbolize the provinces that the country was subdivided into at the time of independence (Central, Western, Eastern, Malaita and Honiara Capital). Even though new provinces have since been created, the number of stars has remained unchanged.", links: "https://en.wikipedia.org/wiki/Flag_of_Solomon_Islands"},</v>
      </c>
      <c r="HH2" s="44" t="str">
        <f>IF(P2&lt;&gt;"",CHAR(34)&amp;"\n"&amp;P2&amp;CHAR(34),CHAR(34)&amp;CHAR(34))</f>
        <v>"\nThe blue evokes the water, as well as its significance to the country in the form of rivers, rain, and the Pacific Ocean. The green alludes to the land, along with the trees and crops that grow on it. The yellow epitomizes the sun and its rays separating the land and the ocean.\n\nThe five stars are arranged in three offset rows at the canton, in the shape of the letter X. At first, these were meant to symbolize the provinces that the country was subdivided into at the time of independence (Central, Western, Eastern, Malaita and Honiara Capital). Even though new provinces have since been created, the number of stars has remained unchanged."</v>
      </c>
      <c r="HI2" s="44" t="str">
        <f>IF(J2=0,CHAR(34)&amp;CHAR(34),HH2)</f>
        <v>"\nThe blue evokes the water, as well as its significance to the country in the form of rivers, rain, and the Pacific Ocean. The green alludes to the land, along with the trees and crops that grow on it. The yellow epitomizes the sun and its rays separating the land and the ocean.\n\nThe five stars are arranged in three offset rows at the canton, in the shape of the letter X. At first, these were meant to symbolize the provinces that the country was subdivided into at the time of independence (Central, Western, Eastern, Malaita and Honiara Capital). Even though new provinces have since been created, the number of stars has remained unchanged."</v>
      </c>
      <c r="HJ2" s="44" t="str">
        <f>CHAR(34)&amp;O2&amp;CHAR(34)</f>
        <v>"1977 "</v>
      </c>
      <c r="HL2" s="44" t="str">
        <f>CHAR(34)&amp;I2&amp;CHAR(34)</f>
        <v>"https://en.wikipedia.org/wiki/Flag_of_Solomon_Islands"</v>
      </c>
      <c r="HM2" s="65"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{"couname":"Solomon Islands","year":"1977 ","region":"rgn_Oceania","Colors":["cl_BLU","cl_YEL","cl_GRE","cl_WHI"],"Items":["4Color","words2","exact2","lets14","startS","year19","dgband","alldia","3Bands","Diagon","Unequa","staWHI","ntWHYE","NO_RED","NO_BLA","001BLU","002YEL","003GRE","myrGRE","island","englis","HasSta","3+Star"],"Flag":"https://i.ibb.co/C7T6z7q/Solomon-Islands-Flag.png","HDFlag":"https://upload.wikimedia.org/wikipedia/commons/thumb/7/74/Flag_of_the_Solomon_Islands.svg/2560px-Flag_of_the_Solomon_Islands.svg.png","type":"", "describe": "\nThe blue evokes the water, as well as its significance to the country in the form of rivers, rain, and the Pacific Ocean. The green alludes to the land, along with the trees and crops that grow on it. The yellow epitomizes the sun and its rays separating the land and the ocean.\n\nThe five stars are arranged in three offset rows at the canton, in the shape of the letter X. At first, these were meant to symbolize the provinces that the country was subdivided into at the time of independence (Central, Western, Eastern, Malaita and Honiara Capital). Even though new provinces have since been created, the number of stars has remained unchanged.", "isnew": ".", "links": "https://en.wikipedia.org/wiki/Flag_of_Solomon_Islands"},</v>
      </c>
      <c r="HN2" s="67"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{"couname":"Solomon Islands","year":"1977 ","region":"rgn_Oceania","Colors":["cl_BLU","cl_YEL","cl_GRE","cl_WHI"],"Items":["4Color","words2","exact2","lets14","startS","year19","dgband","alldia","3Bands","Diagon","Unequa","staWHI","ntWHYE","NO_RED","NO_BLA","001BLU","002YEL","003GRE","myrGRE","island","englis","HasSta","3+Star"],"Flag":"https://i.ibb.co/C7T6z7q/Solomon-Islands-Flag.png","HDFlag":"https://upload.wikimedia.org/wikipedia/commons/thumb/7/74/Flag_of_the_Solomon_Islands.svg/2560px-Flag_of_the_Solomon_Islands.svg.png","type":"", "describe": "\nThe blue evokes the water, as well as its significance to the country in the form of rivers, rain, and the Pacific Ocean. The green alludes to the land, along with the trees and crops that grow on it. The yellow epitomizes the sun and its rays separating the land and the ocean.\n\nThe five stars are arranged in three offset rows at the canton, in the shape of the letter X. At first, these were meant to symbolize the provinces that the country was subdivided into at the time of independence (Central, Western, Eastern, Malaita and Honiara Capital). Even though new provinces have since been created, the number of stars has remained unchanged.", "isnew": ".", "links": "https://en.wikipedia.org/wiki/Flag_of_Solomon_Islands"},</v>
      </c>
      <c r="HO2" s="71"/>
      <c r="HP2" s="44" t="str" cm="1">
        <f t="array" ref="HP2">IF(_xlfn.TEXTJOIN(", ", TRUE, IF(ISNUMBER(SEARCH("BLA", BL2:BT2)), COLUMN(BL2:BT2) - COLUMN(BL2) + 1, ""))&lt;&gt;"","BLA","")</f>
        <v/>
      </c>
      <c r="HQ2" s="44" t="str" cm="1">
        <f t="array" ref="HQ2">IF(_xlfn.TEXTJOIN(", ", TRUE, IF(ISNUMBER(SEARCH("BLU", BL2:BT2)), COLUMN(BL2:BT2) - COLUMN(BL2) + 1, ""))&lt;&gt;"","BLU","")</f>
        <v>BLU</v>
      </c>
      <c r="HR2" s="44" t="str" cm="1">
        <f t="array" ref="HR2">IF(_xlfn.TEXTJOIN(", ", TRUE, IF(ISNUMBER(SEARCH("GRE", BL2:BT2)), COLUMN(BL2:BT2) - COLUMN(BL2) + 1, ""))&lt;&gt;"","GRE","")</f>
        <v>GRE</v>
      </c>
      <c r="HS2" s="44" t="str" cm="1">
        <f t="array" ref="HS2">IF(_xlfn.TEXTJOIN(", ", TRUE, IF(ISNUMBER(SEARCH("RED", BL2:BT2)), COLUMN(BL2:BT2) - COLUMN(BL2) + 1, ""))&lt;&gt;"","RED","")</f>
        <v/>
      </c>
      <c r="HT2" s="44" t="str" cm="1">
        <f t="array" ref="HT2">IF(_xlfn.TEXTJOIN(", ", TRUE, IF(ISNUMBER(SEARCH("YEL", BL2:BT2)), COLUMN(BL2:BT2) - COLUMN(BL2) + 1, ""))&lt;&gt;"","YEL","")</f>
        <v>YEL</v>
      </c>
      <c r="HU2" s="44" t="str" cm="1">
        <f t="array" ref="HU2">IF(_xlfn.TEXTJOIN(", ", TRUE, IF(ISNUMBER(SEARCH("ORA", BL2:BT2)), COLUMN(BL2:BT2) - COLUMN(BL2) + 1, ""))&lt;&gt;"","ORA","")</f>
        <v/>
      </c>
      <c r="HV2" s="44" t="str" cm="1">
        <f t="array" ref="HV2">IF(_xlfn.TEXTJOIN(", ", TRUE, IF(ISNUMBER(SEARCH("BRO", BL2:BT2)), COLUMN(BL2:BT2) - COLUMN(BL2) + 1, ""))&lt;&gt;"","BRO","")</f>
        <v/>
      </c>
      <c r="HW2" s="44" t="str" cm="1">
        <f t="array" ref="HW2">IF(_xlfn.TEXTJOIN(", ", TRUE, IF(ISNUMBER(SEARCH("PUR", BL2:BT2)), COLUMN(BL2:BT2) - COLUMN(BL2) + 1, ""))&lt;&gt;"","PUR","")</f>
        <v/>
      </c>
      <c r="HX2" s="44" t="str" cm="1">
        <f t="array" ref="HX2">IF(_xlfn.TEXTJOIN(", ", TRUE, IF(ISNUMBER(SEARCH("WHI", BL2:BT2)), COLUMN(BL2:BT2) - COLUMN(BL2) + 1, ""))&lt;&gt;"","WHI","")</f>
        <v>WHI</v>
      </c>
      <c r="HY2" s="72"/>
      <c r="HZ2" s="72"/>
      <c r="IA2" s="5"/>
      <c r="IB2" s="5"/>
      <c r="IC2" s="68"/>
      <c r="ID2" s="68"/>
      <c r="IE2" s="68"/>
      <c r="IF2" s="68"/>
      <c r="IG2" s="68"/>
      <c r="IH2" s="68"/>
      <c r="II2" s="68"/>
      <c r="IJ2" s="68"/>
      <c r="IK2" s="68"/>
      <c r="IL2" s="44">
        <f>SUM(IC2:IK2)</f>
        <v>0</v>
      </c>
      <c r="IM2" s="42">
        <f>COUNTIF(IC2:IK2,"&gt;0")-CG2</f>
        <v>-4</v>
      </c>
      <c r="IN2" s="69" t="str">
        <f>"http://mkweb.bcgsc.ca/color-summarizer/?url="&amp;D2&amp;"&amp;precision=low&amp;num_clusters="&amp;CG2&amp;"&amp;text=1"</f>
        <v>http://mkweb.bcgsc.ca/color-summarizer/?url=https://i.ibb.co/C7T6z7q/Solomon-Islands-Flag.png&amp;precision=low&amp;num_clusters=4&amp;text=1</v>
      </c>
      <c r="IO2" s="44" t="str">
        <f>IF(HP2&lt;&gt;"",CHAR(34)&amp;"black"&amp;CHAR(34),"")</f>
        <v/>
      </c>
      <c r="IP2" s="44" t="str">
        <f>IF(HQ2&lt;&gt;"",CHAR(34)&amp;"blue"&amp;CHAR(34),"")</f>
        <v>"blue"</v>
      </c>
      <c r="IQ2" s="44" t="str">
        <f>IF(HR2&lt;&gt;"",CHAR(34)&amp;"green"&amp;CHAR(34),"")</f>
        <v>"green"</v>
      </c>
      <c r="IR2" s="44" t="str">
        <f>IF(HS2&lt;&gt;"",CHAR(34)&amp;"red"&amp;CHAR(34),"")</f>
        <v/>
      </c>
      <c r="IS2" s="44" t="str">
        <f>IF(HT2&lt;&gt;"",CHAR(34)&amp;"yellow"&amp;CHAR(34),"")</f>
        <v>"yellow"</v>
      </c>
      <c r="IT2" s="44" t="str">
        <f>IF(HU2&lt;&gt;"",CHAR(34)&amp;"orange"&amp;CHAR(34),"")</f>
        <v/>
      </c>
      <c r="IU2" s="44" t="str">
        <f>IF(HV2&lt;&gt;"",CHAR(34)&amp;"brown"&amp;CHAR(34),"")</f>
        <v/>
      </c>
      <c r="IV2" s="44" t="str">
        <f>IF(HW2&lt;&gt;"",CHAR(34)&amp;"purple"&amp;CHAR(34),"")</f>
        <v/>
      </c>
      <c r="IW2" s="44" t="str">
        <f>IF(HX2&lt;&gt;"",CHAR(34)&amp;"white"&amp;CHAR(34),"")</f>
        <v>"white"</v>
      </c>
      <c r="IX2" s="44" t="str">
        <f>"{"&amp;CHAR(34)&amp;"url"&amp;CHAR(34)&amp;":"&amp;CHAR(34)&amp;IN2&amp;CHAR(34)&amp;","&amp;CHAR(34)&amp;"name"&amp;CHAR(34)&amp;":"&amp;CHAR(34)&amp;A2&amp;CHAR(34)&amp;"},"</f>
        <v>{"url":"http://mkweb.bcgsc.ca/color-summarizer/?url=https://i.ibb.co/C7T6z7q/Solomon-Islands-Flag.png&amp;precision=low&amp;num_clusters=4&amp;text=1","name":"Solomon Islands"},</v>
      </c>
      <c r="IY2" s="44">
        <v>201</v>
      </c>
    </row>
    <row r="3" spans="1:259" s="44" customFormat="1" ht="38.4" customHeight="1" thickBot="1" x14ac:dyDescent="0.35">
      <c r="A3" s="80" t="s">
        <v>518</v>
      </c>
      <c r="B3" s="78" t="e" vm="105">
        <v>#VALUE!</v>
      </c>
      <c r="C3" s="39">
        <v>2</v>
      </c>
      <c r="D3" s="70" t="s">
        <v>519</v>
      </c>
      <c r="E3" s="40" t="s">
        <v>520</v>
      </c>
      <c r="F3" s="41" t="s">
        <v>165</v>
      </c>
      <c r="G3" s="42">
        <f>COUNTIF($A$1:$A$8338,A3)</f>
        <v>1</v>
      </c>
      <c r="H3" s="43"/>
      <c r="I3" s="59" t="s">
        <v>320</v>
      </c>
      <c r="J3" s="44" t="str">
        <f>""</f>
        <v/>
      </c>
      <c r="K3" s="45"/>
      <c r="L3" s="46"/>
      <c r="M3" s="46"/>
      <c r="N3" s="47" t="s">
        <v>177</v>
      </c>
      <c r="O3" s="74" t="s">
        <v>230</v>
      </c>
      <c r="P3" s="48" t="s">
        <v>521</v>
      </c>
      <c r="Q3" s="73">
        <v>2</v>
      </c>
      <c r="R3" s="49" t="s">
        <v>177</v>
      </c>
      <c r="S3" s="50">
        <v>0</v>
      </c>
      <c r="T3" s="51" t="s">
        <v>167</v>
      </c>
      <c r="U3" s="52" t="s">
        <v>166</v>
      </c>
      <c r="V3" s="52" t="s">
        <v>166</v>
      </c>
      <c r="W3" s="52" t="s">
        <v>166</v>
      </c>
      <c r="X3" s="52" t="s">
        <v>166</v>
      </c>
      <c r="Y3" s="52" t="s">
        <v>166</v>
      </c>
      <c r="Z3" s="52" t="s">
        <v>166</v>
      </c>
      <c r="AA3" s="52" t="s">
        <v>166</v>
      </c>
      <c r="AB3" s="52" t="s">
        <v>166</v>
      </c>
      <c r="AC3" s="52" t="s">
        <v>166</v>
      </c>
      <c r="AD3" s="52" t="s">
        <v>166</v>
      </c>
      <c r="AE3" s="52" t="s">
        <v>166</v>
      </c>
      <c r="AF3" s="53" t="s">
        <v>166</v>
      </c>
      <c r="AG3" s="53" t="s">
        <v>166</v>
      </c>
      <c r="AH3" s="53" t="s">
        <v>166</v>
      </c>
      <c r="AI3" s="53" t="s">
        <v>167</v>
      </c>
      <c r="AJ3" s="53" t="s">
        <v>166</v>
      </c>
      <c r="AK3" s="53" t="s">
        <v>166</v>
      </c>
      <c r="AL3" s="53" t="s">
        <v>166</v>
      </c>
      <c r="AM3" s="53" t="s">
        <v>166</v>
      </c>
      <c r="AN3" s="53" t="s">
        <v>166</v>
      </c>
      <c r="AO3" s="53" t="s">
        <v>166</v>
      </c>
      <c r="AP3" s="53" t="s">
        <v>166</v>
      </c>
      <c r="AQ3" s="53" t="s">
        <v>166</v>
      </c>
      <c r="AR3" s="53" t="s">
        <v>166</v>
      </c>
      <c r="AS3" s="53" t="s">
        <v>166</v>
      </c>
      <c r="AT3" s="54">
        <v>7</v>
      </c>
      <c r="AU3" s="53" t="s">
        <v>355</v>
      </c>
      <c r="AV3" s="53" t="str">
        <f>IF(LEFT(A3,1)="[",LEFT(A3,5)&amp;AU3&amp;A3,"")</f>
        <v>[SOL]Province[SOL] Temotu Province</v>
      </c>
      <c r="AW3" s="53" t="str">
        <f>C3&amp;H3&amp;A3</f>
        <v>2[SOL] Temotu Province</v>
      </c>
      <c r="AX3" s="55"/>
      <c r="AY3" s="55"/>
      <c r="AZ3" s="56" t="s">
        <v>161</v>
      </c>
      <c r="BA3" s="56" t="s">
        <v>231</v>
      </c>
      <c r="BB3" s="56"/>
      <c r="BC3" s="57"/>
      <c r="BD3" s="58" t="s">
        <v>156</v>
      </c>
      <c r="BE3" s="59"/>
      <c r="BF3" s="58" t="s">
        <v>231</v>
      </c>
      <c r="BG3" s="58" t="s">
        <v>231</v>
      </c>
      <c r="BH3" s="58" t="s">
        <v>231</v>
      </c>
      <c r="BI3" s="58"/>
      <c r="BJ3" s="58"/>
      <c r="BK3" s="59"/>
      <c r="BL3" s="58" t="s">
        <v>231</v>
      </c>
      <c r="BM3" s="58" t="s">
        <v>154</v>
      </c>
      <c r="BN3" s="58" t="s">
        <v>155</v>
      </c>
      <c r="BO3" s="58" t="s">
        <v>156</v>
      </c>
      <c r="BP3" s="58" t="s">
        <v>157</v>
      </c>
      <c r="BQ3" s="58" t="s">
        <v>231</v>
      </c>
      <c r="BR3" s="58" t="s">
        <v>231</v>
      </c>
      <c r="BS3" s="58" t="s">
        <v>231</v>
      </c>
      <c r="BT3" s="58" t="s">
        <v>161</v>
      </c>
      <c r="BU3" s="60" t="s">
        <v>166</v>
      </c>
      <c r="BV3" s="61"/>
      <c r="BW3" s="61">
        <v>0</v>
      </c>
      <c r="BX3" s="59"/>
      <c r="BY3" s="44" t="s">
        <v>166</v>
      </c>
      <c r="CB3" s="5"/>
      <c r="CC3" s="5"/>
      <c r="CD3" s="62">
        <v>0</v>
      </c>
      <c r="CE3" s="62">
        <v>0</v>
      </c>
      <c r="CF3" s="62" t="e">
        <v>#REF!</v>
      </c>
      <c r="CG3" s="75" cm="1">
        <f t="array" ref="CG3">SUMPRODUCT(--(LEN(TRIM(BL3:BT3))&gt;0))</f>
        <v>5</v>
      </c>
      <c r="CH3" s="53" t="str">
        <f>IF(CG3=2,"y","n")</f>
        <v>n</v>
      </c>
      <c r="CI3" s="53" t="str">
        <f>IF(CG3=3,"y","n")</f>
        <v>n</v>
      </c>
      <c r="CJ3" s="53" t="str">
        <f>IF(CG3=4,"y","n")</f>
        <v>n</v>
      </c>
      <c r="CK3" s="53" t="str">
        <f>IF(CG3&gt;4,"y","n")</f>
        <v>y</v>
      </c>
      <c r="CL3" s="53" t="str">
        <f>IF(S3=0,"y","n")</f>
        <v>y</v>
      </c>
      <c r="CM3" s="53" t="str">
        <f>IF(S3=2,"y","n")</f>
        <v>n</v>
      </c>
      <c r="CN3" s="53" t="str">
        <f>IF(S3=3,"y","n")</f>
        <v>n</v>
      </c>
      <c r="CO3" s="53" t="str">
        <f>IF(S3&gt;=4,"y","n")</f>
        <v>n</v>
      </c>
      <c r="CP3" s="53" t="str">
        <f>IF(AT3=0,"y","n")</f>
        <v>n</v>
      </c>
      <c r="CQ3" s="53" t="str">
        <f>IF(AT3=1,"y","n")</f>
        <v>n</v>
      </c>
      <c r="CR3" s="53" t="str">
        <f>IF(AT3=2,"y","n")</f>
        <v>n</v>
      </c>
      <c r="CS3" s="53" t="str">
        <f>IF(AT3&gt;=3,"y","n")</f>
        <v>y</v>
      </c>
      <c r="CT3" s="38" t="str">
        <f>CHAR(34)&amp;A3&amp;CHAR(34)</f>
        <v>"[SOL] Temotu Province"</v>
      </c>
      <c r="CU3" s="63" t="str">
        <f>CHAR(34)&amp;"rgn_"&amp;R3&amp;CHAR(34)</f>
        <v>"rgn_Oceania"</v>
      </c>
      <c r="CV3" s="44" t="str">
        <f>CHAR(34)&amp;D3&amp;CHAR(34)</f>
        <v>"https://upload.wikimedia.org/wikipedia/commons/thumb/b/b3/Temotu_province_flag.svg/640px-Temotu_province_flag.svg.png"</v>
      </c>
      <c r="CW3" s="44" t="str">
        <f t="shared" si="0"/>
        <v/>
      </c>
      <c r="CX3" s="44" t="str">
        <f t="shared" si="0"/>
        <v/>
      </c>
      <c r="CY3" s="44" t="str">
        <f t="shared" si="0"/>
        <v/>
      </c>
      <c r="CZ3" s="44" t="str">
        <f t="shared" si="0"/>
        <v>"5+Colo",</v>
      </c>
      <c r="DA3" s="44" t="str">
        <f>IF(Q3&gt;1,CHAR(34)&amp;"words2"&amp;CHAR(34)&amp;",","")</f>
        <v>"words2",</v>
      </c>
      <c r="DB3" s="44" t="str">
        <f>IF(Q3&gt;2,CHAR(34)&amp;"words3"&amp;CHAR(34)&amp;",","")</f>
        <v/>
      </c>
      <c r="DC3" s="44" t="str">
        <f>IF(Q3=2,CHAR(34)&amp;"exact2"&amp;CHAR(34)&amp;",","")</f>
        <v>"exact2",</v>
      </c>
      <c r="DD3" s="44" t="str">
        <f>IF(LEN(CHAR(34)&amp;"lets"&amp;LEN(SUBSTITUTE(SUBSTITUTE(IFERROR(TRIM(SUBSTITUTE(SUBSTITUTE(SUBSTITUTE(IFERROR(TRIM(SUBSTITUTE(A3,MID(A3,FIND("(",A3),FIND(")",A3)-FIND("(",A3)+1),"")),A3),"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",""),"-",""))&amp;CHAR(34)&amp;",")=9,CHAR(34)&amp;"lets"&amp;LEN(SUBSTITUTE(SUBSTITUTE(IFERROR(TRIM(SUBSTITUTE(SUBSTITUTE(SUBSTITUTE(IFERROR(TRIM(SUBSTITUTE(A3,MID(A3,FIND("(",A3),FIND(")",A3)-FIND("(",A3)+1),"")),A3),"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",""),"-",""))&amp;CHAR(34)&amp;",",CHAR(34)&amp;"lets0"&amp;LEN(SUBSTITUTE(SUBSTITUTE(IFERROR(TRIM(SUBSTITUTE(SUBSTITUTE(SUBSTITUTE(IFERROR(TRIM(SUBSTITUTE(A3,MID(A3,FIND("(",A3),FIND(")",A3)-FIND("(",A3)+1),"")),A3),"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f>
        <v>"lets14",</v>
      </c>
      <c r="DE3" s="44" t="str">
        <f>IFERROR(CHAR(34)&amp;"start"&amp;LEFT(TRIM(SUBSTITUTE(SUBSTITUTE(TRIM(SUBSTITUTE(SUBSTITUTE(A3, MID(A3, FIND("[", A3), FIND("]", A3) - FIND("[", A3) + 1), ""), "  ", " ")), MID(TRIM(SUBSTITUTE(SUBSTITUTE(A3, MID(A3, FIND("[", A3), FIND("]", A3) - FIND("[", A3) + 1), ""), "  ", " ")), FIND("[", TRIM(SUBSTITUTE(SUBSTITUTE(A3, MID(A3, FIND("[", A3), FIND("]", A3) - FIND("[", A3) + 1), ""), "  ", " "))), FIND("]", TRIM(SUBSTITUTE(SUBSTITUTE(A3, MID(A3, FIND("[", A3), FIND("]", A3) - FIND("[", A3) + 1), ""), "  ", " "))) - FIND("[", TRIM(SUBSTITUTE(SUBSTITUTE(A3, MID(A3, FIND("[", A3), FIND("]", A3) - FIND("[", A3) + 1), ""), "  ", " "))) + 1), ""), "  ", " ")),1)&amp;CHAR(34)&amp;",",CHAR(34)&amp;"start"&amp;IFERROR(LEFT(SUBSTITUTE(A3,"["&amp;MID(A3,FIND("[",A3)+1,FIND("]",A3)-FIND("[",A3)-1)&amp;"] ",""),1),LEFT(A3,1))&amp;CHAR(34)&amp;",")</f>
        <v>"startT",</v>
      </c>
      <c r="DF3" s="44" t="str">
        <f>IFERROR(IF(SEARCH("tan",A3)&gt;0,CHAR(34)&amp;"withtn"&amp;CHAR(34)&amp;",",""),"")</f>
        <v/>
      </c>
      <c r="DG3" s="44" t="str">
        <f>IFERROR(IF(SEARCH("q",A3)&gt;0,CHAR(34)&amp;"with_q"&amp;CHAR(34)&amp;",",""),"")</f>
        <v/>
      </c>
      <c r="DH3" s="44" t="str">
        <f>IFERROR(IF(SEARCH("v",A3)&gt;0,CHAR(34)&amp;"with_v"&amp;CHAR(34)&amp;",",""),"")</f>
        <v>"with_v",</v>
      </c>
      <c r="DI3" s="44" t="str">
        <f>IFERROR(IF(SEARCH("w",A3)&gt;0,CHAR(34)&amp;"with_w"&amp;CHAR(34)&amp;",",""),"")</f>
        <v/>
      </c>
      <c r="DJ3" s="44" t="str">
        <f>IFERROR(IF(SEARCH("y",A3)&gt;0,CHAR(34)&amp;"with_y"&amp;CHAR(34)&amp;",",""),"")</f>
        <v/>
      </c>
      <c r="DK3" s="44" t="str">
        <f>IFERROR(IF(SEARCH("z",A3)&gt;0,CHAR(34)&amp;"with_z"&amp;CHAR(34)&amp;",",""),"")</f>
        <v/>
      </c>
      <c r="DL3" s="44" t="str">
        <f>IF(CG3=2, CHAR(34) &amp; _xlfn.TEXTJOIN("", TRUE, _xlfn._xlws.SORT(HP3:HX3)) &amp; CHAR(34) &amp; ",", "")</f>
        <v/>
      </c>
      <c r="DM3" s="44" t="str" cm="1">
        <f t="array" ref="DM3">IF(CG3=3,CHAR(34) &amp; _xlfn.TEXTJOIN("", TRUE, RIGHT(HP3:HX3, 2)) &amp; CHAR(34) &amp; ",", "")</f>
        <v/>
      </c>
      <c r="DN3" s="44" t="str">
        <f>IF(AND(ISNUMBER(SEARCH("18", O3)), ISERROR(SEARCH("1918", O3)), ISERROR(SEARCH("2018", O3))), CHAR(34) &amp; "year18" &amp; CHAR(34) &amp; ",", "")</f>
        <v/>
      </c>
      <c r="DO3" s="44" t="str">
        <f>IF(AND(ISNUMBER(SEARCH("19", O3)), ISERROR(SEARCH("1819", O3)),  ISERROR(SEARCH("1219", O3)),ISERROR(SEARCH("1119", O3)),ISERROR(SEARCH("1190", O3)),ISERROR(SEARCH("2019", O3))), CHAR(34) &amp; "year19" &amp; CHAR(34) &amp; ",", "")</f>
        <v/>
      </c>
      <c r="DP3" s="5" t="str">
        <f>IF(AND(ISNUMBER(SEARCH("20", O3)), ISERROR(SEARCH("1920", O3))), CHAR(34)&amp;"year00"&amp;CHAR(34)&amp;",", "")</f>
        <v/>
      </c>
      <c r="DQ3" s="5" t="str">
        <f>IF(CC3="y",CHAR(34)&amp;"soviet"&amp;CHAR(34)&amp;",","")</f>
        <v/>
      </c>
      <c r="DR3" s="5" t="str">
        <f>IF(BY3="y",CHAR(34)&amp;"dgband"&amp;CHAR(34)&amp;",","")</f>
        <v/>
      </c>
      <c r="DS3" s="5" t="str">
        <f>IF(W3="y",IF(AND(V3="n",BY3&lt;&gt;"y"),CHAR(34)&amp;"allver"&amp;CHAR(34)&amp;",",""),"")</f>
        <v/>
      </c>
      <c r="DT3" s="5" t="str">
        <f>IF(V3="y",IF(AND(W3="n",BY3&lt;&gt;"y"),CHAR(34)&amp;"allhor"&amp;CHAR(34)&amp;",",""),"")</f>
        <v/>
      </c>
      <c r="DU3" s="5" t="str">
        <f>IF(BY3="y",IF(AND(W3="n",V3="n"),CHAR(34)&amp;"alldia"&amp;CHAR(34)&amp;",",""),"")</f>
        <v/>
      </c>
      <c r="DV3" s="44" t="str">
        <f>IF(IA3&lt;&gt;"",(IF(IA3="y",CHAR(34)&amp;"largec"&amp;CHAR(34)&amp;",",CHAR(34)&amp;"smallc"&amp;CHAR(34)&amp;",")),"")</f>
        <v/>
      </c>
      <c r="DW3" s="44" t="str">
        <f t="shared" si="1"/>
        <v>"NoBand",</v>
      </c>
      <c r="DX3" s="44" t="str">
        <f t="shared" si="1"/>
        <v/>
      </c>
      <c r="DY3" s="44" t="str">
        <f t="shared" si="1"/>
        <v/>
      </c>
      <c r="DZ3" s="44" t="str">
        <f t="shared" si="1"/>
        <v/>
      </c>
      <c r="EA3" s="44" t="str">
        <f t="shared" si="2"/>
        <v>"Diagon",</v>
      </c>
      <c r="EB3" s="44" t="str">
        <f t="shared" si="2"/>
        <v/>
      </c>
      <c r="EC3" s="44" t="str">
        <f t="shared" si="2"/>
        <v/>
      </c>
      <c r="ED3" s="44" t="str">
        <f t="shared" si="2"/>
        <v/>
      </c>
      <c r="EE3" s="44" t="str">
        <f t="shared" si="2"/>
        <v/>
      </c>
      <c r="EF3" s="44" t="str">
        <f>IF(AND(Y3&lt;&gt;"n",Y3&lt;&gt;""),CHAR(34)&amp;Y$1&amp;CHAR(34)&amp;",","")</f>
        <v/>
      </c>
      <c r="EG3" s="44" t="str">
        <f t="shared" si="3"/>
        <v/>
      </c>
      <c r="EH3" s="44" t="str">
        <f t="shared" si="3"/>
        <v/>
      </c>
      <c r="EI3" s="44" t="str">
        <f t="shared" si="3"/>
        <v/>
      </c>
      <c r="EJ3" s="44" t="str">
        <f t="shared" si="3"/>
        <v/>
      </c>
      <c r="EK3" s="44" t="str">
        <f t="shared" si="3"/>
        <v/>
      </c>
      <c r="EL3" s="44" t="str">
        <f t="shared" si="3"/>
        <v/>
      </c>
      <c r="EM3" s="44" t="str">
        <f t="shared" si="3"/>
        <v/>
      </c>
      <c r="EN3" s="44" t="str">
        <f t="shared" si="3"/>
        <v/>
      </c>
      <c r="EO3" s="44" t="str">
        <f t="shared" si="3"/>
        <v/>
      </c>
      <c r="EP3" s="44" t="str">
        <f t="shared" si="3"/>
        <v>"Canton",</v>
      </c>
      <c r="EQ3" s="44" t="str">
        <f t="shared" si="4"/>
        <v/>
      </c>
      <c r="ER3" s="44" t="str">
        <f t="shared" si="4"/>
        <v/>
      </c>
      <c r="ES3" s="44" t="str">
        <f t="shared" si="4"/>
        <v/>
      </c>
      <c r="ET3" s="44" t="str">
        <f t="shared" si="4"/>
        <v/>
      </c>
      <c r="EU3" s="44" t="str">
        <f t="shared" si="4"/>
        <v/>
      </c>
      <c r="EV3" s="44" t="str">
        <f t="shared" si="4"/>
        <v/>
      </c>
      <c r="EW3" s="44" t="str">
        <f t="shared" si="4"/>
        <v/>
      </c>
      <c r="EX3" s="44" t="str">
        <f t="shared" si="4"/>
        <v/>
      </c>
      <c r="EY3" s="44" t="str">
        <f t="shared" si="4"/>
        <v/>
      </c>
      <c r="EZ3" s="44" t="str">
        <f t="shared" si="4"/>
        <v/>
      </c>
      <c r="FA3" s="44" t="str">
        <f>IF(AT3&gt;0,CHAR(34)&amp;"sta"&amp;AZ3&amp;CHAR(34)&amp;",","")</f>
        <v>"staWHI",</v>
      </c>
      <c r="FB3" s="44" t="str">
        <f>IF(AND(AT3&gt;0,BA3&lt;&gt;""),CHAR(34)&amp;"sta"&amp;BA3&amp;CHAR(34)&amp;",","")</f>
        <v/>
      </c>
      <c r="FC3" s="44" t="str">
        <f>IF(AND(AT3&gt;0,BB3&lt;&gt;""),CHAR(34)&amp;"sta"&amp;BB3&amp;CHAR(34)&amp;",","")</f>
        <v/>
      </c>
      <c r="FD3" s="44" t="str">
        <f>IF(BV3="n",CHAR(34)&amp;"tcWHYE"&amp;CHAR(34)&amp;",",IF(BV3="y",CHAR(34)&amp;FD$1&amp;CHAR(34)&amp;",",""))</f>
        <v/>
      </c>
      <c r="FE3" s="44" t="str">
        <f>IF(COUNTIF(BL3:BT3,"BLU")=0,CHAR(34)&amp;"NO_BLU"&amp;CHAR(34)&amp;",", "")</f>
        <v/>
      </c>
      <c r="FF3" s="44" t="str">
        <f>IF(COUNTIF(BL3:BT3,"WHI")=0,CHAR(34)&amp;"NO_WHI"&amp;CHAR(34)&amp;",", "")</f>
        <v/>
      </c>
      <c r="FG3" s="44" t="str">
        <f>IF(COUNTIF(BL3:BT3,"RED")=0,CHAR(34)&amp;"NO_RED"&amp;CHAR(34)&amp;",", "")</f>
        <v/>
      </c>
      <c r="FH3" s="44" t="str">
        <f>IF(COUNTIF(BL3:BS3,"GRE")=0,CHAR(34)&amp;"NO_GRE"&amp;CHAR(34)&amp;",", "")</f>
        <v/>
      </c>
      <c r="FI3" s="44" t="str">
        <f>IF(COUNTIF(BL3:BT3,"YEL")=0,CHAR(34)&amp;"NO_YEL"&amp;CHAR(34)&amp;",", "")</f>
        <v/>
      </c>
      <c r="FJ3" s="44" t="str">
        <f>IF(COUNTIF(BL3:BT3,"BLA")=0,CHAR(34)&amp;"NO_BLA"&amp;CHAR(34)&amp;",", "")</f>
        <v>"NO_BLA",</v>
      </c>
      <c r="FK3" s="44" t="str">
        <f>IF(AND(FH3&lt;&gt;"",FF3&lt;&gt;""),CHAR(34)&amp;"WHGRNO"&amp;CHAR(34)&amp;",","")</f>
        <v/>
      </c>
      <c r="FL3" s="44" t="str">
        <f>IF(AND(FI3&lt;&gt;"",FF3&lt;&gt;""),CHAR(34)&amp;"WHYENO"&amp;CHAR(34)&amp;",","")</f>
        <v/>
      </c>
      <c r="FM3" s="44" t="str">
        <f>IF(AND(FJ3&lt;&gt;"",FF3&lt;&gt;""),CHAR(34)&amp;"BAWHNO"&amp;CHAR(34)&amp;",","")</f>
        <v/>
      </c>
      <c r="FN3" s="44" t="str">
        <f>IF(AND(FE3&lt;&gt;"",FF3&lt;&gt;""),CHAR(34)&amp;"BLWHNO"&amp;CHAR(34)&amp;",","")</f>
        <v/>
      </c>
      <c r="FO3" s="44" t="str">
        <f>IF(AND(FE3&lt;&gt;"",FG3&lt;&gt;""),CHAR(34)&amp;"BLRENO"&amp;CHAR(34)&amp;",","")</f>
        <v/>
      </c>
      <c r="FP3" s="44" t="str">
        <f>IF(AND(FF3&lt;&gt;"",FF3&lt;&gt;""),CHAR(34)&amp;"WHRENO"&amp;CHAR(34)&amp;",","")</f>
        <v/>
      </c>
      <c r="FQ3" s="44" t="str">
        <f>IF(LEN(BF3)=3,CHAR(34)&amp;"001"&amp;BF3&amp;CHAR(34)&amp;",","")</f>
        <v/>
      </c>
      <c r="FR3" s="44" t="str">
        <f>IF(LEN(BG3)=3,CHAR(34)&amp;"002"&amp;BG3&amp;CHAR(34)&amp;",","")</f>
        <v/>
      </c>
      <c r="FS3" s="44" t="str">
        <f>IF(LEN(BH3)=3,CHAR(34)&amp;"003"&amp;BH3&amp;CHAR(34)&amp;",","")</f>
        <v/>
      </c>
      <c r="FT3" s="44" t="str">
        <f>CHAR(34)&amp;"myr"&amp;BD3&amp;CHAR(34)&amp;","</f>
        <v>"myrRED",</v>
      </c>
      <c r="FU3" s="44" t="str">
        <f>IF(AY3="y",CHAR(34)&amp;"island"&amp;CHAR(34)&amp;",","")</f>
        <v/>
      </c>
      <c r="FV3" s="44" t="str">
        <f>IF(BZ3="y",CHAR(34)&amp;"landlo"&amp;CHAR(34)&amp;",","")</f>
        <v/>
      </c>
      <c r="FW3" s="44" t="str">
        <f>IF(CA3="y",CHAR(34)&amp;"eunion"&amp;CHAR(34)&amp;",","")</f>
        <v/>
      </c>
      <c r="FX3" s="44" t="str">
        <f>SUBSTITUTE(IFERROR(SEARCH("[",A3),IFERROR(IF(AND(CA3&lt;&gt;"y",SEARCH("Europe",R3)&gt;0),CHAR(34)&amp;"noeuni"&amp;CHAR(34)&amp;",",""),"")),"1","")</f>
        <v/>
      </c>
      <c r="FY3" s="44" t="str">
        <f>IFERROR(IF(SEARCH("Arabic",CB3)&gt;0,CHAR(34)&amp;"arabic"&amp;CHAR(34)&amp;",",""),"")</f>
        <v/>
      </c>
      <c r="FZ3" s="44" t="str">
        <f>IFERROR(IF(SEARCH("English",CB3)&gt;0,CHAR(34)&amp;"englis"&amp;CHAR(34)&amp;",",""),"")</f>
        <v/>
      </c>
      <c r="GA3" s="44" t="str">
        <f>IFERROR(IF(SEARCH("French",CB3)&gt;0,CHAR(34)&amp;"french"&amp;CHAR(34)&amp;",",""),"")</f>
        <v/>
      </c>
      <c r="GB3" s="44" t="str">
        <f>IFERROR(IF(SEARCH("Spanish",CB3)&gt;0,CHAR(34)&amp;"spanis"&amp;CHAR(34)&amp;",",""),"")</f>
        <v/>
      </c>
      <c r="GC3" s="44" t="str">
        <f>IFERROR(IF(SEARCH("Portuguese",CB3)&gt;0,CHAR(34)&amp;"portug"&amp;CHAR(34)&amp;",",""),"")</f>
        <v/>
      </c>
      <c r="GD3" s="44" t="str">
        <f>IFERROR(IF(SEARCH("German",CB3)&gt;0,CHAR(34)&amp;"german"&amp;CHAR(34)&amp;",",""),"")</f>
        <v/>
      </c>
      <c r="GE3" s="44" t="str">
        <f t="shared" si="5"/>
        <v/>
      </c>
      <c r="GF3" s="44" t="str">
        <f>IFERROR(IF(SEARCH("Historical",AU3)&gt;0,CHAR(34)&amp;"histor"&amp;CHAR(34)&amp;",",""),"")</f>
        <v/>
      </c>
      <c r="GG3" s="44" t="str">
        <f t="shared" si="6"/>
        <v/>
      </c>
      <c r="GH3" s="44" t="str">
        <f t="shared" si="7"/>
        <v/>
      </c>
      <c r="GI3" s="44" t="str">
        <f t="shared" si="8"/>
        <v/>
      </c>
      <c r="GJ3" s="44" t="str">
        <f>IF(CP3="y",CHAR(34)&amp;CP$1&amp;CHAR(34)&amp;",","")</f>
        <v/>
      </c>
      <c r="GK3" s="44" t="str">
        <f>IF(GJ3="",CHAR(34)&amp;"HasSta"&amp;CHAR(34)&amp;",","")</f>
        <v>"HasSta",</v>
      </c>
      <c r="GL3" s="44" t="str">
        <f t="shared" si="9"/>
        <v/>
      </c>
      <c r="GM3" s="44" t="str">
        <f t="shared" si="9"/>
        <v/>
      </c>
      <c r="GN3" s="44" t="str">
        <f t="shared" si="9"/>
        <v>"3+Star",</v>
      </c>
      <c r="GP3" s="44" t="str">
        <f>CHAR(34)&amp;AU3&amp;CHAR(34)</f>
        <v>"Province"</v>
      </c>
      <c r="GS3" s="44" t="str">
        <f>SUBSTITUTE("["&amp;_xlfn.CONCAT(CW3:GN3)&amp;"]",",]","]")</f>
        <v>["5+Colo","words2","exact2","lets14","startT","with_v","NoBand","Diagon","Canton","staWHI","NO_BLA","myrRED","HasSta","3+Star"]</v>
      </c>
      <c r="GT3" s="44" t="str">
        <f t="shared" si="10"/>
        <v/>
      </c>
      <c r="GU3" s="44" t="str">
        <f t="shared" si="10"/>
        <v>"cl_BLU",</v>
      </c>
      <c r="GV3" s="44" t="str">
        <f t="shared" si="10"/>
        <v>"cl_GRE",</v>
      </c>
      <c r="GW3" s="44" t="str">
        <f t="shared" si="10"/>
        <v>"cl_RED",</v>
      </c>
      <c r="GX3" s="44" t="str">
        <f t="shared" si="10"/>
        <v>"cl_YEL",</v>
      </c>
      <c r="GY3" s="44" t="str">
        <f t="shared" si="10"/>
        <v/>
      </c>
      <c r="GZ3" s="44" t="str">
        <f t="shared" si="10"/>
        <v/>
      </c>
      <c r="HA3" s="44" t="str">
        <f t="shared" si="10"/>
        <v/>
      </c>
      <c r="HB3" s="44" t="str">
        <f t="shared" si="10"/>
        <v>"cl_WHI",</v>
      </c>
      <c r="HC3" s="44" t="str">
        <f>SUBSTITUTE("["&amp;_xlfn.CONCAT(GT3:HB3)&amp;"]",",]","]")</f>
        <v>["cl_BLU","cl_GRE","cl_RED","cl_YEL","cl_WHI"]</v>
      </c>
      <c r="HE3" s="64"/>
      <c r="HF3" s="65" t="str">
        <f>"{couname:"&amp;CT3&amp;(IF(HK3&lt;&gt;"",",subtype:"&amp;CHAR(34)&amp;HK3&amp;CHAR(34),""))&amp;",year:"&amp;HJ3&amp;",region:"&amp;CU3&amp;",Colors:"&amp;HC3&amp;",Items:"&amp;GS3&amp;",Flag:"&amp;CV3&amp;",HDFlag:"&amp;CHAR(34)&amp;E3&amp;CHAR(34)&amp;",type:"&amp;GP3&amp;", describe: "&amp;HH3&amp;", isnew:"&amp;CHAR(34)&amp;F3&amp;CHAR(34)&amp;", links: "&amp;HL3&amp;"},"</f>
        <v>{couname:"[SOL] Temotu Province",year:"???",region:"rgn_Oceania",Colors:["cl_BLU","cl_GRE","cl_RED","cl_YEL","cl_WHI"],Items:["5+Colo","words2","exact2","lets14","startT","with_v","NoBand","Diagon","Canton","staWHI","NO_BLA","myrRED","HasSta","3+Star"],Flag:"https://upload.wikimedia.org/wikipedia/commons/thumb/b/b3/Temotu_province_flag.svg/640px-Temotu_province_flag.svg.png",HDFlag:"https://upload.wikimedia.org/wikipedia/commons/thumb/b/b3/Temotu_province_flag.svg/2560px-Temotu_province_flag.svg.png",type:"Province", describe: "\nThe flag is red with the Solomon Islands flag in canton and the two white five-pointed stars (one above the other) in the fly", isnew:".", links: "https://en.wikipedia.org/wiki/Flag_of_Solomon_Islands"},</v>
      </c>
      <c r="HG3" s="66" t="str">
        <f>"{couname:"&amp;CT3&amp;(IF(HK3&lt;&gt;"",",subtype:"&amp;CHAR(34)&amp;HK3&amp;CHAR(34),""))&amp;",year:"&amp;HJ3&amp;",region:"&amp;CU3&amp;",Colors:"&amp;HC3&amp;",Items:"&amp;GS3&amp;",Flag:"&amp;CV3&amp;",HDFlag:"&amp;CHAR(34)&amp;E3&amp;CHAR(34)&amp;",type:"&amp;GP3&amp;", describe: "&amp;HI3&amp;", links: "&amp;HL3&amp;"},"</f>
        <v>{couname:"[SOL] Temotu Province",year:"???",region:"rgn_Oceania",Colors:["cl_BLU","cl_GRE","cl_RED","cl_YEL","cl_WHI"],Items:["5+Colo","words2","exact2","lets14","startT","with_v","NoBand","Diagon","Canton","staWHI","NO_BLA","myrRED","HasSta","3+Star"],Flag:"https://upload.wikimedia.org/wikipedia/commons/thumb/b/b3/Temotu_province_flag.svg/640px-Temotu_province_flag.svg.png",HDFlag:"https://upload.wikimedia.org/wikipedia/commons/thumb/b/b3/Temotu_province_flag.svg/2560px-Temotu_province_flag.svg.png",type:"Province", describe: "\nThe flag is red with the Solomon Islands flag in canton and the two white five-pointed stars (one above the other) in the fly", links: "https://en.wikipedia.org/wiki/Flag_of_Solomon_Islands"},</v>
      </c>
      <c r="HH3" s="44" t="str">
        <f>IF(P3&lt;&gt;"",CHAR(34)&amp;"\n"&amp;P3&amp;CHAR(34),CHAR(34)&amp;CHAR(34))</f>
        <v>"\nThe flag is red with the Solomon Islands flag in canton and the two white five-pointed stars (one above the other) in the fly"</v>
      </c>
      <c r="HI3" s="44" t="str">
        <f>IF(J3=0,CHAR(34)&amp;CHAR(34),HH3)</f>
        <v>"\nThe flag is red with the Solomon Islands flag in canton and the two white five-pointed stars (one above the other) in the fly"</v>
      </c>
      <c r="HJ3" s="44" t="str">
        <f>CHAR(34)&amp;O3&amp;CHAR(34)</f>
        <v>"???"</v>
      </c>
      <c r="HL3" s="44" t="str">
        <f>CHAR(34)&amp;I3&amp;CHAR(34)</f>
        <v>"https://en.wikipedia.org/wiki/Flag_of_Solomon_Islands"</v>
      </c>
      <c r="HM3" s="65"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{"couname":"[SOL] Temotu Province","year":"???","region":"rgn_Oceania","Colors":["cl_BLU","cl_GRE","cl_RED","cl_YEL","cl_WHI"],"Items":["5+Colo","words2","exact2","lets14","startT","with_v","NoBand","Diagon","Canton","staWHI","NO_BLA","myrRED","HasSta","3+Star"],"Flag":"https://upload.wikimedia.org/wikipedia/commons/thumb/b/b3/Temotu_province_flag.svg/640px-Temotu_province_flag.svg.png","HDFlag":"https://upload.wikimedia.org/wikipedia/commons/thumb/b/b3/Temotu_province_flag.svg/2560px-Temotu_province_flag.svg.png","type":"Province", "describe": "\nThe flag is red with the Solomon Islands flag in canton and the two white five-pointed stars (one above the other) in the fly", "isnew": ".", "links": "https://en.wikipedia.org/wiki/Flag_of_Solomon_Islands"},</v>
      </c>
      <c r="HN3" s="67"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{"couname":"[SOL] Temotu Province","year":"???","region":"rgn_Oceania","Colors":["cl_BLU","cl_GRE","cl_RED","cl_YEL","cl_WHI"],"Items":["5+Colo","words2","exact2","lets14","startT","with_v","NoBand","Diagon","Canton","staWHI","NO_BLA","myrRED","HasSta","3+Star"],"Flag":"https://upload.wikimedia.org/wikipedia/commons/thumb/b/b3/Temotu_province_flag.svg/640px-Temotu_province_flag.svg.png","HDFlag":"https://upload.wikimedia.org/wikipedia/commons/thumb/b/b3/Temotu_province_flag.svg/2560px-Temotu_province_flag.svg.png","type":"Province", "describe": "\nThe flag is red with the Solomon Islands flag in canton and the two white five-pointed stars (one above the other) in the fly", "isnew": ".", "links": "https://en.wikipedia.org/wiki/Flag_of_Solomon_Islands"},</v>
      </c>
      <c r="HO3" s="71">
        <v>45583</v>
      </c>
      <c r="HP3" s="44" t="str" cm="1">
        <f t="array" ref="HP3">IF(_xlfn.TEXTJOIN(", ", TRUE, IF(ISNUMBER(SEARCH("BLA", BL3:BT3)), COLUMN(BL3:BT3) - COLUMN(BL3) + 1, ""))&lt;&gt;"","BLA","")</f>
        <v/>
      </c>
      <c r="HQ3" s="44" t="str" cm="1">
        <f t="array" ref="HQ3">IF(_xlfn.TEXTJOIN(", ", TRUE, IF(ISNUMBER(SEARCH("BLU", BL3:BT3)), COLUMN(BL3:BT3) - COLUMN(BL3) + 1, ""))&lt;&gt;"","BLU","")</f>
        <v>BLU</v>
      </c>
      <c r="HR3" s="44" t="str" cm="1">
        <f t="array" ref="HR3">IF(_xlfn.TEXTJOIN(", ", TRUE, IF(ISNUMBER(SEARCH("GRE", BL3:BT3)), COLUMN(BL3:BT3) - COLUMN(BL3) + 1, ""))&lt;&gt;"","GRE","")</f>
        <v>GRE</v>
      </c>
      <c r="HS3" s="44" t="str" cm="1">
        <f t="array" ref="HS3">IF(_xlfn.TEXTJOIN(", ", TRUE, IF(ISNUMBER(SEARCH("RED", BL3:BT3)), COLUMN(BL3:BT3) - COLUMN(BL3) + 1, ""))&lt;&gt;"","RED","")</f>
        <v>RED</v>
      </c>
      <c r="HT3" s="44" t="str" cm="1">
        <f t="array" ref="HT3">IF(_xlfn.TEXTJOIN(", ", TRUE, IF(ISNUMBER(SEARCH("YEL", BL3:BT3)), COLUMN(BL3:BT3) - COLUMN(BL3) + 1, ""))&lt;&gt;"","YEL","")</f>
        <v>YEL</v>
      </c>
      <c r="HU3" s="44" t="str" cm="1">
        <f t="array" ref="HU3">IF(_xlfn.TEXTJOIN(", ", TRUE, IF(ISNUMBER(SEARCH("ORA", BL3:BT3)), COLUMN(BL3:BT3) - COLUMN(BL3) + 1, ""))&lt;&gt;"","ORA","")</f>
        <v/>
      </c>
      <c r="HV3" s="44" t="str" cm="1">
        <f t="array" ref="HV3">IF(_xlfn.TEXTJOIN(", ", TRUE, IF(ISNUMBER(SEARCH("BRO", BL3:BT3)), COLUMN(BL3:BT3) - COLUMN(BL3) + 1, ""))&lt;&gt;"","BRO","")</f>
        <v/>
      </c>
      <c r="HW3" s="44" t="str" cm="1">
        <f t="array" ref="HW3">IF(_xlfn.TEXTJOIN(", ", TRUE, IF(ISNUMBER(SEARCH("PUR", BL3:BT3)), COLUMN(BL3:BT3) - COLUMN(BL3) + 1, ""))&lt;&gt;"","PUR","")</f>
        <v/>
      </c>
      <c r="HX3" s="44" t="str" cm="1">
        <f t="array" ref="HX3">IF(_xlfn.TEXTJOIN(", ", TRUE, IF(ISNUMBER(SEARCH("WHI", BL3:BT3)), COLUMN(BL3:BT3) - COLUMN(BL3) + 1, ""))&lt;&gt;"","WHI","")</f>
        <v>WHI</v>
      </c>
      <c r="HY3" s="72"/>
      <c r="HZ3" s="72"/>
      <c r="IA3" s="5"/>
      <c r="IB3" s="5"/>
      <c r="IC3" s="68"/>
      <c r="ID3" s="68"/>
      <c r="IE3" s="68"/>
      <c r="IF3" s="68"/>
      <c r="IG3" s="68"/>
      <c r="IH3" s="68"/>
      <c r="II3" s="68"/>
      <c r="IJ3" s="68"/>
      <c r="IK3" s="68"/>
      <c r="IL3" s="44">
        <f>SUM(IC3:IK3)</f>
        <v>0</v>
      </c>
      <c r="IM3" s="42">
        <f>COUNTIF(IC3:IK3,"&gt;0")-CG3</f>
        <v>-5</v>
      </c>
      <c r="IN3" s="69" t="str">
        <f>"http://mkweb.bcgsc.ca/color-summarizer/?url="&amp;D3&amp;"&amp;precision=low&amp;num_clusters="&amp;CG3&amp;"&amp;text=1"</f>
        <v>http://mkweb.bcgsc.ca/color-summarizer/?url=https://upload.wikimedia.org/wikipedia/commons/thumb/b/b3/Temotu_province_flag.svg/640px-Temotu_province_flag.svg.png&amp;precision=low&amp;num_clusters=5&amp;text=1</v>
      </c>
      <c r="IO3" s="44" t="str">
        <f>IF(HP3&lt;&gt;"",CHAR(34)&amp;"black"&amp;CHAR(34),"")</f>
        <v/>
      </c>
      <c r="IP3" s="44" t="str">
        <f>IF(HQ3&lt;&gt;"",CHAR(34)&amp;"blue"&amp;CHAR(34),"")</f>
        <v>"blue"</v>
      </c>
      <c r="IQ3" s="44" t="str">
        <f>IF(HR3&lt;&gt;"",CHAR(34)&amp;"green"&amp;CHAR(34),"")</f>
        <v>"green"</v>
      </c>
      <c r="IR3" s="44" t="str">
        <f>IF(HS3&lt;&gt;"",CHAR(34)&amp;"red"&amp;CHAR(34),"")</f>
        <v>"red"</v>
      </c>
      <c r="IS3" s="44" t="str">
        <f>IF(HT3&lt;&gt;"",CHAR(34)&amp;"yellow"&amp;CHAR(34),"")</f>
        <v>"yellow"</v>
      </c>
      <c r="IT3" s="44" t="str">
        <f>IF(HU3&lt;&gt;"",CHAR(34)&amp;"orange"&amp;CHAR(34),"")</f>
        <v/>
      </c>
      <c r="IU3" s="44" t="str">
        <f>IF(HV3&lt;&gt;"",CHAR(34)&amp;"brown"&amp;CHAR(34),"")</f>
        <v/>
      </c>
      <c r="IV3" s="44" t="str">
        <f>IF(HW3&lt;&gt;"",CHAR(34)&amp;"purple"&amp;CHAR(34),"")</f>
        <v/>
      </c>
      <c r="IW3" s="44" t="str">
        <f>IF(HX3&lt;&gt;"",CHAR(34)&amp;"white"&amp;CHAR(34),"")</f>
        <v>"white"</v>
      </c>
      <c r="IX3" s="44" t="str">
        <f>"{"&amp;CHAR(34)&amp;"url"&amp;CHAR(34)&amp;":"&amp;CHAR(34)&amp;IN3&amp;CHAR(34)&amp;","&amp;CHAR(34)&amp;"name"&amp;CHAR(34)&amp;":"&amp;CHAR(34)&amp;A3&amp;CHAR(34)&amp;"},"</f>
        <v>{"url":"http://mkweb.bcgsc.ca/color-summarizer/?url=https://upload.wikimedia.org/wikipedia/commons/thumb/b/b3/Temotu_province_flag.svg/640px-Temotu_province_flag.svg.png&amp;precision=low&amp;num_clusters=5&amp;text=1","name":"[SOL] Temotu Province"},</v>
      </c>
      <c r="IY3" s="44">
        <v>777</v>
      </c>
    </row>
    <row r="4" spans="1:259" ht="38.4" customHeight="1" x14ac:dyDescent="0.3">
      <c r="D4" s="82"/>
      <c r="E4" s="82"/>
      <c r="F4" s="82"/>
      <c r="J4" s="44" t="str">
        <f>""</f>
        <v/>
      </c>
      <c r="BW4" s="82">
        <v>0</v>
      </c>
      <c r="CE4" s="82">
        <v>0</v>
      </c>
      <c r="CF4" s="82" t="e">
        <v>#REF!</v>
      </c>
      <c r="GE4" s="82" t="str">
        <f t="shared" si="5"/>
        <v/>
      </c>
      <c r="GG4" s="82" t="str">
        <f t="shared" si="6"/>
        <v/>
      </c>
      <c r="GH4" s="82" t="str">
        <f t="shared" si="7"/>
        <v/>
      </c>
      <c r="GI4" s="82" t="str">
        <f t="shared" si="8"/>
        <v/>
      </c>
    </row>
    <row r="5" spans="1:259" ht="38.4" customHeight="1" x14ac:dyDescent="0.3">
      <c r="D5" s="82"/>
      <c r="E5" s="82"/>
      <c r="F5" s="82"/>
      <c r="J5" s="44" t="str">
        <f>""</f>
        <v/>
      </c>
      <c r="BW5" s="82">
        <v>0</v>
      </c>
      <c r="CE5" s="82">
        <v>0</v>
      </c>
      <c r="CF5" s="82" t="e">
        <v>#REF!</v>
      </c>
      <c r="GE5" s="82" t="str">
        <f t="shared" si="5"/>
        <v/>
      </c>
      <c r="GG5" s="82" t="str">
        <f t="shared" si="6"/>
        <v/>
      </c>
      <c r="GH5" s="82" t="str">
        <f t="shared" si="7"/>
        <v/>
      </c>
      <c r="GI5" s="82" t="str">
        <f t="shared" si="8"/>
        <v/>
      </c>
    </row>
    <row r="6" spans="1:259" ht="38.4" customHeight="1" x14ac:dyDescent="0.3">
      <c r="D6" s="82"/>
      <c r="E6" s="82"/>
      <c r="F6" s="82"/>
      <c r="BW6" s="82">
        <v>0</v>
      </c>
      <c r="CE6" s="82">
        <v>0</v>
      </c>
      <c r="CF6" s="82" t="e">
        <v>#REF!</v>
      </c>
      <c r="GE6" s="82" t="str">
        <f t="shared" si="5"/>
        <v/>
      </c>
      <c r="GG6" s="82" t="str">
        <f t="shared" si="6"/>
        <v/>
      </c>
      <c r="GH6" s="82" t="str">
        <f t="shared" si="7"/>
        <v/>
      </c>
      <c r="GI6" s="82" t="str">
        <f t="shared" si="8"/>
        <v/>
      </c>
    </row>
    <row r="7" spans="1:259" ht="38.4" customHeight="1" x14ac:dyDescent="0.3">
      <c r="BW7" s="82">
        <v>0</v>
      </c>
      <c r="CE7" s="82">
        <v>0</v>
      </c>
      <c r="CF7" s="82" t="e">
        <v>#REF!</v>
      </c>
      <c r="GE7" s="82" t="str">
        <f t="shared" si="5"/>
        <v/>
      </c>
      <c r="GG7" s="82" t="str">
        <f t="shared" si="6"/>
        <v/>
      </c>
      <c r="GH7" s="82" t="str">
        <f t="shared" si="7"/>
        <v/>
      </c>
      <c r="GI7" s="82" t="str">
        <f t="shared" si="8"/>
        <v/>
      </c>
    </row>
    <row r="8" spans="1:259" ht="38.4" customHeight="1" x14ac:dyDescent="0.3">
      <c r="BW8" s="82">
        <v>0</v>
      </c>
      <c r="CE8" s="82">
        <v>0</v>
      </c>
      <c r="CF8" s="82" t="e">
        <v>#REF!</v>
      </c>
      <c r="GE8" s="82" t="str">
        <f t="shared" si="5"/>
        <v/>
      </c>
      <c r="GG8" s="82" t="str">
        <f t="shared" si="6"/>
        <v/>
      </c>
      <c r="GH8" s="82" t="str">
        <f t="shared" si="7"/>
        <v/>
      </c>
      <c r="GI8" s="82" t="str">
        <f t="shared" si="8"/>
        <v/>
      </c>
    </row>
    <row r="9" spans="1:259" ht="38.4" customHeight="1" x14ac:dyDescent="0.3">
      <c r="BW9" s="82">
        <v>0</v>
      </c>
      <c r="CE9" s="82">
        <v>0</v>
      </c>
      <c r="CF9" s="82" t="e">
        <v>#REF!</v>
      </c>
      <c r="GE9" s="82" t="str">
        <f t="shared" si="5"/>
        <v/>
      </c>
      <c r="GG9" s="82" t="str">
        <f t="shared" si="6"/>
        <v/>
      </c>
      <c r="GH9" s="82" t="str">
        <f t="shared" si="7"/>
        <v/>
      </c>
      <c r="GI9" s="82" t="str">
        <f t="shared" si="8"/>
        <v/>
      </c>
    </row>
    <row r="10" spans="1:259" ht="38.4" customHeight="1" x14ac:dyDescent="0.3">
      <c r="BW10" s="82">
        <v>0</v>
      </c>
      <c r="CE10" s="82">
        <v>0</v>
      </c>
      <c r="CF10" s="82" t="e">
        <v>#REF!</v>
      </c>
      <c r="GE10" s="82" t="str">
        <f t="shared" si="5"/>
        <v/>
      </c>
      <c r="GG10" s="82" t="str">
        <f t="shared" si="6"/>
        <v/>
      </c>
      <c r="GH10" s="82" t="str">
        <f t="shared" si="7"/>
        <v/>
      </c>
      <c r="GI10" s="82" t="str">
        <f t="shared" si="8"/>
        <v/>
      </c>
    </row>
    <row r="11" spans="1:259" ht="38.4" customHeight="1" x14ac:dyDescent="0.3">
      <c r="BW11" s="82">
        <v>0</v>
      </c>
      <c r="CE11" s="82">
        <v>0</v>
      </c>
      <c r="CF11" s="82" t="e">
        <v>#REF!</v>
      </c>
      <c r="GE11" s="82" t="str">
        <f t="shared" si="5"/>
        <v/>
      </c>
      <c r="GG11" s="82" t="str">
        <f t="shared" si="6"/>
        <v/>
      </c>
      <c r="GH11" s="82" t="str">
        <f t="shared" si="7"/>
        <v/>
      </c>
      <c r="GI11" s="82" t="str">
        <f t="shared" si="8"/>
        <v/>
      </c>
    </row>
    <row r="12" spans="1:259" ht="38.4" customHeight="1" x14ac:dyDescent="0.3">
      <c r="BW12" s="82">
        <v>0</v>
      </c>
      <c r="CE12" s="82">
        <v>0</v>
      </c>
      <c r="CF12" s="82" t="e">
        <v>#REF!</v>
      </c>
      <c r="GE12" s="82" t="str">
        <f t="shared" si="5"/>
        <v/>
      </c>
      <c r="GG12" s="82" t="str">
        <f t="shared" si="6"/>
        <v/>
      </c>
      <c r="GH12" s="82" t="str">
        <f t="shared" si="7"/>
        <v/>
      </c>
      <c r="GI12" s="82" t="str">
        <f t="shared" si="8"/>
        <v/>
      </c>
    </row>
    <row r="13" spans="1:259" ht="38.4" customHeight="1" x14ac:dyDescent="0.3">
      <c r="BW13" s="82">
        <v>0</v>
      </c>
      <c r="CE13" s="82">
        <v>0</v>
      </c>
      <c r="CF13" s="82" t="e">
        <v>#REF!</v>
      </c>
      <c r="GE13" s="82" t="str">
        <f t="shared" si="5"/>
        <v/>
      </c>
      <c r="GG13" s="82" t="str">
        <f t="shared" si="6"/>
        <v/>
      </c>
      <c r="GH13" s="82" t="str">
        <f t="shared" si="7"/>
        <v/>
      </c>
      <c r="GI13" s="82" t="str">
        <f t="shared" si="8"/>
        <v/>
      </c>
    </row>
    <row r="14" spans="1:259" ht="38.4" customHeight="1" x14ac:dyDescent="0.3">
      <c r="BW14" s="82">
        <v>0</v>
      </c>
      <c r="CE14" s="82">
        <v>0</v>
      </c>
      <c r="CF14" s="82" t="e">
        <v>#REF!</v>
      </c>
      <c r="GE14" s="82" t="str">
        <f t="shared" si="5"/>
        <v/>
      </c>
      <c r="GG14" s="82" t="str">
        <f t="shared" si="6"/>
        <v/>
      </c>
      <c r="GH14" s="82" t="str">
        <f t="shared" si="7"/>
        <v/>
      </c>
      <c r="GI14" s="82" t="str">
        <f t="shared" si="8"/>
        <v/>
      </c>
    </row>
    <row r="15" spans="1:259" ht="38.4" customHeight="1" x14ac:dyDescent="0.3">
      <c r="BW15" s="82">
        <v>0</v>
      </c>
      <c r="CE15" s="82">
        <v>0</v>
      </c>
      <c r="CF15" s="82" t="e">
        <v>#REF!</v>
      </c>
      <c r="GE15" s="82" t="str">
        <f t="shared" si="5"/>
        <v/>
      </c>
      <c r="GG15" s="82" t="str">
        <f t="shared" si="6"/>
        <v/>
      </c>
      <c r="GH15" s="82" t="str">
        <f t="shared" si="7"/>
        <v/>
      </c>
      <c r="GI15" s="82" t="str">
        <f t="shared" si="8"/>
        <v/>
      </c>
    </row>
    <row r="16" spans="1:259" ht="38.4" customHeight="1" x14ac:dyDescent="0.3">
      <c r="BW16" s="82">
        <v>0</v>
      </c>
      <c r="CE16" s="82">
        <v>0</v>
      </c>
      <c r="CF16" s="82" t="e">
        <v>#REF!</v>
      </c>
      <c r="GE16" s="82" t="str">
        <f t="shared" si="5"/>
        <v/>
      </c>
      <c r="GG16" s="82" t="str">
        <f t="shared" si="6"/>
        <v/>
      </c>
      <c r="GH16" s="82" t="str">
        <f t="shared" si="7"/>
        <v/>
      </c>
      <c r="GI16" s="82" t="str">
        <f t="shared" si="8"/>
        <v/>
      </c>
    </row>
    <row r="17" spans="75:191" ht="38.4" customHeight="1" x14ac:dyDescent="0.3">
      <c r="BW17" s="82">
        <v>0</v>
      </c>
      <c r="CE17" s="82">
        <v>0</v>
      </c>
      <c r="CF17" s="82" t="e">
        <v>#REF!</v>
      </c>
      <c r="GE17" s="82" t="str">
        <f t="shared" si="5"/>
        <v/>
      </c>
      <c r="GG17" s="82" t="str">
        <f t="shared" si="6"/>
        <v/>
      </c>
      <c r="GH17" s="82" t="str">
        <f t="shared" si="7"/>
        <v/>
      </c>
      <c r="GI17" s="82" t="str">
        <f t="shared" si="8"/>
        <v/>
      </c>
    </row>
    <row r="18" spans="75:191" ht="38.4" customHeight="1" x14ac:dyDescent="0.3">
      <c r="BW18" s="82">
        <v>0</v>
      </c>
      <c r="CE18" s="82">
        <v>0</v>
      </c>
      <c r="CF18" s="82" t="e">
        <v>#REF!</v>
      </c>
      <c r="GE18" s="82" t="str">
        <f t="shared" si="5"/>
        <v/>
      </c>
      <c r="GG18" s="82" t="str">
        <f t="shared" si="6"/>
        <v/>
      </c>
      <c r="GH18" s="82" t="str">
        <f t="shared" si="7"/>
        <v/>
      </c>
      <c r="GI18" s="82" t="str">
        <f t="shared" si="8"/>
        <v/>
      </c>
    </row>
    <row r="19" spans="75:191" ht="38.4" customHeight="1" x14ac:dyDescent="0.3">
      <c r="BW19" s="82">
        <v>0</v>
      </c>
      <c r="CE19" s="82">
        <v>0</v>
      </c>
      <c r="CF19" s="82" t="e">
        <v>#REF!</v>
      </c>
      <c r="GE19" s="82" t="str">
        <f t="shared" si="5"/>
        <v/>
      </c>
      <c r="GG19" s="82" t="str">
        <f t="shared" si="6"/>
        <v/>
      </c>
      <c r="GH19" s="82" t="str">
        <f t="shared" si="7"/>
        <v/>
      </c>
      <c r="GI19" s="82" t="str">
        <f t="shared" si="8"/>
        <v/>
      </c>
    </row>
    <row r="20" spans="75:191" ht="38.4" customHeight="1" x14ac:dyDescent="0.3">
      <c r="BW20" s="82">
        <v>0</v>
      </c>
      <c r="CE20" s="82">
        <v>0</v>
      </c>
      <c r="CF20" s="82" t="e">
        <v>#REF!</v>
      </c>
      <c r="GE20" s="82" t="str">
        <f t="shared" si="5"/>
        <v/>
      </c>
      <c r="GG20" s="82" t="str">
        <f t="shared" si="6"/>
        <v/>
      </c>
      <c r="GH20" s="82" t="str">
        <f t="shared" si="7"/>
        <v/>
      </c>
      <c r="GI20" s="82" t="str">
        <f t="shared" si="8"/>
        <v/>
      </c>
    </row>
    <row r="21" spans="75:191" ht="38.4" customHeight="1" x14ac:dyDescent="0.3">
      <c r="BW21" s="82">
        <v>0</v>
      </c>
      <c r="CE21" s="82">
        <v>0</v>
      </c>
      <c r="CF21" s="82" t="e">
        <v>#REF!</v>
      </c>
      <c r="GE21" s="82" t="str">
        <f t="shared" si="5"/>
        <v/>
      </c>
      <c r="GG21" s="82" t="str">
        <f t="shared" si="6"/>
        <v/>
      </c>
      <c r="GH21" s="82" t="str">
        <f t="shared" si="7"/>
        <v/>
      </c>
      <c r="GI21" s="82" t="str">
        <f t="shared" si="8"/>
        <v/>
      </c>
    </row>
    <row r="22" spans="75:191" ht="38.4" customHeight="1" x14ac:dyDescent="0.3">
      <c r="BW22" s="82">
        <v>0</v>
      </c>
      <c r="CE22" s="82">
        <v>0</v>
      </c>
      <c r="CF22" s="82" t="e">
        <v>#REF!</v>
      </c>
      <c r="GE22" s="82" t="str">
        <f t="shared" si="5"/>
        <v/>
      </c>
      <c r="GG22" s="82" t="str">
        <f t="shared" si="6"/>
        <v/>
      </c>
      <c r="GH22" s="82" t="str">
        <f t="shared" si="7"/>
        <v/>
      </c>
      <c r="GI22" s="82" t="str">
        <f t="shared" si="8"/>
        <v/>
      </c>
    </row>
    <row r="23" spans="75:191" ht="38.4" customHeight="1" x14ac:dyDescent="0.3">
      <c r="BW23" s="82">
        <v>0</v>
      </c>
      <c r="CE23" s="82">
        <v>0</v>
      </c>
      <c r="CF23" s="82" t="e">
        <v>#REF!</v>
      </c>
      <c r="GE23" s="82" t="str">
        <f t="shared" si="5"/>
        <v/>
      </c>
      <c r="GG23" s="82" t="str">
        <f t="shared" si="6"/>
        <v/>
      </c>
      <c r="GH23" s="82" t="str">
        <f t="shared" si="7"/>
        <v/>
      </c>
      <c r="GI23" s="82" t="str">
        <f t="shared" si="8"/>
        <v/>
      </c>
    </row>
    <row r="24" spans="75:191" ht="38.4" customHeight="1" x14ac:dyDescent="0.3">
      <c r="BW24" s="82">
        <v>0</v>
      </c>
      <c r="CE24" s="82">
        <v>0</v>
      </c>
      <c r="CF24" s="82" t="e">
        <v>#REF!</v>
      </c>
      <c r="GE24" s="82" t="str">
        <f t="shared" si="5"/>
        <v/>
      </c>
      <c r="GG24" s="82" t="str">
        <f t="shared" si="6"/>
        <v/>
      </c>
      <c r="GH24" s="82" t="str">
        <f t="shared" si="7"/>
        <v/>
      </c>
      <c r="GI24" s="82" t="str">
        <f t="shared" si="8"/>
        <v/>
      </c>
    </row>
    <row r="25" spans="75:191" ht="38.4" customHeight="1" x14ac:dyDescent="0.3">
      <c r="BW25" s="82">
        <v>0</v>
      </c>
      <c r="CE25" s="82">
        <v>0</v>
      </c>
      <c r="CF25" s="82" t="e">
        <v>#REF!</v>
      </c>
      <c r="GE25" s="82" t="str">
        <f t="shared" si="5"/>
        <v/>
      </c>
      <c r="GG25" s="82" t="str">
        <f t="shared" si="6"/>
        <v/>
      </c>
      <c r="GH25" s="82" t="str">
        <f t="shared" si="7"/>
        <v/>
      </c>
      <c r="GI25" s="82" t="str">
        <f t="shared" si="8"/>
        <v/>
      </c>
    </row>
    <row r="26" spans="75:191" ht="38.4" customHeight="1" x14ac:dyDescent="0.3">
      <c r="BW26" s="82">
        <v>0</v>
      </c>
      <c r="CE26" s="82">
        <v>0</v>
      </c>
      <c r="CF26" s="82" t="e">
        <v>#REF!</v>
      </c>
      <c r="GE26" s="82" t="str">
        <f t="shared" si="5"/>
        <v/>
      </c>
      <c r="GG26" s="82" t="str">
        <f t="shared" si="6"/>
        <v/>
      </c>
      <c r="GH26" s="82" t="str">
        <f t="shared" si="7"/>
        <v/>
      </c>
      <c r="GI26" s="82" t="str">
        <f t="shared" si="8"/>
        <v/>
      </c>
    </row>
    <row r="27" spans="75:191" ht="38.4" customHeight="1" x14ac:dyDescent="0.3">
      <c r="BW27" s="82">
        <v>0</v>
      </c>
      <c r="CE27" s="82">
        <v>0</v>
      </c>
      <c r="CF27" s="82" t="e">
        <v>#REF!</v>
      </c>
      <c r="GE27" s="82" t="str">
        <f t="shared" si="5"/>
        <v/>
      </c>
      <c r="GG27" s="82" t="str">
        <f t="shared" si="6"/>
        <v/>
      </c>
      <c r="GH27" s="82" t="str">
        <f t="shared" si="7"/>
        <v/>
      </c>
      <c r="GI27" s="82" t="str">
        <f t="shared" si="8"/>
        <v/>
      </c>
    </row>
    <row r="28" spans="75:191" ht="38.4" customHeight="1" x14ac:dyDescent="0.3">
      <c r="BW28" s="82">
        <v>0</v>
      </c>
      <c r="CE28" s="82">
        <v>0</v>
      </c>
      <c r="CF28" s="82" t="e">
        <v>#REF!</v>
      </c>
      <c r="GE28" s="82" t="str">
        <f t="shared" si="5"/>
        <v/>
      </c>
      <c r="GG28" s="82" t="str">
        <f t="shared" si="6"/>
        <v/>
      </c>
      <c r="GH28" s="82" t="str">
        <f t="shared" si="7"/>
        <v/>
      </c>
      <c r="GI28" s="82" t="str">
        <f t="shared" si="8"/>
        <v/>
      </c>
    </row>
    <row r="29" spans="75:191" ht="38.4" customHeight="1" x14ac:dyDescent="0.3">
      <c r="BW29" s="82">
        <v>0</v>
      </c>
      <c r="CE29" s="82">
        <v>0</v>
      </c>
      <c r="CF29" s="82" t="e">
        <v>#REF!</v>
      </c>
      <c r="GE29" s="82" t="str">
        <f t="shared" si="5"/>
        <v/>
      </c>
      <c r="GG29" s="82" t="str">
        <f t="shared" si="6"/>
        <v/>
      </c>
      <c r="GH29" s="82" t="str">
        <f t="shared" si="7"/>
        <v/>
      </c>
      <c r="GI29" s="82" t="str">
        <f t="shared" si="8"/>
        <v/>
      </c>
    </row>
    <row r="30" spans="75:191" ht="38.4" customHeight="1" x14ac:dyDescent="0.3">
      <c r="BW30" s="82">
        <v>0</v>
      </c>
      <c r="CE30" s="82">
        <v>0</v>
      </c>
      <c r="CF30" s="82" t="e">
        <v>#REF!</v>
      </c>
      <c r="GE30" s="82" t="str">
        <f t="shared" si="5"/>
        <v/>
      </c>
      <c r="GG30" s="82" t="str">
        <f t="shared" si="6"/>
        <v/>
      </c>
      <c r="GH30" s="82" t="str">
        <f t="shared" si="7"/>
        <v/>
      </c>
      <c r="GI30" s="82" t="str">
        <f t="shared" si="8"/>
        <v/>
      </c>
    </row>
    <row r="31" spans="75:191" ht="38.4" customHeight="1" x14ac:dyDescent="0.3">
      <c r="BW31" s="82">
        <v>0</v>
      </c>
      <c r="CE31" s="82">
        <v>0</v>
      </c>
      <c r="CF31" s="82" t="e">
        <v>#REF!</v>
      </c>
      <c r="GE31" s="82" t="str">
        <f t="shared" si="5"/>
        <v/>
      </c>
      <c r="GG31" s="82" t="str">
        <f t="shared" si="6"/>
        <v/>
      </c>
      <c r="GH31" s="82" t="str">
        <f t="shared" si="7"/>
        <v/>
      </c>
      <c r="GI31" s="82" t="str">
        <f t="shared" si="8"/>
        <v/>
      </c>
    </row>
    <row r="32" spans="75:191" ht="38.4" customHeight="1" x14ac:dyDescent="0.3">
      <c r="BW32" s="82">
        <v>0</v>
      </c>
      <c r="CE32" s="82">
        <v>0</v>
      </c>
      <c r="CF32" s="82" t="e">
        <v>#REF!</v>
      </c>
      <c r="GE32" s="82" t="str">
        <f t="shared" si="5"/>
        <v/>
      </c>
      <c r="GG32" s="82" t="str">
        <f t="shared" si="6"/>
        <v/>
      </c>
      <c r="GH32" s="82" t="str">
        <f t="shared" si="7"/>
        <v/>
      </c>
      <c r="GI32" s="82" t="str">
        <f t="shared" si="8"/>
        <v/>
      </c>
    </row>
    <row r="33" spans="75:191" ht="38.4" customHeight="1" x14ac:dyDescent="0.3">
      <c r="BW33" s="82">
        <v>0</v>
      </c>
      <c r="CE33" s="82">
        <v>0</v>
      </c>
      <c r="CF33" s="82" t="e">
        <v>#REF!</v>
      </c>
      <c r="GE33" s="82" t="str">
        <f t="shared" si="5"/>
        <v/>
      </c>
      <c r="GG33" s="82" t="str">
        <f t="shared" si="6"/>
        <v/>
      </c>
      <c r="GH33" s="82" t="str">
        <f t="shared" si="7"/>
        <v/>
      </c>
      <c r="GI33" s="82" t="str">
        <f t="shared" si="8"/>
        <v/>
      </c>
    </row>
    <row r="34" spans="75:191" ht="38.4" customHeight="1" x14ac:dyDescent="0.3">
      <c r="BW34" s="82">
        <v>0</v>
      </c>
      <c r="CE34" s="82">
        <v>0</v>
      </c>
      <c r="CF34" s="82" t="e">
        <v>#REF!</v>
      </c>
      <c r="GE34" s="82" t="str">
        <f t="shared" si="5"/>
        <v/>
      </c>
      <c r="GG34" s="82" t="str">
        <f t="shared" si="6"/>
        <v/>
      </c>
      <c r="GH34" s="82" t="str">
        <f t="shared" si="7"/>
        <v/>
      </c>
      <c r="GI34" s="82" t="str">
        <f t="shared" si="8"/>
        <v/>
      </c>
    </row>
    <row r="35" spans="75:191" ht="38.4" customHeight="1" x14ac:dyDescent="0.3">
      <c r="BW35" s="82">
        <v>0</v>
      </c>
      <c r="CE35" s="82">
        <v>0</v>
      </c>
      <c r="CF35" s="82" t="e">
        <v>#REF!</v>
      </c>
      <c r="GE35" s="82" t="str">
        <f t="shared" si="5"/>
        <v/>
      </c>
      <c r="GG35" s="82" t="str">
        <f t="shared" si="6"/>
        <v/>
      </c>
      <c r="GH35" s="82" t="str">
        <f t="shared" si="7"/>
        <v/>
      </c>
      <c r="GI35" s="82" t="str">
        <f t="shared" si="8"/>
        <v/>
      </c>
    </row>
    <row r="36" spans="75:191" ht="38.4" customHeight="1" x14ac:dyDescent="0.3">
      <c r="BW36" s="82">
        <v>0</v>
      </c>
      <c r="CE36" s="82">
        <v>0</v>
      </c>
      <c r="CF36" s="82" t="e">
        <v>#REF!</v>
      </c>
      <c r="GE36" s="82" t="str">
        <f t="shared" si="5"/>
        <v/>
      </c>
      <c r="GG36" s="82" t="str">
        <f t="shared" si="6"/>
        <v/>
      </c>
      <c r="GH36" s="82" t="str">
        <f t="shared" si="7"/>
        <v/>
      </c>
      <c r="GI36" s="82" t="str">
        <f t="shared" si="8"/>
        <v/>
      </c>
    </row>
    <row r="37" spans="75:191" ht="38.4" customHeight="1" x14ac:dyDescent="0.3">
      <c r="BW37" s="82">
        <v>0</v>
      </c>
      <c r="CE37" s="82">
        <v>0</v>
      </c>
      <c r="CF37" s="82" t="e">
        <v>#REF!</v>
      </c>
      <c r="GE37" s="82" t="str">
        <f t="shared" si="5"/>
        <v/>
      </c>
      <c r="GG37" s="82" t="str">
        <f t="shared" si="6"/>
        <v/>
      </c>
      <c r="GH37" s="82" t="str">
        <f t="shared" si="7"/>
        <v/>
      </c>
      <c r="GI37" s="82" t="str">
        <f t="shared" si="8"/>
        <v/>
      </c>
    </row>
    <row r="38" spans="75:191" ht="38.4" customHeight="1" x14ac:dyDescent="0.3">
      <c r="BW38" s="82">
        <v>0</v>
      </c>
      <c r="CE38" s="82">
        <v>0</v>
      </c>
      <c r="CF38" s="82" t="e">
        <v>#REF!</v>
      </c>
      <c r="GE38" s="82" t="str">
        <f t="shared" si="5"/>
        <v/>
      </c>
      <c r="GG38" s="82" t="str">
        <f t="shared" si="6"/>
        <v/>
      </c>
      <c r="GH38" s="82" t="str">
        <f t="shared" si="7"/>
        <v/>
      </c>
      <c r="GI38" s="82" t="str">
        <f t="shared" si="8"/>
        <v/>
      </c>
    </row>
    <row r="39" spans="75:191" ht="38.4" customHeight="1" x14ac:dyDescent="0.3">
      <c r="BW39" s="82">
        <v>0</v>
      </c>
      <c r="CE39" s="82">
        <v>0</v>
      </c>
      <c r="CF39" s="82" t="e">
        <v>#REF!</v>
      </c>
      <c r="GE39" s="82" t="str">
        <f t="shared" si="5"/>
        <v/>
      </c>
      <c r="GG39" s="82" t="str">
        <f t="shared" si="6"/>
        <v/>
      </c>
      <c r="GH39" s="82" t="str">
        <f t="shared" si="7"/>
        <v/>
      </c>
      <c r="GI39" s="82" t="str">
        <f t="shared" si="8"/>
        <v/>
      </c>
    </row>
    <row r="40" spans="75:191" ht="38.4" customHeight="1" x14ac:dyDescent="0.3">
      <c r="BW40" s="82">
        <v>0</v>
      </c>
      <c r="CE40" s="82">
        <v>0</v>
      </c>
      <c r="CF40" s="82" t="e">
        <v>#REF!</v>
      </c>
      <c r="GE40" s="82" t="str">
        <f t="shared" si="5"/>
        <v/>
      </c>
      <c r="GG40" s="82" t="str">
        <f t="shared" si="6"/>
        <v/>
      </c>
      <c r="GH40" s="82" t="str">
        <f t="shared" si="7"/>
        <v/>
      </c>
      <c r="GI40" s="82" t="str">
        <f t="shared" si="8"/>
        <v/>
      </c>
    </row>
    <row r="41" spans="75:191" ht="38.4" customHeight="1" x14ac:dyDescent="0.3">
      <c r="BW41" s="82">
        <v>0</v>
      </c>
      <c r="CE41" s="82">
        <v>0</v>
      </c>
      <c r="CF41" s="82" t="e">
        <v>#REF!</v>
      </c>
      <c r="GE41" s="82" t="str">
        <f t="shared" si="5"/>
        <v/>
      </c>
      <c r="GG41" s="82" t="str">
        <f t="shared" si="6"/>
        <v/>
      </c>
      <c r="GH41" s="82" t="str">
        <f t="shared" si="7"/>
        <v/>
      </c>
      <c r="GI41" s="82" t="str">
        <f t="shared" si="8"/>
        <v/>
      </c>
    </row>
    <row r="42" spans="75:191" ht="38.4" customHeight="1" x14ac:dyDescent="0.3">
      <c r="BW42" s="82">
        <v>0</v>
      </c>
      <c r="CE42" s="82">
        <v>0</v>
      </c>
      <c r="CF42" s="82" t="e">
        <v>#REF!</v>
      </c>
      <c r="GE42" s="82" t="str">
        <f t="shared" si="5"/>
        <v/>
      </c>
      <c r="GG42" s="82" t="str">
        <f t="shared" si="6"/>
        <v/>
      </c>
      <c r="GH42" s="82" t="str">
        <f t="shared" si="7"/>
        <v/>
      </c>
      <c r="GI42" s="82" t="str">
        <f t="shared" si="8"/>
        <v/>
      </c>
    </row>
    <row r="43" spans="75:191" ht="38.4" customHeight="1" x14ac:dyDescent="0.3">
      <c r="BW43" s="82">
        <v>0</v>
      </c>
      <c r="CE43" s="82">
        <v>0</v>
      </c>
      <c r="CF43" s="82" t="e">
        <v>#REF!</v>
      </c>
      <c r="GE43" s="82" t="str">
        <f t="shared" si="5"/>
        <v/>
      </c>
      <c r="GG43" s="82" t="str">
        <f t="shared" si="6"/>
        <v/>
      </c>
      <c r="GH43" s="82" t="str">
        <f t="shared" si="7"/>
        <v/>
      </c>
      <c r="GI43" s="82" t="str">
        <f t="shared" si="8"/>
        <v/>
      </c>
    </row>
    <row r="44" spans="75:191" ht="38.4" customHeight="1" x14ac:dyDescent="0.3">
      <c r="BW44" s="82">
        <v>0</v>
      </c>
      <c r="CE44" s="82">
        <v>0</v>
      </c>
      <c r="CF44" s="82" t="e">
        <v>#REF!</v>
      </c>
      <c r="GE44" s="82" t="str">
        <f t="shared" si="5"/>
        <v/>
      </c>
      <c r="GG44" s="82" t="str">
        <f t="shared" si="6"/>
        <v/>
      </c>
      <c r="GH44" s="82" t="str">
        <f t="shared" si="7"/>
        <v/>
      </c>
      <c r="GI44" s="82" t="str">
        <f t="shared" si="8"/>
        <v/>
      </c>
    </row>
  </sheetData>
  <autoFilter ref="A1:IY44" xr:uid="{A1051193-A95B-4CFB-A73C-F0184620C81F}">
    <sortState xmlns:xlrd2="http://schemas.microsoft.com/office/spreadsheetml/2017/richdata2" ref="A2:IY44">
      <sortCondition ref="AW1:AW44"/>
    </sortState>
  </autoFilter>
  <conditionalFormatting sqref="H1 CW1:GS1 IA1:IB1">
    <cfRule type="cellIs" dxfId="442" priority="66" operator="greaterThan">
      <formula>0</formula>
    </cfRule>
  </conditionalFormatting>
  <conditionalFormatting sqref="H1:H3 H7:H1048576">
    <cfRule type="cellIs" dxfId="441" priority="6" stopIfTrue="1" operator="notEqual">
      <formula>""</formula>
    </cfRule>
  </conditionalFormatting>
  <conditionalFormatting sqref="R2:R3 CU2:CU3">
    <cfRule type="cellIs" dxfId="440" priority="8" operator="greaterThan">
      <formula>0</formula>
    </cfRule>
  </conditionalFormatting>
  <conditionalFormatting sqref="T2:AS3 CH2:CS3">
    <cfRule type="cellIs" dxfId="439" priority="3" stopIfTrue="1" operator="equal">
      <formula>"n"</formula>
    </cfRule>
    <cfRule type="cellIs" dxfId="438" priority="4" stopIfTrue="1" operator="equal">
      <formula>"y"</formula>
    </cfRule>
    <cfRule type="cellIs" dxfId="437" priority="5" operator="greaterThan">
      <formula>0</formula>
    </cfRule>
  </conditionalFormatting>
  <conditionalFormatting sqref="T1:BK1">
    <cfRule type="cellIs" dxfId="436" priority="69" operator="greaterThan">
      <formula>0</formula>
    </cfRule>
  </conditionalFormatting>
  <conditionalFormatting sqref="AZ2:BB3">
    <cfRule type="expression" dxfId="435" priority="2">
      <formula>$AT2=0</formula>
    </cfRule>
  </conditionalFormatting>
  <conditionalFormatting sqref="AZ2:BU3">
    <cfRule type="cellIs" dxfId="434" priority="44" operator="equal">
      <formula>"PIN"</formula>
    </cfRule>
    <cfRule type="cellIs" dxfId="433" priority="45" operator="equal">
      <formula>"ORA"</formula>
    </cfRule>
    <cfRule type="cellIs" dxfId="432" priority="46" operator="equal">
      <formula>"GRA"</formula>
    </cfRule>
    <cfRule type="cellIs" dxfId="431" priority="47" operator="equal">
      <formula>"PUR"</formula>
    </cfRule>
    <cfRule type="cellIs" dxfId="430" priority="48" operator="equal">
      <formula>"BRO"</formula>
    </cfRule>
    <cfRule type="cellIs" dxfId="429" priority="49" operator="equal">
      <formula>"YEL"</formula>
    </cfRule>
    <cfRule type="cellIs" dxfId="428" priority="50" operator="equal">
      <formula>"BLU"</formula>
    </cfRule>
    <cfRule type="cellIs" dxfId="427" priority="51" operator="equal">
      <formula>"WHI"</formula>
    </cfRule>
    <cfRule type="cellIs" dxfId="426" priority="52" operator="equal">
      <formula>"GRE"</formula>
    </cfRule>
    <cfRule type="cellIs" dxfId="425" priority="53" operator="equal">
      <formula>"RED"</formula>
    </cfRule>
    <cfRule type="cellIs" dxfId="424" priority="54" operator="equal">
      <formula>"BLA"</formula>
    </cfRule>
  </conditionalFormatting>
  <conditionalFormatting sqref="BV1:BW1048576">
    <cfRule type="cellIs" dxfId="423" priority="68" operator="equal">
      <formula>"nc"</formula>
    </cfRule>
  </conditionalFormatting>
  <conditionalFormatting sqref="BX2:CA3 CD2:CF3">
    <cfRule type="cellIs" dxfId="422" priority="7" operator="equal">
      <formula>"y"</formula>
    </cfRule>
    <cfRule type="cellIs" dxfId="421" priority="55" operator="equal">
      <formula>"PIN"</formula>
    </cfRule>
    <cfRule type="cellIs" dxfId="420" priority="56" operator="equal">
      <formula>"ORA"</formula>
    </cfRule>
    <cfRule type="cellIs" dxfId="419" priority="57" operator="equal">
      <formula>"GRA"</formula>
    </cfRule>
    <cfRule type="cellIs" dxfId="418" priority="58" operator="equal">
      <formula>"PUR"</formula>
    </cfRule>
    <cfRule type="cellIs" dxfId="417" priority="59" operator="equal">
      <formula>"BRO"</formula>
    </cfRule>
    <cfRule type="cellIs" dxfId="416" priority="60" operator="equal">
      <formula>"YEL"</formula>
    </cfRule>
    <cfRule type="cellIs" dxfId="415" priority="61" operator="equal">
      <formula>"BLU"</formula>
    </cfRule>
    <cfRule type="cellIs" dxfId="414" priority="62" operator="equal">
      <formula>"WHI"</formula>
    </cfRule>
    <cfRule type="cellIs" dxfId="413" priority="63" operator="equal">
      <formula>"GRE"</formula>
    </cfRule>
    <cfRule type="cellIs" dxfId="412" priority="64" operator="equal">
      <formula>"RED"</formula>
    </cfRule>
    <cfRule type="cellIs" dxfId="411" priority="65" operator="equal">
      <formula>"BLA"</formula>
    </cfRule>
  </conditionalFormatting>
  <conditionalFormatting sqref="BZ2:CA3 CD2:CF3">
    <cfRule type="cellIs" dxfId="410" priority="9" operator="greaterThan">
      <formula>0</formula>
    </cfRule>
  </conditionalFormatting>
  <conditionalFormatting sqref="HF1:HG1">
    <cfRule type="cellIs" dxfId="409" priority="70" operator="greaterThan">
      <formula>0</formula>
    </cfRule>
  </conditionalFormatting>
  <conditionalFormatting sqref="HK1">
    <cfRule type="cellIs" dxfId="408" priority="67" operator="greaterThan">
      <formula>0</formula>
    </cfRule>
  </conditionalFormatting>
  <conditionalFormatting sqref="HP1:HX1">
    <cfRule type="cellIs" dxfId="407" priority="21" operator="equal">
      <formula>"PIN"</formula>
    </cfRule>
    <cfRule type="cellIs" dxfId="406" priority="22" operator="equal">
      <formula>"ORA"</formula>
    </cfRule>
    <cfRule type="cellIs" dxfId="405" priority="23" operator="equal">
      <formula>"GRA"</formula>
    </cfRule>
    <cfRule type="cellIs" dxfId="404" priority="24" operator="equal">
      <formula>"PUR"</formula>
    </cfRule>
    <cfRule type="cellIs" dxfId="403" priority="25" operator="equal">
      <formula>"BRO"</formula>
    </cfRule>
    <cfRule type="cellIs" dxfId="402" priority="26" operator="equal">
      <formula>"YEL"</formula>
    </cfRule>
    <cfRule type="cellIs" dxfId="401" priority="27" operator="equal">
      <formula>"BLU"</formula>
    </cfRule>
    <cfRule type="cellIs" dxfId="400" priority="28" operator="equal">
      <formula>"WHI"</formula>
    </cfRule>
    <cfRule type="cellIs" dxfId="399" priority="29" operator="equal">
      <formula>"GRE"</formula>
    </cfRule>
    <cfRule type="cellIs" dxfId="398" priority="30" operator="equal">
      <formula>"RED"</formula>
    </cfRule>
    <cfRule type="cellIs" dxfId="397" priority="31" operator="equal">
      <formula>"BLA"</formula>
    </cfRule>
  </conditionalFormatting>
  <conditionalFormatting sqref="IC1:IK1">
    <cfRule type="cellIs" dxfId="396" priority="33" operator="equal">
      <formula>"PIN"</formula>
    </cfRule>
    <cfRule type="cellIs" dxfId="395" priority="34" operator="equal">
      <formula>"ORA"</formula>
    </cfRule>
    <cfRule type="cellIs" dxfId="394" priority="35" operator="equal">
      <formula>"GRA"</formula>
    </cfRule>
    <cfRule type="cellIs" dxfId="393" priority="36" operator="equal">
      <formula>"PUR"</formula>
    </cfRule>
    <cfRule type="cellIs" dxfId="392" priority="37" operator="equal">
      <formula>"BRO"</formula>
    </cfRule>
    <cfRule type="cellIs" dxfId="391" priority="38" operator="equal">
      <formula>"YEL"</formula>
    </cfRule>
    <cfRule type="cellIs" dxfId="390" priority="39" operator="equal">
      <formula>"BLU"</formula>
    </cfRule>
    <cfRule type="cellIs" dxfId="389" priority="40" operator="equal">
      <formula>"WHI"</formula>
    </cfRule>
    <cfRule type="cellIs" dxfId="388" priority="41" operator="equal">
      <formula>"GRE"</formula>
    </cfRule>
    <cfRule type="cellIs" dxfId="387" priority="42" operator="equal">
      <formula>"RED"</formula>
    </cfRule>
    <cfRule type="cellIs" dxfId="386" priority="43" operator="equal">
      <formula>"BLA"</formula>
    </cfRule>
  </conditionalFormatting>
  <conditionalFormatting sqref="IC2:IK3">
    <cfRule type="expression" dxfId="385" priority="32">
      <formula>$IL2&gt;0</formula>
    </cfRule>
  </conditionalFormatting>
  <conditionalFormatting sqref="IO1:IW1">
    <cfRule type="cellIs" dxfId="384" priority="10" operator="equal">
      <formula>"PIN"</formula>
    </cfRule>
    <cfRule type="cellIs" dxfId="383" priority="11" operator="equal">
      <formula>"ORA"</formula>
    </cfRule>
    <cfRule type="cellIs" dxfId="382" priority="12" operator="equal">
      <formula>"GRA"</formula>
    </cfRule>
    <cfRule type="cellIs" dxfId="381" priority="13" operator="equal">
      <formula>"PUR"</formula>
    </cfRule>
    <cfRule type="cellIs" dxfId="380" priority="14" operator="equal">
      <formula>"BRO"</formula>
    </cfRule>
    <cfRule type="cellIs" dxfId="379" priority="15" operator="equal">
      <formula>"YEL"</formula>
    </cfRule>
    <cfRule type="cellIs" dxfId="378" priority="16" operator="equal">
      <formula>"BLU"</formula>
    </cfRule>
    <cfRule type="cellIs" dxfId="377" priority="17" operator="equal">
      <formula>"WHI"</formula>
    </cfRule>
    <cfRule type="cellIs" dxfId="376" priority="18" operator="equal">
      <formula>"GRE"</formula>
    </cfRule>
    <cfRule type="cellIs" dxfId="375" priority="19" operator="equal">
      <formula>"RED"</formula>
    </cfRule>
    <cfRule type="cellIs" dxfId="374" priority="20" operator="equal">
      <formula>"BLA"</formula>
    </cfRule>
  </conditionalFormatting>
  <conditionalFormatting sqref="S2:S3">
    <cfRule type="colorScale" priority="2809">
      <colorScale>
        <cfvo type="min"/>
        <cfvo type="max"/>
        <color rgb="FFFCFCFF"/>
        <color rgb="FF754BFB"/>
      </colorScale>
    </cfRule>
  </conditionalFormatting>
  <conditionalFormatting sqref="AT2:AT3">
    <cfRule type="colorScale" priority="2810">
      <colorScale>
        <cfvo type="min"/>
        <cfvo type="max"/>
        <color rgb="FFFCFCFF"/>
        <color theme="8" tint="0.39997558519241921"/>
      </colorScale>
    </cfRule>
  </conditionalFormatting>
  <conditionalFormatting sqref="CG2:CG3">
    <cfRule type="colorScale" priority="2811">
      <colorScale>
        <cfvo type="min"/>
        <cfvo type="max"/>
        <color rgb="FFFCFCFF"/>
        <color rgb="FF63BE7B"/>
      </colorScale>
    </cfRule>
  </conditionalFormatting>
  <conditionalFormatting sqref="J2:J5">
    <cfRule type="colorScale" priority="1">
      <colorScale>
        <cfvo type="min"/>
        <cfvo type="percentile" val="50"/>
        <cfvo type="max"/>
        <color rgb="FFF8696B"/>
        <color rgb="FFFFEB84"/>
        <color rgb="FF63BE7B"/>
      </colorScale>
    </cfRule>
  </conditionalFormatting>
  <hyperlinks>
    <hyperlink ref="A2" r:id="rId1" display="https://fbref.com/en/country/SOL/Solomon-Islands-Football" xr:uid="{E3094194-4ED0-43CB-81F5-52B991BE1CFE}"/>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9457" r:id="rId5" name="Button 1">
              <controlPr defaultSize="0" print="0" autoFill="0" autoPict="0" macro="[0]!InsertImagesFromSelectedRange">
                <anchor moveWithCells="1" sizeWithCells="1">
                  <from>
                    <xdr:col>1</xdr:col>
                    <xdr:colOff>76200</xdr:colOff>
                    <xdr:row>0</xdr:row>
                    <xdr:rowOff>7620</xdr:rowOff>
                  </from>
                  <to>
                    <xdr:col>2</xdr:col>
                    <xdr:colOff>0</xdr:colOff>
                    <xdr:row>0</xdr:row>
                    <xdr:rowOff>487680</xdr:rowOff>
                  </to>
                </anchor>
              </controlPr>
            </control>
          </mc:Choice>
        </mc:AlternateContent>
        <mc:AlternateContent xmlns:mc="http://schemas.openxmlformats.org/markup-compatibility/2006">
          <mc:Choice Requires="x14">
            <control shapeId="19458" r:id="rId6" name="Button 2">
              <controlPr defaultSize="0" print="0" autoFill="0" autoPict="0" macro="[0]!ReplaceLineBreaksWithNewLineManualRange">
                <anchor moveWithCells="1" sizeWithCells="1">
                  <from>
                    <xdr:col>7</xdr:col>
                    <xdr:colOff>15240</xdr:colOff>
                    <xdr:row>0</xdr:row>
                    <xdr:rowOff>45720</xdr:rowOff>
                  </from>
                  <to>
                    <xdr:col>7</xdr:col>
                    <xdr:colOff>685800</xdr:colOff>
                    <xdr:row>0</xdr:row>
                    <xdr:rowOff>403860</xdr:rowOff>
                  </to>
                </anchor>
              </controlPr>
            </control>
          </mc:Choice>
        </mc:AlternateContent>
        <mc:AlternateContent xmlns:mc="http://schemas.openxmlformats.org/markup-compatibility/2006">
          <mc:Choice Requires="x14">
            <control shapeId="19459" r:id="rId7" name="Button 3">
              <controlPr defaultSize="0" print="0" autoFill="0" autoPict="0" macro="[0]!GoToSheet">
                <anchor moveWithCells="1" sizeWithCells="1">
                  <from>
                    <xdr:col>0</xdr:col>
                    <xdr:colOff>137160</xdr:colOff>
                    <xdr:row>0</xdr:row>
                    <xdr:rowOff>114300</xdr:rowOff>
                  </from>
                  <to>
                    <xdr:col>0</xdr:col>
                    <xdr:colOff>762000</xdr:colOff>
                    <xdr:row>0</xdr:row>
                    <xdr:rowOff>419100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737BA-8524-4A28-A537-FB5D8BD14867}">
  <sheetPr codeName="Sheet25"/>
  <dimension ref="A1:IY5"/>
  <sheetViews>
    <sheetView zoomScale="70" zoomScaleNormal="70" workbookViewId="0">
      <pane xSplit="5" ySplit="1" topLeftCell="F2" activePane="bottomRight" state="frozen"/>
      <selection activeCell="A2" sqref="A2"/>
      <selection pane="topRight" activeCell="A2" sqref="A2"/>
      <selection pane="bottomLeft" activeCell="A2" sqref="A2"/>
      <selection pane="bottomRight" activeCell="B3" sqref="B3"/>
    </sheetView>
  </sheetViews>
  <sheetFormatPr defaultRowHeight="38.4" customHeight="1" x14ac:dyDescent="0.3"/>
  <cols>
    <col min="1" max="1" width="52.44140625" style="82" bestFit="1" customWidth="1"/>
    <col min="2" max="2" width="10.109375" style="82" customWidth="1"/>
    <col min="3" max="3" width="7.44140625" style="83" customWidth="1"/>
    <col min="4" max="4" width="4.77734375" style="84" customWidth="1"/>
    <col min="5" max="5" width="4.5546875" style="84" customWidth="1"/>
    <col min="6" max="6" width="5.77734375" style="84" customWidth="1"/>
    <col min="7" max="7" width="7.44140625" style="82" customWidth="1"/>
    <col min="8" max="8" width="11.44140625" style="82" customWidth="1"/>
    <col min="9" max="9" width="10" style="82" customWidth="1"/>
    <col min="10" max="10" width="4.21875" style="82" customWidth="1"/>
    <col min="11" max="11" width="5.6640625" style="84" customWidth="1"/>
    <col min="12" max="12" width="2.88671875" style="84" customWidth="1"/>
    <col min="13" max="13" width="6.44140625" style="84" customWidth="1"/>
    <col min="14" max="14" width="4.5546875" style="84" customWidth="1"/>
    <col min="15" max="15" width="10.5546875" style="85" customWidth="1"/>
    <col min="16" max="16" width="6.88671875" style="84" customWidth="1"/>
    <col min="17" max="17" width="4.77734375" style="84" customWidth="1"/>
    <col min="18" max="18" width="13.109375" style="83" customWidth="1"/>
    <col min="19" max="19" width="6.77734375" style="83" customWidth="1"/>
    <col min="20" max="46" width="8.44140625" style="82" customWidth="1"/>
    <col min="47" max="47" width="24.5546875" style="82" customWidth="1"/>
    <col min="48" max="51" width="16.6640625" style="82" customWidth="1"/>
    <col min="52" max="52" width="6.5546875" style="82" customWidth="1"/>
    <col min="53" max="54" width="5.88671875" style="82" customWidth="1"/>
    <col min="55" max="55" width="1.33203125" style="82" customWidth="1"/>
    <col min="56" max="56" width="7.44140625" style="82" customWidth="1"/>
    <col min="57" max="57" width="2.33203125" style="82" customWidth="1"/>
    <col min="58" max="62" width="6.109375" style="82" customWidth="1"/>
    <col min="63" max="63" width="2.33203125" style="82" customWidth="1"/>
    <col min="64" max="64" width="7" style="82" bestFit="1" customWidth="1"/>
    <col min="65" max="65" width="6.44140625" style="82" bestFit="1" customWidth="1"/>
    <col min="66" max="66" width="7.109375" style="82" bestFit="1" customWidth="1"/>
    <col min="67" max="71" width="6.44140625" style="82" bestFit="1" customWidth="1"/>
    <col min="72" max="73" width="6.44140625" style="82" customWidth="1"/>
    <col min="74" max="75" width="13.44140625" style="82" customWidth="1"/>
    <col min="76" max="84" width="14.6640625" style="82" customWidth="1"/>
    <col min="85" max="85" width="6.44140625" style="82" customWidth="1"/>
    <col min="86" max="87" width="11.6640625" style="82" bestFit="1" customWidth="1"/>
    <col min="88" max="88" width="11.6640625" style="82" customWidth="1"/>
    <col min="89" max="89" width="12.77734375" style="82" bestFit="1" customWidth="1"/>
    <col min="90" max="90" width="16.44140625" style="83" bestFit="1" customWidth="1"/>
    <col min="91" max="92" width="14.88671875" style="83" bestFit="1" customWidth="1"/>
    <col min="93" max="93" width="16" style="83" bestFit="1" customWidth="1"/>
    <col min="94" max="97" width="7.77734375" style="82" customWidth="1"/>
    <col min="98" max="98" width="33.21875" style="82" customWidth="1"/>
    <col min="99" max="99" width="18" style="82" customWidth="1"/>
    <col min="100" max="100" width="75.6640625" style="82" customWidth="1"/>
    <col min="101" max="125" width="33" style="82" customWidth="1"/>
    <col min="126" max="126" width="8.88671875" style="82"/>
    <col min="127" max="128" width="9.44140625" style="82" bestFit="1" customWidth="1"/>
    <col min="129" max="129" width="10.77734375" style="82" bestFit="1" customWidth="1"/>
    <col min="130" max="134" width="10.77734375" style="82" customWidth="1"/>
    <col min="135" max="135" width="10.109375" style="82" bestFit="1" customWidth="1"/>
    <col min="136" max="136" width="7.77734375" style="82" bestFit="1" customWidth="1"/>
    <col min="137" max="137" width="7.77734375" style="82" customWidth="1"/>
    <col min="138" max="138" width="9" style="82" bestFit="1" customWidth="1"/>
    <col min="139" max="139" width="11.33203125" style="82" bestFit="1" customWidth="1"/>
    <col min="140" max="140" width="9.109375" style="82" bestFit="1" customWidth="1"/>
    <col min="141" max="141" width="9" style="82" bestFit="1" customWidth="1"/>
    <col min="142" max="142" width="12" style="82" bestFit="1" customWidth="1"/>
    <col min="143" max="166" width="12" style="82" customWidth="1"/>
    <col min="167" max="167" width="17.21875" style="82" customWidth="1"/>
    <col min="168" max="191" width="12" style="82" customWidth="1"/>
    <col min="192" max="192" width="8.5546875" style="82" bestFit="1" customWidth="1"/>
    <col min="193" max="193" width="8.5546875" style="82" customWidth="1"/>
    <col min="194" max="194" width="7.109375" style="82" bestFit="1" customWidth="1"/>
    <col min="195" max="195" width="7.5546875" style="82" bestFit="1" customWidth="1"/>
    <col min="196" max="196" width="8.5546875" style="82" bestFit="1" customWidth="1"/>
    <col min="197" max="200" width="8.5546875" style="82" customWidth="1"/>
    <col min="201" max="201" width="188.88671875" style="82" customWidth="1"/>
    <col min="202" max="202" width="9.5546875" style="82" bestFit="1" customWidth="1"/>
    <col min="203" max="203" width="10.44140625" style="82" bestFit="1" customWidth="1"/>
    <col min="204" max="204" width="11.109375" style="82" bestFit="1" customWidth="1"/>
    <col min="205" max="205" width="10.44140625" style="82" bestFit="1" customWidth="1"/>
    <col min="206" max="210" width="10.44140625" style="82" customWidth="1"/>
    <col min="211" max="211" width="45.44140625" style="82" customWidth="1"/>
    <col min="212" max="212" width="47.5546875" style="82" bestFit="1" customWidth="1"/>
    <col min="213" max="213" width="9.33203125" style="86" customWidth="1"/>
    <col min="214" max="214" width="119.5546875" style="82" customWidth="1"/>
    <col min="215" max="215" width="69.6640625" style="82" customWidth="1"/>
    <col min="216" max="218" width="8.88671875" style="82"/>
    <col min="219" max="219" width="37.109375" style="82" customWidth="1"/>
    <col min="220" max="220" width="16.33203125" style="82" customWidth="1"/>
    <col min="221" max="222" width="8.88671875" style="82"/>
    <col min="223" max="223" width="10.109375" style="82" bestFit="1" customWidth="1"/>
    <col min="224" max="232" width="10.88671875" style="82" customWidth="1"/>
    <col min="233" max="234" width="30.77734375" style="82" customWidth="1"/>
    <col min="235" max="235" width="5.109375" style="82" customWidth="1"/>
    <col min="236" max="236" width="3" style="82" customWidth="1"/>
    <col min="237" max="245" width="6.77734375" style="76" customWidth="1"/>
    <col min="246" max="247" width="8.88671875" style="82"/>
    <col min="248" max="248" width="61.5546875" style="82" customWidth="1"/>
    <col min="249" max="253" width="8.88671875" style="82"/>
    <col min="254" max="254" width="9" style="82" customWidth="1"/>
    <col min="255" max="16384" width="8.88671875" style="82"/>
  </cols>
  <sheetData>
    <row r="1" spans="1:259" s="5" customFormat="1" ht="38.4" customHeight="1" thickBot="1" x14ac:dyDescent="0.35">
      <c r="A1" s="1" t="s">
        <v>0</v>
      </c>
      <c r="B1" s="79" t="s">
        <v>1</v>
      </c>
      <c r="C1" s="2" t="s">
        <v>2</v>
      </c>
      <c r="D1" s="3"/>
      <c r="E1" s="3" t="s">
        <v>3</v>
      </c>
      <c r="F1" s="4"/>
      <c r="H1" s="6" t="s">
        <v>4</v>
      </c>
      <c r="J1" s="5" t="s">
        <v>5</v>
      </c>
      <c r="K1" s="7" t="s">
        <v>6</v>
      </c>
      <c r="L1" s="8" t="s">
        <v>7</v>
      </c>
      <c r="M1" s="8" t="s">
        <v>8</v>
      </c>
      <c r="N1" s="9" t="s">
        <v>9</v>
      </c>
      <c r="O1" s="10" t="s">
        <v>10</v>
      </c>
      <c r="P1" s="11" t="s">
        <v>11</v>
      </c>
      <c r="Q1" s="11" t="s">
        <v>12</v>
      </c>
      <c r="R1" s="12" t="s">
        <v>0</v>
      </c>
      <c r="S1" s="13" t="s">
        <v>13</v>
      </c>
      <c r="T1" s="14" t="s">
        <v>14</v>
      </c>
      <c r="U1" s="14" t="s">
        <v>15</v>
      </c>
      <c r="V1" s="15" t="s">
        <v>16</v>
      </c>
      <c r="W1" s="14" t="s">
        <v>17</v>
      </c>
      <c r="X1" s="14" t="s">
        <v>18</v>
      </c>
      <c r="Y1" s="14" t="s">
        <v>19</v>
      </c>
      <c r="Z1" s="14" t="s">
        <v>20</v>
      </c>
      <c r="AA1" s="14" t="s">
        <v>21</v>
      </c>
      <c r="AB1" s="14" t="s">
        <v>22</v>
      </c>
      <c r="AC1" s="14" t="s">
        <v>23</v>
      </c>
      <c r="AD1" s="14" t="s">
        <v>24</v>
      </c>
      <c r="AE1" s="14" t="s">
        <v>25</v>
      </c>
      <c r="AF1" s="16" t="s">
        <v>26</v>
      </c>
      <c r="AG1" s="16" t="s">
        <v>27</v>
      </c>
      <c r="AH1" s="16" t="s">
        <v>28</v>
      </c>
      <c r="AI1" s="16" t="s">
        <v>29</v>
      </c>
      <c r="AJ1" s="16" t="s">
        <v>30</v>
      </c>
      <c r="AK1" s="16" t="s">
        <v>31</v>
      </c>
      <c r="AL1" s="16" t="s">
        <v>32</v>
      </c>
      <c r="AM1" s="16" t="s">
        <v>33</v>
      </c>
      <c r="AN1" s="16" t="s">
        <v>34</v>
      </c>
      <c r="AO1" s="16" t="s">
        <v>35</v>
      </c>
      <c r="AP1" s="16" t="s">
        <v>36</v>
      </c>
      <c r="AQ1" s="16" t="s">
        <v>37</v>
      </c>
      <c r="AR1" s="16" t="s">
        <v>38</v>
      </c>
      <c r="AS1" s="16" t="s">
        <v>39</v>
      </c>
      <c r="AT1" s="17" t="s">
        <v>40</v>
      </c>
      <c r="AU1" s="18" t="s">
        <v>41</v>
      </c>
      <c r="AV1" s="18" t="s">
        <v>42</v>
      </c>
      <c r="AW1" s="18" t="s">
        <v>43</v>
      </c>
      <c r="AX1" s="19"/>
      <c r="AY1" s="20" t="s">
        <v>44</v>
      </c>
      <c r="AZ1" s="19" t="s">
        <v>45</v>
      </c>
      <c r="BA1" s="19"/>
      <c r="BB1" s="19"/>
      <c r="BC1" s="21"/>
      <c r="BD1" s="19" t="s">
        <v>46</v>
      </c>
      <c r="BE1" s="21"/>
      <c r="BF1" s="19" t="s">
        <v>47</v>
      </c>
      <c r="BG1" s="19" t="s">
        <v>48</v>
      </c>
      <c r="BH1" s="19" t="s">
        <v>49</v>
      </c>
      <c r="BI1" s="19" t="s">
        <v>50</v>
      </c>
      <c r="BJ1" s="19" t="s">
        <v>51</v>
      </c>
      <c r="BK1" s="21"/>
      <c r="BL1" s="22" t="s">
        <v>52</v>
      </c>
      <c r="BM1" s="22"/>
      <c r="BN1" s="22"/>
      <c r="BO1" s="22"/>
      <c r="BP1" s="22"/>
      <c r="BQ1" s="22"/>
      <c r="BR1" s="22"/>
      <c r="BS1" s="22"/>
      <c r="BT1" s="23"/>
      <c r="BU1" s="23" t="s">
        <v>53</v>
      </c>
      <c r="BV1" s="23" t="s">
        <v>54</v>
      </c>
      <c r="BW1" s="23" t="s">
        <v>55</v>
      </c>
      <c r="BX1" s="23"/>
      <c r="BY1" s="23" t="s">
        <v>56</v>
      </c>
      <c r="BZ1" s="23" t="s">
        <v>57</v>
      </c>
      <c r="CA1" s="23" t="s">
        <v>58</v>
      </c>
      <c r="CB1" s="23" t="s">
        <v>59</v>
      </c>
      <c r="CC1" s="23" t="s">
        <v>60</v>
      </c>
      <c r="CD1" s="23" t="s">
        <v>61</v>
      </c>
      <c r="CE1" s="23" t="s">
        <v>62</v>
      </c>
      <c r="CF1" s="23" t="s">
        <v>63</v>
      </c>
      <c r="CG1" s="23"/>
      <c r="CH1" s="23" t="s">
        <v>64</v>
      </c>
      <c r="CI1" s="23" t="s">
        <v>65</v>
      </c>
      <c r="CJ1" s="23" t="s">
        <v>66</v>
      </c>
      <c r="CK1" s="23" t="s">
        <v>67</v>
      </c>
      <c r="CL1" s="24" t="s">
        <v>68</v>
      </c>
      <c r="CM1" s="24" t="s">
        <v>69</v>
      </c>
      <c r="CN1" s="24" t="s">
        <v>70</v>
      </c>
      <c r="CO1" s="24" t="s">
        <v>71</v>
      </c>
      <c r="CP1" s="24" t="s">
        <v>72</v>
      </c>
      <c r="CQ1" s="24" t="s">
        <v>73</v>
      </c>
      <c r="CR1" s="24" t="s">
        <v>74</v>
      </c>
      <c r="CS1" s="24" t="s">
        <v>75</v>
      </c>
      <c r="CT1" s="1" t="s">
        <v>76</v>
      </c>
      <c r="CU1" s="25" t="s">
        <v>0</v>
      </c>
      <c r="CV1" s="5" t="s">
        <v>77</v>
      </c>
      <c r="CW1" s="14" t="s">
        <v>78</v>
      </c>
      <c r="CX1" s="14" t="s">
        <v>79</v>
      </c>
      <c r="CY1" s="14" t="s">
        <v>66</v>
      </c>
      <c r="CZ1" s="14" t="s">
        <v>80</v>
      </c>
      <c r="DA1" s="14" t="s">
        <v>81</v>
      </c>
      <c r="DB1" s="14" t="s">
        <v>82</v>
      </c>
      <c r="DC1" s="14" t="s">
        <v>83</v>
      </c>
      <c r="DD1" s="14" t="s">
        <v>84</v>
      </c>
      <c r="DE1" s="14" t="s">
        <v>85</v>
      </c>
      <c r="DF1" s="14" t="s">
        <v>86</v>
      </c>
      <c r="DG1" s="14" t="s">
        <v>87</v>
      </c>
      <c r="DH1" s="14" t="s">
        <v>88</v>
      </c>
      <c r="DI1" s="14" t="s">
        <v>89</v>
      </c>
      <c r="DJ1" s="14" t="s">
        <v>90</v>
      </c>
      <c r="DK1" s="14" t="s">
        <v>91</v>
      </c>
      <c r="DL1" s="14" t="s">
        <v>92</v>
      </c>
      <c r="DM1" s="14" t="s">
        <v>93</v>
      </c>
      <c r="DN1" s="14" t="s">
        <v>94</v>
      </c>
      <c r="DO1" s="14" t="s">
        <v>95</v>
      </c>
      <c r="DP1" s="14" t="s">
        <v>96</v>
      </c>
      <c r="DQ1" s="14" t="s">
        <v>97</v>
      </c>
      <c r="DR1" s="14" t="s">
        <v>56</v>
      </c>
      <c r="DS1" s="14" t="s">
        <v>98</v>
      </c>
      <c r="DT1" s="14" t="s">
        <v>99</v>
      </c>
      <c r="DU1" s="14" t="s">
        <v>100</v>
      </c>
      <c r="DV1" s="14" t="s">
        <v>101</v>
      </c>
      <c r="DW1" s="14" t="s">
        <v>102</v>
      </c>
      <c r="DX1" s="14" t="s">
        <v>103</v>
      </c>
      <c r="DY1" s="14" t="s">
        <v>104</v>
      </c>
      <c r="DZ1" s="14" t="s">
        <v>105</v>
      </c>
      <c r="EA1" s="14" t="s">
        <v>106</v>
      </c>
      <c r="EB1" s="14" t="s">
        <v>107</v>
      </c>
      <c r="EC1" s="14" t="s">
        <v>108</v>
      </c>
      <c r="ED1" s="14" t="s">
        <v>109</v>
      </c>
      <c r="EE1" s="15" t="s">
        <v>18</v>
      </c>
      <c r="EF1" s="14" t="s">
        <v>19</v>
      </c>
      <c r="EG1" s="14" t="s">
        <v>20</v>
      </c>
      <c r="EH1" s="14" t="s">
        <v>21</v>
      </c>
      <c r="EI1" s="14" t="s">
        <v>110</v>
      </c>
      <c r="EJ1" s="14" t="s">
        <v>23</v>
      </c>
      <c r="EK1" s="14" t="s">
        <v>111</v>
      </c>
      <c r="EL1" s="14" t="s">
        <v>112</v>
      </c>
      <c r="EM1" s="14" t="s">
        <v>26</v>
      </c>
      <c r="EN1" s="16" t="s">
        <v>27</v>
      </c>
      <c r="EO1" s="16" t="s">
        <v>28</v>
      </c>
      <c r="EP1" s="16" t="s">
        <v>29</v>
      </c>
      <c r="EQ1" s="16" t="s">
        <v>113</v>
      </c>
      <c r="ER1" s="16" t="s">
        <v>31</v>
      </c>
      <c r="ES1" s="16" t="s">
        <v>32</v>
      </c>
      <c r="ET1" s="16" t="s">
        <v>114</v>
      </c>
      <c r="EU1" s="16" t="s">
        <v>34</v>
      </c>
      <c r="EV1" s="16" t="s">
        <v>35</v>
      </c>
      <c r="EW1" s="16" t="s">
        <v>115</v>
      </c>
      <c r="EX1" s="16" t="s">
        <v>37</v>
      </c>
      <c r="EY1" s="16" t="s">
        <v>38</v>
      </c>
      <c r="EZ1" s="16" t="s">
        <v>39</v>
      </c>
      <c r="FA1" s="16" t="s">
        <v>116</v>
      </c>
      <c r="FB1" s="16" t="s">
        <v>117</v>
      </c>
      <c r="FC1" s="16" t="s">
        <v>118</v>
      </c>
      <c r="FD1" s="16" t="s">
        <v>54</v>
      </c>
      <c r="FE1" s="16" t="s">
        <v>119</v>
      </c>
      <c r="FF1" s="16" t="s">
        <v>120</v>
      </c>
      <c r="FG1" s="16" t="s">
        <v>121</v>
      </c>
      <c r="FH1" s="16" t="s">
        <v>122</v>
      </c>
      <c r="FI1" s="16" t="s">
        <v>123</v>
      </c>
      <c r="FJ1" s="16" t="s">
        <v>124</v>
      </c>
      <c r="FK1" s="16" t="s">
        <v>125</v>
      </c>
      <c r="FL1" s="16" t="s">
        <v>126</v>
      </c>
      <c r="FM1" s="16" t="s">
        <v>127</v>
      </c>
      <c r="FN1" s="16" t="s">
        <v>128</v>
      </c>
      <c r="FO1" s="16" t="s">
        <v>129</v>
      </c>
      <c r="FP1" s="16" t="s">
        <v>130</v>
      </c>
      <c r="FQ1" s="16" t="s">
        <v>131</v>
      </c>
      <c r="FR1" s="16" t="s">
        <v>132</v>
      </c>
      <c r="FS1" s="16" t="s">
        <v>133</v>
      </c>
      <c r="FT1" s="16" t="s">
        <v>134</v>
      </c>
      <c r="FU1" s="16" t="s">
        <v>44</v>
      </c>
      <c r="FV1" s="16" t="s">
        <v>135</v>
      </c>
      <c r="FW1" s="16" t="s">
        <v>58</v>
      </c>
      <c r="FX1" s="16" t="s">
        <v>136</v>
      </c>
      <c r="FY1" s="16" t="s">
        <v>137</v>
      </c>
      <c r="FZ1" s="16" t="s">
        <v>138</v>
      </c>
      <c r="GA1" s="16" t="s">
        <v>139</v>
      </c>
      <c r="GB1" s="16" t="s">
        <v>140</v>
      </c>
      <c r="GC1" s="16" t="s">
        <v>141</v>
      </c>
      <c r="GD1" s="16" t="s">
        <v>142</v>
      </c>
      <c r="GE1" s="16" t="s">
        <v>143</v>
      </c>
      <c r="GF1" s="16" t="s">
        <v>144</v>
      </c>
      <c r="GG1" s="16" t="s">
        <v>145</v>
      </c>
      <c r="GH1" s="16" t="s">
        <v>61</v>
      </c>
      <c r="GI1" s="16" t="s">
        <v>62</v>
      </c>
      <c r="GJ1" s="14" t="s">
        <v>146</v>
      </c>
      <c r="GK1" s="14" t="s">
        <v>147</v>
      </c>
      <c r="GL1" s="14" t="s">
        <v>148</v>
      </c>
      <c r="GM1" s="17" t="s">
        <v>149</v>
      </c>
      <c r="GN1" s="26" t="s">
        <v>150</v>
      </c>
      <c r="GO1" s="26" t="s">
        <v>151</v>
      </c>
      <c r="GP1" s="18" t="s">
        <v>41</v>
      </c>
      <c r="GQ1" s="18" t="s">
        <v>42</v>
      </c>
      <c r="GR1" s="18" t="s">
        <v>43</v>
      </c>
      <c r="GS1" s="21"/>
      <c r="GT1" s="27" t="s">
        <v>52</v>
      </c>
      <c r="GU1" s="27"/>
      <c r="GV1" s="27"/>
      <c r="GW1" s="27"/>
      <c r="GX1" s="28"/>
      <c r="GY1" s="28"/>
      <c r="GZ1" s="28"/>
      <c r="HA1" s="28"/>
      <c r="HB1" s="28"/>
      <c r="HC1" s="28"/>
      <c r="HD1" s="29" t="s">
        <v>13</v>
      </c>
      <c r="HE1" s="30" t="s">
        <v>152</v>
      </c>
      <c r="HF1" s="31"/>
      <c r="HG1" s="32"/>
      <c r="HK1" s="32" t="s">
        <v>4</v>
      </c>
      <c r="HP1" s="33" t="s">
        <v>153</v>
      </c>
      <c r="HQ1" s="33" t="s">
        <v>154</v>
      </c>
      <c r="HR1" s="33" t="s">
        <v>155</v>
      </c>
      <c r="HS1" s="33" t="s">
        <v>156</v>
      </c>
      <c r="HT1" s="33" t="s">
        <v>157</v>
      </c>
      <c r="HU1" s="33" t="s">
        <v>158</v>
      </c>
      <c r="HV1" s="33" t="s">
        <v>159</v>
      </c>
      <c r="HW1" s="33" t="s">
        <v>160</v>
      </c>
      <c r="HX1" s="34" t="s">
        <v>161</v>
      </c>
      <c r="IA1" s="14" t="s">
        <v>162</v>
      </c>
      <c r="IB1" s="35" t="s">
        <v>163</v>
      </c>
      <c r="IC1" s="36" t="s">
        <v>153</v>
      </c>
      <c r="ID1" s="36" t="s">
        <v>154</v>
      </c>
      <c r="IE1" s="36" t="s">
        <v>156</v>
      </c>
      <c r="IF1" s="37" t="s">
        <v>161</v>
      </c>
      <c r="IG1" s="36" t="s">
        <v>157</v>
      </c>
      <c r="IH1" s="36" t="s">
        <v>158</v>
      </c>
      <c r="II1" s="36" t="s">
        <v>155</v>
      </c>
      <c r="IJ1" s="36" t="s">
        <v>159</v>
      </c>
      <c r="IK1" s="36" t="s">
        <v>160</v>
      </c>
      <c r="IO1" s="33" t="s">
        <v>153</v>
      </c>
      <c r="IP1" s="33" t="s">
        <v>154</v>
      </c>
      <c r="IQ1" s="33" t="s">
        <v>155</v>
      </c>
      <c r="IR1" s="33" t="s">
        <v>156</v>
      </c>
      <c r="IS1" s="33" t="s">
        <v>157</v>
      </c>
      <c r="IT1" s="33" t="s">
        <v>158</v>
      </c>
      <c r="IU1" s="33" t="s">
        <v>159</v>
      </c>
      <c r="IV1" s="33" t="s">
        <v>160</v>
      </c>
      <c r="IW1" s="34" t="s">
        <v>161</v>
      </c>
      <c r="IY1" s="5" t="s">
        <v>164</v>
      </c>
    </row>
    <row r="2" spans="1:259" s="44" customFormat="1" ht="38.4" customHeight="1" thickBot="1" x14ac:dyDescent="0.35">
      <c r="A2" s="77" t="s">
        <v>310</v>
      </c>
      <c r="B2" s="78" t="e" vm="106">
        <v>#VALUE!</v>
      </c>
      <c r="C2" s="39">
        <v>1</v>
      </c>
      <c r="D2" s="70" t="s">
        <v>311</v>
      </c>
      <c r="E2" s="40" t="s">
        <v>312</v>
      </c>
      <c r="F2" s="41" t="s">
        <v>165</v>
      </c>
      <c r="G2" s="42">
        <f>COUNTIF($A$1:$A$8199,A2)</f>
        <v>1</v>
      </c>
      <c r="H2" s="43"/>
      <c r="I2" s="59" t="s">
        <v>313</v>
      </c>
      <c r="J2" s="44" t="str">
        <f>""</f>
        <v/>
      </c>
      <c r="K2" s="45">
        <v>225681</v>
      </c>
      <c r="L2" s="46">
        <v>175000</v>
      </c>
      <c r="M2" s="46" t="s">
        <v>1159</v>
      </c>
      <c r="N2" s="47" t="s">
        <v>177</v>
      </c>
      <c r="O2" s="74" t="s">
        <v>314</v>
      </c>
      <c r="P2" s="48" t="s">
        <v>315</v>
      </c>
      <c r="Q2" s="73">
        <v>1</v>
      </c>
      <c r="R2" s="49" t="s">
        <v>177</v>
      </c>
      <c r="S2" s="50">
        <v>0</v>
      </c>
      <c r="T2" s="51" t="s">
        <v>166</v>
      </c>
      <c r="U2" s="52" t="s">
        <v>166</v>
      </c>
      <c r="V2" s="52" t="s">
        <v>166</v>
      </c>
      <c r="W2" s="52" t="s">
        <v>166</v>
      </c>
      <c r="X2" s="52" t="s">
        <v>166</v>
      </c>
      <c r="Y2" s="52" t="s">
        <v>166</v>
      </c>
      <c r="Z2" s="52" t="s">
        <v>166</v>
      </c>
      <c r="AA2" s="52" t="s">
        <v>166</v>
      </c>
      <c r="AB2" s="52" t="s">
        <v>166</v>
      </c>
      <c r="AC2" s="52" t="s">
        <v>166</v>
      </c>
      <c r="AD2" s="52" t="s">
        <v>166</v>
      </c>
      <c r="AE2" s="52" t="s">
        <v>166</v>
      </c>
      <c r="AF2" s="53" t="s">
        <v>166</v>
      </c>
      <c r="AG2" s="53" t="s">
        <v>166</v>
      </c>
      <c r="AH2" s="53" t="s">
        <v>166</v>
      </c>
      <c r="AI2" s="53" t="s">
        <v>167</v>
      </c>
      <c r="AJ2" s="53" t="s">
        <v>166</v>
      </c>
      <c r="AK2" s="53" t="s">
        <v>166</v>
      </c>
      <c r="AL2" s="53" t="s">
        <v>166</v>
      </c>
      <c r="AM2" s="53" t="s">
        <v>166</v>
      </c>
      <c r="AN2" s="53" t="s">
        <v>166</v>
      </c>
      <c r="AO2" s="53" t="s">
        <v>166</v>
      </c>
      <c r="AP2" s="53" t="s">
        <v>166</v>
      </c>
      <c r="AQ2" s="53" t="s">
        <v>166</v>
      </c>
      <c r="AR2" s="53" t="s">
        <v>166</v>
      </c>
      <c r="AS2" s="53" t="s">
        <v>166</v>
      </c>
      <c r="AT2" s="54">
        <v>5</v>
      </c>
      <c r="AU2" s="53"/>
      <c r="AV2" s="53" t="str">
        <f>IF(LEFT(A2,1)="[",LEFT(A2,5)&amp;AU2&amp;A2,"")</f>
        <v/>
      </c>
      <c r="AW2" s="53" t="str">
        <f>C2&amp;H2&amp;A2</f>
        <v>1Samoa</v>
      </c>
      <c r="AX2" s="55" t="str">
        <f>_xlfn.TEXTJOIN(";",TRUE,AU2:AW2)</f>
        <v>1Samoa</v>
      </c>
      <c r="AY2" s="55" t="s">
        <v>167</v>
      </c>
      <c r="AZ2" s="56" t="s">
        <v>161</v>
      </c>
      <c r="BA2" s="56"/>
      <c r="BB2" s="56"/>
      <c r="BC2" s="57"/>
      <c r="BD2" s="58" t="s">
        <v>156</v>
      </c>
      <c r="BE2" s="59"/>
      <c r="BF2" s="58"/>
      <c r="BG2" s="58"/>
      <c r="BH2" s="58"/>
      <c r="BI2" s="58"/>
      <c r="BJ2" s="58"/>
      <c r="BK2" s="59"/>
      <c r="BL2" s="58" t="s">
        <v>156</v>
      </c>
      <c r="BM2" s="58" t="s">
        <v>154</v>
      </c>
      <c r="BN2" s="58" t="s">
        <v>161</v>
      </c>
      <c r="BO2" s="58"/>
      <c r="BP2" s="58"/>
      <c r="BQ2" s="58"/>
      <c r="BR2" s="58"/>
      <c r="BS2" s="58"/>
      <c r="BT2" s="58"/>
      <c r="BU2" s="60" t="s">
        <v>166</v>
      </c>
      <c r="BV2" s="61" t="s">
        <v>168</v>
      </c>
      <c r="BW2" s="61" t="s">
        <v>170</v>
      </c>
      <c r="BX2" s="59"/>
      <c r="CB2" s="5" t="s">
        <v>316</v>
      </c>
      <c r="CC2" s="5"/>
      <c r="CD2" s="62">
        <v>1</v>
      </c>
      <c r="CE2" s="62">
        <v>0</v>
      </c>
      <c r="CF2" s="62" t="e">
        <v>#REF!</v>
      </c>
      <c r="CG2" s="75" cm="1">
        <f t="array" ref="CG2">SUMPRODUCT(--(LEN(TRIM(BL2:BT2))&gt;0))</f>
        <v>3</v>
      </c>
      <c r="CH2" s="53" t="str">
        <f>IF(CG2=2,"y","n")</f>
        <v>n</v>
      </c>
      <c r="CI2" s="53" t="str">
        <f>IF(CG2=3,"y","n")</f>
        <v>y</v>
      </c>
      <c r="CJ2" s="53" t="str">
        <f>IF(CG2=4,"y","n")</f>
        <v>n</v>
      </c>
      <c r="CK2" s="53" t="str">
        <f>IF(CG2&gt;4,"y","n")</f>
        <v>n</v>
      </c>
      <c r="CL2" s="53" t="str">
        <f>IF(S2=0,"y","n")</f>
        <v>y</v>
      </c>
      <c r="CM2" s="53" t="str">
        <f>IF(S2=2,"y","n")</f>
        <v>n</v>
      </c>
      <c r="CN2" s="53" t="str">
        <f>IF(S2=3,"y","n")</f>
        <v>n</v>
      </c>
      <c r="CO2" s="53" t="str">
        <f>IF(S2&gt;=4,"y","n")</f>
        <v>n</v>
      </c>
      <c r="CP2" s="53" t="str">
        <f>IF(AT2=0,"y","n")</f>
        <v>n</v>
      </c>
      <c r="CQ2" s="53" t="str">
        <f>IF(AT2=1,"y","n")</f>
        <v>n</v>
      </c>
      <c r="CR2" s="53" t="str">
        <f>IF(AT2=2,"y","n")</f>
        <v>n</v>
      </c>
      <c r="CS2" s="53" t="str">
        <f>IF(AT2&gt;=3,"y","n")</f>
        <v>y</v>
      </c>
      <c r="CT2" s="38" t="str">
        <f>CHAR(34)&amp;A2&amp;CHAR(34)</f>
        <v>"Samoa"</v>
      </c>
      <c r="CU2" s="63" t="str">
        <f>CHAR(34)&amp;"rgn_"&amp;R2&amp;CHAR(34)</f>
        <v>"rgn_Oceania"</v>
      </c>
      <c r="CV2" s="44" t="str">
        <f>CHAR(34)&amp;D2&amp;CHAR(34)</f>
        <v>"https://i.ibb.co/tQfV41n/Samoa-Flag.png"</v>
      </c>
      <c r="CW2" s="44" t="str">
        <f t="shared" ref="CW2:CZ3" si="0">IF(CH2="y",CHAR(34)&amp;CH$1&amp;CHAR(34)&amp;",","")</f>
        <v/>
      </c>
      <c r="CX2" s="44" t="str">
        <f t="shared" si="0"/>
        <v>"3Color",</v>
      </c>
      <c r="CY2" s="44" t="str">
        <f t="shared" si="0"/>
        <v/>
      </c>
      <c r="CZ2" s="44" t="str">
        <f t="shared" si="0"/>
        <v/>
      </c>
      <c r="DA2" s="44" t="str">
        <f>IF(Q2&gt;1,CHAR(34)&amp;"words2"&amp;CHAR(34)&amp;",","")</f>
        <v/>
      </c>
      <c r="DB2" s="44" t="str">
        <f>IF(Q2&gt;2,CHAR(34)&amp;"words3"&amp;CHAR(34)&amp;",","")</f>
        <v/>
      </c>
      <c r="DC2" s="44" t="str">
        <f>IF(Q2=2,CHAR(34)&amp;"exact2"&amp;CHAR(34)&amp;",","")</f>
        <v/>
      </c>
      <c r="DD2" s="44"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"lets05",</v>
      </c>
      <c r="DE2" s="44"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"startS",</v>
      </c>
      <c r="DF2" s="44" t="str">
        <f>IFERROR(IF(SEARCH("tan",A2)&gt;0,CHAR(34)&amp;"withtn"&amp;CHAR(34)&amp;",",""),"")</f>
        <v/>
      </c>
      <c r="DG2" s="44" t="str">
        <f>IFERROR(IF(SEARCH("q",A2)&gt;0,CHAR(34)&amp;"with_q"&amp;CHAR(34)&amp;",",""),"")</f>
        <v/>
      </c>
      <c r="DH2" s="44" t="str">
        <f>IFERROR(IF(SEARCH("v",A2)&gt;0,CHAR(34)&amp;"with_v"&amp;CHAR(34)&amp;",",""),"")</f>
        <v/>
      </c>
      <c r="DI2" s="44" t="str">
        <f>IFERROR(IF(SEARCH("w",A2)&gt;0,CHAR(34)&amp;"with_w"&amp;CHAR(34)&amp;",",""),"")</f>
        <v/>
      </c>
      <c r="DJ2" s="44" t="str">
        <f>IFERROR(IF(SEARCH("y",A2)&gt;0,CHAR(34)&amp;"with_y"&amp;CHAR(34)&amp;",",""),"")</f>
        <v/>
      </c>
      <c r="DK2" s="44" t="str">
        <f>IFERROR(IF(SEARCH("z",A2)&gt;0,CHAR(34)&amp;"with_z"&amp;CHAR(34)&amp;",",""),"")</f>
        <v/>
      </c>
      <c r="DL2" s="44" t="str">
        <f>IF(CG2=2, CHAR(34) &amp; _xlfn.TEXTJOIN("", TRUE, _xlfn._xlws.SORT(HP2:HX2)) &amp; CHAR(34) &amp; ",", "")</f>
        <v/>
      </c>
      <c r="DM2" s="44" t="str" cm="1">
        <f t="array" ref="DM2">IF(CG2=3,CHAR(34) &amp; _xlfn.TEXTJOIN("", TRUE, RIGHT(HP2:HX2, 2)) &amp; CHAR(34) &amp; ",", "")</f>
        <v>"LUEDHI",</v>
      </c>
      <c r="DN2" s="44" t="str">
        <f>IF(AND(ISNUMBER(SEARCH("18", O2)), ISERROR(SEARCH("1918", O2)), ISERROR(SEARCH("2018", O2))), CHAR(34) &amp; "year18" &amp; CHAR(34) &amp; ",", "")</f>
        <v/>
      </c>
      <c r="DO2" s="44" t="str">
        <f>IF(AND(ISNUMBER(SEARCH("19", O2)), ISERROR(SEARCH("1819", O2)),  ISERROR(SEARCH("1219", O2)),ISERROR(SEARCH("1119", O2)),ISERROR(SEARCH("1190", O2)),ISERROR(SEARCH("2019", O2))), CHAR(34) &amp; "year19" &amp; CHAR(34) &amp; ",", "")</f>
        <v>"year19",</v>
      </c>
      <c r="DP2" s="5" t="str">
        <f>IF(AND(ISNUMBER(SEARCH("20", O2)), ISERROR(SEARCH("1920", O2))), CHAR(34)&amp;"year00"&amp;CHAR(34)&amp;",", "")</f>
        <v/>
      </c>
      <c r="DQ2" s="5" t="str">
        <f>IF(CC2="y",CHAR(34)&amp;"soviet"&amp;CHAR(34)&amp;",","")</f>
        <v/>
      </c>
      <c r="DR2" s="5" t="str">
        <f>IF(BY2="y",CHAR(34)&amp;"dgband"&amp;CHAR(34)&amp;",","")</f>
        <v/>
      </c>
      <c r="DS2" s="5" t="str">
        <f>IF(W2="y",IF(AND(V2="n",BY2&lt;&gt;"y"),CHAR(34)&amp;"allver"&amp;CHAR(34)&amp;",",""),"")</f>
        <v/>
      </c>
      <c r="DT2" s="5" t="str">
        <f>IF(V2="y",IF(AND(W2="n",BY2&lt;&gt;"y"),CHAR(34)&amp;"allhor"&amp;CHAR(34)&amp;",",""),"")</f>
        <v/>
      </c>
      <c r="DU2" s="5" t="str">
        <f>IF(BY2="y",IF(AND(W2="n",V2="n"),CHAR(34)&amp;"alldia"&amp;CHAR(34)&amp;",",""),"")</f>
        <v/>
      </c>
      <c r="DV2" s="44" t="str">
        <f>IF(IA2&lt;&gt;"",(IF(IA2="y",CHAR(34)&amp;"largec"&amp;CHAR(34)&amp;",",CHAR(34)&amp;"smallc"&amp;CHAR(34)&amp;",")),"")</f>
        <v/>
      </c>
      <c r="DW2" s="44" t="str">
        <f t="shared" ref="DW2:DZ3" si="1">IF(CL2="y",CHAR(34)&amp;CL$1&amp;CHAR(34)&amp;",","")</f>
        <v>"NoBand",</v>
      </c>
      <c r="DX2" s="44" t="str">
        <f t="shared" si="1"/>
        <v/>
      </c>
      <c r="DY2" s="44" t="str">
        <f t="shared" si="1"/>
        <v/>
      </c>
      <c r="DZ2" s="44" t="str">
        <f t="shared" si="1"/>
        <v/>
      </c>
      <c r="EA2" s="44" t="str">
        <f t="shared" ref="EA2:EE3" si="2">IF(T2="y",CHAR(34)&amp;T$1&amp;CHAR(34)&amp;",","")</f>
        <v/>
      </c>
      <c r="EB2" s="44" t="str">
        <f t="shared" si="2"/>
        <v/>
      </c>
      <c r="EC2" s="44" t="str">
        <f t="shared" si="2"/>
        <v/>
      </c>
      <c r="ED2" s="44" t="str">
        <f t="shared" si="2"/>
        <v/>
      </c>
      <c r="EE2" s="44" t="str">
        <f t="shared" si="2"/>
        <v/>
      </c>
      <c r="EF2" s="44" t="str">
        <f>IF(AND(Y2&lt;&gt;"n",Y2&lt;&gt;""),CHAR(34)&amp;Y$1&amp;CHAR(34)&amp;",","")</f>
        <v/>
      </c>
      <c r="EG2" s="44" t="str">
        <f t="shared" ref="EG2:EP3" si="3">IF(Z2="y",CHAR(34)&amp;Z$1&amp;CHAR(34)&amp;",","")</f>
        <v/>
      </c>
      <c r="EH2" s="44" t="str">
        <f t="shared" si="3"/>
        <v/>
      </c>
      <c r="EI2" s="44" t="str">
        <f t="shared" si="3"/>
        <v/>
      </c>
      <c r="EJ2" s="44" t="str">
        <f t="shared" si="3"/>
        <v/>
      </c>
      <c r="EK2" s="44" t="str">
        <f t="shared" si="3"/>
        <v/>
      </c>
      <c r="EL2" s="44" t="str">
        <f t="shared" si="3"/>
        <v/>
      </c>
      <c r="EM2" s="44" t="str">
        <f t="shared" si="3"/>
        <v/>
      </c>
      <c r="EN2" s="44" t="str">
        <f t="shared" si="3"/>
        <v/>
      </c>
      <c r="EO2" s="44" t="str">
        <f t="shared" si="3"/>
        <v/>
      </c>
      <c r="EP2" s="44" t="str">
        <f t="shared" si="3"/>
        <v>"Canton",</v>
      </c>
      <c r="EQ2" s="44" t="str">
        <f t="shared" ref="EQ2:EZ3" si="4">IF(AJ2="y",CHAR(34)&amp;AJ$1&amp;CHAR(34)&amp;",","")</f>
        <v/>
      </c>
      <c r="ER2" s="44" t="str">
        <f t="shared" si="4"/>
        <v/>
      </c>
      <c r="ES2" s="44" t="str">
        <f t="shared" si="4"/>
        <v/>
      </c>
      <c r="ET2" s="44" t="str">
        <f t="shared" si="4"/>
        <v/>
      </c>
      <c r="EU2" s="44" t="str">
        <f t="shared" si="4"/>
        <v/>
      </c>
      <c r="EV2" s="44" t="str">
        <f t="shared" si="4"/>
        <v/>
      </c>
      <c r="EW2" s="44" t="str">
        <f t="shared" si="4"/>
        <v/>
      </c>
      <c r="EX2" s="44" t="str">
        <f t="shared" si="4"/>
        <v/>
      </c>
      <c r="EY2" s="44" t="str">
        <f t="shared" si="4"/>
        <v/>
      </c>
      <c r="EZ2" s="44" t="str">
        <f t="shared" si="4"/>
        <v/>
      </c>
      <c r="FA2" s="44" t="str">
        <f>IF(AT2&gt;0,CHAR(34)&amp;"sta"&amp;AZ2&amp;CHAR(34)&amp;",","")</f>
        <v>"staWHI",</v>
      </c>
      <c r="FB2" s="44" t="str">
        <f>IF(AND(AT2&gt;0,BA2&lt;&gt;""),CHAR(34)&amp;"sta"&amp;BA2&amp;CHAR(34)&amp;",","")</f>
        <v/>
      </c>
      <c r="FC2" s="44" t="str">
        <f>IF(AND(AT2&gt;0,BB2&lt;&gt;""),CHAR(34)&amp;"sta"&amp;BB2&amp;CHAR(34)&amp;",","")</f>
        <v/>
      </c>
      <c r="FD2" s="44" t="str">
        <f>IF(BV2="n",CHAR(34)&amp;"tcWHYE"&amp;CHAR(34)&amp;",",IF(BV2="y",CHAR(34)&amp;FD$1&amp;CHAR(34)&amp;",",""))</f>
        <v/>
      </c>
      <c r="FE2" s="44" t="str">
        <f>IF(COUNTIF(BL2:BT2,"BLU")=0,CHAR(34)&amp;"NO_BLU"&amp;CHAR(34)&amp;",", "")</f>
        <v/>
      </c>
      <c r="FF2" s="44" t="str">
        <f>IF(COUNTIF(BL2:BT2,"WHI")=0,CHAR(34)&amp;"NO_WHI"&amp;CHAR(34)&amp;",", "")</f>
        <v/>
      </c>
      <c r="FG2" s="44" t="str">
        <f>IF(COUNTIF(BL2:BT2,"RED")=0,CHAR(34)&amp;"NO_RED"&amp;CHAR(34)&amp;",", "")</f>
        <v/>
      </c>
      <c r="FH2" s="44" t="str">
        <f>IF(COUNTIF(BL2:BS2,"GRE")=0,CHAR(34)&amp;"NO_GRE"&amp;CHAR(34)&amp;",", "")</f>
        <v>"NO_GRE",</v>
      </c>
      <c r="FI2" s="44" t="str">
        <f>IF(COUNTIF(BL2:BT2,"YEL")=0,CHAR(34)&amp;"NO_YEL"&amp;CHAR(34)&amp;",", "")</f>
        <v>"NO_YEL",</v>
      </c>
      <c r="FJ2" s="44" t="str">
        <f>IF(COUNTIF(BL2:BT2,"BLA")=0,CHAR(34)&amp;"NO_BLA"&amp;CHAR(34)&amp;",", "")</f>
        <v>"NO_BLA",</v>
      </c>
      <c r="FK2" s="44" t="str">
        <f>IF(AND(FH2&lt;&gt;"",FF2&lt;&gt;""),CHAR(34)&amp;"WHGRNO"&amp;CHAR(34)&amp;",","")</f>
        <v/>
      </c>
      <c r="FL2" s="44" t="str">
        <f>IF(AND(FI2&lt;&gt;"",FF2&lt;&gt;""),CHAR(34)&amp;"WHYENO"&amp;CHAR(34)&amp;",","")</f>
        <v/>
      </c>
      <c r="FM2" s="44" t="str">
        <f>IF(AND(FJ2&lt;&gt;"",FF2&lt;&gt;""),CHAR(34)&amp;"BAWHNO"&amp;CHAR(34)&amp;",","")</f>
        <v/>
      </c>
      <c r="FN2" s="44" t="str">
        <f>IF(AND(FE2&lt;&gt;"",FF2&lt;&gt;""),CHAR(34)&amp;"BLWHNO"&amp;CHAR(34)&amp;",","")</f>
        <v/>
      </c>
      <c r="FO2" s="44" t="str">
        <f>IF(AND(FE2&lt;&gt;"",FG2&lt;&gt;""),CHAR(34)&amp;"BLRENO"&amp;CHAR(34)&amp;",","")</f>
        <v/>
      </c>
      <c r="FP2" s="44" t="str">
        <f>IF(AND(FF2&lt;&gt;"",FF2&lt;&gt;""),CHAR(34)&amp;"WHRENO"&amp;CHAR(34)&amp;",","")</f>
        <v/>
      </c>
      <c r="FQ2" s="44" t="str">
        <f>IF(LEN(BF2)=3,CHAR(34)&amp;"001"&amp;BF2&amp;CHAR(34)&amp;",","")</f>
        <v/>
      </c>
      <c r="FR2" s="44" t="str">
        <f>IF(LEN(BG2)=3,CHAR(34)&amp;"002"&amp;BG2&amp;CHAR(34)&amp;",","")</f>
        <v/>
      </c>
      <c r="FS2" s="44" t="str">
        <f>IF(LEN(BH2)=3,CHAR(34)&amp;"003"&amp;BH2&amp;CHAR(34)&amp;",","")</f>
        <v/>
      </c>
      <c r="FT2" s="44" t="str">
        <f>CHAR(34)&amp;"myr"&amp;BD2&amp;CHAR(34)&amp;","</f>
        <v>"myrRED",</v>
      </c>
      <c r="FU2" s="44" t="str">
        <f>IF(AY2="y",CHAR(34)&amp;"island"&amp;CHAR(34)&amp;",","")</f>
        <v>"island",</v>
      </c>
      <c r="FV2" s="44" t="str">
        <f>IF(BZ2="y",CHAR(34)&amp;"landlo"&amp;CHAR(34)&amp;",","")</f>
        <v/>
      </c>
      <c r="FW2" s="44" t="str">
        <f>IF(CA2="y",CHAR(34)&amp;"eunion"&amp;CHAR(34)&amp;",","")</f>
        <v/>
      </c>
      <c r="FX2" s="44" t="str">
        <f>SUBSTITUTE(IFERROR(SEARCH("[",A2),IFERROR(IF(AND(CA2&lt;&gt;"y",SEARCH("Europe",R2)&gt;0),CHAR(34)&amp;"noeuni"&amp;CHAR(34)&amp;",",""),"")),"1","")</f>
        <v/>
      </c>
      <c r="FY2" s="44" t="str">
        <f>IFERROR(IF(SEARCH("Arabic",CB2)&gt;0,CHAR(34)&amp;"arabic"&amp;CHAR(34)&amp;",",""),"")</f>
        <v/>
      </c>
      <c r="FZ2" s="44" t="str">
        <f>IFERROR(IF(SEARCH("English",CB2)&gt;0,CHAR(34)&amp;"englis"&amp;CHAR(34)&amp;",",""),"")</f>
        <v>"englis",</v>
      </c>
      <c r="GA2" s="44" t="str">
        <f>IFERROR(IF(SEARCH("French",CB2)&gt;0,CHAR(34)&amp;"french"&amp;CHAR(34)&amp;",",""),"")</f>
        <v/>
      </c>
      <c r="GB2" s="44" t="str">
        <f>IFERROR(IF(SEARCH("Spanish",CB2)&gt;0,CHAR(34)&amp;"spanis"&amp;CHAR(34)&amp;",",""),"")</f>
        <v/>
      </c>
      <c r="GC2" s="44" t="str">
        <f>IFERROR(IF(SEARCH("Portuguese",CB2)&gt;0,CHAR(34)&amp;"portug"&amp;CHAR(34)&amp;",",""),"")</f>
        <v/>
      </c>
      <c r="GD2" s="44" t="str">
        <f>IFERROR(IF(SEARCH("German",CB2)&gt;0,CHAR(34)&amp;"german"&amp;CHAR(34)&amp;",",""),"")</f>
        <v/>
      </c>
      <c r="GE2" s="44" t="str">
        <f>IFERROR(IF(SEARCH("Dutch",CB2)&gt;0,CHAR(34)&amp;"dutchs"&amp;CHAR(34)&amp;",",""),"")</f>
        <v/>
      </c>
      <c r="GF2" s="44" t="str">
        <f>IFERROR(IF(SEARCH("Histor",AU2)&gt;0,CHAR(34)&amp;"histor"&amp;CHAR(34)&amp;",",""),"")</f>
        <v/>
      </c>
      <c r="GG2" s="44" t="str">
        <f>IF(BU2="y",CHAR(34)&amp;"unjack"&amp;CHAR(34)&amp;",","")</f>
        <v/>
      </c>
      <c r="GH2" s="44" t="str">
        <f>IF(CD2=1,CHAR(34)&amp;"southc"&amp;CHAR(34)&amp;",","")</f>
        <v>"southc",</v>
      </c>
      <c r="GI2" s="44" t="str">
        <f>IF(CE2=1,CHAR(34)&amp;"hasmap"&amp;CHAR(34)&amp;",","")</f>
        <v/>
      </c>
      <c r="GJ2" s="44" t="str">
        <f>IF(CP2="y",CHAR(34)&amp;CP$1&amp;CHAR(34)&amp;",","")</f>
        <v/>
      </c>
      <c r="GK2" s="44" t="str">
        <f>IF(GJ2="",CHAR(34)&amp;"HasSta"&amp;CHAR(34)&amp;",","")</f>
        <v>"HasSta",</v>
      </c>
      <c r="GL2" s="44" t="str">
        <f t="shared" ref="GL2:GN3" si="5">IF(CQ2="y",CHAR(34)&amp;CQ$1&amp;CHAR(34)&amp;",","")</f>
        <v/>
      </c>
      <c r="GM2" s="44" t="str">
        <f t="shared" si="5"/>
        <v/>
      </c>
      <c r="GN2" s="44" t="str">
        <f t="shared" si="5"/>
        <v>"3+Star",</v>
      </c>
      <c r="GP2" s="44" t="str">
        <f>CHAR(34)&amp;AU2&amp;CHAR(34)</f>
        <v>""</v>
      </c>
      <c r="GS2" s="44" t="str">
        <f>SUBSTITUTE("["&amp;_xlfn.CONCAT(CW2:GN2)&amp;"]",",]","]")</f>
        <v>["3Color","lets05","startS","LUEDHI","year19","NoBand","Canton","staWHI","NO_GRE","NO_YEL","NO_BLA","myrRED","island","englis","southc","HasSta","3+Star"]</v>
      </c>
      <c r="GT2" s="44" t="str">
        <f t="shared" ref="GT2:HB3" si="6">IF(BL2&lt;&gt;"",CHAR(34)&amp;"cl_"&amp;BL2&amp;CHAR(34)&amp;",","")</f>
        <v>"cl_RED",</v>
      </c>
      <c r="GU2" s="44" t="str">
        <f t="shared" si="6"/>
        <v>"cl_BLU",</v>
      </c>
      <c r="GV2" s="44" t="str">
        <f t="shared" si="6"/>
        <v>"cl_WHI",</v>
      </c>
      <c r="GW2" s="44" t="str">
        <f t="shared" si="6"/>
        <v/>
      </c>
      <c r="GX2" s="44" t="str">
        <f t="shared" si="6"/>
        <v/>
      </c>
      <c r="GY2" s="44" t="str">
        <f t="shared" si="6"/>
        <v/>
      </c>
      <c r="GZ2" s="44" t="str">
        <f t="shared" si="6"/>
        <v/>
      </c>
      <c r="HA2" s="44" t="str">
        <f t="shared" si="6"/>
        <v/>
      </c>
      <c r="HB2" s="44" t="str">
        <f t="shared" si="6"/>
        <v/>
      </c>
      <c r="HC2" s="44" t="str">
        <f>SUBSTITUTE("["&amp;_xlfn.CONCAT(GT2:HB2)&amp;"]",",]","]")</f>
        <v>["cl_RED","cl_BLU","cl_WHI"]</v>
      </c>
      <c r="HE2" s="64"/>
      <c r="HF2" s="65" t="str">
        <f>"{couname:"&amp;CT2&amp;(IF(HK2&lt;&gt;"",",subtype:"&amp;CHAR(34)&amp;HK2&amp;CHAR(34),""))&amp;",year:"&amp;HJ2&amp;",region:"&amp;CU2&amp;",Colors:"&amp;HC2&amp;",Items:"&amp;GS2&amp;",Flag:"&amp;CV2&amp;",HDFlag:"&amp;CHAR(34)&amp;E2&amp;CHAR(34)&amp;",type:"&amp;GP2&amp;", describe: "&amp;HH2&amp;", isnew:"&amp;CHAR(34)&amp;F2&amp;CHAR(34)&amp;", links: "&amp;HL2&amp;"},"</f>
        <v>{couname:"Samoa",year:"1949, 1962 ",region:"rgn_Oceania",Colors:["cl_RED","cl_BLU","cl_WHI"],Items:["3Color","lets05","startS","LUEDHI","year19","NoBand","Canton","staWHI","NO_GRE","NO_YEL","NO_BLA","myrRED","island","englis","southc","HasSta","3+Star"],Flag:"https://i.ibb.co/tQfV41n/Samoa-Flag.png",HDFlag:"https://upload.wikimedia.org/wikipedia/commons/thumb/3/31/Flag_of_Samoa.svg/2560px-Flag_of_Samoa.svg.png",type:"", describe: "\nThe Samoan flag features a red background with a blue rectangle in the upper left corner. Inside the blue rectangle are five white stars that represent the Southern Cross constellation. The red background represents courage, while the blue rectangle and stars symbolize freedom and Samoa's position in the Southern Hemisphere.", isnew:".", links: "https://en.wikipedia.org/wiki/Flag_of_Samoa"},</v>
      </c>
      <c r="HG2" s="66" t="str">
        <f>"{couname:"&amp;CT2&amp;(IF(HK2&lt;&gt;"",",subtype:"&amp;CHAR(34)&amp;HK2&amp;CHAR(34),""))&amp;",year:"&amp;HJ2&amp;",region:"&amp;CU2&amp;",Colors:"&amp;HC2&amp;",Items:"&amp;GS2&amp;",Flag:"&amp;CV2&amp;",HDFlag:"&amp;CHAR(34)&amp;E2&amp;CHAR(34)&amp;",type:"&amp;GP2&amp;", describe: "&amp;HI2&amp;", links: "&amp;HL2&amp;"},"</f>
        <v>{couname:"Samoa",year:"1949, 1962 ",region:"rgn_Oceania",Colors:["cl_RED","cl_BLU","cl_WHI"],Items:["3Color","lets05","startS","LUEDHI","year19","NoBand","Canton","staWHI","NO_GRE","NO_YEL","NO_BLA","myrRED","island","englis","southc","HasSta","3+Star"],Flag:"https://i.ibb.co/tQfV41n/Samoa-Flag.png",HDFlag:"https://upload.wikimedia.org/wikipedia/commons/thumb/3/31/Flag_of_Samoa.svg/2560px-Flag_of_Samoa.svg.png",type:"", describe: "\nThe Samoan flag features a red background with a blue rectangle in the upper left corner. Inside the blue rectangle are five white stars that represent the Southern Cross constellation. The red background represents courage, while the blue rectangle and stars symbolize freedom and Samoa's position in the Southern Hemisphere.", links: "https://en.wikipedia.org/wiki/Flag_of_Samoa"},</v>
      </c>
      <c r="HH2" s="44" t="str">
        <f>IF(P2&lt;&gt;"",CHAR(34)&amp;"\n"&amp;P2&amp;CHAR(34),CHAR(34)&amp;CHAR(34))</f>
        <v>"\nThe Samoan flag features a red background with a blue rectangle in the upper left corner. Inside the blue rectangle are five white stars that represent the Southern Cross constellation. The red background represents courage, while the blue rectangle and stars symbolize freedom and Samoa's position in the Southern Hemisphere."</v>
      </c>
      <c r="HI2" s="44" t="str">
        <f>IF(J2=0,CHAR(34)&amp;CHAR(34),HH2)</f>
        <v>"\nThe Samoan flag features a red background with a blue rectangle in the upper left corner. Inside the blue rectangle are five white stars that represent the Southern Cross constellation. The red background represents courage, while the blue rectangle and stars symbolize freedom and Samoa's position in the Southern Hemisphere."</v>
      </c>
      <c r="HJ2" s="44" t="str">
        <f>CHAR(34)&amp;O2&amp;CHAR(34)</f>
        <v>"1949, 1962 "</v>
      </c>
      <c r="HL2" s="44" t="str">
        <f>CHAR(34)&amp;I2&amp;CHAR(34)</f>
        <v>"https://en.wikipedia.org/wiki/Flag_of_Samoa"</v>
      </c>
      <c r="HM2" s="65"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{"couname":"Samoa","year":"1949, 1962 ","region":"rgn_Oceania","Colors":["cl_RED","cl_BLU","cl_WHI"],"Items":["3Color","lets05","startS","LUEDHI","year19","NoBand","Canton","staWHI","NO_GRE","NO_YEL","NO_BLA","myrRED","island","englis","southc","HasSta","3+Star"],"Flag":"https://i.ibb.co/tQfV41n/Samoa-Flag.png","HDFlag":"https://upload.wikimedia.org/wikipedia/commons/thumb/3/31/Flag_of_Samoa.svg/2560px-Flag_of_Samoa.svg.png","type":"", "describe": "\nThe Samoan flag features a red background with a blue rectangle in the upper left corner. Inside the blue rectangle are five white stars that represent the Southern Cross constellation. The red background represents courage, while the blue rectangle and stars symbolize freedom and Samoa's position in the Southern Hemisphere.", "isnew": ".", "links": "https://en.wikipedia.org/wiki/Flag_of_Samoa"},</v>
      </c>
      <c r="HN2" s="67"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{"couname":"Samoa","year":"1949, 1962 ","region":"rgn_Oceania","Colors":["cl_RED","cl_BLU","cl_WHI"],"Items":["3Color","lets05","startS","LUEDHI","year19","NoBand","Canton","staWHI","NO_GRE","NO_YEL","NO_BLA","myrRED","island","englis","southc","HasSta","3+Star"],"Flag":"https://i.ibb.co/tQfV41n/Samoa-Flag.png","HDFlag":"https://upload.wikimedia.org/wikipedia/commons/thumb/3/31/Flag_of_Samoa.svg/2560px-Flag_of_Samoa.svg.png","type":"", "describe": "\nThe Samoan flag features a red background with a blue rectangle in the upper left corner. Inside the blue rectangle are five white stars that represent the Southern Cross constellation. The red background represents courage, while the blue rectangle and stars symbolize freedom and Samoa's position in the Southern Hemisphere.", "isnew": ".", "links": "https://en.wikipedia.org/wiki/Flag_of_Samoa"},</v>
      </c>
      <c r="HO2" s="71"/>
      <c r="HP2" s="44" t="str" cm="1">
        <f t="array" ref="HP2">IF(_xlfn.TEXTJOIN(", ", TRUE, IF(ISNUMBER(SEARCH("BLA", BL2:BT2)), COLUMN(BL2:BT2) - COLUMN(BL2) + 1, ""))&lt;&gt;"","BLA","")</f>
        <v/>
      </c>
      <c r="HQ2" s="44" t="str" cm="1">
        <f t="array" ref="HQ2">IF(_xlfn.TEXTJOIN(", ", TRUE, IF(ISNUMBER(SEARCH("BLU", BL2:BT2)), COLUMN(BL2:BT2) - COLUMN(BL2) + 1, ""))&lt;&gt;"","BLU","")</f>
        <v>BLU</v>
      </c>
      <c r="HR2" s="44" t="str" cm="1">
        <f t="array" ref="HR2">IF(_xlfn.TEXTJOIN(", ", TRUE, IF(ISNUMBER(SEARCH("GRE", BL2:BT2)), COLUMN(BL2:BT2) - COLUMN(BL2) + 1, ""))&lt;&gt;"","GRE","")</f>
        <v/>
      </c>
      <c r="HS2" s="44" t="str" cm="1">
        <f t="array" ref="HS2">IF(_xlfn.TEXTJOIN(", ", TRUE, IF(ISNUMBER(SEARCH("RED", BL2:BT2)), COLUMN(BL2:BT2) - COLUMN(BL2) + 1, ""))&lt;&gt;"","RED","")</f>
        <v>RED</v>
      </c>
      <c r="HT2" s="44" t="str" cm="1">
        <f t="array" ref="HT2">IF(_xlfn.TEXTJOIN(", ", TRUE, IF(ISNUMBER(SEARCH("YEL", BL2:BT2)), COLUMN(BL2:BT2) - COLUMN(BL2) + 1, ""))&lt;&gt;"","YEL","")</f>
        <v/>
      </c>
      <c r="HU2" s="44" t="str" cm="1">
        <f t="array" ref="HU2">IF(_xlfn.TEXTJOIN(", ", TRUE, IF(ISNUMBER(SEARCH("ORA", BL2:BT2)), COLUMN(BL2:BT2) - COLUMN(BL2) + 1, ""))&lt;&gt;"","ORA","")</f>
        <v/>
      </c>
      <c r="HV2" s="44" t="str" cm="1">
        <f t="array" ref="HV2">IF(_xlfn.TEXTJOIN(", ", TRUE, IF(ISNUMBER(SEARCH("BRO", BL2:BT2)), COLUMN(BL2:BT2) - COLUMN(BL2) + 1, ""))&lt;&gt;"","BRO","")</f>
        <v/>
      </c>
      <c r="HW2" s="44" t="str" cm="1">
        <f t="array" ref="HW2">IF(_xlfn.TEXTJOIN(", ", TRUE, IF(ISNUMBER(SEARCH("PUR", BL2:BT2)), COLUMN(BL2:BT2) - COLUMN(BL2) + 1, ""))&lt;&gt;"","PUR","")</f>
        <v/>
      </c>
      <c r="HX2" s="44" t="str" cm="1">
        <f t="array" ref="HX2">IF(_xlfn.TEXTJOIN(", ", TRUE, IF(ISNUMBER(SEARCH("WHI", BL2:BT2)), COLUMN(BL2:BT2) - COLUMN(BL2) + 1, ""))&lt;&gt;"","WHI","")</f>
        <v>WHI</v>
      </c>
      <c r="HY2" s="72"/>
      <c r="HZ2" s="72"/>
      <c r="IA2" s="5"/>
      <c r="IB2" s="5"/>
      <c r="IC2" s="68"/>
      <c r="ID2" s="68"/>
      <c r="IE2" s="68"/>
      <c r="IF2" s="68"/>
      <c r="IG2" s="68"/>
      <c r="IH2" s="68"/>
      <c r="II2" s="68"/>
      <c r="IJ2" s="68"/>
      <c r="IK2" s="68"/>
      <c r="IL2" s="44">
        <f>SUM(IC2:IK2)</f>
        <v>0</v>
      </c>
      <c r="IM2" s="42">
        <f>COUNTIF(IC2:IK2,"&gt;0")-CG2</f>
        <v>-3</v>
      </c>
      <c r="IN2" s="69" t="str">
        <f>"http://mkweb.bcgsc.ca/color-summarizer/?url="&amp;D2&amp;"&amp;precision=low&amp;num_clusters="&amp;CG2&amp;"&amp;text=1"</f>
        <v>http://mkweb.bcgsc.ca/color-summarizer/?url=https://i.ibb.co/tQfV41n/Samoa-Flag.png&amp;precision=low&amp;num_clusters=3&amp;text=1</v>
      </c>
      <c r="IO2" s="44" t="str">
        <f>IF(HP2&lt;&gt;"",CHAR(34)&amp;"black"&amp;CHAR(34),"")</f>
        <v/>
      </c>
      <c r="IP2" s="44" t="str">
        <f>IF(HQ2&lt;&gt;"",CHAR(34)&amp;"blue"&amp;CHAR(34),"")</f>
        <v>"blue"</v>
      </c>
      <c r="IQ2" s="44" t="str">
        <f>IF(HR2&lt;&gt;"",CHAR(34)&amp;"green"&amp;CHAR(34),"")</f>
        <v/>
      </c>
      <c r="IR2" s="44" t="str">
        <f>IF(HS2&lt;&gt;"",CHAR(34)&amp;"red"&amp;CHAR(34),"")</f>
        <v>"red"</v>
      </c>
      <c r="IS2" s="44" t="str">
        <f>IF(HT2&lt;&gt;"",CHAR(34)&amp;"yellow"&amp;CHAR(34),"")</f>
        <v/>
      </c>
      <c r="IT2" s="44" t="str">
        <f>IF(HU2&lt;&gt;"",CHAR(34)&amp;"orange"&amp;CHAR(34),"")</f>
        <v/>
      </c>
      <c r="IU2" s="44" t="str">
        <f>IF(HV2&lt;&gt;"",CHAR(34)&amp;"brown"&amp;CHAR(34),"")</f>
        <v/>
      </c>
      <c r="IV2" s="44" t="str">
        <f>IF(HW2&lt;&gt;"",CHAR(34)&amp;"purple"&amp;CHAR(34),"")</f>
        <v/>
      </c>
      <c r="IW2" s="44" t="str">
        <f>IF(HX2&lt;&gt;"",CHAR(34)&amp;"white"&amp;CHAR(34),"")</f>
        <v>"white"</v>
      </c>
      <c r="IX2" s="44" t="str">
        <f>"{"&amp;CHAR(34)&amp;"url"&amp;CHAR(34)&amp;":"&amp;CHAR(34)&amp;IN2&amp;CHAR(34)&amp;","&amp;CHAR(34)&amp;"name"&amp;CHAR(34)&amp;":"&amp;CHAR(34)&amp;A2&amp;CHAR(34)&amp;"},"</f>
        <v>{"url":"http://mkweb.bcgsc.ca/color-summarizer/?url=https://i.ibb.co/tQfV41n/Samoa-Flag.png&amp;precision=low&amp;num_clusters=3&amp;text=1","name":"Samoa"},</v>
      </c>
      <c r="IY2" s="44">
        <v>187</v>
      </c>
    </row>
    <row r="3" spans="1:259" s="44" customFormat="1" ht="38.4" customHeight="1" thickBot="1" x14ac:dyDescent="0.35">
      <c r="A3" s="81" t="s">
        <v>780</v>
      </c>
      <c r="B3" s="78" t="e" vm="107">
        <v>#VALUE!</v>
      </c>
      <c r="C3" s="39">
        <v>3</v>
      </c>
      <c r="D3" s="70" t="s">
        <v>781</v>
      </c>
      <c r="E3" s="40" t="s">
        <v>782</v>
      </c>
      <c r="F3" s="41" t="s">
        <v>165</v>
      </c>
      <c r="G3" s="42">
        <f>COUNTIF($A$1:$A$8199,A3)</f>
        <v>1</v>
      </c>
      <c r="H3" s="43" t="s">
        <v>1134</v>
      </c>
      <c r="I3" s="59" t="s">
        <v>783</v>
      </c>
      <c r="J3" s="44" t="str">
        <f>""</f>
        <v/>
      </c>
      <c r="K3" s="45"/>
      <c r="L3" s="46"/>
      <c r="M3" s="46"/>
      <c r="N3" s="47" t="s">
        <v>177</v>
      </c>
      <c r="O3" s="74" t="s">
        <v>784</v>
      </c>
      <c r="P3" s="48" t="s">
        <v>785</v>
      </c>
      <c r="Q3" s="73">
        <v>4</v>
      </c>
      <c r="R3" s="49" t="s">
        <v>177</v>
      </c>
      <c r="S3" s="50">
        <v>0</v>
      </c>
      <c r="T3" s="51" t="s">
        <v>166</v>
      </c>
      <c r="U3" s="52" t="s">
        <v>167</v>
      </c>
      <c r="V3" s="52" t="s">
        <v>166</v>
      </c>
      <c r="W3" s="52" t="s">
        <v>166</v>
      </c>
      <c r="X3" s="52" t="s">
        <v>167</v>
      </c>
      <c r="Y3" s="52" t="s">
        <v>166</v>
      </c>
      <c r="Z3" s="52" t="s">
        <v>166</v>
      </c>
      <c r="AA3" s="52" t="s">
        <v>167</v>
      </c>
      <c r="AB3" s="52" t="s">
        <v>166</v>
      </c>
      <c r="AC3" s="52" t="s">
        <v>166</v>
      </c>
      <c r="AD3" s="52" t="s">
        <v>166</v>
      </c>
      <c r="AE3" s="52" t="s">
        <v>166</v>
      </c>
      <c r="AF3" s="53" t="s">
        <v>166</v>
      </c>
      <c r="AG3" s="53" t="s">
        <v>166</v>
      </c>
      <c r="AH3" s="53" t="s">
        <v>166</v>
      </c>
      <c r="AI3" s="53" t="s">
        <v>167</v>
      </c>
      <c r="AJ3" s="53" t="s">
        <v>166</v>
      </c>
      <c r="AK3" s="53" t="s">
        <v>166</v>
      </c>
      <c r="AL3" s="53" t="s">
        <v>166</v>
      </c>
      <c r="AM3" s="53" t="s">
        <v>167</v>
      </c>
      <c r="AN3" s="53" t="s">
        <v>166</v>
      </c>
      <c r="AO3" s="53" t="s">
        <v>166</v>
      </c>
      <c r="AP3" s="53" t="s">
        <v>166</v>
      </c>
      <c r="AQ3" s="53" t="s">
        <v>166</v>
      </c>
      <c r="AR3" s="53" t="s">
        <v>166</v>
      </c>
      <c r="AS3" s="53" t="s">
        <v>166</v>
      </c>
      <c r="AT3" s="54">
        <v>0</v>
      </c>
      <c r="AU3" s="53" t="s">
        <v>349</v>
      </c>
      <c r="AV3" s="53" t="str">
        <f>IF(LEFT(A3,1)="[",LEFT(A3,5)&amp;AU3&amp;A3,"")</f>
        <v>[SMO]Historical[SMO] Western Samoa Trust Territory</v>
      </c>
      <c r="AW3" s="53" t="str">
        <f>C3&amp;H3&amp;A3</f>
        <v>3[SMO] Other[SMO] Western Samoa Trust Territory</v>
      </c>
      <c r="AX3" s="55"/>
      <c r="AY3" s="55"/>
      <c r="AZ3" s="56"/>
      <c r="BA3" s="56"/>
      <c r="BB3" s="56"/>
      <c r="BC3" s="57"/>
      <c r="BD3" s="58" t="s">
        <v>154</v>
      </c>
      <c r="BE3" s="59"/>
      <c r="BF3" s="58"/>
      <c r="BG3" s="58"/>
      <c r="BH3" s="58"/>
      <c r="BI3" s="58"/>
      <c r="BJ3" s="58"/>
      <c r="BK3" s="59"/>
      <c r="BL3" s="58" t="s">
        <v>154</v>
      </c>
      <c r="BM3" s="58" t="s">
        <v>156</v>
      </c>
      <c r="BN3" s="58" t="s">
        <v>161</v>
      </c>
      <c r="BO3" s="58" t="s">
        <v>155</v>
      </c>
      <c r="BP3" s="58" t="s">
        <v>157</v>
      </c>
      <c r="BQ3" s="58" t="s">
        <v>159</v>
      </c>
      <c r="BR3" s="58"/>
      <c r="BS3" s="58"/>
      <c r="BT3" s="58"/>
      <c r="BU3" s="60" t="s">
        <v>167</v>
      </c>
      <c r="BV3" s="61"/>
      <c r="BW3" s="61">
        <v>0</v>
      </c>
      <c r="BX3" s="59"/>
      <c r="CB3" s="5"/>
      <c r="CC3" s="5"/>
      <c r="CD3" s="62">
        <v>0</v>
      </c>
      <c r="CE3" s="62">
        <v>0</v>
      </c>
      <c r="CF3" s="62" t="e">
        <v>#REF!</v>
      </c>
      <c r="CG3" s="75" cm="1">
        <f t="array" ref="CG3">SUMPRODUCT(--(LEN(TRIM(BL3:BT3))&gt;0))</f>
        <v>6</v>
      </c>
      <c r="CH3" s="53" t="str">
        <f>IF(CG3=2,"y","n")</f>
        <v>n</v>
      </c>
      <c r="CI3" s="53" t="str">
        <f>IF(CG3=3,"y","n")</f>
        <v>n</v>
      </c>
      <c r="CJ3" s="53" t="str">
        <f>IF(CG3=4,"y","n")</f>
        <v>n</v>
      </c>
      <c r="CK3" s="53" t="str">
        <f>IF(CG3&gt;4,"y","n")</f>
        <v>y</v>
      </c>
      <c r="CL3" s="53" t="str">
        <f>IF(S3=0,"y","n")</f>
        <v>y</v>
      </c>
      <c r="CM3" s="53" t="str">
        <f>IF(S3=2,"y","n")</f>
        <v>n</v>
      </c>
      <c r="CN3" s="53" t="str">
        <f>IF(S3=3,"y","n")</f>
        <v>n</v>
      </c>
      <c r="CO3" s="53" t="str">
        <f>IF(S3&gt;=4,"y","n")</f>
        <v>n</v>
      </c>
      <c r="CP3" s="53" t="str">
        <f>IF(AT3=0,"y","n")</f>
        <v>y</v>
      </c>
      <c r="CQ3" s="53" t="str">
        <f>IF(AT3=1,"y","n")</f>
        <v>n</v>
      </c>
      <c r="CR3" s="53" t="str">
        <f>IF(AT3=2,"y","n")</f>
        <v>n</v>
      </c>
      <c r="CS3" s="53" t="str">
        <f>IF(AT3&gt;=3,"y","n")</f>
        <v>n</v>
      </c>
      <c r="CT3" s="38" t="str">
        <f>CHAR(34)&amp;A3&amp;CHAR(34)</f>
        <v>"[SMO] Western Samoa Trust Territory"</v>
      </c>
      <c r="CU3" s="63" t="str">
        <f>CHAR(34)&amp;"rgn_"&amp;R3&amp;CHAR(34)</f>
        <v>"rgn_Oceania"</v>
      </c>
      <c r="CV3" s="44" t="str">
        <f>CHAR(34)&amp;D3&amp;CHAR(34)</f>
        <v>"https://upload.wikimedia.org/wikipedia/commons/thumb/6/67/Flag_of_the_Samoa_Trust_Territory.svg/640px-Flag_of_the_Samoa_Trust_Territory.svg.png"</v>
      </c>
      <c r="CW3" s="44" t="str">
        <f t="shared" si="0"/>
        <v/>
      </c>
      <c r="CX3" s="44" t="str">
        <f t="shared" si="0"/>
        <v/>
      </c>
      <c r="CY3" s="44" t="str">
        <f t="shared" si="0"/>
        <v/>
      </c>
      <c r="CZ3" s="44" t="str">
        <f t="shared" si="0"/>
        <v>"5+Colo",</v>
      </c>
      <c r="DA3" s="44" t="str">
        <f>IF(Q3&gt;1,CHAR(34)&amp;"words2"&amp;CHAR(34)&amp;",","")</f>
        <v>"words2",</v>
      </c>
      <c r="DB3" s="44" t="str">
        <f>IF(Q3&gt;2,CHAR(34)&amp;"words3"&amp;CHAR(34)&amp;",","")</f>
        <v>"words3",</v>
      </c>
      <c r="DD3" s="44"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"lets26",</v>
      </c>
      <c r="DE3" s="44" t="str">
        <f>CHAR(34)&amp;"start"&amp;IFERROR(LEFT(SUBSTITUTE(A3,"["&amp;MID(A3,FIND("[",A3)+1,FIND("]",A3)-FIND("[",A3)-1)&amp;"] ",""),1),LEFT(A3,1))&amp;CHAR(34)&amp;","</f>
        <v>"startW",</v>
      </c>
      <c r="DF3" s="44" t="str">
        <f>IFERROR(IF(SEARCH("tan",A3)&gt;0,CHAR(34)&amp;"withtn"&amp;CHAR(34)&amp;",",""),"")</f>
        <v/>
      </c>
      <c r="DG3" s="44" t="str">
        <f>IFERROR(IF(SEARCH("q",A3)&gt;0,CHAR(34)&amp;"with_q"&amp;CHAR(34)&amp;",",""),"")</f>
        <v/>
      </c>
      <c r="DH3" s="44" t="str">
        <f>IFERROR(IF(SEARCH("v",A3)&gt;0,CHAR(34)&amp;"with_v"&amp;CHAR(34)&amp;",",""),"")</f>
        <v/>
      </c>
      <c r="DI3" s="44" t="str">
        <f>IFERROR(IF(SEARCH("w",A3)&gt;0,CHAR(34)&amp;"with_w"&amp;CHAR(34)&amp;",",""),"")</f>
        <v>"with_w",</v>
      </c>
      <c r="DJ3" s="44" t="str">
        <f>IFERROR(IF(SEARCH("y",A3)&gt;0,CHAR(34)&amp;"with_y"&amp;CHAR(34)&amp;",",""),"")</f>
        <v>"with_y",</v>
      </c>
      <c r="DK3" s="44" t="str">
        <f>IFERROR(IF(SEARCH("z",A3)&gt;0,CHAR(34)&amp;"with_z"&amp;CHAR(34)&amp;",",""),"")</f>
        <v/>
      </c>
      <c r="DL3" s="44" t="str">
        <f>IF(CG3=2, CHAR(34) &amp; _xlfn.TEXTJOIN("", TRUE, _xlfn._xlws.SORT(HP3:HX3)) &amp; CHAR(34) &amp; ",", "")</f>
        <v/>
      </c>
      <c r="DM3" s="44" t="str" cm="1">
        <f t="array" ref="DM3">IF(CG3=3,CHAR(34) &amp; _xlfn.TEXTJOIN("", TRUE, RIGHT(HP3:HX3, 2)) &amp; CHAR(34) &amp; ",", "")</f>
        <v/>
      </c>
      <c r="DN3" s="44" t="str">
        <f>IF(AND(ISNUMBER(SEARCH("18", O3)), ISERROR(SEARCH("1918", O3)), ISERROR(SEARCH("2018", O3))), CHAR(34) &amp; "year18" &amp; CHAR(34) &amp; ",", "")</f>
        <v/>
      </c>
      <c r="DO3" s="44" t="str">
        <f>IF(AND(ISNUMBER(SEARCH("19", O3)), ISERROR(SEARCH("1819", O3)),  ISERROR(SEARCH("1219", O3)),ISERROR(SEARCH("1119", O3)),ISERROR(SEARCH("1190", O3)),ISERROR(SEARCH("2019", O3))), CHAR(34) &amp; "year19" &amp; CHAR(34) &amp; ",", "")</f>
        <v>"year19",</v>
      </c>
      <c r="DP3" s="5" t="str">
        <f>IF(AND(ISNUMBER(SEARCH("20", O3)), ISERROR(SEARCH("1920", O3))), CHAR(34)&amp;"year00"&amp;CHAR(34)&amp;",", "")</f>
        <v/>
      </c>
      <c r="DQ3" s="5" t="str">
        <f>IF(CC3="y",CHAR(34)&amp;"soviet"&amp;CHAR(34)&amp;",","")</f>
        <v/>
      </c>
      <c r="DR3" s="5" t="str">
        <f>IF(BY3="y",CHAR(34)&amp;"dgband"&amp;CHAR(34)&amp;",","")</f>
        <v/>
      </c>
      <c r="DS3" s="5" t="str">
        <f>IF(W3="y",IF(AND(V3="n",BY3&lt;&gt;"y"),CHAR(34)&amp;"allver"&amp;CHAR(34)&amp;",",""),"")</f>
        <v/>
      </c>
      <c r="DT3" s="5" t="str">
        <f>IF(V3="y",IF(AND(W3="n",BY3&lt;&gt;"y"),CHAR(34)&amp;"allhor"&amp;CHAR(34)&amp;",",""),"")</f>
        <v/>
      </c>
      <c r="DU3" s="5" t="str">
        <f>IF(BY3="y",IF(AND(W3="n",V3="n"),CHAR(34)&amp;"alldia"&amp;CHAR(34)&amp;",",""),"")</f>
        <v/>
      </c>
      <c r="DW3" s="44" t="str">
        <f t="shared" si="1"/>
        <v>"NoBand",</v>
      </c>
      <c r="DX3" s="44" t="str">
        <f t="shared" si="1"/>
        <v/>
      </c>
      <c r="DY3" s="44" t="str">
        <f t="shared" si="1"/>
        <v/>
      </c>
      <c r="DZ3" s="44" t="str">
        <f t="shared" si="1"/>
        <v/>
      </c>
      <c r="EA3" s="44" t="str">
        <f t="shared" si="2"/>
        <v/>
      </c>
      <c r="EB3" s="44" t="str">
        <f t="shared" si="2"/>
        <v>"Crosse",</v>
      </c>
      <c r="EC3" s="44" t="str">
        <f t="shared" si="2"/>
        <v/>
      </c>
      <c r="ED3" s="44" t="str">
        <f t="shared" si="2"/>
        <v/>
      </c>
      <c r="EE3" s="44" t="str">
        <f t="shared" si="2"/>
        <v>"Circle",</v>
      </c>
      <c r="EF3" s="44" t="str">
        <f>IF(AND(Y3&lt;&gt;"n",Y3&lt;&gt;""),CHAR(34)&amp;Y$1&amp;CHAR(34)&amp;",","")</f>
        <v/>
      </c>
      <c r="EG3" s="44" t="str">
        <f t="shared" si="3"/>
        <v/>
      </c>
      <c r="EH3" s="44" t="str">
        <f t="shared" si="3"/>
        <v>"Plants",</v>
      </c>
      <c r="EI3" s="44" t="str">
        <f t="shared" si="3"/>
        <v/>
      </c>
      <c r="EJ3" s="44" t="str">
        <f t="shared" si="3"/>
        <v/>
      </c>
      <c r="EK3" s="44" t="str">
        <f t="shared" si="3"/>
        <v/>
      </c>
      <c r="EL3" s="44" t="str">
        <f t="shared" si="3"/>
        <v/>
      </c>
      <c r="EM3" s="44" t="str">
        <f t="shared" si="3"/>
        <v/>
      </c>
      <c r="EN3" s="44" t="str">
        <f t="shared" si="3"/>
        <v/>
      </c>
      <c r="EO3" s="44" t="str">
        <f t="shared" si="3"/>
        <v/>
      </c>
      <c r="EP3" s="44" t="str">
        <f t="shared" si="3"/>
        <v>"Canton",</v>
      </c>
      <c r="EQ3" s="44" t="str">
        <f t="shared" si="4"/>
        <v/>
      </c>
      <c r="ER3" s="44" t="str">
        <f t="shared" si="4"/>
        <v/>
      </c>
      <c r="ES3" s="44" t="str">
        <f t="shared" si="4"/>
        <v/>
      </c>
      <c r="ET3" s="44" t="str">
        <f t="shared" si="4"/>
        <v>"Geogrh",</v>
      </c>
      <c r="EU3" s="44" t="str">
        <f t="shared" si="4"/>
        <v/>
      </c>
      <c r="EV3" s="44" t="str">
        <f t="shared" si="4"/>
        <v/>
      </c>
      <c r="EW3" s="44" t="str">
        <f t="shared" si="4"/>
        <v/>
      </c>
      <c r="EX3" s="44" t="str">
        <f t="shared" si="4"/>
        <v/>
      </c>
      <c r="EY3" s="44" t="str">
        <f t="shared" si="4"/>
        <v/>
      </c>
      <c r="EZ3" s="44" t="str">
        <f t="shared" si="4"/>
        <v/>
      </c>
      <c r="FA3" s="44" t="str">
        <f>IF(AT3&gt;0,CHAR(34)&amp;"sta"&amp;AZ3&amp;CHAR(34)&amp;",","")</f>
        <v/>
      </c>
      <c r="FB3" s="44" t="str">
        <f>IF(AND(AT3&gt;0,BA3&lt;&gt;""),CHAR(34)&amp;"sta"&amp;BA3&amp;CHAR(34)&amp;",","")</f>
        <v/>
      </c>
      <c r="FD3" s="44" t="str">
        <f>IF(BV3="n",CHAR(34)&amp;"tcWHYE"&amp;CHAR(34)&amp;",",IF(BV3="y",CHAR(34)&amp;FD$1&amp;CHAR(34)&amp;",",""))</f>
        <v/>
      </c>
      <c r="FE3" s="44" t="str">
        <f>IF(COUNTIF(BL3:BT3,"BLU")=0,CHAR(34)&amp;"NO_BLU"&amp;CHAR(34)&amp;",", "")</f>
        <v/>
      </c>
      <c r="FF3" s="44" t="str">
        <f>IF(COUNTIF(BL3:BT3,"WHI")=0,CHAR(34)&amp;"NO_WHI"&amp;CHAR(34)&amp;",", "")</f>
        <v/>
      </c>
      <c r="FG3" s="44" t="str">
        <f>IF(COUNTIF(BL3:BT3,"RED")=0,CHAR(34)&amp;"NO_RED"&amp;CHAR(34)&amp;",", "")</f>
        <v/>
      </c>
      <c r="FH3" s="44" t="str">
        <f>IF(COUNTIF(BL3:BS3,"GRE")=0,CHAR(34)&amp;"NO_GRE"&amp;CHAR(34)&amp;",", "")</f>
        <v/>
      </c>
      <c r="FI3" s="44" t="str">
        <f>IF(COUNTIF(BL3:BT3,"YEL")=0,CHAR(34)&amp;"NO_YEL"&amp;CHAR(34)&amp;",", "")</f>
        <v/>
      </c>
      <c r="FJ3" s="44" t="str">
        <f>IF(COUNTIF(BL3:BT3,"BLA")=0,CHAR(34)&amp;"NO_BLA"&amp;CHAR(34)&amp;",", "")</f>
        <v>"NO_BLA",</v>
      </c>
      <c r="FK3" s="44" t="str">
        <f>IF(AND(FH3&lt;&gt;"",FF3&lt;&gt;""),CHAR(34)&amp;"WHGRNO"&amp;CHAR(34)&amp;",","")</f>
        <v/>
      </c>
      <c r="FL3" s="44" t="str">
        <f>IF(AND(FI3&lt;&gt;"",FF3&lt;&gt;""),CHAR(34)&amp;"WHYENO"&amp;CHAR(34)&amp;",","")</f>
        <v/>
      </c>
      <c r="FM3" s="44" t="str">
        <f>IF(AND(FJ3&lt;&gt;"",FF3&lt;&gt;""),CHAR(34)&amp;"BAWHNO"&amp;CHAR(34)&amp;",","")</f>
        <v/>
      </c>
      <c r="FN3" s="44" t="str">
        <f>IF(AND(FE3&lt;&gt;"",FF3&lt;&gt;""),CHAR(34)&amp;"BLWHNO"&amp;CHAR(34)&amp;",","")</f>
        <v/>
      </c>
      <c r="FO3" s="44" t="str">
        <f>IF(AND(FE3&lt;&gt;"",FG3&lt;&gt;""),CHAR(34)&amp;"BLRENO"&amp;CHAR(34)&amp;",","")</f>
        <v/>
      </c>
      <c r="FP3" s="44" t="str">
        <f>IF(AND(FF3&lt;&gt;"",FF3&lt;&gt;""),CHAR(34)&amp;"WHRENO"&amp;CHAR(34)&amp;",","")</f>
        <v/>
      </c>
      <c r="FQ3" s="44" t="str">
        <f>IF(LEN(BF3)=3,CHAR(34)&amp;"001"&amp;BF3&amp;CHAR(34)&amp;",","")</f>
        <v/>
      </c>
      <c r="FR3" s="44" t="str">
        <f>IF(LEN(BG3)=3,CHAR(34)&amp;"002"&amp;BG3&amp;CHAR(34)&amp;",","")</f>
        <v/>
      </c>
      <c r="FS3" s="44" t="str">
        <f>IF(LEN(BH3)=3,CHAR(34)&amp;"003"&amp;BH3&amp;CHAR(34)&amp;",","")</f>
        <v/>
      </c>
      <c r="FT3" s="44" t="str">
        <f>CHAR(34)&amp;"myr"&amp;BD3&amp;CHAR(34)&amp;","</f>
        <v>"myrBLU",</v>
      </c>
      <c r="FU3" s="44" t="str">
        <f>IF(AY3="y",CHAR(34)&amp;"island"&amp;CHAR(34)&amp;",","")</f>
        <v/>
      </c>
      <c r="FV3" s="44" t="str">
        <f>IF(BZ3="y",CHAR(34)&amp;"landlo"&amp;CHAR(34)&amp;",","")</f>
        <v/>
      </c>
      <c r="FW3" s="44" t="str">
        <f>IF(CA3="y",CHAR(34)&amp;"eunion"&amp;CHAR(34)&amp;",","")</f>
        <v/>
      </c>
      <c r="FY3" s="44" t="str">
        <f>IFERROR(IF(SEARCH("Arabic",CB3)&gt;0,CHAR(34)&amp;"arabic"&amp;CHAR(34)&amp;",",""),"")</f>
        <v/>
      </c>
      <c r="FZ3" s="44" t="str">
        <f>IFERROR(IF(SEARCH("English",CB3)&gt;0,CHAR(34)&amp;"englis"&amp;CHAR(34)&amp;",",""),"")</f>
        <v/>
      </c>
      <c r="GA3" s="44" t="str">
        <f>IFERROR(IF(SEARCH("French",CB3)&gt;0,CHAR(34)&amp;"french"&amp;CHAR(34)&amp;",",""),"")</f>
        <v/>
      </c>
      <c r="GB3" s="44" t="str">
        <f>IFERROR(IF(SEARCH("Spanish",CB3)&gt;0,CHAR(34)&amp;"spanis"&amp;CHAR(34)&amp;",",""),"")</f>
        <v/>
      </c>
      <c r="GE3" s="44" t="str">
        <f>IFERROR(IF(SEARCH("Dutch",CB3)&gt;0,CHAR(34)&amp;"dutchs"&amp;CHAR(34)&amp;",",""),"")</f>
        <v/>
      </c>
      <c r="GF3" s="44" t="str">
        <f>IFERROR(IF(SEARCH("Historical",AU3)&gt;0,CHAR(34)&amp;"histor"&amp;CHAR(34)&amp;",",""),"")</f>
        <v>"histor",</v>
      </c>
      <c r="GG3" s="44" t="str">
        <f>IF(BU3="y",CHAR(34)&amp;"unjack"&amp;CHAR(34)&amp;",","")</f>
        <v>"unjack",</v>
      </c>
      <c r="GH3" s="44" t="str">
        <f>IF(CD3=1,CHAR(34)&amp;"southc"&amp;CHAR(34)&amp;",","")</f>
        <v/>
      </c>
      <c r="GI3" s="44" t="str">
        <f>IF(CE3=1,CHAR(34)&amp;"hasmap"&amp;CHAR(34)&amp;",","")</f>
        <v/>
      </c>
      <c r="GJ3" s="44" t="str">
        <f>IF(CP3="y",CHAR(34)&amp;CP$1&amp;CHAR(34)&amp;",","")</f>
        <v>"NoStar",</v>
      </c>
      <c r="GK3" s="44" t="str">
        <f>IF(GJ3="",CHAR(34)&amp;"HasSta"&amp;CHAR(34)&amp;",","")</f>
        <v/>
      </c>
      <c r="GL3" s="44" t="str">
        <f t="shared" si="5"/>
        <v/>
      </c>
      <c r="GM3" s="44" t="str">
        <f t="shared" si="5"/>
        <v/>
      </c>
      <c r="GN3" s="44" t="str">
        <f t="shared" si="5"/>
        <v/>
      </c>
      <c r="GP3" s="44" t="str">
        <f>CHAR(34)&amp;AU3&amp;CHAR(34)</f>
        <v>"Historical"</v>
      </c>
      <c r="GS3" s="44" t="str">
        <f>SUBSTITUTE("["&amp;_xlfn.CONCAT(CW3:GN3)&amp;"]",",]","]")</f>
        <v>["5+Colo","words2","words3","lets26","startW","with_w","with_y","year19","NoBand","Crosse","Circle","Plants","Canton","Geogrh","NO_BLA","myrBLU","histor","unjack","NoStar"]</v>
      </c>
      <c r="GT3" s="44" t="str">
        <f t="shared" si="6"/>
        <v>"cl_BLU",</v>
      </c>
      <c r="GU3" s="44" t="str">
        <f t="shared" si="6"/>
        <v>"cl_RED",</v>
      </c>
      <c r="GV3" s="44" t="str">
        <f t="shared" si="6"/>
        <v>"cl_WHI",</v>
      </c>
      <c r="GW3" s="44" t="str">
        <f t="shared" si="6"/>
        <v>"cl_GRE",</v>
      </c>
      <c r="GX3" s="44" t="str">
        <f t="shared" si="6"/>
        <v>"cl_YEL",</v>
      </c>
      <c r="GY3" s="44" t="str">
        <f t="shared" si="6"/>
        <v>"cl_BRO",</v>
      </c>
      <c r="GZ3" s="44" t="str">
        <f t="shared" si="6"/>
        <v/>
      </c>
      <c r="HA3" s="44" t="str">
        <f t="shared" si="6"/>
        <v/>
      </c>
      <c r="HB3" s="44" t="str">
        <f t="shared" si="6"/>
        <v/>
      </c>
      <c r="HC3" s="44" t="str">
        <f>SUBSTITUTE("["&amp;_xlfn.CONCAT(GT3:HB3)&amp;"]",",]","]")</f>
        <v>["cl_BLU","cl_RED","cl_WHI","cl_GRE","cl_YEL","cl_BRO"]</v>
      </c>
      <c r="HE3" s="64"/>
      <c r="HF3" s="65" t="str">
        <f>"{couname:"&amp;CT3&amp;(IF(HK3&lt;&gt;"",",subtype:"&amp;CHAR(34)&amp;HK3&amp;CHAR(34),""))&amp;",year:"&amp;HJ3&amp;",region:"&amp;CU3&amp;",Colors:"&amp;HC3&amp;",Items:"&amp;GS3&amp;",Flag:"&amp;CV3&amp;",HDFlag:"&amp;CHAR(34)&amp;E3&amp;CHAR(34)&amp;",type:"&amp;GP3&amp;", describe: "&amp;HH3&amp;", isnew:"&amp;CHAR(34)&amp;F3&amp;CHAR(34)&amp;", links: "&amp;HL3&amp;"},"</f>
        <v>{couname:"[SMO] Western Samoa Trust Territory",year:"1920",region:"rgn_Oceania",Colors:["cl_BLU","cl_RED","cl_WHI","cl_GRE","cl_YEL","cl_BRO"],Items:["5+Colo","words2","words3","lets26","startW","with_w","with_y","year19","NoBand","Crosse","Circle","Plants","Canton","Geogrh","NO_BLA","myrBLU","histor","unjack","NoStar"],Flag:"https://upload.wikimedia.org/wikipedia/commons/thumb/6/67/Flag_of_the_Samoa_Trust_Territory.svg/640px-Flag_of_the_Samoa_Trust_Territory.svg.png",HDFlag:"https://upload.wikimedia.org/wikipedia/commons/thumb/6/67/Flag_of_the_Samoa_Trust_Territory.svg/2560px-Flag_of_the_Samoa_Trust_Territory.svg.png",type:"Historical", describe: "\nA Defaced Blue Ensign with The Badge of Samoa. 1920-1948", isnew:".", links: "https://en.wikipedia.org/wiki/Territory_of_Western_Samoa"},</v>
      </c>
      <c r="HG3" s="66" t="str">
        <f>"{couname:"&amp;CT3&amp;(IF(HK3&lt;&gt;"",",subtype:"&amp;CHAR(34)&amp;HK3&amp;CHAR(34),""))&amp;",year:"&amp;HJ3&amp;",region:"&amp;CU3&amp;",Colors:"&amp;HC3&amp;",Items:"&amp;GS3&amp;",Flag:"&amp;CV3&amp;",HDFlag:"&amp;CHAR(34)&amp;E3&amp;CHAR(34)&amp;",type:"&amp;GP3&amp;", describe: "&amp;HI3&amp;", links: "&amp;HL3&amp;"},"</f>
        <v>{couname:"[SMO] Western Samoa Trust Territory",year:"1920",region:"rgn_Oceania",Colors:["cl_BLU","cl_RED","cl_WHI","cl_GRE","cl_YEL","cl_BRO"],Items:["5+Colo","words2","words3","lets26","startW","with_w","with_y","year19","NoBand","Crosse","Circle","Plants","Canton","Geogrh","NO_BLA","myrBLU","histor","unjack","NoStar"],Flag:"https://upload.wikimedia.org/wikipedia/commons/thumb/6/67/Flag_of_the_Samoa_Trust_Territory.svg/640px-Flag_of_the_Samoa_Trust_Territory.svg.png",HDFlag:"https://upload.wikimedia.org/wikipedia/commons/thumb/6/67/Flag_of_the_Samoa_Trust_Territory.svg/2560px-Flag_of_the_Samoa_Trust_Territory.svg.png",type:"Historical", describe: "\nA Defaced Blue Ensign with The Badge of Samoa. 1920-1948", links: "https://en.wikipedia.org/wiki/Territory_of_Western_Samoa"},</v>
      </c>
      <c r="HH3" s="44" t="str">
        <f>IF(P3&lt;&gt;"",CHAR(34)&amp;"\n"&amp;P3&amp;CHAR(34),CHAR(34)&amp;CHAR(34))</f>
        <v>"\nA Defaced Blue Ensign with The Badge of Samoa. 1920-1948"</v>
      </c>
      <c r="HI3" s="44" t="str">
        <f>IF(J3=0,CHAR(34)&amp;CHAR(34),HH3)</f>
        <v>"\nA Defaced Blue Ensign with The Badge of Samoa. 1920-1948"</v>
      </c>
      <c r="HJ3" s="44" t="str">
        <f>CHAR(34)&amp;O3&amp;CHAR(34)</f>
        <v>"1920"</v>
      </c>
      <c r="HL3" s="44" t="str">
        <f>CHAR(34)&amp;I3&amp;CHAR(34)</f>
        <v>"https://en.wikipedia.org/wiki/Territory_of_Western_Samoa"</v>
      </c>
      <c r="HM3" s="65"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{"couname":"[SMO] Western Samoa Trust Territory","subtype":"[SMO] Other","year":"1920","region":"rgn_Oceania","Colors":["cl_BLU","cl_RED","cl_WHI","cl_GRE","cl_YEL","cl_BRO"],"Items":["5+Colo","words2","words3","lets26","startW","with_w","with_y","year19","NoBand","Crosse","Circle","Plants","Canton","Geogrh","NO_BLA","myrBLU","histor","unjack","NoStar"],"Flag":"https://upload.wikimedia.org/wikipedia/commons/thumb/6/67/Flag_of_the_Samoa_Trust_Territory.svg/640px-Flag_of_the_Samoa_Trust_Territory.svg.png","HDFlag":"https://upload.wikimedia.org/wikipedia/commons/thumb/6/67/Flag_of_the_Samoa_Trust_Territory.svg/2560px-Flag_of_the_Samoa_Trust_Territory.svg.png","type":"Historical", "describe": "\nA Defaced Blue Ensign with The Badge of Samoa. 1920-1948", "isnew": ".", "links": "https://en.wikipedia.org/wiki/Territory_of_Western_Samoa"},</v>
      </c>
      <c r="HN3" s="67"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{"couname":"[SMO] Western Samoa Trust Territory","subtype":"[SMO] Other","year":"1920","region":"rgn_Oceania","Colors":["cl_BLU","cl_RED","cl_WHI","cl_GRE","cl_YEL","cl_BRO"],"Items":["5+Colo","words2","words3","lets26","startW","with_w","with_y","year19","NoBand","Crosse","Circle","Plants","Canton","Geogrh","NO_BLA","myrBLU","histor","unjack","NoStar"],"Flag":"https://upload.wikimedia.org/wikipedia/commons/thumb/6/67/Flag_of_the_Samoa_Trust_Territory.svg/640px-Flag_of_the_Samoa_Trust_Territory.svg.png","HDFlag":"https://upload.wikimedia.org/wikipedia/commons/thumb/6/67/Flag_of_the_Samoa_Trust_Territory.svg/2560px-Flag_of_the_Samoa_Trust_Territory.svg.png","type":"Historical", "describe": "\nA Defaced Blue Ensign with The Badge of Samoa. 1920-1948", "isnew": ".", "links": "https://en.wikipedia.org/wiki/Territory_of_Western_Samoa"},</v>
      </c>
      <c r="HO3" s="71">
        <v>45644</v>
      </c>
      <c r="HP3" s="44" t="str" cm="1">
        <f t="array" ref="HP3">IF(_xlfn.TEXTJOIN(", ", TRUE, IF(ISNUMBER(SEARCH("BLA", BL3:BT3)), COLUMN(BL3:BT3) - COLUMN(BL3) + 1, ""))&lt;&gt;"","BLA","")</f>
        <v/>
      </c>
      <c r="HQ3" s="44" t="str" cm="1">
        <f t="array" ref="HQ3">IF(_xlfn.TEXTJOIN(", ", TRUE, IF(ISNUMBER(SEARCH("BLU", BL3:BT3)), COLUMN(BL3:BT3) - COLUMN(BL3) + 1, ""))&lt;&gt;"","BLU","")</f>
        <v>BLU</v>
      </c>
      <c r="HR3" s="44" t="str" cm="1">
        <f t="array" ref="HR3">IF(_xlfn.TEXTJOIN(", ", TRUE, IF(ISNUMBER(SEARCH("GRE", BL3:BT3)), COLUMN(BL3:BT3) - COLUMN(BL3) + 1, ""))&lt;&gt;"","GRE","")</f>
        <v>GRE</v>
      </c>
      <c r="HS3" s="44" t="str" cm="1">
        <f t="array" ref="HS3">IF(_xlfn.TEXTJOIN(", ", TRUE, IF(ISNUMBER(SEARCH("RED", BL3:BT3)), COLUMN(BL3:BT3) - COLUMN(BL3) + 1, ""))&lt;&gt;"","RED","")</f>
        <v>RED</v>
      </c>
      <c r="HT3" s="44" t="str" cm="1">
        <f t="array" ref="HT3">IF(_xlfn.TEXTJOIN(", ", TRUE, IF(ISNUMBER(SEARCH("YEL", BL3:BT3)), COLUMN(BL3:BT3) - COLUMN(BL3) + 1, ""))&lt;&gt;"","YEL","")</f>
        <v>YEL</v>
      </c>
      <c r="HU3" s="44" t="str" cm="1">
        <f t="array" ref="HU3">IF(_xlfn.TEXTJOIN(", ", TRUE, IF(ISNUMBER(SEARCH("ORA", BL3:BT3)), COLUMN(BL3:BT3) - COLUMN(BL3) + 1, ""))&lt;&gt;"","ORA","")</f>
        <v/>
      </c>
      <c r="HV3" s="44" t="str" cm="1">
        <f t="array" ref="HV3">IF(_xlfn.TEXTJOIN(", ", TRUE, IF(ISNUMBER(SEARCH("BRO", BL3:BT3)), COLUMN(BL3:BT3) - COLUMN(BL3) + 1, ""))&lt;&gt;"","BRO","")</f>
        <v>BRO</v>
      </c>
      <c r="HW3" s="44" t="str" cm="1">
        <f t="array" ref="HW3">IF(_xlfn.TEXTJOIN(", ", TRUE, IF(ISNUMBER(SEARCH("PUR", BL3:BT3)), COLUMN(BL3:BT3) - COLUMN(BL3) + 1, ""))&lt;&gt;"","PUR","")</f>
        <v/>
      </c>
      <c r="HX3" s="44" t="str" cm="1">
        <f t="array" ref="HX3">IF(_xlfn.TEXTJOIN(", ", TRUE, IF(ISNUMBER(SEARCH("WHI", BL3:BT3)), COLUMN(BL3:BT3) - COLUMN(BL3) + 1, ""))&lt;&gt;"","WHI","")</f>
        <v>WHI</v>
      </c>
      <c r="HY3" s="72"/>
      <c r="HZ3" s="72"/>
      <c r="IA3" s="5"/>
      <c r="IB3" s="5"/>
      <c r="IC3" s="68"/>
      <c r="ID3" s="68"/>
      <c r="IE3" s="68"/>
      <c r="IF3" s="68"/>
      <c r="IG3" s="68"/>
      <c r="IH3" s="68"/>
      <c r="II3" s="68"/>
      <c r="IJ3" s="68"/>
      <c r="IK3" s="68"/>
      <c r="IM3" s="42">
        <f>COUNTIF(IC3:IK3,"&gt;0")-CG3</f>
        <v>-6</v>
      </c>
      <c r="IN3" s="69" t="str">
        <f>"http://mkweb.bcgsc.ca/color-summarizer/?url="&amp;D3&amp;"&amp;precision=low&amp;num_clusters="&amp;CG3&amp;"&amp;text=1"</f>
        <v>http://mkweb.bcgsc.ca/color-summarizer/?url=https://upload.wikimedia.org/wikipedia/commons/thumb/6/67/Flag_of_the_Samoa_Trust_Territory.svg/640px-Flag_of_the_Samoa_Trust_Territory.svg.png&amp;precision=low&amp;num_clusters=6&amp;text=1</v>
      </c>
      <c r="IO3" s="44" t="str">
        <f>IF(HP3&lt;&gt;"",CHAR(34)&amp;"black"&amp;CHAR(34),"")</f>
        <v/>
      </c>
      <c r="IP3" s="44" t="str">
        <f>IF(HQ3&lt;&gt;"",CHAR(34)&amp;"blue"&amp;CHAR(34),"")</f>
        <v>"blue"</v>
      </c>
      <c r="IQ3" s="44" t="str">
        <f>IF(HR3&lt;&gt;"",CHAR(34)&amp;"green"&amp;CHAR(34),"")</f>
        <v>"green"</v>
      </c>
      <c r="IR3" s="44" t="str">
        <f>IF(HS3&lt;&gt;"",CHAR(34)&amp;"red"&amp;CHAR(34),"")</f>
        <v>"red"</v>
      </c>
      <c r="IS3" s="44" t="str">
        <f>IF(HT3&lt;&gt;"",CHAR(34)&amp;"yellow"&amp;CHAR(34),"")</f>
        <v>"yellow"</v>
      </c>
      <c r="IT3" s="44" t="str">
        <f>IF(HU3&lt;&gt;"",CHAR(34)&amp;"orange"&amp;CHAR(34),"")</f>
        <v/>
      </c>
      <c r="IU3" s="44" t="str">
        <f>IF(HV3&lt;&gt;"",CHAR(34)&amp;"brown"&amp;CHAR(34),"")</f>
        <v>"brown"</v>
      </c>
      <c r="IV3" s="44" t="str">
        <f>IF(HW3&lt;&gt;"",CHAR(34)&amp;"purple"&amp;CHAR(34),"")</f>
        <v/>
      </c>
      <c r="IW3" s="44" t="str">
        <f>IF(HX3&lt;&gt;"",CHAR(34)&amp;"white"&amp;CHAR(34),"")</f>
        <v>"white"</v>
      </c>
      <c r="IX3" s="44" t="str">
        <f>"{"&amp;CHAR(34)&amp;"url"&amp;CHAR(34)&amp;":"&amp;CHAR(34)&amp;IN3&amp;CHAR(34)&amp;","&amp;CHAR(34)&amp;"name"&amp;CHAR(34)&amp;":"&amp;CHAR(34)&amp;A3&amp;CHAR(34)&amp;"},"</f>
        <v>{"url":"http://mkweb.bcgsc.ca/color-summarizer/?url=https://upload.wikimedia.org/wikipedia/commons/thumb/6/67/Flag_of_the_Samoa_Trust_Territory.svg/640px-Flag_of_the_Samoa_Trust_Territory.svg.png&amp;precision=low&amp;num_clusters=6&amp;text=1","name":"[SMO] Western Samoa Trust Territory"},</v>
      </c>
      <c r="IY3" s="44">
        <v>1503</v>
      </c>
    </row>
    <row r="4" spans="1:259" ht="38.4" customHeight="1" x14ac:dyDescent="0.3">
      <c r="J4" s="44" t="str">
        <f>""</f>
        <v/>
      </c>
    </row>
    <row r="5" spans="1:259" ht="38.4" customHeight="1" x14ac:dyDescent="0.3">
      <c r="J5" s="44" t="str">
        <f>""</f>
        <v/>
      </c>
    </row>
  </sheetData>
  <autoFilter ref="A1:IY3" xr:uid="{A1051193-A95B-4CFB-A73C-F0184620C81F}">
    <sortState xmlns:xlrd2="http://schemas.microsoft.com/office/spreadsheetml/2017/richdata2" ref="A2:IY3">
      <sortCondition ref="AW1:AW3"/>
    </sortState>
  </autoFilter>
  <conditionalFormatting sqref="H1 CW1:GS1 IA1:IB1">
    <cfRule type="cellIs" dxfId="373" priority="66" operator="greaterThan">
      <formula>0</formula>
    </cfRule>
  </conditionalFormatting>
  <conditionalFormatting sqref="H1:H1048576">
    <cfRule type="cellIs" dxfId="372" priority="6" stopIfTrue="1" operator="notEqual">
      <formula>""</formula>
    </cfRule>
  </conditionalFormatting>
  <conditionalFormatting sqref="R2:R3 CU2:CU3">
    <cfRule type="cellIs" dxfId="371" priority="8" operator="greaterThan">
      <formula>0</formula>
    </cfRule>
  </conditionalFormatting>
  <conditionalFormatting sqref="T2:AS3 CH2:CS3">
    <cfRule type="cellIs" dxfId="370" priority="3" stopIfTrue="1" operator="equal">
      <formula>"n"</formula>
    </cfRule>
    <cfRule type="cellIs" dxfId="369" priority="4" stopIfTrue="1" operator="equal">
      <formula>"y"</formula>
    </cfRule>
    <cfRule type="cellIs" dxfId="368" priority="5" operator="greaterThan">
      <formula>0</formula>
    </cfRule>
  </conditionalFormatting>
  <conditionalFormatting sqref="T1:BK1">
    <cfRule type="cellIs" dxfId="367" priority="69" operator="greaterThan">
      <formula>0</formula>
    </cfRule>
  </conditionalFormatting>
  <conditionalFormatting sqref="AZ2:BB3">
    <cfRule type="expression" dxfId="366" priority="2">
      <formula>$AT2=0</formula>
    </cfRule>
  </conditionalFormatting>
  <conditionalFormatting sqref="AZ2:BU3">
    <cfRule type="cellIs" dxfId="365" priority="44" operator="equal">
      <formula>"PIN"</formula>
    </cfRule>
    <cfRule type="cellIs" dxfId="364" priority="45" operator="equal">
      <formula>"ORA"</formula>
    </cfRule>
    <cfRule type="cellIs" dxfId="363" priority="46" operator="equal">
      <formula>"GRA"</formula>
    </cfRule>
    <cfRule type="cellIs" dxfId="362" priority="47" operator="equal">
      <formula>"PUR"</formula>
    </cfRule>
    <cfRule type="cellIs" dxfId="361" priority="48" operator="equal">
      <formula>"BRO"</formula>
    </cfRule>
    <cfRule type="cellIs" dxfId="360" priority="49" operator="equal">
      <formula>"YEL"</formula>
    </cfRule>
    <cfRule type="cellIs" dxfId="359" priority="50" operator="equal">
      <formula>"BLU"</formula>
    </cfRule>
    <cfRule type="cellIs" dxfId="358" priority="51" operator="equal">
      <formula>"WHI"</formula>
    </cfRule>
    <cfRule type="cellIs" dxfId="357" priority="52" operator="equal">
      <formula>"GRE"</formula>
    </cfRule>
    <cfRule type="cellIs" dxfId="356" priority="53" operator="equal">
      <formula>"RED"</formula>
    </cfRule>
    <cfRule type="cellIs" dxfId="355" priority="54" operator="equal">
      <formula>"BLA"</formula>
    </cfRule>
  </conditionalFormatting>
  <conditionalFormatting sqref="BV1:BW1048576">
    <cfRule type="cellIs" dxfId="354" priority="68" operator="equal">
      <formula>"nc"</formula>
    </cfRule>
  </conditionalFormatting>
  <conditionalFormatting sqref="BX2:CA3 CD2:CF3">
    <cfRule type="cellIs" dxfId="353" priority="7" operator="equal">
      <formula>"y"</formula>
    </cfRule>
    <cfRule type="cellIs" dxfId="352" priority="55" operator="equal">
      <formula>"PIN"</formula>
    </cfRule>
    <cfRule type="cellIs" dxfId="351" priority="56" operator="equal">
      <formula>"ORA"</formula>
    </cfRule>
    <cfRule type="cellIs" dxfId="350" priority="57" operator="equal">
      <formula>"GRA"</formula>
    </cfRule>
    <cfRule type="cellIs" dxfId="349" priority="58" operator="equal">
      <formula>"PUR"</formula>
    </cfRule>
    <cfRule type="cellIs" dxfId="348" priority="59" operator="equal">
      <formula>"BRO"</formula>
    </cfRule>
    <cfRule type="cellIs" dxfId="347" priority="60" operator="equal">
      <formula>"YEL"</formula>
    </cfRule>
    <cfRule type="cellIs" dxfId="346" priority="61" operator="equal">
      <formula>"BLU"</formula>
    </cfRule>
    <cfRule type="cellIs" dxfId="345" priority="62" operator="equal">
      <formula>"WHI"</formula>
    </cfRule>
    <cfRule type="cellIs" dxfId="344" priority="63" operator="equal">
      <formula>"GRE"</formula>
    </cfRule>
    <cfRule type="cellIs" dxfId="343" priority="64" operator="equal">
      <formula>"RED"</formula>
    </cfRule>
    <cfRule type="cellIs" dxfId="342" priority="65" operator="equal">
      <formula>"BLA"</formula>
    </cfRule>
  </conditionalFormatting>
  <conditionalFormatting sqref="BZ2:CA3 CD2:CF3">
    <cfRule type="cellIs" dxfId="341" priority="9" operator="greaterThan">
      <formula>0</formula>
    </cfRule>
  </conditionalFormatting>
  <conditionalFormatting sqref="HF1:HG1">
    <cfRule type="cellIs" dxfId="340" priority="70" operator="greaterThan">
      <formula>0</formula>
    </cfRule>
  </conditionalFormatting>
  <conditionalFormatting sqref="HK1">
    <cfRule type="cellIs" dxfId="339" priority="67" operator="greaterThan">
      <formula>0</formula>
    </cfRule>
  </conditionalFormatting>
  <conditionalFormatting sqref="HP1:HX1">
    <cfRule type="cellIs" dxfId="338" priority="21" operator="equal">
      <formula>"PIN"</formula>
    </cfRule>
    <cfRule type="cellIs" dxfId="337" priority="22" operator="equal">
      <formula>"ORA"</formula>
    </cfRule>
    <cfRule type="cellIs" dxfId="336" priority="23" operator="equal">
      <formula>"GRA"</formula>
    </cfRule>
    <cfRule type="cellIs" dxfId="335" priority="24" operator="equal">
      <formula>"PUR"</formula>
    </cfRule>
    <cfRule type="cellIs" dxfId="334" priority="25" operator="equal">
      <formula>"BRO"</formula>
    </cfRule>
    <cfRule type="cellIs" dxfId="333" priority="26" operator="equal">
      <formula>"YEL"</formula>
    </cfRule>
    <cfRule type="cellIs" dxfId="332" priority="27" operator="equal">
      <formula>"BLU"</formula>
    </cfRule>
    <cfRule type="cellIs" dxfId="331" priority="28" operator="equal">
      <formula>"WHI"</formula>
    </cfRule>
    <cfRule type="cellIs" dxfId="330" priority="29" operator="equal">
      <formula>"GRE"</formula>
    </cfRule>
    <cfRule type="cellIs" dxfId="329" priority="30" operator="equal">
      <formula>"RED"</formula>
    </cfRule>
    <cfRule type="cellIs" dxfId="328" priority="31" operator="equal">
      <formula>"BLA"</formula>
    </cfRule>
  </conditionalFormatting>
  <conditionalFormatting sqref="IC1:IK1">
    <cfRule type="cellIs" dxfId="327" priority="33" operator="equal">
      <formula>"PIN"</formula>
    </cfRule>
    <cfRule type="cellIs" dxfId="326" priority="34" operator="equal">
      <formula>"ORA"</formula>
    </cfRule>
    <cfRule type="cellIs" dxfId="325" priority="35" operator="equal">
      <formula>"GRA"</formula>
    </cfRule>
    <cfRule type="cellIs" dxfId="324" priority="36" operator="equal">
      <formula>"PUR"</formula>
    </cfRule>
    <cfRule type="cellIs" dxfId="323" priority="37" operator="equal">
      <formula>"BRO"</formula>
    </cfRule>
    <cfRule type="cellIs" dxfId="322" priority="38" operator="equal">
      <formula>"YEL"</formula>
    </cfRule>
    <cfRule type="cellIs" dxfId="321" priority="39" operator="equal">
      <formula>"BLU"</formula>
    </cfRule>
    <cfRule type="cellIs" dxfId="320" priority="40" operator="equal">
      <formula>"WHI"</formula>
    </cfRule>
    <cfRule type="cellIs" dxfId="319" priority="41" operator="equal">
      <formula>"GRE"</formula>
    </cfRule>
    <cfRule type="cellIs" dxfId="318" priority="42" operator="equal">
      <formula>"RED"</formula>
    </cfRule>
    <cfRule type="cellIs" dxfId="317" priority="43" operator="equal">
      <formula>"BLA"</formula>
    </cfRule>
  </conditionalFormatting>
  <conditionalFormatting sqref="IC2:IK3">
    <cfRule type="expression" dxfId="316" priority="32">
      <formula>$IL2&gt;0</formula>
    </cfRule>
  </conditionalFormatting>
  <conditionalFormatting sqref="IO1:IW1">
    <cfRule type="cellIs" dxfId="315" priority="10" operator="equal">
      <formula>"PIN"</formula>
    </cfRule>
    <cfRule type="cellIs" dxfId="314" priority="11" operator="equal">
      <formula>"ORA"</formula>
    </cfRule>
    <cfRule type="cellIs" dxfId="313" priority="12" operator="equal">
      <formula>"GRA"</formula>
    </cfRule>
    <cfRule type="cellIs" dxfId="312" priority="13" operator="equal">
      <formula>"PUR"</formula>
    </cfRule>
    <cfRule type="cellIs" dxfId="311" priority="14" operator="equal">
      <formula>"BRO"</formula>
    </cfRule>
    <cfRule type="cellIs" dxfId="310" priority="15" operator="equal">
      <formula>"YEL"</formula>
    </cfRule>
    <cfRule type="cellIs" dxfId="309" priority="16" operator="equal">
      <formula>"BLU"</formula>
    </cfRule>
    <cfRule type="cellIs" dxfId="308" priority="17" operator="equal">
      <formula>"WHI"</formula>
    </cfRule>
    <cfRule type="cellIs" dxfId="307" priority="18" operator="equal">
      <formula>"GRE"</formula>
    </cfRule>
    <cfRule type="cellIs" dxfId="306" priority="19" operator="equal">
      <formula>"RED"</formula>
    </cfRule>
    <cfRule type="cellIs" dxfId="305" priority="20" operator="equal">
      <formula>"BLA"</formula>
    </cfRule>
  </conditionalFormatting>
  <conditionalFormatting sqref="S2:S3">
    <cfRule type="colorScale" priority="4259">
      <colorScale>
        <cfvo type="min"/>
        <cfvo type="max"/>
        <color rgb="FFFCFCFF"/>
        <color rgb="FF754BFB"/>
      </colorScale>
    </cfRule>
  </conditionalFormatting>
  <conditionalFormatting sqref="AT2:AT3">
    <cfRule type="colorScale" priority="4260">
      <colorScale>
        <cfvo type="min"/>
        <cfvo type="max"/>
        <color rgb="FFFCFCFF"/>
        <color theme="8" tint="0.39997558519241921"/>
      </colorScale>
    </cfRule>
  </conditionalFormatting>
  <conditionalFormatting sqref="CG2:CG3">
    <cfRule type="colorScale" priority="4261">
      <colorScale>
        <cfvo type="min"/>
        <cfvo type="max"/>
        <color rgb="FFFCFCFF"/>
        <color rgb="FF63BE7B"/>
      </colorScale>
    </cfRule>
  </conditionalFormatting>
  <conditionalFormatting sqref="J2:J5">
    <cfRule type="colorScale" priority="1">
      <colorScale>
        <cfvo type="min"/>
        <cfvo type="percentile" val="50"/>
        <cfvo type="max"/>
        <color rgb="FFF8696B"/>
        <color rgb="FFFFEB84"/>
        <color rgb="FF63BE7B"/>
      </colorScale>
    </cfRule>
  </conditionalFormatting>
  <hyperlinks>
    <hyperlink ref="A2" r:id="rId1" display="https://fbref.com/en/country/SAM/Samoa-Football" xr:uid="{B838E5DD-1B92-4455-9834-37C366B4E950}"/>
    <hyperlink ref="E2" r:id="rId2" xr:uid="{AB2B510B-D460-4D64-8DDF-2DB7C288DB4F}"/>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28673" r:id="rId6" name="Button 1">
              <controlPr defaultSize="0" print="0" autoFill="0" autoPict="0" macro="[0]!InsertImagesFromSelectedRange">
                <anchor moveWithCells="1" sizeWithCells="1">
                  <from>
                    <xdr:col>1</xdr:col>
                    <xdr:colOff>76200</xdr:colOff>
                    <xdr:row>0</xdr:row>
                    <xdr:rowOff>7620</xdr:rowOff>
                  </from>
                  <to>
                    <xdr:col>2</xdr:col>
                    <xdr:colOff>0</xdr:colOff>
                    <xdr:row>0</xdr:row>
                    <xdr:rowOff>487680</xdr:rowOff>
                  </to>
                </anchor>
              </controlPr>
            </control>
          </mc:Choice>
        </mc:AlternateContent>
        <mc:AlternateContent xmlns:mc="http://schemas.openxmlformats.org/markup-compatibility/2006">
          <mc:Choice Requires="x14">
            <control shapeId="28674" r:id="rId7" name="Button 2">
              <controlPr defaultSize="0" print="0" autoFill="0" autoPict="0" macro="[0]!ReplaceLineBreaksWithNewLineManualRange">
                <anchor moveWithCells="1" sizeWithCells="1">
                  <from>
                    <xdr:col>7</xdr:col>
                    <xdr:colOff>15240</xdr:colOff>
                    <xdr:row>0</xdr:row>
                    <xdr:rowOff>45720</xdr:rowOff>
                  </from>
                  <to>
                    <xdr:col>7</xdr:col>
                    <xdr:colOff>685800</xdr:colOff>
                    <xdr:row>0</xdr:row>
                    <xdr:rowOff>403860</xdr:rowOff>
                  </to>
                </anchor>
              </controlPr>
            </control>
          </mc:Choice>
        </mc:AlternateContent>
        <mc:AlternateContent xmlns:mc="http://schemas.openxmlformats.org/markup-compatibility/2006">
          <mc:Choice Requires="x14">
            <control shapeId="28675" r:id="rId8" name="Button 3">
              <controlPr defaultSize="0" print="0" autoFill="0" autoPict="0" macro="[0]!GoToSheet">
                <anchor moveWithCells="1" sizeWithCells="1">
                  <from>
                    <xdr:col>0</xdr:col>
                    <xdr:colOff>137160</xdr:colOff>
                    <xdr:row>0</xdr:row>
                    <xdr:rowOff>114300</xdr:rowOff>
                  </from>
                  <to>
                    <xdr:col>0</xdr:col>
                    <xdr:colOff>762000</xdr:colOff>
                    <xdr:row>0</xdr:row>
                    <xdr:rowOff>419100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9EFCB6-6E41-43A4-9A33-D59B1A839063}">
  <sheetPr codeName="Sheet26"/>
  <dimension ref="A1:IY4"/>
  <sheetViews>
    <sheetView zoomScale="70" zoomScaleNormal="70" workbookViewId="0">
      <pane xSplit="5" ySplit="1" topLeftCell="F2" activePane="bottomRight" state="frozen"/>
      <selection activeCell="A2" sqref="A2"/>
      <selection pane="topRight" activeCell="A2" sqref="A2"/>
      <selection pane="bottomLeft" activeCell="A2" sqref="A2"/>
      <selection pane="bottomRight" activeCell="B3" sqref="B3"/>
    </sheetView>
  </sheetViews>
  <sheetFormatPr defaultRowHeight="38.4" customHeight="1" x14ac:dyDescent="0.3"/>
  <cols>
    <col min="1" max="1" width="52.44140625" style="82" bestFit="1" customWidth="1"/>
    <col min="2" max="2" width="10.109375" style="82" customWidth="1"/>
    <col min="3" max="3" width="7.44140625" style="83" customWidth="1"/>
    <col min="4" max="4" width="4.77734375" style="84" customWidth="1"/>
    <col min="5" max="5" width="4.5546875" style="84" customWidth="1"/>
    <col min="6" max="6" width="5.77734375" style="84" customWidth="1"/>
    <col min="7" max="7" width="7.44140625" style="82" customWidth="1"/>
    <col min="8" max="8" width="11.44140625" style="82" customWidth="1"/>
    <col min="9" max="9" width="10" style="82" customWidth="1"/>
    <col min="10" max="10" width="4.21875" style="82" customWidth="1"/>
    <col min="11" max="11" width="5.6640625" style="84" customWidth="1"/>
    <col min="12" max="12" width="2.88671875" style="84" customWidth="1"/>
    <col min="13" max="13" width="6.44140625" style="84" customWidth="1"/>
    <col min="14" max="14" width="4.5546875" style="84" customWidth="1"/>
    <col min="15" max="15" width="10.5546875" style="85" customWidth="1"/>
    <col min="16" max="16" width="6.88671875" style="84" customWidth="1"/>
    <col min="17" max="17" width="4.77734375" style="84" customWidth="1"/>
    <col min="18" max="18" width="13.109375" style="83" customWidth="1"/>
    <col min="19" max="19" width="6.77734375" style="83" customWidth="1"/>
    <col min="20" max="46" width="8.44140625" style="82" customWidth="1"/>
    <col min="47" max="47" width="24.5546875" style="82" customWidth="1"/>
    <col min="48" max="51" width="16.6640625" style="82" customWidth="1"/>
    <col min="52" max="52" width="6.5546875" style="82" customWidth="1"/>
    <col min="53" max="54" width="5.88671875" style="82" customWidth="1"/>
    <col min="55" max="55" width="1.33203125" style="82" customWidth="1"/>
    <col min="56" max="56" width="7.44140625" style="82" customWidth="1"/>
    <col min="57" max="57" width="2.33203125" style="82" customWidth="1"/>
    <col min="58" max="62" width="6.109375" style="82" customWidth="1"/>
    <col min="63" max="63" width="2.33203125" style="82" customWidth="1"/>
    <col min="64" max="64" width="7" style="82" bestFit="1" customWidth="1"/>
    <col min="65" max="65" width="6.44140625" style="82" bestFit="1" customWidth="1"/>
    <col min="66" max="66" width="7.109375" style="82" bestFit="1" customWidth="1"/>
    <col min="67" max="71" width="6.44140625" style="82" bestFit="1" customWidth="1"/>
    <col min="72" max="73" width="6.44140625" style="82" customWidth="1"/>
    <col min="74" max="75" width="13.44140625" style="82" customWidth="1"/>
    <col min="76" max="84" width="14.6640625" style="82" customWidth="1"/>
    <col min="85" max="85" width="6.44140625" style="82" customWidth="1"/>
    <col min="86" max="87" width="11.6640625" style="82" bestFit="1" customWidth="1"/>
    <col min="88" max="88" width="11.6640625" style="82" customWidth="1"/>
    <col min="89" max="89" width="12.77734375" style="82" bestFit="1" customWidth="1"/>
    <col min="90" max="90" width="16.44140625" style="83" bestFit="1" customWidth="1"/>
    <col min="91" max="92" width="14.88671875" style="83" bestFit="1" customWidth="1"/>
    <col min="93" max="93" width="16" style="83" bestFit="1" customWidth="1"/>
    <col min="94" max="97" width="7.77734375" style="82" customWidth="1"/>
    <col min="98" max="98" width="33.21875" style="82" customWidth="1"/>
    <col min="99" max="99" width="18" style="82" customWidth="1"/>
    <col min="100" max="100" width="75.6640625" style="82" customWidth="1"/>
    <col min="101" max="125" width="33" style="82" customWidth="1"/>
    <col min="126" max="126" width="8.88671875" style="82"/>
    <col min="127" max="128" width="9.44140625" style="82" bestFit="1" customWidth="1"/>
    <col min="129" max="129" width="10.77734375" style="82" bestFit="1" customWidth="1"/>
    <col min="130" max="134" width="10.77734375" style="82" customWidth="1"/>
    <col min="135" max="135" width="10.109375" style="82" bestFit="1" customWidth="1"/>
    <col min="136" max="136" width="7.77734375" style="82" bestFit="1" customWidth="1"/>
    <col min="137" max="137" width="7.77734375" style="82" customWidth="1"/>
    <col min="138" max="138" width="9" style="82" bestFit="1" customWidth="1"/>
    <col min="139" max="139" width="11.33203125" style="82" bestFit="1" customWidth="1"/>
    <col min="140" max="140" width="9.109375" style="82" bestFit="1" customWidth="1"/>
    <col min="141" max="141" width="9" style="82" bestFit="1" customWidth="1"/>
    <col min="142" max="142" width="12" style="82" bestFit="1" customWidth="1"/>
    <col min="143" max="166" width="12" style="82" customWidth="1"/>
    <col min="167" max="167" width="17.21875" style="82" customWidth="1"/>
    <col min="168" max="191" width="12" style="82" customWidth="1"/>
    <col min="192" max="192" width="8.5546875" style="82" bestFit="1" customWidth="1"/>
    <col min="193" max="193" width="8.5546875" style="82" customWidth="1"/>
    <col min="194" max="194" width="7.109375" style="82" bestFit="1" customWidth="1"/>
    <col min="195" max="195" width="7.5546875" style="82" bestFit="1" customWidth="1"/>
    <col min="196" max="196" width="8.5546875" style="82" bestFit="1" customWidth="1"/>
    <col min="197" max="200" width="8.5546875" style="82" customWidth="1"/>
    <col min="201" max="201" width="188.88671875" style="82" customWidth="1"/>
    <col min="202" max="202" width="9.5546875" style="82" bestFit="1" customWidth="1"/>
    <col min="203" max="203" width="10.44140625" style="82" bestFit="1" customWidth="1"/>
    <col min="204" max="204" width="11.109375" style="82" bestFit="1" customWidth="1"/>
    <col min="205" max="205" width="10.44140625" style="82" bestFit="1" customWidth="1"/>
    <col min="206" max="210" width="10.44140625" style="82" customWidth="1"/>
    <col min="211" max="211" width="45.44140625" style="82" customWidth="1"/>
    <col min="212" max="212" width="47.5546875" style="82" bestFit="1" customWidth="1"/>
    <col min="213" max="213" width="9.33203125" style="86" customWidth="1"/>
    <col min="214" max="214" width="119.5546875" style="82" customWidth="1"/>
    <col min="215" max="215" width="69.6640625" style="82" customWidth="1"/>
    <col min="216" max="218" width="8.88671875" style="82"/>
    <col min="219" max="219" width="37.109375" style="82" customWidth="1"/>
    <col min="220" max="220" width="16.33203125" style="82" customWidth="1"/>
    <col min="221" max="222" width="8.88671875" style="82"/>
    <col min="223" max="223" width="10.109375" style="82" bestFit="1" customWidth="1"/>
    <col min="224" max="232" width="10.88671875" style="82" customWidth="1"/>
    <col min="233" max="234" width="30.77734375" style="82" customWidth="1"/>
    <col min="235" max="235" width="5.109375" style="82" customWidth="1"/>
    <col min="236" max="236" width="3" style="82" customWidth="1"/>
    <col min="237" max="245" width="6.77734375" style="76" customWidth="1"/>
    <col min="246" max="247" width="8.88671875" style="82"/>
    <col min="248" max="248" width="61.5546875" style="82" customWidth="1"/>
    <col min="249" max="253" width="8.88671875" style="82"/>
    <col min="254" max="254" width="9" style="82" customWidth="1"/>
    <col min="255" max="16384" width="8.88671875" style="82"/>
  </cols>
  <sheetData>
    <row r="1" spans="1:259" s="5" customFormat="1" ht="38.4" customHeight="1" thickBot="1" x14ac:dyDescent="0.35">
      <c r="A1" s="1" t="s">
        <v>0</v>
      </c>
      <c r="B1" s="79" t="s">
        <v>1</v>
      </c>
      <c r="C1" s="2" t="s">
        <v>2</v>
      </c>
      <c r="D1" s="3"/>
      <c r="E1" s="3" t="s">
        <v>3</v>
      </c>
      <c r="F1" s="4"/>
      <c r="H1" s="6" t="s">
        <v>4</v>
      </c>
      <c r="J1" s="5" t="s">
        <v>5</v>
      </c>
      <c r="K1" s="7" t="s">
        <v>6</v>
      </c>
      <c r="L1" s="8" t="s">
        <v>7</v>
      </c>
      <c r="M1" s="8" t="s">
        <v>8</v>
      </c>
      <c r="N1" s="9" t="s">
        <v>9</v>
      </c>
      <c r="O1" s="10" t="s">
        <v>10</v>
      </c>
      <c r="P1" s="11" t="s">
        <v>11</v>
      </c>
      <c r="Q1" s="11" t="s">
        <v>12</v>
      </c>
      <c r="R1" s="12" t="s">
        <v>0</v>
      </c>
      <c r="S1" s="13" t="s">
        <v>13</v>
      </c>
      <c r="T1" s="14" t="s">
        <v>14</v>
      </c>
      <c r="U1" s="14" t="s">
        <v>15</v>
      </c>
      <c r="V1" s="15" t="s">
        <v>16</v>
      </c>
      <c r="W1" s="14" t="s">
        <v>17</v>
      </c>
      <c r="X1" s="14" t="s">
        <v>18</v>
      </c>
      <c r="Y1" s="14" t="s">
        <v>19</v>
      </c>
      <c r="Z1" s="14" t="s">
        <v>20</v>
      </c>
      <c r="AA1" s="14" t="s">
        <v>21</v>
      </c>
      <c r="AB1" s="14" t="s">
        <v>22</v>
      </c>
      <c r="AC1" s="14" t="s">
        <v>23</v>
      </c>
      <c r="AD1" s="14" t="s">
        <v>24</v>
      </c>
      <c r="AE1" s="14" t="s">
        <v>25</v>
      </c>
      <c r="AF1" s="16" t="s">
        <v>26</v>
      </c>
      <c r="AG1" s="16" t="s">
        <v>27</v>
      </c>
      <c r="AH1" s="16" t="s">
        <v>28</v>
      </c>
      <c r="AI1" s="16" t="s">
        <v>29</v>
      </c>
      <c r="AJ1" s="16" t="s">
        <v>30</v>
      </c>
      <c r="AK1" s="16" t="s">
        <v>31</v>
      </c>
      <c r="AL1" s="16" t="s">
        <v>32</v>
      </c>
      <c r="AM1" s="16" t="s">
        <v>33</v>
      </c>
      <c r="AN1" s="16" t="s">
        <v>34</v>
      </c>
      <c r="AO1" s="16" t="s">
        <v>35</v>
      </c>
      <c r="AP1" s="16" t="s">
        <v>36</v>
      </c>
      <c r="AQ1" s="16" t="s">
        <v>37</v>
      </c>
      <c r="AR1" s="16" t="s">
        <v>38</v>
      </c>
      <c r="AS1" s="16" t="s">
        <v>39</v>
      </c>
      <c r="AT1" s="17" t="s">
        <v>40</v>
      </c>
      <c r="AU1" s="18" t="s">
        <v>41</v>
      </c>
      <c r="AV1" s="18" t="s">
        <v>42</v>
      </c>
      <c r="AW1" s="18" t="s">
        <v>43</v>
      </c>
      <c r="AX1" s="19"/>
      <c r="AY1" s="20" t="s">
        <v>44</v>
      </c>
      <c r="AZ1" s="19" t="s">
        <v>45</v>
      </c>
      <c r="BA1" s="19"/>
      <c r="BB1" s="19"/>
      <c r="BC1" s="21"/>
      <c r="BD1" s="19" t="s">
        <v>46</v>
      </c>
      <c r="BE1" s="21"/>
      <c r="BF1" s="19" t="s">
        <v>47</v>
      </c>
      <c r="BG1" s="19" t="s">
        <v>48</v>
      </c>
      <c r="BH1" s="19" t="s">
        <v>49</v>
      </c>
      <c r="BI1" s="19" t="s">
        <v>50</v>
      </c>
      <c r="BJ1" s="19" t="s">
        <v>51</v>
      </c>
      <c r="BK1" s="21"/>
      <c r="BL1" s="22" t="s">
        <v>52</v>
      </c>
      <c r="BM1" s="22"/>
      <c r="BN1" s="22"/>
      <c r="BO1" s="22"/>
      <c r="BP1" s="22"/>
      <c r="BQ1" s="22"/>
      <c r="BR1" s="22"/>
      <c r="BS1" s="22"/>
      <c r="BT1" s="23"/>
      <c r="BU1" s="23" t="s">
        <v>53</v>
      </c>
      <c r="BV1" s="23" t="s">
        <v>54</v>
      </c>
      <c r="BW1" s="23" t="s">
        <v>55</v>
      </c>
      <c r="BX1" s="23"/>
      <c r="BY1" s="23" t="s">
        <v>56</v>
      </c>
      <c r="BZ1" s="23" t="s">
        <v>57</v>
      </c>
      <c r="CA1" s="23" t="s">
        <v>58</v>
      </c>
      <c r="CB1" s="23" t="s">
        <v>59</v>
      </c>
      <c r="CC1" s="23" t="s">
        <v>60</v>
      </c>
      <c r="CD1" s="23" t="s">
        <v>61</v>
      </c>
      <c r="CE1" s="23" t="s">
        <v>62</v>
      </c>
      <c r="CF1" s="23" t="s">
        <v>63</v>
      </c>
      <c r="CG1" s="23"/>
      <c r="CH1" s="23" t="s">
        <v>64</v>
      </c>
      <c r="CI1" s="23" t="s">
        <v>65</v>
      </c>
      <c r="CJ1" s="23" t="s">
        <v>66</v>
      </c>
      <c r="CK1" s="23" t="s">
        <v>67</v>
      </c>
      <c r="CL1" s="24" t="s">
        <v>68</v>
      </c>
      <c r="CM1" s="24" t="s">
        <v>69</v>
      </c>
      <c r="CN1" s="24" t="s">
        <v>70</v>
      </c>
      <c r="CO1" s="24" t="s">
        <v>71</v>
      </c>
      <c r="CP1" s="24" t="s">
        <v>72</v>
      </c>
      <c r="CQ1" s="24" t="s">
        <v>73</v>
      </c>
      <c r="CR1" s="24" t="s">
        <v>74</v>
      </c>
      <c r="CS1" s="24" t="s">
        <v>75</v>
      </c>
      <c r="CT1" s="1" t="s">
        <v>76</v>
      </c>
      <c r="CU1" s="25" t="s">
        <v>0</v>
      </c>
      <c r="CV1" s="5" t="s">
        <v>77</v>
      </c>
      <c r="CW1" s="14" t="s">
        <v>78</v>
      </c>
      <c r="CX1" s="14" t="s">
        <v>79</v>
      </c>
      <c r="CY1" s="14" t="s">
        <v>66</v>
      </c>
      <c r="CZ1" s="14" t="s">
        <v>80</v>
      </c>
      <c r="DA1" s="14" t="s">
        <v>81</v>
      </c>
      <c r="DB1" s="14" t="s">
        <v>82</v>
      </c>
      <c r="DC1" s="14" t="s">
        <v>83</v>
      </c>
      <c r="DD1" s="14" t="s">
        <v>84</v>
      </c>
      <c r="DE1" s="14" t="s">
        <v>85</v>
      </c>
      <c r="DF1" s="14" t="s">
        <v>86</v>
      </c>
      <c r="DG1" s="14" t="s">
        <v>87</v>
      </c>
      <c r="DH1" s="14" t="s">
        <v>88</v>
      </c>
      <c r="DI1" s="14" t="s">
        <v>89</v>
      </c>
      <c r="DJ1" s="14" t="s">
        <v>90</v>
      </c>
      <c r="DK1" s="14" t="s">
        <v>91</v>
      </c>
      <c r="DL1" s="14" t="s">
        <v>92</v>
      </c>
      <c r="DM1" s="14" t="s">
        <v>93</v>
      </c>
      <c r="DN1" s="14" t="s">
        <v>94</v>
      </c>
      <c r="DO1" s="14" t="s">
        <v>95</v>
      </c>
      <c r="DP1" s="14" t="s">
        <v>96</v>
      </c>
      <c r="DQ1" s="14" t="s">
        <v>97</v>
      </c>
      <c r="DR1" s="14" t="s">
        <v>56</v>
      </c>
      <c r="DS1" s="14" t="s">
        <v>98</v>
      </c>
      <c r="DT1" s="14" t="s">
        <v>99</v>
      </c>
      <c r="DU1" s="14" t="s">
        <v>100</v>
      </c>
      <c r="DV1" s="14" t="s">
        <v>101</v>
      </c>
      <c r="DW1" s="14" t="s">
        <v>102</v>
      </c>
      <c r="DX1" s="14" t="s">
        <v>103</v>
      </c>
      <c r="DY1" s="14" t="s">
        <v>104</v>
      </c>
      <c r="DZ1" s="14" t="s">
        <v>105</v>
      </c>
      <c r="EA1" s="14" t="s">
        <v>106</v>
      </c>
      <c r="EB1" s="14" t="s">
        <v>107</v>
      </c>
      <c r="EC1" s="14" t="s">
        <v>108</v>
      </c>
      <c r="ED1" s="14" t="s">
        <v>109</v>
      </c>
      <c r="EE1" s="15" t="s">
        <v>18</v>
      </c>
      <c r="EF1" s="14" t="s">
        <v>19</v>
      </c>
      <c r="EG1" s="14" t="s">
        <v>20</v>
      </c>
      <c r="EH1" s="14" t="s">
        <v>21</v>
      </c>
      <c r="EI1" s="14" t="s">
        <v>110</v>
      </c>
      <c r="EJ1" s="14" t="s">
        <v>23</v>
      </c>
      <c r="EK1" s="14" t="s">
        <v>111</v>
      </c>
      <c r="EL1" s="14" t="s">
        <v>112</v>
      </c>
      <c r="EM1" s="14" t="s">
        <v>26</v>
      </c>
      <c r="EN1" s="16" t="s">
        <v>27</v>
      </c>
      <c r="EO1" s="16" t="s">
        <v>28</v>
      </c>
      <c r="EP1" s="16" t="s">
        <v>29</v>
      </c>
      <c r="EQ1" s="16" t="s">
        <v>113</v>
      </c>
      <c r="ER1" s="16" t="s">
        <v>31</v>
      </c>
      <c r="ES1" s="16" t="s">
        <v>32</v>
      </c>
      <c r="ET1" s="16" t="s">
        <v>114</v>
      </c>
      <c r="EU1" s="16" t="s">
        <v>34</v>
      </c>
      <c r="EV1" s="16" t="s">
        <v>35</v>
      </c>
      <c r="EW1" s="16" t="s">
        <v>115</v>
      </c>
      <c r="EX1" s="16" t="s">
        <v>37</v>
      </c>
      <c r="EY1" s="16" t="s">
        <v>38</v>
      </c>
      <c r="EZ1" s="16" t="s">
        <v>39</v>
      </c>
      <c r="FA1" s="16" t="s">
        <v>116</v>
      </c>
      <c r="FB1" s="16" t="s">
        <v>117</v>
      </c>
      <c r="FC1" s="16" t="s">
        <v>118</v>
      </c>
      <c r="FD1" s="16" t="s">
        <v>54</v>
      </c>
      <c r="FE1" s="16" t="s">
        <v>119</v>
      </c>
      <c r="FF1" s="16" t="s">
        <v>120</v>
      </c>
      <c r="FG1" s="16" t="s">
        <v>121</v>
      </c>
      <c r="FH1" s="16" t="s">
        <v>122</v>
      </c>
      <c r="FI1" s="16" t="s">
        <v>123</v>
      </c>
      <c r="FJ1" s="16" t="s">
        <v>124</v>
      </c>
      <c r="FK1" s="16" t="s">
        <v>125</v>
      </c>
      <c r="FL1" s="16" t="s">
        <v>126</v>
      </c>
      <c r="FM1" s="16" t="s">
        <v>127</v>
      </c>
      <c r="FN1" s="16" t="s">
        <v>128</v>
      </c>
      <c r="FO1" s="16" t="s">
        <v>129</v>
      </c>
      <c r="FP1" s="16" t="s">
        <v>130</v>
      </c>
      <c r="FQ1" s="16" t="s">
        <v>131</v>
      </c>
      <c r="FR1" s="16" t="s">
        <v>132</v>
      </c>
      <c r="FS1" s="16" t="s">
        <v>133</v>
      </c>
      <c r="FT1" s="16" t="s">
        <v>134</v>
      </c>
      <c r="FU1" s="16" t="s">
        <v>44</v>
      </c>
      <c r="FV1" s="16" t="s">
        <v>135</v>
      </c>
      <c r="FW1" s="16" t="s">
        <v>58</v>
      </c>
      <c r="FX1" s="16" t="s">
        <v>136</v>
      </c>
      <c r="FY1" s="16" t="s">
        <v>137</v>
      </c>
      <c r="FZ1" s="16" t="s">
        <v>138</v>
      </c>
      <c r="GA1" s="16" t="s">
        <v>139</v>
      </c>
      <c r="GB1" s="16" t="s">
        <v>140</v>
      </c>
      <c r="GC1" s="16" t="s">
        <v>141</v>
      </c>
      <c r="GD1" s="16" t="s">
        <v>142</v>
      </c>
      <c r="GE1" s="16" t="s">
        <v>143</v>
      </c>
      <c r="GF1" s="16" t="s">
        <v>144</v>
      </c>
      <c r="GG1" s="16" t="s">
        <v>145</v>
      </c>
      <c r="GH1" s="16" t="s">
        <v>61</v>
      </c>
      <c r="GI1" s="16" t="s">
        <v>62</v>
      </c>
      <c r="GJ1" s="14" t="s">
        <v>146</v>
      </c>
      <c r="GK1" s="14" t="s">
        <v>147</v>
      </c>
      <c r="GL1" s="14" t="s">
        <v>148</v>
      </c>
      <c r="GM1" s="17" t="s">
        <v>149</v>
      </c>
      <c r="GN1" s="26" t="s">
        <v>150</v>
      </c>
      <c r="GO1" s="26" t="s">
        <v>151</v>
      </c>
      <c r="GP1" s="18" t="s">
        <v>41</v>
      </c>
      <c r="GQ1" s="18" t="s">
        <v>42</v>
      </c>
      <c r="GR1" s="18" t="s">
        <v>43</v>
      </c>
      <c r="GS1" s="21"/>
      <c r="GT1" s="27" t="s">
        <v>52</v>
      </c>
      <c r="GU1" s="27"/>
      <c r="GV1" s="27"/>
      <c r="GW1" s="27"/>
      <c r="GX1" s="28"/>
      <c r="GY1" s="28"/>
      <c r="GZ1" s="28"/>
      <c r="HA1" s="28"/>
      <c r="HB1" s="28"/>
      <c r="HC1" s="28"/>
      <c r="HD1" s="29" t="s">
        <v>13</v>
      </c>
      <c r="HE1" s="30" t="s">
        <v>152</v>
      </c>
      <c r="HF1" s="31"/>
      <c r="HG1" s="32"/>
      <c r="HK1" s="32" t="s">
        <v>4</v>
      </c>
      <c r="HP1" s="33" t="s">
        <v>153</v>
      </c>
      <c r="HQ1" s="33" t="s">
        <v>154</v>
      </c>
      <c r="HR1" s="33" t="s">
        <v>155</v>
      </c>
      <c r="HS1" s="33" t="s">
        <v>156</v>
      </c>
      <c r="HT1" s="33" t="s">
        <v>157</v>
      </c>
      <c r="HU1" s="33" t="s">
        <v>158</v>
      </c>
      <c r="HV1" s="33" t="s">
        <v>159</v>
      </c>
      <c r="HW1" s="33" t="s">
        <v>160</v>
      </c>
      <c r="HX1" s="34" t="s">
        <v>161</v>
      </c>
      <c r="IA1" s="14" t="s">
        <v>162</v>
      </c>
      <c r="IB1" s="35" t="s">
        <v>163</v>
      </c>
      <c r="IC1" s="36" t="s">
        <v>153</v>
      </c>
      <c r="ID1" s="36" t="s">
        <v>154</v>
      </c>
      <c r="IE1" s="36" t="s">
        <v>156</v>
      </c>
      <c r="IF1" s="37" t="s">
        <v>161</v>
      </c>
      <c r="IG1" s="36" t="s">
        <v>157</v>
      </c>
      <c r="IH1" s="36" t="s">
        <v>158</v>
      </c>
      <c r="II1" s="36" t="s">
        <v>155</v>
      </c>
      <c r="IJ1" s="36" t="s">
        <v>159</v>
      </c>
      <c r="IK1" s="36" t="s">
        <v>160</v>
      </c>
      <c r="IO1" s="33" t="s">
        <v>153</v>
      </c>
      <c r="IP1" s="33" t="s">
        <v>154</v>
      </c>
      <c r="IQ1" s="33" t="s">
        <v>155</v>
      </c>
      <c r="IR1" s="33" t="s">
        <v>156</v>
      </c>
      <c r="IS1" s="33" t="s">
        <v>157</v>
      </c>
      <c r="IT1" s="33" t="s">
        <v>158</v>
      </c>
      <c r="IU1" s="33" t="s">
        <v>159</v>
      </c>
      <c r="IV1" s="33" t="s">
        <v>160</v>
      </c>
      <c r="IW1" s="34" t="s">
        <v>161</v>
      </c>
      <c r="IY1" s="5" t="s">
        <v>164</v>
      </c>
    </row>
    <row r="2" spans="1:259" s="44" customFormat="1" ht="38.4" customHeight="1" thickBot="1" x14ac:dyDescent="0.35">
      <c r="A2" s="77" t="s">
        <v>323</v>
      </c>
      <c r="B2" s="78" t="e" vm="108">
        <v>#VALUE!</v>
      </c>
      <c r="C2" s="39">
        <v>1</v>
      </c>
      <c r="D2" s="70" t="s">
        <v>324</v>
      </c>
      <c r="E2" s="40" t="s">
        <v>325</v>
      </c>
      <c r="F2" s="41" t="s">
        <v>165</v>
      </c>
      <c r="G2" s="42">
        <f>COUNTIF($A$1:$A$8195,A2)</f>
        <v>1</v>
      </c>
      <c r="H2" s="43"/>
      <c r="I2" s="59" t="s">
        <v>326</v>
      </c>
      <c r="J2" s="44" t="str">
        <f>""</f>
        <v/>
      </c>
      <c r="K2" s="45">
        <v>107773</v>
      </c>
      <c r="L2" s="46">
        <v>36251</v>
      </c>
      <c r="M2" s="46" t="s">
        <v>1160</v>
      </c>
      <c r="N2" s="47" t="s">
        <v>177</v>
      </c>
      <c r="O2" s="74" t="s">
        <v>327</v>
      </c>
      <c r="P2" s="48" t="s">
        <v>328</v>
      </c>
      <c r="Q2" s="73">
        <v>1</v>
      </c>
      <c r="R2" s="49" t="s">
        <v>177</v>
      </c>
      <c r="S2" s="50">
        <v>0</v>
      </c>
      <c r="T2" s="51" t="s">
        <v>166</v>
      </c>
      <c r="U2" s="52" t="s">
        <v>167</v>
      </c>
      <c r="V2" s="52" t="s">
        <v>166</v>
      </c>
      <c r="W2" s="52" t="s">
        <v>166</v>
      </c>
      <c r="X2" s="52" t="s">
        <v>166</v>
      </c>
      <c r="Y2" s="52" t="s">
        <v>166</v>
      </c>
      <c r="Z2" s="52" t="s">
        <v>166</v>
      </c>
      <c r="AA2" s="52" t="s">
        <v>166</v>
      </c>
      <c r="AB2" s="52" t="s">
        <v>166</v>
      </c>
      <c r="AC2" s="52" t="s">
        <v>166</v>
      </c>
      <c r="AD2" s="52" t="s">
        <v>166</v>
      </c>
      <c r="AE2" s="52" t="s">
        <v>166</v>
      </c>
      <c r="AF2" s="53" t="s">
        <v>166</v>
      </c>
      <c r="AG2" s="53" t="s">
        <v>166</v>
      </c>
      <c r="AH2" s="53" t="s">
        <v>166</v>
      </c>
      <c r="AI2" s="53" t="s">
        <v>167</v>
      </c>
      <c r="AJ2" s="53" t="s">
        <v>166</v>
      </c>
      <c r="AK2" s="53" t="s">
        <v>166</v>
      </c>
      <c r="AL2" s="53" t="s">
        <v>166</v>
      </c>
      <c r="AM2" s="53" t="s">
        <v>166</v>
      </c>
      <c r="AN2" s="53" t="s">
        <v>166</v>
      </c>
      <c r="AO2" s="53" t="s">
        <v>166</v>
      </c>
      <c r="AP2" s="53" t="s">
        <v>166</v>
      </c>
      <c r="AQ2" s="53" t="s">
        <v>166</v>
      </c>
      <c r="AR2" s="53" t="s">
        <v>166</v>
      </c>
      <c r="AS2" s="53" t="s">
        <v>166</v>
      </c>
      <c r="AT2" s="54">
        <v>0</v>
      </c>
      <c r="AU2" s="53"/>
      <c r="AV2" s="53" t="str">
        <f>IF(LEFT(A2,1)="[",LEFT(A2,5)&amp;AU2&amp;A2,"")</f>
        <v/>
      </c>
      <c r="AW2" s="53" t="str">
        <f>C2&amp;H2&amp;A2</f>
        <v>1Tonga</v>
      </c>
      <c r="AX2" s="55" t="str">
        <f>_xlfn.TEXTJOIN(";",TRUE,AU2:AW2)</f>
        <v>1Tonga</v>
      </c>
      <c r="AY2" s="55" t="s">
        <v>167</v>
      </c>
      <c r="AZ2" s="56"/>
      <c r="BA2" s="56"/>
      <c r="BB2" s="56"/>
      <c r="BC2" s="57"/>
      <c r="BD2" s="58" t="s">
        <v>156</v>
      </c>
      <c r="BE2" s="59"/>
      <c r="BF2" s="58"/>
      <c r="BG2" s="58"/>
      <c r="BH2" s="58"/>
      <c r="BI2" s="58"/>
      <c r="BJ2" s="58"/>
      <c r="BK2" s="59"/>
      <c r="BL2" s="58" t="s">
        <v>156</v>
      </c>
      <c r="BM2" s="58" t="s">
        <v>161</v>
      </c>
      <c r="BN2" s="58"/>
      <c r="BO2" s="58"/>
      <c r="BP2" s="58"/>
      <c r="BQ2" s="58"/>
      <c r="BR2" s="58"/>
      <c r="BS2" s="58"/>
      <c r="BT2" s="58"/>
      <c r="BU2" s="60" t="s">
        <v>166</v>
      </c>
      <c r="BV2" s="61" t="s">
        <v>168</v>
      </c>
      <c r="BW2" s="61" t="s">
        <v>170</v>
      </c>
      <c r="BX2" s="59"/>
      <c r="CB2" s="5" t="s">
        <v>329</v>
      </c>
      <c r="CC2" s="5"/>
      <c r="CD2" s="62">
        <v>0</v>
      </c>
      <c r="CE2" s="62">
        <v>0</v>
      </c>
      <c r="CF2" s="62" t="e">
        <v>#REF!</v>
      </c>
      <c r="CG2" s="75" cm="1">
        <f t="array" ref="CG2">SUMPRODUCT(--(LEN(TRIM(BL2:BT2))&gt;0))</f>
        <v>2</v>
      </c>
      <c r="CH2" s="53" t="str">
        <f>IF(CG2=2,"y","n")</f>
        <v>y</v>
      </c>
      <c r="CI2" s="53" t="str">
        <f>IF(CG2=3,"y","n")</f>
        <v>n</v>
      </c>
      <c r="CJ2" s="53" t="str">
        <f>IF(CG2=4,"y","n")</f>
        <v>n</v>
      </c>
      <c r="CK2" s="53" t="str">
        <f>IF(CG2&gt;4,"y","n")</f>
        <v>n</v>
      </c>
      <c r="CL2" s="53" t="str">
        <f>IF(S2=0,"y","n")</f>
        <v>y</v>
      </c>
      <c r="CM2" s="53" t="str">
        <f>IF(S2=2,"y","n")</f>
        <v>n</v>
      </c>
      <c r="CN2" s="53" t="str">
        <f>IF(S2=3,"y","n")</f>
        <v>n</v>
      </c>
      <c r="CO2" s="53" t="str">
        <f>IF(S2&gt;=4,"y","n")</f>
        <v>n</v>
      </c>
      <c r="CP2" s="53" t="str">
        <f>IF(AT2=0,"y","n")</f>
        <v>y</v>
      </c>
      <c r="CQ2" s="53" t="str">
        <f>IF(AT2=1,"y","n")</f>
        <v>n</v>
      </c>
      <c r="CR2" s="53" t="str">
        <f>IF(AT2=2,"y","n")</f>
        <v>n</v>
      </c>
      <c r="CS2" s="53" t="str">
        <f>IF(AT2&gt;=3,"y","n")</f>
        <v>n</v>
      </c>
      <c r="CT2" s="38" t="str">
        <f>CHAR(34)&amp;A2&amp;CHAR(34)</f>
        <v>"Tonga"</v>
      </c>
      <c r="CU2" s="63" t="str">
        <f>CHAR(34)&amp;"rgn_"&amp;R2&amp;CHAR(34)</f>
        <v>"rgn_Oceania"</v>
      </c>
      <c r="CV2" s="44" t="str">
        <f>CHAR(34)&amp;D2&amp;CHAR(34)</f>
        <v>"https://i.ibb.co/QMQsXwX/Tonga-Flag.png"</v>
      </c>
      <c r="CW2" s="44" t="str">
        <f t="shared" ref="CW2:CZ3" si="0">IF(CH2="y",CHAR(34)&amp;CH$1&amp;CHAR(34)&amp;",","")</f>
        <v>"2Color",</v>
      </c>
      <c r="CX2" s="44" t="str">
        <f t="shared" si="0"/>
        <v/>
      </c>
      <c r="CY2" s="44" t="str">
        <f t="shared" si="0"/>
        <v/>
      </c>
      <c r="CZ2" s="44" t="str">
        <f t="shared" si="0"/>
        <v/>
      </c>
      <c r="DA2" s="44" t="str">
        <f>IF(Q2&gt;1,CHAR(34)&amp;"words2"&amp;CHAR(34)&amp;",","")</f>
        <v/>
      </c>
      <c r="DB2" s="44" t="str">
        <f>IF(Q2&gt;2,CHAR(34)&amp;"words3"&amp;CHAR(34)&amp;",","")</f>
        <v/>
      </c>
      <c r="DC2" s="44" t="str">
        <f>IF(Q2=2,CHAR(34)&amp;"exact2"&amp;CHAR(34)&amp;",","")</f>
        <v/>
      </c>
      <c r="DD2" s="44"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"lets05",</v>
      </c>
      <c r="DE2" s="44"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"startT",</v>
      </c>
      <c r="DF2" s="44" t="str">
        <f>IFERROR(IF(SEARCH("tan",A2)&gt;0,CHAR(34)&amp;"withtn"&amp;CHAR(34)&amp;",",""),"")</f>
        <v/>
      </c>
      <c r="DG2" s="44" t="str">
        <f>IFERROR(IF(SEARCH("q",A2)&gt;0,CHAR(34)&amp;"with_q"&amp;CHAR(34)&amp;",",""),"")</f>
        <v/>
      </c>
      <c r="DH2" s="44" t="str">
        <f>IFERROR(IF(SEARCH("v",A2)&gt;0,CHAR(34)&amp;"with_v"&amp;CHAR(34)&amp;",",""),"")</f>
        <v/>
      </c>
      <c r="DI2" s="44" t="str">
        <f>IFERROR(IF(SEARCH("w",A2)&gt;0,CHAR(34)&amp;"with_w"&amp;CHAR(34)&amp;",",""),"")</f>
        <v/>
      </c>
      <c r="DJ2" s="44" t="str">
        <f>IFERROR(IF(SEARCH("y",A2)&gt;0,CHAR(34)&amp;"with_y"&amp;CHAR(34)&amp;",",""),"")</f>
        <v/>
      </c>
      <c r="DK2" s="44" t="str">
        <f>IFERROR(IF(SEARCH("z",A2)&gt;0,CHAR(34)&amp;"with_z"&amp;CHAR(34)&amp;",",""),"")</f>
        <v/>
      </c>
      <c r="DL2" s="44" t="str">
        <f>IF(CG2=2, CHAR(34) &amp; _xlfn.TEXTJOIN("", TRUE, _xlfn._xlws.SORT(HP2:HX2)) &amp; CHAR(34) &amp; ",", "")</f>
        <v>"REDWHI",</v>
      </c>
      <c r="DM2" s="44" t="str" cm="1">
        <f t="array" ref="DM2">IF(CG2=3,CHAR(34) &amp; _xlfn.TEXTJOIN("", TRUE, RIGHT(HP2:HX2, 2)) &amp; CHAR(34) &amp; ",", "")</f>
        <v/>
      </c>
      <c r="DN2" s="44" t="str">
        <f>IF(AND(ISNUMBER(SEARCH("18", O2)), ISERROR(SEARCH("1918", O2)), ISERROR(SEARCH("2018", O2))), CHAR(34) &amp; "year18" &amp; CHAR(34) &amp; ",", "")</f>
        <v>"year18",</v>
      </c>
      <c r="DO2" s="44" t="str">
        <f>IF(AND(ISNUMBER(SEARCH("19", O2)), ISERROR(SEARCH("1819", O2)),  ISERROR(SEARCH("1219", O2)),ISERROR(SEARCH("1119", O2)),ISERROR(SEARCH("1190", O2)),ISERROR(SEARCH("2019", O2))), CHAR(34) &amp; "year19" &amp; CHAR(34) &amp; ",", "")</f>
        <v/>
      </c>
      <c r="DP2" s="5" t="str">
        <f>IF(AND(ISNUMBER(SEARCH("20", O2)), ISERROR(SEARCH("1920", O2))), CHAR(34)&amp;"year00"&amp;CHAR(34)&amp;",", "")</f>
        <v/>
      </c>
      <c r="DQ2" s="5" t="str">
        <f>IF(CC2="y",CHAR(34)&amp;"soviet"&amp;CHAR(34)&amp;",","")</f>
        <v/>
      </c>
      <c r="DR2" s="5" t="str">
        <f>IF(BY2="y",CHAR(34)&amp;"dgband"&amp;CHAR(34)&amp;",","")</f>
        <v/>
      </c>
      <c r="DS2" s="5" t="str">
        <f>IF(W2="y",IF(AND(V2="n",BY2&lt;&gt;"y"),CHAR(34)&amp;"allver"&amp;CHAR(34)&amp;",",""),"")</f>
        <v/>
      </c>
      <c r="DT2" s="5" t="str">
        <f>IF(V2="y",IF(AND(W2="n",BY2&lt;&gt;"y"),CHAR(34)&amp;"allhor"&amp;CHAR(34)&amp;",",""),"")</f>
        <v/>
      </c>
      <c r="DU2" s="5" t="str">
        <f>IF(BY2="y",IF(AND(W2="n",V2="n"),CHAR(34)&amp;"alldia"&amp;CHAR(34)&amp;",",""),"")</f>
        <v/>
      </c>
      <c r="DV2" s="44" t="str">
        <f>IF(IA2&lt;&gt;"",(IF(IA2="y",CHAR(34)&amp;"largec"&amp;CHAR(34)&amp;",",CHAR(34)&amp;"smallc"&amp;CHAR(34)&amp;",")),"")</f>
        <v>"smallc",</v>
      </c>
      <c r="DW2" s="44" t="str">
        <f t="shared" ref="DW2:DZ3" si="1">IF(CL2="y",CHAR(34)&amp;CL$1&amp;CHAR(34)&amp;",","")</f>
        <v>"NoBand",</v>
      </c>
      <c r="DX2" s="44" t="str">
        <f t="shared" si="1"/>
        <v/>
      </c>
      <c r="DY2" s="44" t="str">
        <f t="shared" si="1"/>
        <v/>
      </c>
      <c r="DZ2" s="44" t="str">
        <f t="shared" si="1"/>
        <v/>
      </c>
      <c r="EA2" s="44" t="str">
        <f t="shared" ref="EA2:EE3" si="2">IF(T2="y",CHAR(34)&amp;T$1&amp;CHAR(34)&amp;",","")</f>
        <v/>
      </c>
      <c r="EB2" s="44" t="str">
        <f t="shared" si="2"/>
        <v>"Crosse",</v>
      </c>
      <c r="EC2" s="44" t="str">
        <f t="shared" si="2"/>
        <v/>
      </c>
      <c r="ED2" s="44" t="str">
        <f t="shared" si="2"/>
        <v/>
      </c>
      <c r="EE2" s="44" t="str">
        <f t="shared" si="2"/>
        <v/>
      </c>
      <c r="EF2" s="44" t="str">
        <f>IF(AND(Y2&lt;&gt;"n",Y2&lt;&gt;""),CHAR(34)&amp;Y$1&amp;CHAR(34)&amp;",","")</f>
        <v/>
      </c>
      <c r="EG2" s="44" t="str">
        <f t="shared" ref="EG2:EP3" si="3">IF(Z2="y",CHAR(34)&amp;Z$1&amp;CHAR(34)&amp;",","")</f>
        <v/>
      </c>
      <c r="EH2" s="44" t="str">
        <f t="shared" si="3"/>
        <v/>
      </c>
      <c r="EI2" s="44" t="str">
        <f t="shared" si="3"/>
        <v/>
      </c>
      <c r="EJ2" s="44" t="str">
        <f t="shared" si="3"/>
        <v/>
      </c>
      <c r="EK2" s="44" t="str">
        <f t="shared" si="3"/>
        <v/>
      </c>
      <c r="EL2" s="44" t="str">
        <f t="shared" si="3"/>
        <v/>
      </c>
      <c r="EM2" s="44" t="str">
        <f t="shared" si="3"/>
        <v/>
      </c>
      <c r="EN2" s="44" t="str">
        <f t="shared" si="3"/>
        <v/>
      </c>
      <c r="EO2" s="44" t="str">
        <f t="shared" si="3"/>
        <v/>
      </c>
      <c r="EP2" s="44" t="str">
        <f t="shared" si="3"/>
        <v>"Canton",</v>
      </c>
      <c r="EQ2" s="44" t="str">
        <f t="shared" ref="EQ2:EZ3" si="4">IF(AJ2="y",CHAR(34)&amp;AJ$1&amp;CHAR(34)&amp;",","")</f>
        <v/>
      </c>
      <c r="ER2" s="44" t="str">
        <f t="shared" si="4"/>
        <v/>
      </c>
      <c r="ES2" s="44" t="str">
        <f t="shared" si="4"/>
        <v/>
      </c>
      <c r="ET2" s="44" t="str">
        <f t="shared" si="4"/>
        <v/>
      </c>
      <c r="EU2" s="44" t="str">
        <f t="shared" si="4"/>
        <v/>
      </c>
      <c r="EV2" s="44" t="str">
        <f t="shared" si="4"/>
        <v/>
      </c>
      <c r="EW2" s="44" t="str">
        <f t="shared" si="4"/>
        <v/>
      </c>
      <c r="EX2" s="44" t="str">
        <f t="shared" si="4"/>
        <v/>
      </c>
      <c r="EY2" s="44" t="str">
        <f t="shared" si="4"/>
        <v/>
      </c>
      <c r="EZ2" s="44" t="str">
        <f t="shared" si="4"/>
        <v/>
      </c>
      <c r="FA2" s="44" t="str">
        <f>IF(AT2&gt;0,CHAR(34)&amp;"sta"&amp;AZ2&amp;CHAR(34)&amp;",","")</f>
        <v/>
      </c>
      <c r="FB2" s="44" t="str">
        <f>IF(AND(AT2&gt;0,BA2&lt;&gt;""),CHAR(34)&amp;"sta"&amp;BA2&amp;CHAR(34)&amp;",","")</f>
        <v/>
      </c>
      <c r="FC2" s="44" t="str">
        <f>IF(AND(AT2&gt;0,BB2&lt;&gt;""),CHAR(34)&amp;"sta"&amp;BB2&amp;CHAR(34)&amp;",","")</f>
        <v/>
      </c>
      <c r="FD2" s="44" t="str">
        <f>IF(BV2="n",CHAR(34)&amp;"tcWHYE"&amp;CHAR(34)&amp;",",IF(BV2="y",CHAR(34)&amp;FD$1&amp;CHAR(34)&amp;",",""))</f>
        <v/>
      </c>
      <c r="FE2" s="44" t="str">
        <f>IF(COUNTIF(BL2:BT2,"BLU")=0,CHAR(34)&amp;"NO_BLU"&amp;CHAR(34)&amp;",", "")</f>
        <v>"NO_BLU",</v>
      </c>
      <c r="FF2" s="44" t="str">
        <f>IF(COUNTIF(BL2:BT2,"WHI")=0,CHAR(34)&amp;"NO_WHI"&amp;CHAR(34)&amp;",", "")</f>
        <v/>
      </c>
      <c r="FG2" s="44" t="str">
        <f>IF(COUNTIF(BL2:BT2,"RED")=0,CHAR(34)&amp;"NO_RED"&amp;CHAR(34)&amp;",", "")</f>
        <v/>
      </c>
      <c r="FH2" s="44" t="str">
        <f>IF(COUNTIF(BL2:BS2,"GRE")=0,CHAR(34)&amp;"NO_GRE"&amp;CHAR(34)&amp;",", "")</f>
        <v>"NO_GRE",</v>
      </c>
      <c r="FI2" s="44" t="str">
        <f>IF(COUNTIF(BL2:BT2,"YEL")=0,CHAR(34)&amp;"NO_YEL"&amp;CHAR(34)&amp;",", "")</f>
        <v>"NO_YEL",</v>
      </c>
      <c r="FJ2" s="44" t="str">
        <f>IF(COUNTIF(BL2:BT2,"BLA")=0,CHAR(34)&amp;"NO_BLA"&amp;CHAR(34)&amp;",", "")</f>
        <v>"NO_BLA",</v>
      </c>
      <c r="FK2" s="44" t="str">
        <f>IF(AND(FH2&lt;&gt;"",FF2&lt;&gt;""),CHAR(34)&amp;"WHGRNO"&amp;CHAR(34)&amp;",","")</f>
        <v/>
      </c>
      <c r="FL2" s="44" t="str">
        <f>IF(AND(FI2&lt;&gt;"",FF2&lt;&gt;""),CHAR(34)&amp;"WHYENO"&amp;CHAR(34)&amp;",","")</f>
        <v/>
      </c>
      <c r="FM2" s="44" t="str">
        <f>IF(AND(FJ2&lt;&gt;"",FF2&lt;&gt;""),CHAR(34)&amp;"BAWHNO"&amp;CHAR(34)&amp;",","")</f>
        <v/>
      </c>
      <c r="FN2" s="44" t="str">
        <f>IF(AND(FE2&lt;&gt;"",FF2&lt;&gt;""),CHAR(34)&amp;"BLWHNO"&amp;CHAR(34)&amp;",","")</f>
        <v/>
      </c>
      <c r="FO2" s="44" t="str">
        <f>IF(AND(FE2&lt;&gt;"",FG2&lt;&gt;""),CHAR(34)&amp;"BLRENO"&amp;CHAR(34)&amp;",","")</f>
        <v/>
      </c>
      <c r="FP2" s="44" t="str">
        <f>IF(AND(FF2&lt;&gt;"",FF2&lt;&gt;""),CHAR(34)&amp;"WHRENO"&amp;CHAR(34)&amp;",","")</f>
        <v/>
      </c>
      <c r="FQ2" s="44" t="str">
        <f>IF(LEN(BF2)=3,CHAR(34)&amp;"001"&amp;BF2&amp;CHAR(34)&amp;",","")</f>
        <v/>
      </c>
      <c r="FR2" s="44" t="str">
        <f>IF(LEN(BG2)=3,CHAR(34)&amp;"002"&amp;BG2&amp;CHAR(34)&amp;",","")</f>
        <v/>
      </c>
      <c r="FS2" s="44" t="str">
        <f>IF(LEN(BH2)=3,CHAR(34)&amp;"003"&amp;BH2&amp;CHAR(34)&amp;",","")</f>
        <v/>
      </c>
      <c r="FT2" s="44" t="str">
        <f>CHAR(34)&amp;"myr"&amp;BD2&amp;CHAR(34)&amp;","</f>
        <v>"myrRED",</v>
      </c>
      <c r="FU2" s="44" t="str">
        <f>IF(AY2="y",CHAR(34)&amp;"island"&amp;CHAR(34)&amp;",","")</f>
        <v>"island",</v>
      </c>
      <c r="FV2" s="44" t="str">
        <f>IF(BZ2="y",CHAR(34)&amp;"landlo"&amp;CHAR(34)&amp;",","")</f>
        <v/>
      </c>
      <c r="FW2" s="44" t="str">
        <f>IF(CA2="y",CHAR(34)&amp;"eunion"&amp;CHAR(34)&amp;",","")</f>
        <v/>
      </c>
      <c r="FX2" s="44" t="str">
        <f>SUBSTITUTE(IFERROR(SEARCH("[",A2),IFERROR(IF(AND(CA2&lt;&gt;"y",SEARCH("Europe",R2)&gt;0),CHAR(34)&amp;"noeuni"&amp;CHAR(34)&amp;",",""),"")),"1","")</f>
        <v/>
      </c>
      <c r="FY2" s="44" t="str">
        <f>IFERROR(IF(SEARCH("Arabic",CB2)&gt;0,CHAR(34)&amp;"arabic"&amp;CHAR(34)&amp;",",""),"")</f>
        <v/>
      </c>
      <c r="FZ2" s="44" t="str">
        <f>IFERROR(IF(SEARCH("English",CB2)&gt;0,CHAR(34)&amp;"englis"&amp;CHAR(34)&amp;",",""),"")</f>
        <v>"englis",</v>
      </c>
      <c r="GA2" s="44" t="str">
        <f>IFERROR(IF(SEARCH("French",CB2)&gt;0,CHAR(34)&amp;"french"&amp;CHAR(34)&amp;",",""),"")</f>
        <v/>
      </c>
      <c r="GB2" s="44" t="str">
        <f>IFERROR(IF(SEARCH("Spanish",CB2)&gt;0,CHAR(34)&amp;"spanis"&amp;CHAR(34)&amp;",",""),"")</f>
        <v/>
      </c>
      <c r="GC2" s="44" t="str">
        <f>IFERROR(IF(SEARCH("Portuguese",CB2)&gt;0,CHAR(34)&amp;"portug"&amp;CHAR(34)&amp;",",""),"")</f>
        <v/>
      </c>
      <c r="GD2" s="44" t="str">
        <f>IFERROR(IF(SEARCH("German",CB2)&gt;0,CHAR(34)&amp;"german"&amp;CHAR(34)&amp;",",""),"")</f>
        <v/>
      </c>
      <c r="GE2" s="44" t="str">
        <f>IFERROR(IF(SEARCH("Dutch",CB2)&gt;0,CHAR(34)&amp;"dutchs"&amp;CHAR(34)&amp;",",""),"")</f>
        <v/>
      </c>
      <c r="GF2" s="44" t="str">
        <f>IFERROR(IF(SEARCH("Histor",AU2)&gt;0,CHAR(34)&amp;"histor"&amp;CHAR(34)&amp;",",""),"")</f>
        <v/>
      </c>
      <c r="GG2" s="44" t="str">
        <f>IF(BU2="y",CHAR(34)&amp;"unjack"&amp;CHAR(34)&amp;",","")</f>
        <v/>
      </c>
      <c r="GH2" s="44" t="str">
        <f>IF(CD2=1,CHAR(34)&amp;"southc"&amp;CHAR(34)&amp;",","")</f>
        <v/>
      </c>
      <c r="GI2" s="44" t="str">
        <f>IF(CE2=1,CHAR(34)&amp;"hasmap"&amp;CHAR(34)&amp;",","")</f>
        <v/>
      </c>
      <c r="GJ2" s="44" t="str">
        <f>IF(CP2="y",CHAR(34)&amp;CP$1&amp;CHAR(34)&amp;",","")</f>
        <v>"NoStar",</v>
      </c>
      <c r="GK2" s="44" t="str">
        <f>IF(GJ2="",CHAR(34)&amp;"HasSta"&amp;CHAR(34)&amp;",","")</f>
        <v/>
      </c>
      <c r="GL2" s="44" t="str">
        <f t="shared" ref="GL2:GN3" si="5">IF(CQ2="y",CHAR(34)&amp;CQ$1&amp;CHAR(34)&amp;",","")</f>
        <v/>
      </c>
      <c r="GM2" s="44" t="str">
        <f t="shared" si="5"/>
        <v/>
      </c>
      <c r="GN2" s="44" t="str">
        <f t="shared" si="5"/>
        <v/>
      </c>
      <c r="GP2" s="44" t="str">
        <f>CHAR(34)&amp;AU2&amp;CHAR(34)</f>
        <v>""</v>
      </c>
      <c r="GS2" s="44" t="str">
        <f>SUBSTITUTE("["&amp;_xlfn.CONCAT(CW2:GN2)&amp;"]",",]","]")</f>
        <v>["2Color","lets05","startT","REDWHI","year18","smallc","NoBand","Crosse","Canton","NO_BLU","NO_GRE","NO_YEL","NO_BLA","myrRED","island","englis","NoStar"]</v>
      </c>
      <c r="GT2" s="44" t="str">
        <f t="shared" ref="GT2:HB3" si="6">IF(BL2&lt;&gt;"",CHAR(34)&amp;"cl_"&amp;BL2&amp;CHAR(34)&amp;",","")</f>
        <v>"cl_RED",</v>
      </c>
      <c r="GU2" s="44" t="str">
        <f t="shared" si="6"/>
        <v>"cl_WHI",</v>
      </c>
      <c r="GV2" s="44" t="str">
        <f t="shared" si="6"/>
        <v/>
      </c>
      <c r="GW2" s="44" t="str">
        <f t="shared" si="6"/>
        <v/>
      </c>
      <c r="GX2" s="44" t="str">
        <f t="shared" si="6"/>
        <v/>
      </c>
      <c r="GY2" s="44" t="str">
        <f t="shared" si="6"/>
        <v/>
      </c>
      <c r="GZ2" s="44" t="str">
        <f t="shared" si="6"/>
        <v/>
      </c>
      <c r="HA2" s="44" t="str">
        <f t="shared" si="6"/>
        <v/>
      </c>
      <c r="HB2" s="44" t="str">
        <f t="shared" si="6"/>
        <v/>
      </c>
      <c r="HC2" s="44" t="str">
        <f>SUBSTITUTE("["&amp;_xlfn.CONCAT(GT2:HB2)&amp;"]",",]","]")</f>
        <v>["cl_RED","cl_WHI"]</v>
      </c>
      <c r="HE2" s="64"/>
      <c r="HF2" s="65" t="str">
        <f>"{couname:"&amp;CT2&amp;(IF(HK2&lt;&gt;"",",subtype:"&amp;CHAR(34)&amp;HK2&amp;CHAR(34),""))&amp;",year:"&amp;HJ2&amp;",region:"&amp;CU2&amp;",Colors:"&amp;HC2&amp;",Items:"&amp;GS2&amp;",Flag:"&amp;CV2&amp;",HDFlag:"&amp;CHAR(34)&amp;E2&amp;CHAR(34)&amp;",type:"&amp;GP2&amp;", describe: "&amp;HH2&amp;", isnew:"&amp;CHAR(34)&amp;F2&amp;CHAR(34)&amp;", links: "&amp;HL2&amp;"},"</f>
        <v>{couname:"Tonga",year:"1875 ",region:"rgn_Oceania",Colors:["cl_RED","cl_WHI"],Items:["2Color","lets05","startT","REDWHI","year18","smallc","NoBand","Crosse","Canton","NO_BLU","NO_GRE","NO_YEL","NO_BLA","myrRED","island","englis","NoStar"],Flag:"https://i.ibb.co/QMQsXwX/Tonga-Flag.png",HDFlag:"https://upload.wikimedia.org/wikipedia/commons/thumb/9/9a/Flag_of_Tonga.svg/2560px-Flag_of_Tonga.svg.png",type:"", describe: "\nThe red couped cross alludes to Christianity, the religion practised by approximately 97% of the country's population. The white epitomizes purity, while the red evokes the sacrifice of the Blood of Christ, which was shed during the Crucifixion.", isnew:".", links: "https://en.wikipedia.org/wiki/Flag_of_Tonga"},</v>
      </c>
      <c r="HG2" s="66" t="str">
        <f>"{couname:"&amp;CT2&amp;(IF(HK2&lt;&gt;"",",subtype:"&amp;CHAR(34)&amp;HK2&amp;CHAR(34),""))&amp;",year:"&amp;HJ2&amp;",region:"&amp;CU2&amp;",Colors:"&amp;HC2&amp;",Items:"&amp;GS2&amp;",Flag:"&amp;CV2&amp;",HDFlag:"&amp;CHAR(34)&amp;E2&amp;CHAR(34)&amp;",type:"&amp;GP2&amp;", describe: "&amp;HI2&amp;", links: "&amp;HL2&amp;"},"</f>
        <v>{couname:"Tonga",year:"1875 ",region:"rgn_Oceania",Colors:["cl_RED","cl_WHI"],Items:["2Color","lets05","startT","REDWHI","year18","smallc","NoBand","Crosse","Canton","NO_BLU","NO_GRE","NO_YEL","NO_BLA","myrRED","island","englis","NoStar"],Flag:"https://i.ibb.co/QMQsXwX/Tonga-Flag.png",HDFlag:"https://upload.wikimedia.org/wikipedia/commons/thumb/9/9a/Flag_of_Tonga.svg/2560px-Flag_of_Tonga.svg.png",type:"", describe: "\nThe red couped cross alludes to Christianity, the religion practised by approximately 97% of the country's population. The white epitomizes purity, while the red evokes the sacrifice of the Blood of Christ, which was shed during the Crucifixion.", links: "https://en.wikipedia.org/wiki/Flag_of_Tonga"},</v>
      </c>
      <c r="HH2" s="44" t="str">
        <f>IF(P2&lt;&gt;"",CHAR(34)&amp;"\n"&amp;P2&amp;CHAR(34),CHAR(34)&amp;CHAR(34))</f>
        <v>"\nThe red couped cross alludes to Christianity, the religion practised by approximately 97% of the country's population. The white epitomizes purity, while the red evokes the sacrifice of the Blood of Christ, which was shed during the Crucifixion."</v>
      </c>
      <c r="HI2" s="44" t="str">
        <f>IF(J2=0,CHAR(34)&amp;CHAR(34),HH2)</f>
        <v>"\nThe red couped cross alludes to Christianity, the religion practised by approximately 97% of the country's population. The white epitomizes purity, while the red evokes the sacrifice of the Blood of Christ, which was shed during the Crucifixion."</v>
      </c>
      <c r="HJ2" s="44" t="str">
        <f>CHAR(34)&amp;O2&amp;CHAR(34)</f>
        <v>"1875 "</v>
      </c>
      <c r="HL2" s="44" t="str">
        <f>CHAR(34)&amp;I2&amp;CHAR(34)</f>
        <v>"https://en.wikipedia.org/wiki/Flag_of_Tonga"</v>
      </c>
      <c r="HM2" s="65"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{"couname":"Tonga","year":"1875 ","region":"rgn_Oceania","Colors":["cl_RED","cl_WHI"],"Items":["2Color","lets05","startT","REDWHI","year18","smallc","NoBand","Crosse","Canton","NO_BLU","NO_GRE","NO_YEL","NO_BLA","myrRED","island","englis","NoStar"],"Flag":"https://i.ibb.co/QMQsXwX/Tonga-Flag.png","HDFlag":"https://upload.wikimedia.org/wikipedia/commons/thumb/9/9a/Flag_of_Tonga.svg/2560px-Flag_of_Tonga.svg.png","type":"", "describe": "\nThe red couped cross alludes to Christianity, the religion practised by approximately 97% of the country's population. The white epitomizes purity, while the red evokes the sacrifice of the Blood of Christ, which was shed during the Crucifixion.", "isnew": ".", "links": "https://en.wikipedia.org/wiki/Flag_of_Tonga"},</v>
      </c>
      <c r="HN2" s="67"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{"couname":"Tonga","year":"1875 ","region":"rgn_Oceania","Colors":["cl_RED","cl_WHI"],"Items":["2Color","lets05","startT","REDWHI","year18","smallc","NoBand","Crosse","Canton","NO_BLU","NO_GRE","NO_YEL","NO_BLA","myrRED","island","englis","NoStar"],"Flag":"https://i.ibb.co/QMQsXwX/Tonga-Flag.png","HDFlag":"https://upload.wikimedia.org/wikipedia/commons/thumb/9/9a/Flag_of_Tonga.svg/2560px-Flag_of_Tonga.svg.png","type":"", "describe": "\nThe red couped cross alludes to Christianity, the religion practised by approximately 97% of the country's population. The white epitomizes purity, while the red evokes the sacrifice of the Blood of Christ, which was shed during the Crucifixion.", "isnew": ".", "links": "https://en.wikipedia.org/wiki/Flag_of_Tonga"},</v>
      </c>
      <c r="HO2" s="71"/>
      <c r="HP2" s="44" t="str" cm="1">
        <f t="array" ref="HP2">IF(_xlfn.TEXTJOIN(", ", TRUE, IF(ISNUMBER(SEARCH("BLA", BL2:BT2)), COLUMN(BL2:BT2) - COLUMN(BL2) + 1, ""))&lt;&gt;"","BLA","")</f>
        <v/>
      </c>
      <c r="HQ2" s="44" t="str" cm="1">
        <f t="array" ref="HQ2">IF(_xlfn.TEXTJOIN(", ", TRUE, IF(ISNUMBER(SEARCH("BLU", BL2:BT2)), COLUMN(BL2:BT2) - COLUMN(BL2) + 1, ""))&lt;&gt;"","BLU","")</f>
        <v/>
      </c>
      <c r="HR2" s="44" t="str" cm="1">
        <f t="array" ref="HR2">IF(_xlfn.TEXTJOIN(", ", TRUE, IF(ISNUMBER(SEARCH("GRE", BL2:BT2)), COLUMN(BL2:BT2) - COLUMN(BL2) + 1, ""))&lt;&gt;"","GRE","")</f>
        <v/>
      </c>
      <c r="HS2" s="44" t="str" cm="1">
        <f t="array" ref="HS2">IF(_xlfn.TEXTJOIN(", ", TRUE, IF(ISNUMBER(SEARCH("RED", BL2:BT2)), COLUMN(BL2:BT2) - COLUMN(BL2) + 1, ""))&lt;&gt;"","RED","")</f>
        <v>RED</v>
      </c>
      <c r="HT2" s="44" t="str" cm="1">
        <f t="array" ref="HT2">IF(_xlfn.TEXTJOIN(", ", TRUE, IF(ISNUMBER(SEARCH("YEL", BL2:BT2)), COLUMN(BL2:BT2) - COLUMN(BL2) + 1, ""))&lt;&gt;"","YEL","")</f>
        <v/>
      </c>
      <c r="HU2" s="44" t="str" cm="1">
        <f t="array" ref="HU2">IF(_xlfn.TEXTJOIN(", ", TRUE, IF(ISNUMBER(SEARCH("ORA", BL2:BT2)), COLUMN(BL2:BT2) - COLUMN(BL2) + 1, ""))&lt;&gt;"","ORA","")</f>
        <v/>
      </c>
      <c r="HV2" s="44" t="str" cm="1">
        <f t="array" ref="HV2">IF(_xlfn.TEXTJOIN(", ", TRUE, IF(ISNUMBER(SEARCH("BRO", BL2:BT2)), COLUMN(BL2:BT2) - COLUMN(BL2) + 1, ""))&lt;&gt;"","BRO","")</f>
        <v/>
      </c>
      <c r="HW2" s="44" t="str" cm="1">
        <f t="array" ref="HW2">IF(_xlfn.TEXTJOIN(", ", TRUE, IF(ISNUMBER(SEARCH("PUR", BL2:BT2)), COLUMN(BL2:BT2) - COLUMN(BL2) + 1, ""))&lt;&gt;"","PUR","")</f>
        <v/>
      </c>
      <c r="HX2" s="44" t="str" cm="1">
        <f t="array" ref="HX2">IF(_xlfn.TEXTJOIN(", ", TRUE, IF(ISNUMBER(SEARCH("WHI", BL2:BT2)), COLUMN(BL2:BT2) - COLUMN(BL2) + 1, ""))&lt;&gt;"","WHI","")</f>
        <v>WHI</v>
      </c>
      <c r="HY2" s="72"/>
      <c r="HZ2" s="72"/>
      <c r="IA2" s="5" t="s">
        <v>166</v>
      </c>
      <c r="IB2" s="5"/>
      <c r="IC2" s="68"/>
      <c r="ID2" s="68"/>
      <c r="IE2" s="68"/>
      <c r="IF2" s="68"/>
      <c r="IG2" s="68"/>
      <c r="IH2" s="68"/>
      <c r="II2" s="68"/>
      <c r="IJ2" s="68"/>
      <c r="IK2" s="68"/>
      <c r="IL2" s="44">
        <f>SUM(IC2:IK2)</f>
        <v>0</v>
      </c>
      <c r="IM2" s="42">
        <f>COUNTIF(IC2:IK2,"&gt;0")-CG2</f>
        <v>-2</v>
      </c>
      <c r="IN2" s="69" t="str">
        <f>"http://mkweb.bcgsc.ca/color-summarizer/?url="&amp;D2&amp;"&amp;precision=low&amp;num_clusters="&amp;CG2&amp;"&amp;text=1"</f>
        <v>http://mkweb.bcgsc.ca/color-summarizer/?url=https://i.ibb.co/QMQsXwX/Tonga-Flag.png&amp;precision=low&amp;num_clusters=2&amp;text=1</v>
      </c>
      <c r="IO2" s="44" t="str">
        <f>IF(HP2&lt;&gt;"",CHAR(34)&amp;"black"&amp;CHAR(34),"")</f>
        <v/>
      </c>
      <c r="IP2" s="44" t="str">
        <f>IF(HQ2&lt;&gt;"",CHAR(34)&amp;"blue"&amp;CHAR(34),"")</f>
        <v/>
      </c>
      <c r="IQ2" s="44" t="str">
        <f>IF(HR2&lt;&gt;"",CHAR(34)&amp;"green"&amp;CHAR(34),"")</f>
        <v/>
      </c>
      <c r="IR2" s="44" t="str">
        <f>IF(HS2&lt;&gt;"",CHAR(34)&amp;"red"&amp;CHAR(34),"")</f>
        <v>"red"</v>
      </c>
      <c r="IS2" s="44" t="str">
        <f>IF(HT2&lt;&gt;"",CHAR(34)&amp;"yellow"&amp;CHAR(34),"")</f>
        <v/>
      </c>
      <c r="IT2" s="44" t="str">
        <f>IF(HU2&lt;&gt;"",CHAR(34)&amp;"orange"&amp;CHAR(34),"")</f>
        <v/>
      </c>
      <c r="IU2" s="44" t="str">
        <f>IF(HV2&lt;&gt;"",CHAR(34)&amp;"brown"&amp;CHAR(34),"")</f>
        <v/>
      </c>
      <c r="IV2" s="44" t="str">
        <f>IF(HW2&lt;&gt;"",CHAR(34)&amp;"purple"&amp;CHAR(34),"")</f>
        <v/>
      </c>
      <c r="IW2" s="44" t="str">
        <f>IF(HX2&lt;&gt;"",CHAR(34)&amp;"white"&amp;CHAR(34),"")</f>
        <v>"white"</v>
      </c>
      <c r="IX2" s="44" t="str">
        <f>"{"&amp;CHAR(34)&amp;"url"&amp;CHAR(34)&amp;":"&amp;CHAR(34)&amp;IN2&amp;CHAR(34)&amp;","&amp;CHAR(34)&amp;"name"&amp;CHAR(34)&amp;":"&amp;CHAR(34)&amp;A2&amp;CHAR(34)&amp;"},"</f>
        <v>{"url":"http://mkweb.bcgsc.ca/color-summarizer/?url=https://i.ibb.co/QMQsXwX/Tonga-Flag.png&amp;precision=low&amp;num_clusters=2&amp;text=1","name":"Tonga"},</v>
      </c>
      <c r="IY2" s="44">
        <v>220</v>
      </c>
    </row>
    <row r="3" spans="1:259" s="44" customFormat="1" ht="38.4" customHeight="1" thickBot="1" x14ac:dyDescent="0.35">
      <c r="A3" s="81" t="s">
        <v>786</v>
      </c>
      <c r="B3" s="78" t="e" vm="109">
        <v>#VALUE!</v>
      </c>
      <c r="C3" s="39">
        <v>3</v>
      </c>
      <c r="D3" s="70" t="s">
        <v>787</v>
      </c>
      <c r="E3" s="40" t="s">
        <v>787</v>
      </c>
      <c r="F3" s="41" t="s">
        <v>165</v>
      </c>
      <c r="G3" s="42">
        <f>COUNTIF($A$1:$A$8195,A3)</f>
        <v>1</v>
      </c>
      <c r="H3" s="43" t="s">
        <v>1135</v>
      </c>
      <c r="I3" s="59" t="s">
        <v>788</v>
      </c>
      <c r="J3" s="44" t="str">
        <f>""</f>
        <v/>
      </c>
      <c r="K3" s="45"/>
      <c r="L3" s="46"/>
      <c r="M3" s="46"/>
      <c r="N3" s="47" t="s">
        <v>177</v>
      </c>
      <c r="O3" s="74" t="s">
        <v>494</v>
      </c>
      <c r="P3" s="48" t="s">
        <v>789</v>
      </c>
      <c r="Q3" s="73">
        <v>1</v>
      </c>
      <c r="R3" s="49" t="s">
        <v>177</v>
      </c>
      <c r="S3" s="50">
        <v>6</v>
      </c>
      <c r="T3" s="51" t="s">
        <v>166</v>
      </c>
      <c r="U3" s="52" t="s">
        <v>167</v>
      </c>
      <c r="V3" s="52" t="s">
        <v>167</v>
      </c>
      <c r="W3" s="52" t="s">
        <v>167</v>
      </c>
      <c r="X3" s="52" t="s">
        <v>166</v>
      </c>
      <c r="Y3" s="52" t="s">
        <v>166</v>
      </c>
      <c r="Z3" s="52" t="s">
        <v>166</v>
      </c>
      <c r="AA3" s="52" t="s">
        <v>166</v>
      </c>
      <c r="AB3" s="52" t="s">
        <v>166</v>
      </c>
      <c r="AC3" s="52" t="s">
        <v>166</v>
      </c>
      <c r="AD3" s="52" t="s">
        <v>166</v>
      </c>
      <c r="AE3" s="52" t="s">
        <v>166</v>
      </c>
      <c r="AF3" s="53" t="s">
        <v>166</v>
      </c>
      <c r="AG3" s="53" t="s">
        <v>166</v>
      </c>
      <c r="AH3" s="53" t="s">
        <v>166</v>
      </c>
      <c r="AI3" s="53" t="s">
        <v>167</v>
      </c>
      <c r="AJ3" s="53" t="s">
        <v>167</v>
      </c>
      <c r="AK3" s="53" t="s">
        <v>166</v>
      </c>
      <c r="AL3" s="53" t="s">
        <v>166</v>
      </c>
      <c r="AM3" s="53" t="s">
        <v>166</v>
      </c>
      <c r="AN3" s="53" t="s">
        <v>166</v>
      </c>
      <c r="AO3" s="53" t="s">
        <v>166</v>
      </c>
      <c r="AP3" s="53" t="s">
        <v>166</v>
      </c>
      <c r="AQ3" s="53" t="s">
        <v>166</v>
      </c>
      <c r="AR3" s="53" t="s">
        <v>166</v>
      </c>
      <c r="AS3" s="53" t="s">
        <v>166</v>
      </c>
      <c r="AT3" s="54">
        <v>0</v>
      </c>
      <c r="AU3" s="53" t="s">
        <v>790</v>
      </c>
      <c r="AV3" s="53" t="str">
        <f>IF(LEFT(A3,1)="[",LEFT(A3,5)&amp;AU3&amp;A3,"")</f>
        <v>[TON]Naval Ensign[TON] Tonga (Naval Ensign)</v>
      </c>
      <c r="AW3" s="53" t="str">
        <f>C3&amp;H3&amp;A3</f>
        <v>3[TON] Other[TON] Tonga (Naval Ensign)</v>
      </c>
      <c r="AX3" s="55"/>
      <c r="AY3" s="55"/>
      <c r="AZ3" s="56"/>
      <c r="BA3" s="56"/>
      <c r="BB3" s="56"/>
      <c r="BC3" s="57"/>
      <c r="BD3" s="58" t="s">
        <v>161</v>
      </c>
      <c r="BE3" s="59"/>
      <c r="BF3" s="58"/>
      <c r="BG3" s="58"/>
      <c r="BH3" s="58"/>
      <c r="BI3" s="58" t="s">
        <v>156</v>
      </c>
      <c r="BJ3" s="58" t="s">
        <v>161</v>
      </c>
      <c r="BK3" s="59"/>
      <c r="BL3" s="58" t="s">
        <v>161</v>
      </c>
      <c r="BM3" s="58" t="s">
        <v>156</v>
      </c>
      <c r="BN3" s="58"/>
      <c r="BO3" s="58"/>
      <c r="BP3" s="58"/>
      <c r="BQ3" s="58"/>
      <c r="BR3" s="58"/>
      <c r="BS3" s="58"/>
      <c r="BT3" s="58"/>
      <c r="BU3" s="60" t="s">
        <v>166</v>
      </c>
      <c r="BV3" s="61"/>
      <c r="BW3" s="61">
        <v>0</v>
      </c>
      <c r="BX3" s="59"/>
      <c r="CB3" s="5"/>
      <c r="CC3" s="5"/>
      <c r="CD3" s="62">
        <v>0</v>
      </c>
      <c r="CE3" s="62">
        <v>0</v>
      </c>
      <c r="CF3" s="62" t="e">
        <v>#REF!</v>
      </c>
      <c r="CG3" s="75" cm="1">
        <f t="array" ref="CG3">SUMPRODUCT(--(LEN(TRIM(BL3:BT3))&gt;0))</f>
        <v>2</v>
      </c>
      <c r="CH3" s="53" t="str">
        <f>IF(CG3=2,"y","n")</f>
        <v>y</v>
      </c>
      <c r="CI3" s="53" t="str">
        <f>IF(CG3=3,"y","n")</f>
        <v>n</v>
      </c>
      <c r="CJ3" s="53" t="str">
        <f>IF(CG3=4,"y","n")</f>
        <v>n</v>
      </c>
      <c r="CK3" s="53" t="str">
        <f>IF(CG3&gt;4,"y","n")</f>
        <v>n</v>
      </c>
      <c r="CL3" s="53" t="str">
        <f>IF(S3=0,"y","n")</f>
        <v>n</v>
      </c>
      <c r="CM3" s="53" t="str">
        <f>IF(S3=2,"y","n")</f>
        <v>n</v>
      </c>
      <c r="CN3" s="53" t="str">
        <f>IF(S3=3,"y","n")</f>
        <v>n</v>
      </c>
      <c r="CO3" s="53" t="str">
        <f>IF(S3&gt;=4,"y","n")</f>
        <v>y</v>
      </c>
      <c r="CP3" s="53" t="str">
        <f>IF(AT3=0,"y","n")</f>
        <v>y</v>
      </c>
      <c r="CQ3" s="53" t="str">
        <f>IF(AT3=1,"y","n")</f>
        <v>n</v>
      </c>
      <c r="CR3" s="53" t="str">
        <f>IF(AT3=2,"y","n")</f>
        <v>n</v>
      </c>
      <c r="CS3" s="53" t="str">
        <f>IF(AT3&gt;=3,"y","n")</f>
        <v>n</v>
      </c>
      <c r="CT3" s="38" t="str">
        <f>CHAR(34)&amp;A3&amp;CHAR(34)</f>
        <v>"[TON] Tonga (Naval Ensign)"</v>
      </c>
      <c r="CU3" s="63" t="str">
        <f>CHAR(34)&amp;"rgn_"&amp;R3&amp;CHAR(34)</f>
        <v>"rgn_Oceania"</v>
      </c>
      <c r="CV3" s="44" t="str">
        <f>CHAR(34)&amp;D3&amp;CHAR(34)</f>
        <v>"https://upload.wikimedia.org/wikipedia/commons/thumb/8/8d/Naval_Ensign_of_Tonga.svg/2560px-Naval_Ensign_of_Tonga.svg.png"</v>
      </c>
      <c r="CW3" s="44" t="str">
        <f t="shared" si="0"/>
        <v>"2Color",</v>
      </c>
      <c r="CX3" s="44" t="str">
        <f t="shared" si="0"/>
        <v/>
      </c>
      <c r="CY3" s="44" t="str">
        <f t="shared" si="0"/>
        <v/>
      </c>
      <c r="CZ3" s="44" t="str">
        <f t="shared" si="0"/>
        <v/>
      </c>
      <c r="DA3" s="44" t="str">
        <f>IF(Q3&gt;1,CHAR(34)&amp;"words2"&amp;CHAR(34)&amp;",","")</f>
        <v/>
      </c>
      <c r="DB3" s="44" t="str">
        <f>IF(Q3&gt;2,CHAR(34)&amp;"words3"&amp;CHAR(34)&amp;",","")</f>
        <v/>
      </c>
      <c r="DD3" s="44"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"lets18",</v>
      </c>
      <c r="DE3" s="44" t="str">
        <f>CHAR(34)&amp;"start"&amp;IFERROR(LEFT(SUBSTITUTE(A3,"["&amp;MID(A3,FIND("[",A3)+1,FIND("]",A3)-FIND("[",A3)-1)&amp;"] ",""),1),LEFT(A3,1))&amp;CHAR(34)&amp;","</f>
        <v>"startT",</v>
      </c>
      <c r="DF3" s="44" t="str">
        <f>IFERROR(IF(SEARCH("tan",A3)&gt;0,CHAR(34)&amp;"withtn"&amp;CHAR(34)&amp;",",""),"")</f>
        <v/>
      </c>
      <c r="DG3" s="44" t="str">
        <f>IFERROR(IF(SEARCH("q",A3)&gt;0,CHAR(34)&amp;"with_q"&amp;CHAR(34)&amp;",",""),"")</f>
        <v/>
      </c>
      <c r="DH3" s="44" t="str">
        <f>IFERROR(IF(SEARCH("v",A3)&gt;0,CHAR(34)&amp;"with_v"&amp;CHAR(34)&amp;",",""),"")</f>
        <v>"with_v",</v>
      </c>
      <c r="DI3" s="44" t="str">
        <f>IFERROR(IF(SEARCH("w",A3)&gt;0,CHAR(34)&amp;"with_w"&amp;CHAR(34)&amp;",",""),"")</f>
        <v/>
      </c>
      <c r="DJ3" s="44" t="str">
        <f>IFERROR(IF(SEARCH("y",A3)&gt;0,CHAR(34)&amp;"with_y"&amp;CHAR(34)&amp;",",""),"")</f>
        <v/>
      </c>
      <c r="DK3" s="44" t="str">
        <f>IFERROR(IF(SEARCH("z",A3)&gt;0,CHAR(34)&amp;"with_z"&amp;CHAR(34)&amp;",",""),"")</f>
        <v/>
      </c>
      <c r="DL3" s="44" t="str">
        <f>IF(CG3=2, CHAR(34) &amp; _xlfn.TEXTJOIN("", TRUE, _xlfn._xlws.SORT(HP3:HX3)) &amp; CHAR(34) &amp; ",", "")</f>
        <v>"REDWHI",</v>
      </c>
      <c r="DM3" s="44" t="str" cm="1">
        <f t="array" ref="DM3">IF(CG3=3,CHAR(34) &amp; _xlfn.TEXTJOIN("", TRUE, RIGHT(HP3:HX3, 2)) &amp; CHAR(34) &amp; ",", "")</f>
        <v/>
      </c>
      <c r="DN3" s="44" t="str">
        <f>IF(AND(ISNUMBER(SEARCH("18", O3)), ISERROR(SEARCH("1918", O3)), ISERROR(SEARCH("2018", O3))), CHAR(34) &amp; "year18" &amp; CHAR(34) &amp; ",", "")</f>
        <v/>
      </c>
      <c r="DO3" s="44" t="str">
        <f>IF(AND(ISNUMBER(SEARCH("19", O3)), ISERROR(SEARCH("1819", O3)),  ISERROR(SEARCH("1219", O3)),ISERROR(SEARCH("1119", O3)),ISERROR(SEARCH("1190", O3)),ISERROR(SEARCH("2019", O3))), CHAR(34) &amp; "year19" &amp; CHAR(34) &amp; ",", "")</f>
        <v>"year19",</v>
      </c>
      <c r="DP3" s="5" t="str">
        <f>IF(AND(ISNUMBER(SEARCH("20", O3)), ISERROR(SEARCH("1920", O3))), CHAR(34)&amp;"year00"&amp;CHAR(34)&amp;",", "")</f>
        <v/>
      </c>
      <c r="DQ3" s="5" t="str">
        <f>IF(CC3="y",CHAR(34)&amp;"soviet"&amp;CHAR(34)&amp;",","")</f>
        <v/>
      </c>
      <c r="DR3" s="5" t="str">
        <f>IF(BY3="y",CHAR(34)&amp;"dgband"&amp;CHAR(34)&amp;",","")</f>
        <v/>
      </c>
      <c r="DS3" s="5" t="str">
        <f>IF(W3="y",IF(AND(V3="n",BY3&lt;&gt;"y"),CHAR(34)&amp;"allver"&amp;CHAR(34)&amp;",",""),"")</f>
        <v/>
      </c>
      <c r="DT3" s="5" t="str">
        <f>IF(V3="y",IF(AND(W3="n",BY3&lt;&gt;"y"),CHAR(34)&amp;"allhor"&amp;CHAR(34)&amp;",",""),"")</f>
        <v/>
      </c>
      <c r="DU3" s="5" t="str">
        <f>IF(BY3="y",IF(AND(W3="n",V3="n"),CHAR(34)&amp;"alldia"&amp;CHAR(34)&amp;",",""),"")</f>
        <v/>
      </c>
      <c r="DW3" s="44" t="str">
        <f t="shared" si="1"/>
        <v/>
      </c>
      <c r="DX3" s="44" t="str">
        <f t="shared" si="1"/>
        <v/>
      </c>
      <c r="DY3" s="44" t="str">
        <f t="shared" si="1"/>
        <v/>
      </c>
      <c r="DZ3" s="44" t="str">
        <f t="shared" si="1"/>
        <v>"4+Band",</v>
      </c>
      <c r="EA3" s="44" t="str">
        <f t="shared" si="2"/>
        <v/>
      </c>
      <c r="EB3" s="44" t="str">
        <f t="shared" si="2"/>
        <v>"Crosse",</v>
      </c>
      <c r="EC3" s="44" t="str">
        <f t="shared" si="2"/>
        <v>"Horizo",</v>
      </c>
      <c r="ED3" s="44" t="str">
        <f t="shared" si="2"/>
        <v>"Vertic",</v>
      </c>
      <c r="EE3" s="44" t="str">
        <f t="shared" si="2"/>
        <v/>
      </c>
      <c r="EF3" s="44" t="str">
        <f>IF(AND(Y3&lt;&gt;"n",Y3&lt;&gt;""),CHAR(34)&amp;Y$1&amp;CHAR(34)&amp;",","")</f>
        <v/>
      </c>
      <c r="EG3" s="44" t="str">
        <f t="shared" si="3"/>
        <v/>
      </c>
      <c r="EH3" s="44" t="str">
        <f t="shared" si="3"/>
        <v/>
      </c>
      <c r="EI3" s="44" t="str">
        <f t="shared" si="3"/>
        <v/>
      </c>
      <c r="EJ3" s="44" t="str">
        <f t="shared" si="3"/>
        <v/>
      </c>
      <c r="EK3" s="44" t="str">
        <f t="shared" si="3"/>
        <v/>
      </c>
      <c r="EL3" s="44" t="str">
        <f t="shared" si="3"/>
        <v/>
      </c>
      <c r="EM3" s="44" t="str">
        <f t="shared" si="3"/>
        <v/>
      </c>
      <c r="EN3" s="44" t="str">
        <f t="shared" si="3"/>
        <v/>
      </c>
      <c r="EO3" s="44" t="str">
        <f t="shared" si="3"/>
        <v/>
      </c>
      <c r="EP3" s="44" t="str">
        <f t="shared" si="3"/>
        <v>"Canton",</v>
      </c>
      <c r="EQ3" s="44" t="str">
        <f t="shared" si="4"/>
        <v>"Nordic",</v>
      </c>
      <c r="ER3" s="44" t="str">
        <f t="shared" si="4"/>
        <v/>
      </c>
      <c r="ES3" s="44" t="str">
        <f t="shared" si="4"/>
        <v/>
      </c>
      <c r="ET3" s="44" t="str">
        <f t="shared" si="4"/>
        <v/>
      </c>
      <c r="EU3" s="44" t="str">
        <f t="shared" si="4"/>
        <v/>
      </c>
      <c r="EV3" s="44" t="str">
        <f t="shared" si="4"/>
        <v/>
      </c>
      <c r="EW3" s="44" t="str">
        <f t="shared" si="4"/>
        <v/>
      </c>
      <c r="EX3" s="44" t="str">
        <f t="shared" si="4"/>
        <v/>
      </c>
      <c r="EY3" s="44" t="str">
        <f t="shared" si="4"/>
        <v/>
      </c>
      <c r="EZ3" s="44" t="str">
        <f t="shared" si="4"/>
        <v/>
      </c>
      <c r="FA3" s="44" t="str">
        <f>IF(AT3&gt;0,CHAR(34)&amp;"sta"&amp;AZ3&amp;CHAR(34)&amp;",","")</f>
        <v/>
      </c>
      <c r="FB3" s="44" t="str">
        <f>IF(AND(AT3&gt;0,BA3&lt;&gt;""),CHAR(34)&amp;"sta"&amp;BA3&amp;CHAR(34)&amp;",","")</f>
        <v/>
      </c>
      <c r="FD3" s="44" t="str">
        <f>IF(BV3="n",CHAR(34)&amp;"tcWHYE"&amp;CHAR(34)&amp;",",IF(BV3="y",CHAR(34)&amp;FD$1&amp;CHAR(34)&amp;",",""))</f>
        <v/>
      </c>
      <c r="FE3" s="44" t="str">
        <f>IF(COUNTIF(BL3:BT3,"BLU")=0,CHAR(34)&amp;"NO_BLU"&amp;CHAR(34)&amp;",", "")</f>
        <v>"NO_BLU",</v>
      </c>
      <c r="FF3" s="44" t="str">
        <f>IF(COUNTIF(BL3:BT3,"WHI")=0,CHAR(34)&amp;"NO_WHI"&amp;CHAR(34)&amp;",", "")</f>
        <v/>
      </c>
      <c r="FG3" s="44" t="str">
        <f>IF(COUNTIF(BL3:BT3,"RED")=0,CHAR(34)&amp;"NO_RED"&amp;CHAR(34)&amp;",", "")</f>
        <v/>
      </c>
      <c r="FH3" s="44" t="str">
        <f>IF(COUNTIF(BL3:BS3,"GRE")=0,CHAR(34)&amp;"NO_GRE"&amp;CHAR(34)&amp;",", "")</f>
        <v>"NO_GRE",</v>
      </c>
      <c r="FI3" s="44" t="str">
        <f>IF(COUNTIF(BL3:BT3,"YEL")=0,CHAR(34)&amp;"NO_YEL"&amp;CHAR(34)&amp;",", "")</f>
        <v>"NO_YEL",</v>
      </c>
      <c r="FJ3" s="44" t="str">
        <f>IF(COUNTIF(BL3:BT3,"BLA")=0,CHAR(34)&amp;"NO_BLA"&amp;CHAR(34)&amp;",", "")</f>
        <v>"NO_BLA",</v>
      </c>
      <c r="FK3" s="44" t="str">
        <f>IF(AND(FH3&lt;&gt;"",FF3&lt;&gt;""),CHAR(34)&amp;"WHGRNO"&amp;CHAR(34)&amp;",","")</f>
        <v/>
      </c>
      <c r="FL3" s="44" t="str">
        <f>IF(AND(FI3&lt;&gt;"",FF3&lt;&gt;""),CHAR(34)&amp;"WHYENO"&amp;CHAR(34)&amp;",","")</f>
        <v/>
      </c>
      <c r="FM3" s="44" t="str">
        <f>IF(AND(FJ3&lt;&gt;"",FF3&lt;&gt;""),CHAR(34)&amp;"BAWHNO"&amp;CHAR(34)&amp;",","")</f>
        <v/>
      </c>
      <c r="FN3" s="44" t="str">
        <f>IF(AND(FE3&lt;&gt;"",FF3&lt;&gt;""),CHAR(34)&amp;"BLWHNO"&amp;CHAR(34)&amp;",","")</f>
        <v/>
      </c>
      <c r="FO3" s="44" t="str">
        <f>IF(AND(FE3&lt;&gt;"",FG3&lt;&gt;""),CHAR(34)&amp;"BLRENO"&amp;CHAR(34)&amp;",","")</f>
        <v/>
      </c>
      <c r="FP3" s="44" t="str">
        <f>IF(AND(FF3&lt;&gt;"",FF3&lt;&gt;""),CHAR(34)&amp;"WHRENO"&amp;CHAR(34)&amp;",","")</f>
        <v/>
      </c>
      <c r="FQ3" s="44" t="str">
        <f>IF(LEN(BF3)=3,CHAR(34)&amp;"001"&amp;BF3&amp;CHAR(34)&amp;",","")</f>
        <v/>
      </c>
      <c r="FR3" s="44" t="str">
        <f>IF(LEN(BG3)=3,CHAR(34)&amp;"002"&amp;BG3&amp;CHAR(34)&amp;",","")</f>
        <v/>
      </c>
      <c r="FS3" s="44" t="str">
        <f>IF(LEN(BH3)=3,CHAR(34)&amp;"003"&amp;BH3&amp;CHAR(34)&amp;",","")</f>
        <v/>
      </c>
      <c r="FT3" s="44" t="str">
        <f>CHAR(34)&amp;"myr"&amp;BD3&amp;CHAR(34)&amp;","</f>
        <v>"myrWHI",</v>
      </c>
      <c r="FU3" s="44" t="str">
        <f>IF(AY3="y",CHAR(34)&amp;"island"&amp;CHAR(34)&amp;",","")</f>
        <v/>
      </c>
      <c r="FV3" s="44" t="str">
        <f>IF(BZ3="y",CHAR(34)&amp;"landlo"&amp;CHAR(34)&amp;",","")</f>
        <v/>
      </c>
      <c r="FW3" s="44" t="str">
        <f>IF(CA3="y",CHAR(34)&amp;"eunion"&amp;CHAR(34)&amp;",","")</f>
        <v/>
      </c>
      <c r="FY3" s="44" t="str">
        <f>IFERROR(IF(SEARCH("Arabic",CB3)&gt;0,CHAR(34)&amp;"arabic"&amp;CHAR(34)&amp;",",""),"")</f>
        <v/>
      </c>
      <c r="FZ3" s="44" t="str">
        <f>IFERROR(IF(SEARCH("English",CB3)&gt;0,CHAR(34)&amp;"englis"&amp;CHAR(34)&amp;",",""),"")</f>
        <v/>
      </c>
      <c r="GA3" s="44" t="str">
        <f>IFERROR(IF(SEARCH("French",CB3)&gt;0,CHAR(34)&amp;"french"&amp;CHAR(34)&amp;",",""),"")</f>
        <v/>
      </c>
      <c r="GB3" s="44" t="str">
        <f>IFERROR(IF(SEARCH("Spanish",CB3)&gt;0,CHAR(34)&amp;"spanis"&amp;CHAR(34)&amp;",",""),"")</f>
        <v/>
      </c>
      <c r="GE3" s="44" t="str">
        <f>IFERROR(IF(SEARCH("Dutch",CB3)&gt;0,CHAR(34)&amp;"dutchs"&amp;CHAR(34)&amp;",",""),"")</f>
        <v/>
      </c>
      <c r="GF3" s="44" t="str">
        <f>IFERROR(IF(SEARCH("Historical",AU3)&gt;0,CHAR(34)&amp;"histor"&amp;CHAR(34)&amp;",",""),"")</f>
        <v/>
      </c>
      <c r="GG3" s="44" t="str">
        <f>IF(BU3="y",CHAR(34)&amp;"unjack"&amp;CHAR(34)&amp;",","")</f>
        <v/>
      </c>
      <c r="GH3" s="44" t="str">
        <f>IF(CD3=1,CHAR(34)&amp;"southc"&amp;CHAR(34)&amp;",","")</f>
        <v/>
      </c>
      <c r="GI3" s="44" t="str">
        <f>IF(CE3=1,CHAR(34)&amp;"hasmap"&amp;CHAR(34)&amp;",","")</f>
        <v/>
      </c>
      <c r="GJ3" s="44" t="str">
        <f>IF(CP3="y",CHAR(34)&amp;CP$1&amp;CHAR(34)&amp;",","")</f>
        <v>"NoStar",</v>
      </c>
      <c r="GK3" s="44" t="str">
        <f>IF(GJ3="",CHAR(34)&amp;"HasSta"&amp;CHAR(34)&amp;",","")</f>
        <v/>
      </c>
      <c r="GL3" s="44" t="str">
        <f t="shared" si="5"/>
        <v/>
      </c>
      <c r="GM3" s="44" t="str">
        <f t="shared" si="5"/>
        <v/>
      </c>
      <c r="GN3" s="44" t="str">
        <f t="shared" si="5"/>
        <v/>
      </c>
      <c r="GP3" s="44" t="str">
        <f>CHAR(34)&amp;AU3&amp;CHAR(34)</f>
        <v>"Naval Ensign"</v>
      </c>
      <c r="GS3" s="44" t="str">
        <f>SUBSTITUTE("["&amp;_xlfn.CONCAT(CW3:GN3)&amp;"]",",]","]")</f>
        <v>["2Color","lets18","startT","with_v","REDWHI","year19","4+Band","Crosse","Horizo","Vertic","Canton","Nordic","NO_BLU","NO_GRE","NO_YEL","NO_BLA","myrWHI","NoStar"]</v>
      </c>
      <c r="GT3" s="44" t="str">
        <f t="shared" si="6"/>
        <v>"cl_WHI",</v>
      </c>
      <c r="GU3" s="44" t="str">
        <f t="shared" si="6"/>
        <v>"cl_RED",</v>
      </c>
      <c r="GV3" s="44" t="str">
        <f t="shared" si="6"/>
        <v/>
      </c>
      <c r="GW3" s="44" t="str">
        <f t="shared" si="6"/>
        <v/>
      </c>
      <c r="GX3" s="44" t="str">
        <f t="shared" si="6"/>
        <v/>
      </c>
      <c r="GY3" s="44" t="str">
        <f t="shared" si="6"/>
        <v/>
      </c>
      <c r="GZ3" s="44" t="str">
        <f t="shared" si="6"/>
        <v/>
      </c>
      <c r="HA3" s="44" t="str">
        <f t="shared" si="6"/>
        <v/>
      </c>
      <c r="HB3" s="44" t="str">
        <f t="shared" si="6"/>
        <v/>
      </c>
      <c r="HC3" s="44" t="str">
        <f>SUBSTITUTE("["&amp;_xlfn.CONCAT(GT3:HB3)&amp;"]",",]","]")</f>
        <v>["cl_WHI","cl_RED"]</v>
      </c>
      <c r="HE3" s="64"/>
      <c r="HF3" s="65" t="str">
        <f>"{couname:"&amp;CT3&amp;(IF(HK3&lt;&gt;"",",subtype:"&amp;CHAR(34)&amp;HK3&amp;CHAR(34),""))&amp;",year:"&amp;HJ3&amp;",region:"&amp;CU3&amp;",Colors:"&amp;HC3&amp;",Items:"&amp;GS3&amp;",Flag:"&amp;CV3&amp;",HDFlag:"&amp;CHAR(34)&amp;E3&amp;CHAR(34)&amp;",type:"&amp;GP3&amp;", describe: "&amp;HH3&amp;", isnew:"&amp;CHAR(34)&amp;F3&amp;CHAR(34)&amp;", links: "&amp;HL3&amp;"},"</f>
        <v>{couname:"[TON] Tonga (Naval Ensign)",year:"1985",region:"rgn_Oceania",Colors:["cl_WHI","cl_RED"],Items:["2Color","lets18","startT","with_v","REDWHI","year19","4+Band","Crosse","Horizo","Vertic","Canton","Nordic","NO_BLU","NO_GRE","NO_YEL","NO_BLA","myrWHI","NoStar"],Flag:"https://upload.wikimedia.org/wikipedia/commons/thumb/8/8d/Naval_Ensign_of_Tonga.svg/2560px-Naval_Ensign_of_Tonga.svg.png",HDFlag:"https://upload.wikimedia.org/wikipedia/commons/thumb/8/8d/Naval_Ensign_of_Tonga.svg/2560px-Naval_Ensign_of_Tonga.svg.png",type:"Naval Ensign", describe: "\nThe design seems to be inspired by the Tongan national flag, the British White Ensign, the German Imperial War Flag and the Scandinavian cross flags, all put together in one. The flag has a red Scandinavian cross bordered in white and red. In the white canton is a red Greek cross (as in the Tongan national flag). The flag was designed by Prince Tupouto'a, Minister of Foreign Affairs and Defence when the flag was adopted 13 September 1985", isnew:".", links: "https://www.crwflags.com/fotw/flags/to%5E.html"},</v>
      </c>
      <c r="HG3" s="66" t="str">
        <f>"{couname:"&amp;CT3&amp;(IF(HK3&lt;&gt;"",",subtype:"&amp;CHAR(34)&amp;HK3&amp;CHAR(34),""))&amp;",year:"&amp;HJ3&amp;",region:"&amp;CU3&amp;",Colors:"&amp;HC3&amp;",Items:"&amp;GS3&amp;",Flag:"&amp;CV3&amp;",HDFlag:"&amp;CHAR(34)&amp;E3&amp;CHAR(34)&amp;",type:"&amp;GP3&amp;", describe: "&amp;HI3&amp;", links: "&amp;HL3&amp;"},"</f>
        <v>{couname:"[TON] Tonga (Naval Ensign)",year:"1985",region:"rgn_Oceania",Colors:["cl_WHI","cl_RED"],Items:["2Color","lets18","startT","with_v","REDWHI","year19","4+Band","Crosse","Horizo","Vertic","Canton","Nordic","NO_BLU","NO_GRE","NO_YEL","NO_BLA","myrWHI","NoStar"],Flag:"https://upload.wikimedia.org/wikipedia/commons/thumb/8/8d/Naval_Ensign_of_Tonga.svg/2560px-Naval_Ensign_of_Tonga.svg.png",HDFlag:"https://upload.wikimedia.org/wikipedia/commons/thumb/8/8d/Naval_Ensign_of_Tonga.svg/2560px-Naval_Ensign_of_Tonga.svg.png",type:"Naval Ensign", describe: "\nThe design seems to be inspired by the Tongan national flag, the British White Ensign, the German Imperial War Flag and the Scandinavian cross flags, all put together in one. The flag has a red Scandinavian cross bordered in white and red. In the white canton is a red Greek cross (as in the Tongan national flag). The flag was designed by Prince Tupouto'a, Minister of Foreign Affairs and Defence when the flag was adopted 13 September 1985", links: "https://www.crwflags.com/fotw/flags/to%5E.html"},</v>
      </c>
      <c r="HH3" s="44" t="str">
        <f>IF(P3&lt;&gt;"",CHAR(34)&amp;"\n"&amp;P3&amp;CHAR(34),CHAR(34)&amp;CHAR(34))</f>
        <v>"\nThe design seems to be inspired by the Tongan national flag, the British White Ensign, the German Imperial War Flag and the Scandinavian cross flags, all put together in one. The flag has a red Scandinavian cross bordered in white and red. In the white canton is a red Greek cross (as in the Tongan national flag). The flag was designed by Prince Tupouto'a, Minister of Foreign Affairs and Defence when the flag was adopted 13 September 1985"</v>
      </c>
      <c r="HI3" s="44" t="str">
        <f>IF(J3=0,CHAR(34)&amp;CHAR(34),HH3)</f>
        <v>"\nThe design seems to be inspired by the Tongan national flag, the British White Ensign, the German Imperial War Flag and the Scandinavian cross flags, all put together in one. The flag has a red Scandinavian cross bordered in white and red. In the white canton is a red Greek cross (as in the Tongan national flag). The flag was designed by Prince Tupouto'a, Minister of Foreign Affairs and Defence when the flag was adopted 13 September 1985"</v>
      </c>
      <c r="HJ3" s="44" t="str">
        <f>CHAR(34)&amp;O3&amp;CHAR(34)</f>
        <v>"1985"</v>
      </c>
      <c r="HL3" s="44" t="str">
        <f>CHAR(34)&amp;I3&amp;CHAR(34)</f>
        <v>"https://www.crwflags.com/fotw/flags/to%5E.html"</v>
      </c>
      <c r="HM3" s="65"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{"couname":"[TON] Tonga (Naval Ensign)","subtype":"[TON] Other","year":"1985","region":"rgn_Oceania","Colors":["cl_WHI","cl_RED"],"Items":["2Color","lets18","startT","with_v","REDWHI","year19","4+Band","Crosse","Horizo","Vertic","Canton","Nordic","NO_BLU","NO_GRE","NO_YEL","NO_BLA","myrWHI","NoStar"],"Flag":"https://upload.wikimedia.org/wikipedia/commons/thumb/8/8d/Naval_Ensign_of_Tonga.svg/2560px-Naval_Ensign_of_Tonga.svg.png","HDFlag":"https://upload.wikimedia.org/wikipedia/commons/thumb/8/8d/Naval_Ensign_of_Tonga.svg/2560px-Naval_Ensign_of_Tonga.svg.png","type":"Naval Ensign", "describe": "\nThe design seems to be inspired by the Tongan national flag, the British White Ensign, the German Imperial War Flag and the Scandinavian cross flags, all put together in one. The flag has a red Scandinavian cross bordered in white and red. In the white canton is a red Greek cross (as in the Tongan national flag). The flag was designed by Prince Tupouto'a, Minister of Foreign Affairs and Defence when the flag was adopted 13 September 1985", "isnew": ".", "links": "https://www.crwflags.com/fotw/flags/to%5E.html"},</v>
      </c>
      <c r="HN3" s="67"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{"couname":"[TON] Tonga (Naval Ensign)","subtype":"[TON] Other","year":"1985","region":"rgn_Oceania","Colors":["cl_WHI","cl_RED"],"Items":["2Color","lets18","startT","with_v","REDWHI","year19","4+Band","Crosse","Horizo","Vertic","Canton","Nordic","NO_BLU","NO_GRE","NO_YEL","NO_BLA","myrWHI","NoStar"],"Flag":"https://upload.wikimedia.org/wikipedia/commons/thumb/8/8d/Naval_Ensign_of_Tonga.svg/2560px-Naval_Ensign_of_Tonga.svg.png","HDFlag":"https://upload.wikimedia.org/wikipedia/commons/thumb/8/8d/Naval_Ensign_of_Tonga.svg/2560px-Naval_Ensign_of_Tonga.svg.png","type":"Naval Ensign", "describe": "\nThe design seems to be inspired by the Tongan national flag, the British White Ensign, the German Imperial War Flag and the Scandinavian cross flags, all put together in one. The flag has a red Scandinavian cross bordered in white and red. In the white canton is a red Greek cross (as in the Tongan national flag). The flag was designed by Prince Tupouto'a, Minister of Foreign Affairs and Defence when the flag was adopted 13 September 1985", "isnew": ".", "links": "https://www.crwflags.com/fotw/flags/to%5E.html"},</v>
      </c>
      <c r="HO3" s="71">
        <v>45610</v>
      </c>
      <c r="HP3" s="44" t="str" cm="1">
        <f t="array" ref="HP3">IF(_xlfn.TEXTJOIN(", ", TRUE, IF(ISNUMBER(SEARCH("BLA", BL3:BT3)), COLUMN(BL3:BT3) - COLUMN(BL3) + 1, ""))&lt;&gt;"","BLA","")</f>
        <v/>
      </c>
      <c r="HQ3" s="44" t="str" cm="1">
        <f t="array" ref="HQ3">IF(_xlfn.TEXTJOIN(", ", TRUE, IF(ISNUMBER(SEARCH("BLU", BL3:BT3)), COLUMN(BL3:BT3) - COLUMN(BL3) + 1, ""))&lt;&gt;"","BLU","")</f>
        <v/>
      </c>
      <c r="HR3" s="44" t="str" cm="1">
        <f t="array" ref="HR3">IF(_xlfn.TEXTJOIN(", ", TRUE, IF(ISNUMBER(SEARCH("GRE", BL3:BT3)), COLUMN(BL3:BT3) - COLUMN(BL3) + 1, ""))&lt;&gt;"","GRE","")</f>
        <v/>
      </c>
      <c r="HS3" s="44" t="str" cm="1">
        <f t="array" ref="HS3">IF(_xlfn.TEXTJOIN(", ", TRUE, IF(ISNUMBER(SEARCH("RED", BL3:BT3)), COLUMN(BL3:BT3) - COLUMN(BL3) + 1, ""))&lt;&gt;"","RED","")</f>
        <v>RED</v>
      </c>
      <c r="HT3" s="44" t="str" cm="1">
        <f t="array" ref="HT3">IF(_xlfn.TEXTJOIN(", ", TRUE, IF(ISNUMBER(SEARCH("YEL", BL3:BT3)), COLUMN(BL3:BT3) - COLUMN(BL3) + 1, ""))&lt;&gt;"","YEL","")</f>
        <v/>
      </c>
      <c r="HU3" s="44" t="str" cm="1">
        <f t="array" ref="HU3">IF(_xlfn.TEXTJOIN(", ", TRUE, IF(ISNUMBER(SEARCH("ORA", BL3:BT3)), COLUMN(BL3:BT3) - COLUMN(BL3) + 1, ""))&lt;&gt;"","ORA","")</f>
        <v/>
      </c>
      <c r="HV3" s="44" t="str" cm="1">
        <f t="array" ref="HV3">IF(_xlfn.TEXTJOIN(", ", TRUE, IF(ISNUMBER(SEARCH("BRO", BL3:BT3)), COLUMN(BL3:BT3) - COLUMN(BL3) + 1, ""))&lt;&gt;"","BRO","")</f>
        <v/>
      </c>
      <c r="HW3" s="44" t="str" cm="1">
        <f t="array" ref="HW3">IF(_xlfn.TEXTJOIN(", ", TRUE, IF(ISNUMBER(SEARCH("PUR", BL3:BT3)), COLUMN(BL3:BT3) - COLUMN(BL3) + 1, ""))&lt;&gt;"","PUR","")</f>
        <v/>
      </c>
      <c r="HX3" s="44" t="str" cm="1">
        <f t="array" ref="HX3">IF(_xlfn.TEXTJOIN(", ", TRUE, IF(ISNUMBER(SEARCH("WHI", BL3:BT3)), COLUMN(BL3:BT3) - COLUMN(BL3) + 1, ""))&lt;&gt;"","WHI","")</f>
        <v>WHI</v>
      </c>
      <c r="HY3" s="72"/>
      <c r="HZ3" s="72"/>
      <c r="IA3" s="5"/>
      <c r="IB3" s="5"/>
      <c r="IC3" s="68"/>
      <c r="ID3" s="68"/>
      <c r="IE3" s="68"/>
      <c r="IF3" s="68"/>
      <c r="IG3" s="68"/>
      <c r="IH3" s="68"/>
      <c r="II3" s="68"/>
      <c r="IJ3" s="68"/>
      <c r="IK3" s="68"/>
      <c r="IM3" s="42">
        <f>COUNTIF(IC3:IK3,"&gt;0")-CG3</f>
        <v>-2</v>
      </c>
      <c r="IN3" s="69" t="str">
        <f>"http://mkweb.bcgsc.ca/color-summarizer/?url="&amp;D3&amp;"&amp;precision=low&amp;num_clusters="&amp;CG3&amp;"&amp;text=1"</f>
        <v>http://mkweb.bcgsc.ca/color-summarizer/?url=https://upload.wikimedia.org/wikipedia/commons/thumb/8/8d/Naval_Ensign_of_Tonga.svg/2560px-Naval_Ensign_of_Tonga.svg.png&amp;precision=low&amp;num_clusters=2&amp;text=1</v>
      </c>
      <c r="IO3" s="44" t="str">
        <f>IF(HP3&lt;&gt;"",CHAR(34)&amp;"black"&amp;CHAR(34),"")</f>
        <v/>
      </c>
      <c r="IP3" s="44" t="str">
        <f>IF(HQ3&lt;&gt;"",CHAR(34)&amp;"blue"&amp;CHAR(34),"")</f>
        <v/>
      </c>
      <c r="IQ3" s="44" t="str">
        <f>IF(HR3&lt;&gt;"",CHAR(34)&amp;"green"&amp;CHAR(34),"")</f>
        <v/>
      </c>
      <c r="IR3" s="44" t="str">
        <f>IF(HS3&lt;&gt;"",CHAR(34)&amp;"red"&amp;CHAR(34),"")</f>
        <v>"red"</v>
      </c>
      <c r="IS3" s="44" t="str">
        <f>IF(HT3&lt;&gt;"",CHAR(34)&amp;"yellow"&amp;CHAR(34),"")</f>
        <v/>
      </c>
      <c r="IT3" s="44" t="str">
        <f>IF(HU3&lt;&gt;"",CHAR(34)&amp;"orange"&amp;CHAR(34),"")</f>
        <v/>
      </c>
      <c r="IU3" s="44" t="str">
        <f>IF(HV3&lt;&gt;"",CHAR(34)&amp;"brown"&amp;CHAR(34),"")</f>
        <v/>
      </c>
      <c r="IV3" s="44" t="str">
        <f>IF(HW3&lt;&gt;"",CHAR(34)&amp;"purple"&amp;CHAR(34),"")</f>
        <v/>
      </c>
      <c r="IW3" s="44" t="str">
        <f>IF(HX3&lt;&gt;"",CHAR(34)&amp;"white"&amp;CHAR(34),"")</f>
        <v>"white"</v>
      </c>
      <c r="IX3" s="44" t="str">
        <f>"{"&amp;CHAR(34)&amp;"url"&amp;CHAR(34)&amp;":"&amp;CHAR(34)&amp;IN3&amp;CHAR(34)&amp;","&amp;CHAR(34)&amp;"name"&amp;CHAR(34)&amp;":"&amp;CHAR(34)&amp;A3&amp;CHAR(34)&amp;"},"</f>
        <v>{"url":"http://mkweb.bcgsc.ca/color-summarizer/?url=https://upload.wikimedia.org/wikipedia/commons/thumb/8/8d/Naval_Ensign_of_Tonga.svg/2560px-Naval_Ensign_of_Tonga.svg.png&amp;precision=low&amp;num_clusters=2&amp;text=1","name":"[TON] Tonga (Naval Ensign)"},</v>
      </c>
      <c r="IY3" s="44">
        <v>1420</v>
      </c>
    </row>
    <row r="4" spans="1:259" ht="38.4" customHeight="1" x14ac:dyDescent="0.3">
      <c r="J4" s="44" t="str">
        <f>""</f>
        <v/>
      </c>
    </row>
  </sheetData>
  <autoFilter ref="A1:IY2" xr:uid="{A1051193-A95B-4CFB-A73C-F0184620C81F}">
    <sortState xmlns:xlrd2="http://schemas.microsoft.com/office/spreadsheetml/2017/richdata2" ref="A2:IY3">
      <sortCondition ref="AW1:AW2"/>
    </sortState>
  </autoFilter>
  <conditionalFormatting sqref="H1 CW1:GS1 IA1:IB1">
    <cfRule type="cellIs" dxfId="304" priority="95" operator="greaterThan">
      <formula>0</formula>
    </cfRule>
  </conditionalFormatting>
  <conditionalFormatting sqref="H1:H1048576">
    <cfRule type="cellIs" dxfId="303" priority="35" stopIfTrue="1" operator="notEqual">
      <formula>""</formula>
    </cfRule>
  </conditionalFormatting>
  <conditionalFormatting sqref="R2:R3 CU2:CU3">
    <cfRule type="cellIs" dxfId="302" priority="37" operator="greaterThan">
      <formula>0</formula>
    </cfRule>
  </conditionalFormatting>
  <conditionalFormatting sqref="T2:AS2 CH2:CS2">
    <cfRule type="cellIs" dxfId="301" priority="32" stopIfTrue="1" operator="equal">
      <formula>"n"</formula>
    </cfRule>
    <cfRule type="cellIs" dxfId="300" priority="33" stopIfTrue="1" operator="equal">
      <formula>"y"</formula>
    </cfRule>
    <cfRule type="cellIs" dxfId="299" priority="34" operator="greaterThan">
      <formula>0</formula>
    </cfRule>
  </conditionalFormatting>
  <conditionalFormatting sqref="T1:BK1">
    <cfRule type="cellIs" dxfId="298" priority="98" operator="greaterThan">
      <formula>0</formula>
    </cfRule>
  </conditionalFormatting>
  <conditionalFormatting sqref="AZ2:BB2">
    <cfRule type="expression" dxfId="297" priority="31">
      <formula>$AT2=0</formula>
    </cfRule>
  </conditionalFormatting>
  <conditionalFormatting sqref="AZ2:BU2">
    <cfRule type="cellIs" dxfId="296" priority="73" operator="equal">
      <formula>"PIN"</formula>
    </cfRule>
    <cfRule type="cellIs" dxfId="295" priority="74" operator="equal">
      <formula>"ORA"</formula>
    </cfRule>
    <cfRule type="cellIs" dxfId="294" priority="75" operator="equal">
      <formula>"GRA"</formula>
    </cfRule>
    <cfRule type="cellIs" dxfId="293" priority="76" operator="equal">
      <formula>"PUR"</formula>
    </cfRule>
    <cfRule type="cellIs" dxfId="292" priority="77" operator="equal">
      <formula>"BRO"</formula>
    </cfRule>
    <cfRule type="cellIs" dxfId="291" priority="78" operator="equal">
      <formula>"YEL"</formula>
    </cfRule>
    <cfRule type="cellIs" dxfId="290" priority="79" operator="equal">
      <formula>"BLU"</formula>
    </cfRule>
    <cfRule type="cellIs" dxfId="289" priority="80" operator="equal">
      <formula>"WHI"</formula>
    </cfRule>
    <cfRule type="cellIs" dxfId="288" priority="81" operator="equal">
      <formula>"GRE"</formula>
    </cfRule>
    <cfRule type="cellIs" dxfId="287" priority="82" operator="equal">
      <formula>"RED"</formula>
    </cfRule>
    <cfRule type="cellIs" dxfId="286" priority="83" operator="equal">
      <formula>"BLA"</formula>
    </cfRule>
  </conditionalFormatting>
  <conditionalFormatting sqref="BV1:BW1048576">
    <cfRule type="cellIs" dxfId="285" priority="97" operator="equal">
      <formula>"nc"</formula>
    </cfRule>
  </conditionalFormatting>
  <conditionalFormatting sqref="BX2:CA2 CD2:CF2">
    <cfRule type="cellIs" dxfId="284" priority="36" operator="equal">
      <formula>"y"</formula>
    </cfRule>
    <cfRule type="cellIs" dxfId="283" priority="84" operator="equal">
      <formula>"PIN"</formula>
    </cfRule>
    <cfRule type="cellIs" dxfId="282" priority="85" operator="equal">
      <formula>"ORA"</formula>
    </cfRule>
    <cfRule type="cellIs" dxfId="281" priority="86" operator="equal">
      <formula>"GRA"</formula>
    </cfRule>
    <cfRule type="cellIs" dxfId="280" priority="87" operator="equal">
      <formula>"PUR"</formula>
    </cfRule>
    <cfRule type="cellIs" dxfId="279" priority="88" operator="equal">
      <formula>"BRO"</formula>
    </cfRule>
    <cfRule type="cellIs" dxfId="278" priority="89" operator="equal">
      <formula>"YEL"</formula>
    </cfRule>
    <cfRule type="cellIs" dxfId="277" priority="90" operator="equal">
      <formula>"BLU"</formula>
    </cfRule>
    <cfRule type="cellIs" dxfId="276" priority="91" operator="equal">
      <formula>"WHI"</formula>
    </cfRule>
    <cfRule type="cellIs" dxfId="275" priority="92" operator="equal">
      <formula>"GRE"</formula>
    </cfRule>
    <cfRule type="cellIs" dxfId="274" priority="93" operator="equal">
      <formula>"RED"</formula>
    </cfRule>
    <cfRule type="cellIs" dxfId="273" priority="94" operator="equal">
      <formula>"BLA"</formula>
    </cfRule>
  </conditionalFormatting>
  <conditionalFormatting sqref="BZ2:CA2 CD2:CF2">
    <cfRule type="cellIs" dxfId="272" priority="38" operator="greaterThan">
      <formula>0</formula>
    </cfRule>
  </conditionalFormatting>
  <conditionalFormatting sqref="HF1:HG1">
    <cfRule type="cellIs" dxfId="271" priority="99" operator="greaterThan">
      <formula>0</formula>
    </cfRule>
  </conditionalFormatting>
  <conditionalFormatting sqref="HK1">
    <cfRule type="cellIs" dxfId="270" priority="96" operator="greaterThan">
      <formula>0</formula>
    </cfRule>
  </conditionalFormatting>
  <conditionalFormatting sqref="HP1:HX1">
    <cfRule type="cellIs" dxfId="269" priority="50" operator="equal">
      <formula>"PIN"</formula>
    </cfRule>
    <cfRule type="cellIs" dxfId="268" priority="51" operator="equal">
      <formula>"ORA"</formula>
    </cfRule>
    <cfRule type="cellIs" dxfId="267" priority="52" operator="equal">
      <formula>"GRA"</formula>
    </cfRule>
    <cfRule type="cellIs" dxfId="266" priority="53" operator="equal">
      <formula>"PUR"</formula>
    </cfRule>
    <cfRule type="cellIs" dxfId="265" priority="54" operator="equal">
      <formula>"BRO"</formula>
    </cfRule>
    <cfRule type="cellIs" dxfId="264" priority="55" operator="equal">
      <formula>"YEL"</formula>
    </cfRule>
    <cfRule type="cellIs" dxfId="263" priority="56" operator="equal">
      <formula>"BLU"</formula>
    </cfRule>
    <cfRule type="cellIs" dxfId="262" priority="57" operator="equal">
      <formula>"WHI"</formula>
    </cfRule>
    <cfRule type="cellIs" dxfId="261" priority="58" operator="equal">
      <formula>"GRE"</formula>
    </cfRule>
    <cfRule type="cellIs" dxfId="260" priority="59" operator="equal">
      <formula>"RED"</formula>
    </cfRule>
    <cfRule type="cellIs" dxfId="259" priority="60" operator="equal">
      <formula>"BLA"</formula>
    </cfRule>
  </conditionalFormatting>
  <conditionalFormatting sqref="IC1:IK1">
    <cfRule type="cellIs" dxfId="258" priority="62" operator="equal">
      <formula>"PIN"</formula>
    </cfRule>
    <cfRule type="cellIs" dxfId="257" priority="63" operator="equal">
      <formula>"ORA"</formula>
    </cfRule>
    <cfRule type="cellIs" dxfId="256" priority="64" operator="equal">
      <formula>"GRA"</formula>
    </cfRule>
    <cfRule type="cellIs" dxfId="255" priority="65" operator="equal">
      <formula>"PUR"</formula>
    </cfRule>
    <cfRule type="cellIs" dxfId="254" priority="66" operator="equal">
      <formula>"BRO"</formula>
    </cfRule>
    <cfRule type="cellIs" dxfId="253" priority="67" operator="equal">
      <formula>"YEL"</formula>
    </cfRule>
    <cfRule type="cellIs" dxfId="252" priority="68" operator="equal">
      <formula>"BLU"</formula>
    </cfRule>
    <cfRule type="cellIs" dxfId="251" priority="69" operator="equal">
      <formula>"WHI"</formula>
    </cfRule>
    <cfRule type="cellIs" dxfId="250" priority="70" operator="equal">
      <formula>"GRE"</formula>
    </cfRule>
    <cfRule type="cellIs" dxfId="249" priority="71" operator="equal">
      <formula>"RED"</formula>
    </cfRule>
    <cfRule type="cellIs" dxfId="248" priority="72" operator="equal">
      <formula>"BLA"</formula>
    </cfRule>
  </conditionalFormatting>
  <conditionalFormatting sqref="IC2:IK2">
    <cfRule type="expression" dxfId="247" priority="61">
      <formula>$IL2&gt;0</formula>
    </cfRule>
  </conditionalFormatting>
  <conditionalFormatting sqref="IO1:IW1">
    <cfRule type="cellIs" dxfId="246" priority="39" operator="equal">
      <formula>"PIN"</formula>
    </cfRule>
    <cfRule type="cellIs" dxfId="245" priority="40" operator="equal">
      <formula>"ORA"</formula>
    </cfRule>
    <cfRule type="cellIs" dxfId="244" priority="41" operator="equal">
      <formula>"GRA"</formula>
    </cfRule>
    <cfRule type="cellIs" dxfId="243" priority="42" operator="equal">
      <formula>"PUR"</formula>
    </cfRule>
    <cfRule type="cellIs" dxfId="242" priority="43" operator="equal">
      <formula>"BRO"</formula>
    </cfRule>
    <cfRule type="cellIs" dxfId="241" priority="44" operator="equal">
      <formula>"YEL"</formula>
    </cfRule>
    <cfRule type="cellIs" dxfId="240" priority="45" operator="equal">
      <formula>"BLU"</formula>
    </cfRule>
    <cfRule type="cellIs" dxfId="239" priority="46" operator="equal">
      <formula>"WHI"</formula>
    </cfRule>
    <cfRule type="cellIs" dxfId="238" priority="47" operator="equal">
      <formula>"GRE"</formula>
    </cfRule>
    <cfRule type="cellIs" dxfId="237" priority="48" operator="equal">
      <formula>"RED"</formula>
    </cfRule>
    <cfRule type="cellIs" dxfId="236" priority="49" operator="equal">
      <formula>"BLA"</formula>
    </cfRule>
  </conditionalFormatting>
  <conditionalFormatting sqref="T3:AS3 CH3:CS3">
    <cfRule type="cellIs" dxfId="235" priority="3" stopIfTrue="1" operator="equal">
      <formula>"n"</formula>
    </cfRule>
    <cfRule type="cellIs" dxfId="234" priority="4" stopIfTrue="1" operator="equal">
      <formula>"y"</formula>
    </cfRule>
    <cfRule type="cellIs" dxfId="233" priority="5" operator="greaterThan">
      <formula>0</formula>
    </cfRule>
  </conditionalFormatting>
  <conditionalFormatting sqref="AZ3:BB3">
    <cfRule type="expression" dxfId="232" priority="2">
      <formula>$AT3=0</formula>
    </cfRule>
  </conditionalFormatting>
  <conditionalFormatting sqref="AZ3:BU3">
    <cfRule type="cellIs" dxfId="231" priority="9" operator="equal">
      <formula>"PIN"</formula>
    </cfRule>
    <cfRule type="cellIs" dxfId="230" priority="10" operator="equal">
      <formula>"ORA"</formula>
    </cfRule>
    <cfRule type="cellIs" dxfId="229" priority="11" operator="equal">
      <formula>"GRA"</formula>
    </cfRule>
    <cfRule type="cellIs" dxfId="228" priority="12" operator="equal">
      <formula>"PUR"</formula>
    </cfRule>
    <cfRule type="cellIs" dxfId="227" priority="13" operator="equal">
      <formula>"BRO"</formula>
    </cfRule>
    <cfRule type="cellIs" dxfId="226" priority="14" operator="equal">
      <formula>"YEL"</formula>
    </cfRule>
    <cfRule type="cellIs" dxfId="225" priority="15" operator="equal">
      <formula>"BLU"</formula>
    </cfRule>
    <cfRule type="cellIs" dxfId="224" priority="16" operator="equal">
      <formula>"WHI"</formula>
    </cfRule>
    <cfRule type="cellIs" dxfId="223" priority="17" operator="equal">
      <formula>"GRE"</formula>
    </cfRule>
    <cfRule type="cellIs" dxfId="222" priority="18" operator="equal">
      <formula>"RED"</formula>
    </cfRule>
    <cfRule type="cellIs" dxfId="221" priority="19" operator="equal">
      <formula>"BLA"</formula>
    </cfRule>
  </conditionalFormatting>
  <conditionalFormatting sqref="BX3:CA3 CD3:CF3">
    <cfRule type="cellIs" dxfId="220" priority="6" operator="equal">
      <formula>"y"</formula>
    </cfRule>
    <cfRule type="cellIs" dxfId="219" priority="20" operator="equal">
      <formula>"PIN"</formula>
    </cfRule>
    <cfRule type="cellIs" dxfId="218" priority="21" operator="equal">
      <formula>"ORA"</formula>
    </cfRule>
    <cfRule type="cellIs" dxfId="217" priority="22" operator="equal">
      <formula>"GRA"</formula>
    </cfRule>
    <cfRule type="cellIs" dxfId="216" priority="23" operator="equal">
      <formula>"PUR"</formula>
    </cfRule>
    <cfRule type="cellIs" dxfId="215" priority="24" operator="equal">
      <formula>"BRO"</formula>
    </cfRule>
    <cfRule type="cellIs" dxfId="214" priority="25" operator="equal">
      <formula>"YEL"</formula>
    </cfRule>
    <cfRule type="cellIs" dxfId="213" priority="26" operator="equal">
      <formula>"BLU"</formula>
    </cfRule>
    <cfRule type="cellIs" dxfId="212" priority="27" operator="equal">
      <formula>"WHI"</formula>
    </cfRule>
    <cfRule type="cellIs" dxfId="211" priority="28" operator="equal">
      <formula>"GRE"</formula>
    </cfRule>
    <cfRule type="cellIs" dxfId="210" priority="29" operator="equal">
      <formula>"RED"</formula>
    </cfRule>
    <cfRule type="cellIs" dxfId="209" priority="30" operator="equal">
      <formula>"BLA"</formula>
    </cfRule>
  </conditionalFormatting>
  <conditionalFormatting sqref="BZ3:CA3 CD3:CF3">
    <cfRule type="cellIs" dxfId="208" priority="7" operator="greaterThan">
      <formula>0</formula>
    </cfRule>
  </conditionalFormatting>
  <conditionalFormatting sqref="IC3:IK3">
    <cfRule type="expression" dxfId="207" priority="8">
      <formula>$IL3&gt;0</formula>
    </cfRule>
  </conditionalFormatting>
  <conditionalFormatting sqref="S2:S3">
    <cfRule type="colorScale" priority="4520">
      <colorScale>
        <cfvo type="min"/>
        <cfvo type="max"/>
        <color rgb="FFFCFCFF"/>
        <color rgb="FF754BFB"/>
      </colorScale>
    </cfRule>
  </conditionalFormatting>
  <conditionalFormatting sqref="AT2:AT3">
    <cfRule type="colorScale" priority="4521">
      <colorScale>
        <cfvo type="min"/>
        <cfvo type="max"/>
        <color rgb="FFFCFCFF"/>
        <color theme="8" tint="0.39997558519241921"/>
      </colorScale>
    </cfRule>
  </conditionalFormatting>
  <conditionalFormatting sqref="CG2:CG3">
    <cfRule type="colorScale" priority="4522">
      <colorScale>
        <cfvo type="min"/>
        <cfvo type="max"/>
        <color rgb="FFFCFCFF"/>
        <color rgb="FF63BE7B"/>
      </colorScale>
    </cfRule>
  </conditionalFormatting>
  <conditionalFormatting sqref="J2:J4">
    <cfRule type="colorScale" priority="1">
      <colorScale>
        <cfvo type="min"/>
        <cfvo type="percentile" val="50"/>
        <cfvo type="max"/>
        <color rgb="FFF8696B"/>
        <color rgb="FFFFEB84"/>
        <color rgb="FF63BE7B"/>
      </colorScale>
    </cfRule>
  </conditionalFormatting>
  <hyperlinks>
    <hyperlink ref="A2" r:id="rId1" display="https://fbref.com/en/country/TGA/Tonga-Football" xr:uid="{3F5F4C1D-E2C2-415A-A025-3890E2C6FAA1}"/>
    <hyperlink ref="E3" r:id="rId2" xr:uid="{4980B9F1-E4AB-4749-9234-8AEBAFF02B15}"/>
    <hyperlink ref="D3" r:id="rId3" xr:uid="{35728511-8FDF-4DFD-B10C-F1BD9DAA2F9D}"/>
  </hyperlinks>
  <pageMargins left="0.7" right="0.7" top="0.75" bottom="0.75" header="0.3" footer="0.3"/>
  <pageSetup paperSize="9"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29697" r:id="rId7" name="Button 1">
              <controlPr defaultSize="0" print="0" autoFill="0" autoPict="0" macro="[0]!InsertImagesFromSelectedRange">
                <anchor moveWithCells="1" sizeWithCells="1">
                  <from>
                    <xdr:col>1</xdr:col>
                    <xdr:colOff>76200</xdr:colOff>
                    <xdr:row>0</xdr:row>
                    <xdr:rowOff>7620</xdr:rowOff>
                  </from>
                  <to>
                    <xdr:col>2</xdr:col>
                    <xdr:colOff>0</xdr:colOff>
                    <xdr:row>0</xdr:row>
                    <xdr:rowOff>487680</xdr:rowOff>
                  </to>
                </anchor>
              </controlPr>
            </control>
          </mc:Choice>
        </mc:AlternateContent>
        <mc:AlternateContent xmlns:mc="http://schemas.openxmlformats.org/markup-compatibility/2006">
          <mc:Choice Requires="x14">
            <control shapeId="29698" r:id="rId8" name="Button 2">
              <controlPr defaultSize="0" print="0" autoFill="0" autoPict="0" macro="[0]!ReplaceLineBreaksWithNewLineManualRange">
                <anchor moveWithCells="1" sizeWithCells="1">
                  <from>
                    <xdr:col>7</xdr:col>
                    <xdr:colOff>15240</xdr:colOff>
                    <xdr:row>0</xdr:row>
                    <xdr:rowOff>45720</xdr:rowOff>
                  </from>
                  <to>
                    <xdr:col>7</xdr:col>
                    <xdr:colOff>685800</xdr:colOff>
                    <xdr:row>0</xdr:row>
                    <xdr:rowOff>403860</xdr:rowOff>
                  </to>
                </anchor>
              </controlPr>
            </control>
          </mc:Choice>
        </mc:AlternateContent>
        <mc:AlternateContent xmlns:mc="http://schemas.openxmlformats.org/markup-compatibility/2006">
          <mc:Choice Requires="x14">
            <control shapeId="29699" r:id="rId9" name="Button 3">
              <controlPr defaultSize="0" print="0" autoFill="0" autoPict="0" macro="[0]!GoToSheet">
                <anchor moveWithCells="1" sizeWithCells="1">
                  <from>
                    <xdr:col>0</xdr:col>
                    <xdr:colOff>137160</xdr:colOff>
                    <xdr:row>0</xdr:row>
                    <xdr:rowOff>114300</xdr:rowOff>
                  </from>
                  <to>
                    <xdr:col>0</xdr:col>
                    <xdr:colOff>762000</xdr:colOff>
                    <xdr:row>0</xdr:row>
                    <xdr:rowOff>419100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E14CC3-989E-490C-BE5D-73E2AA5C2120}">
  <sheetPr codeName="Sheet17"/>
  <dimension ref="A1:IY8"/>
  <sheetViews>
    <sheetView zoomScale="70" zoomScaleNormal="70" workbookViewId="0">
      <pane xSplit="5" ySplit="1" topLeftCell="F2" activePane="bottomRight" state="frozen"/>
      <selection activeCell="A2" sqref="A2"/>
      <selection pane="topRight" activeCell="A2" sqref="A2"/>
      <selection pane="bottomLeft" activeCell="A2" sqref="A2"/>
      <selection pane="bottomRight" activeCell="B2" sqref="B2"/>
    </sheetView>
  </sheetViews>
  <sheetFormatPr defaultRowHeight="38.4" customHeight="1" x14ac:dyDescent="0.3"/>
  <cols>
    <col min="1" max="1" width="52.44140625" style="82" bestFit="1" customWidth="1"/>
    <col min="2" max="2" width="10.109375" style="82" customWidth="1"/>
    <col min="3" max="3" width="7.44140625" style="83" customWidth="1"/>
    <col min="4" max="4" width="4.77734375" style="84" customWidth="1"/>
    <col min="5" max="5" width="4.5546875" style="84" customWidth="1"/>
    <col min="6" max="6" width="5.77734375" style="84" customWidth="1"/>
    <col min="7" max="7" width="7.44140625" style="82" customWidth="1"/>
    <col min="8" max="8" width="11.44140625" style="82" customWidth="1"/>
    <col min="9" max="9" width="10" style="82" customWidth="1"/>
    <col min="10" max="10" width="4.21875" style="82" customWidth="1"/>
    <col min="11" max="11" width="5.6640625" style="84" customWidth="1"/>
    <col min="12" max="12" width="2.88671875" style="84" customWidth="1"/>
    <col min="13" max="13" width="6.44140625" style="84" customWidth="1"/>
    <col min="14" max="14" width="4.5546875" style="84" customWidth="1"/>
    <col min="15" max="15" width="10.5546875" style="85" customWidth="1"/>
    <col min="16" max="16" width="6.88671875" style="84" customWidth="1"/>
    <col min="17" max="17" width="4.77734375" style="84" customWidth="1"/>
    <col min="18" max="18" width="13.109375" style="83" customWidth="1"/>
    <col min="19" max="19" width="6.77734375" style="83" customWidth="1"/>
    <col min="20" max="46" width="8.44140625" style="82" customWidth="1"/>
    <col min="47" max="47" width="24.5546875" style="82" customWidth="1"/>
    <col min="48" max="51" width="16.6640625" style="82" customWidth="1"/>
    <col min="52" max="52" width="6.5546875" style="82" customWidth="1"/>
    <col min="53" max="54" width="5.88671875" style="82" customWidth="1"/>
    <col min="55" max="55" width="1.33203125" style="82" customWidth="1"/>
    <col min="56" max="56" width="7.44140625" style="82" customWidth="1"/>
    <col min="57" max="57" width="2.33203125" style="82" customWidth="1"/>
    <col min="58" max="62" width="6.109375" style="82" customWidth="1"/>
    <col min="63" max="63" width="2.33203125" style="82" customWidth="1"/>
    <col min="64" max="64" width="7" style="82" bestFit="1" customWidth="1"/>
    <col min="65" max="65" width="6.44140625" style="82" bestFit="1" customWidth="1"/>
    <col min="66" max="66" width="7.109375" style="82" bestFit="1" customWidth="1"/>
    <col min="67" max="71" width="6.44140625" style="82" bestFit="1" customWidth="1"/>
    <col min="72" max="73" width="6.44140625" style="82" customWidth="1"/>
    <col min="74" max="75" width="13.44140625" style="82" customWidth="1"/>
    <col min="76" max="84" width="14.6640625" style="82" customWidth="1"/>
    <col min="85" max="85" width="6.44140625" style="82" customWidth="1"/>
    <col min="86" max="87" width="11.6640625" style="82" bestFit="1" customWidth="1"/>
    <col min="88" max="88" width="11.6640625" style="82" customWidth="1"/>
    <col min="89" max="89" width="12.77734375" style="82" bestFit="1" customWidth="1"/>
    <col min="90" max="90" width="16.44140625" style="83" bestFit="1" customWidth="1"/>
    <col min="91" max="92" width="14.88671875" style="83" bestFit="1" customWidth="1"/>
    <col min="93" max="93" width="16" style="83" bestFit="1" customWidth="1"/>
    <col min="94" max="97" width="7.77734375" style="82" customWidth="1"/>
    <col min="98" max="98" width="33.21875" style="82" customWidth="1"/>
    <col min="99" max="99" width="18" style="82" customWidth="1"/>
    <col min="100" max="100" width="75.6640625" style="82" customWidth="1"/>
    <col min="101" max="125" width="33" style="82" customWidth="1"/>
    <col min="126" max="126" width="8.88671875" style="82"/>
    <col min="127" max="128" width="9.44140625" style="82" bestFit="1" customWidth="1"/>
    <col min="129" max="129" width="10.77734375" style="82" bestFit="1" customWidth="1"/>
    <col min="130" max="134" width="10.77734375" style="82" customWidth="1"/>
    <col min="135" max="135" width="10.109375" style="82" bestFit="1" customWidth="1"/>
    <col min="136" max="136" width="7.77734375" style="82" bestFit="1" customWidth="1"/>
    <col min="137" max="137" width="7.77734375" style="82" customWidth="1"/>
    <col min="138" max="138" width="9" style="82" bestFit="1" customWidth="1"/>
    <col min="139" max="139" width="11.33203125" style="82" bestFit="1" customWidth="1"/>
    <col min="140" max="140" width="9.109375" style="82" bestFit="1" customWidth="1"/>
    <col min="141" max="141" width="9" style="82" bestFit="1" customWidth="1"/>
    <col min="142" max="142" width="12" style="82" bestFit="1" customWidth="1"/>
    <col min="143" max="166" width="12" style="82" customWidth="1"/>
    <col min="167" max="167" width="17.21875" style="82" customWidth="1"/>
    <col min="168" max="191" width="12" style="82" customWidth="1"/>
    <col min="192" max="192" width="8.5546875" style="82" bestFit="1" customWidth="1"/>
    <col min="193" max="193" width="8.5546875" style="82" customWidth="1"/>
    <col min="194" max="194" width="7.109375" style="82" bestFit="1" customWidth="1"/>
    <col min="195" max="195" width="7.5546875" style="82" bestFit="1" customWidth="1"/>
    <col min="196" max="196" width="8.5546875" style="82" bestFit="1" customWidth="1"/>
    <col min="197" max="200" width="8.5546875" style="82" customWidth="1"/>
    <col min="201" max="201" width="188.88671875" style="82" customWidth="1"/>
    <col min="202" max="202" width="9.5546875" style="82" bestFit="1" customWidth="1"/>
    <col min="203" max="203" width="10.44140625" style="82" bestFit="1" customWidth="1"/>
    <col min="204" max="204" width="11.109375" style="82" bestFit="1" customWidth="1"/>
    <col min="205" max="205" width="10.44140625" style="82" bestFit="1" customWidth="1"/>
    <col min="206" max="210" width="10.44140625" style="82" customWidth="1"/>
    <col min="211" max="211" width="45.44140625" style="82" customWidth="1"/>
    <col min="212" max="212" width="47.5546875" style="82" bestFit="1" customWidth="1"/>
    <col min="213" max="213" width="9.33203125" style="86" customWidth="1"/>
    <col min="214" max="214" width="119.5546875" style="82" customWidth="1"/>
    <col min="215" max="215" width="69.6640625" style="82" customWidth="1"/>
    <col min="216" max="218" width="8.88671875" style="82"/>
    <col min="219" max="219" width="37.109375" style="82" customWidth="1"/>
    <col min="220" max="220" width="16.33203125" style="82" customWidth="1"/>
    <col min="221" max="222" width="8.88671875" style="82"/>
    <col min="223" max="223" width="10.109375" style="82" bestFit="1" customWidth="1"/>
    <col min="224" max="232" width="10.88671875" style="82" customWidth="1"/>
    <col min="233" max="234" width="30.77734375" style="82" customWidth="1"/>
    <col min="235" max="235" width="5.109375" style="82" customWidth="1"/>
    <col min="236" max="236" width="3" style="82" customWidth="1"/>
    <col min="237" max="245" width="6.77734375" style="76" customWidth="1"/>
    <col min="246" max="247" width="8.88671875" style="82"/>
    <col min="248" max="248" width="61.5546875" style="82" customWidth="1"/>
    <col min="249" max="253" width="8.88671875" style="82"/>
    <col min="254" max="254" width="9" style="82" customWidth="1"/>
    <col min="255" max="16384" width="8.88671875" style="82"/>
  </cols>
  <sheetData>
    <row r="1" spans="1:259" s="5" customFormat="1" ht="38.4" customHeight="1" thickBot="1" x14ac:dyDescent="0.35">
      <c r="A1" s="1" t="s">
        <v>0</v>
      </c>
      <c r="B1" s="79" t="s">
        <v>1</v>
      </c>
      <c r="C1" s="2" t="s">
        <v>2</v>
      </c>
      <c r="D1" s="3"/>
      <c r="E1" s="3" t="s">
        <v>3</v>
      </c>
      <c r="F1" s="4"/>
      <c r="H1" s="6" t="s">
        <v>4</v>
      </c>
      <c r="J1" s="5" t="s">
        <v>5</v>
      </c>
      <c r="K1" s="7" t="s">
        <v>6</v>
      </c>
      <c r="L1" s="8" t="s">
        <v>7</v>
      </c>
      <c r="M1" s="8" t="s">
        <v>8</v>
      </c>
      <c r="N1" s="9" t="s">
        <v>9</v>
      </c>
      <c r="O1" s="10" t="s">
        <v>10</v>
      </c>
      <c r="P1" s="11" t="s">
        <v>11</v>
      </c>
      <c r="Q1" s="11" t="s">
        <v>12</v>
      </c>
      <c r="R1" s="12" t="s">
        <v>0</v>
      </c>
      <c r="S1" s="13" t="s">
        <v>13</v>
      </c>
      <c r="T1" s="14" t="s">
        <v>14</v>
      </c>
      <c r="U1" s="14" t="s">
        <v>15</v>
      </c>
      <c r="V1" s="15" t="s">
        <v>16</v>
      </c>
      <c r="W1" s="14" t="s">
        <v>17</v>
      </c>
      <c r="X1" s="14" t="s">
        <v>18</v>
      </c>
      <c r="Y1" s="14" t="s">
        <v>19</v>
      </c>
      <c r="Z1" s="14" t="s">
        <v>20</v>
      </c>
      <c r="AA1" s="14" t="s">
        <v>21</v>
      </c>
      <c r="AB1" s="14" t="s">
        <v>22</v>
      </c>
      <c r="AC1" s="14" t="s">
        <v>23</v>
      </c>
      <c r="AD1" s="14" t="s">
        <v>24</v>
      </c>
      <c r="AE1" s="14" t="s">
        <v>25</v>
      </c>
      <c r="AF1" s="16" t="s">
        <v>26</v>
      </c>
      <c r="AG1" s="16" t="s">
        <v>27</v>
      </c>
      <c r="AH1" s="16" t="s">
        <v>28</v>
      </c>
      <c r="AI1" s="16" t="s">
        <v>29</v>
      </c>
      <c r="AJ1" s="16" t="s">
        <v>30</v>
      </c>
      <c r="AK1" s="16" t="s">
        <v>31</v>
      </c>
      <c r="AL1" s="16" t="s">
        <v>32</v>
      </c>
      <c r="AM1" s="16" t="s">
        <v>33</v>
      </c>
      <c r="AN1" s="16" t="s">
        <v>34</v>
      </c>
      <c r="AO1" s="16" t="s">
        <v>35</v>
      </c>
      <c r="AP1" s="16" t="s">
        <v>36</v>
      </c>
      <c r="AQ1" s="16" t="s">
        <v>37</v>
      </c>
      <c r="AR1" s="16" t="s">
        <v>38</v>
      </c>
      <c r="AS1" s="16" t="s">
        <v>39</v>
      </c>
      <c r="AT1" s="17" t="s">
        <v>40</v>
      </c>
      <c r="AU1" s="18" t="s">
        <v>41</v>
      </c>
      <c r="AV1" s="18" t="s">
        <v>42</v>
      </c>
      <c r="AW1" s="18" t="s">
        <v>43</v>
      </c>
      <c r="AX1" s="19"/>
      <c r="AY1" s="20" t="s">
        <v>44</v>
      </c>
      <c r="AZ1" s="19" t="s">
        <v>45</v>
      </c>
      <c r="BA1" s="19"/>
      <c r="BB1" s="19"/>
      <c r="BC1" s="21"/>
      <c r="BD1" s="19" t="s">
        <v>46</v>
      </c>
      <c r="BE1" s="21"/>
      <c r="BF1" s="19" t="s">
        <v>47</v>
      </c>
      <c r="BG1" s="19" t="s">
        <v>48</v>
      </c>
      <c r="BH1" s="19" t="s">
        <v>49</v>
      </c>
      <c r="BI1" s="19" t="s">
        <v>50</v>
      </c>
      <c r="BJ1" s="19" t="s">
        <v>51</v>
      </c>
      <c r="BK1" s="21"/>
      <c r="BL1" s="22" t="s">
        <v>52</v>
      </c>
      <c r="BM1" s="22"/>
      <c r="BN1" s="22"/>
      <c r="BO1" s="22"/>
      <c r="BP1" s="22"/>
      <c r="BQ1" s="22"/>
      <c r="BR1" s="22"/>
      <c r="BS1" s="22"/>
      <c r="BT1" s="23"/>
      <c r="BU1" s="23" t="s">
        <v>53</v>
      </c>
      <c r="BV1" s="23" t="s">
        <v>54</v>
      </c>
      <c r="BW1" s="23" t="s">
        <v>55</v>
      </c>
      <c r="BX1" s="23"/>
      <c r="BY1" s="23" t="s">
        <v>56</v>
      </c>
      <c r="BZ1" s="23" t="s">
        <v>57</v>
      </c>
      <c r="CA1" s="23" t="s">
        <v>58</v>
      </c>
      <c r="CB1" s="23" t="s">
        <v>59</v>
      </c>
      <c r="CC1" s="23" t="s">
        <v>60</v>
      </c>
      <c r="CD1" s="23" t="s">
        <v>61</v>
      </c>
      <c r="CE1" s="23" t="s">
        <v>62</v>
      </c>
      <c r="CF1" s="23" t="s">
        <v>63</v>
      </c>
      <c r="CG1" s="23"/>
      <c r="CH1" s="23" t="s">
        <v>64</v>
      </c>
      <c r="CI1" s="23" t="s">
        <v>65</v>
      </c>
      <c r="CJ1" s="23" t="s">
        <v>66</v>
      </c>
      <c r="CK1" s="23" t="s">
        <v>67</v>
      </c>
      <c r="CL1" s="24" t="s">
        <v>68</v>
      </c>
      <c r="CM1" s="24" t="s">
        <v>69</v>
      </c>
      <c r="CN1" s="24" t="s">
        <v>70</v>
      </c>
      <c r="CO1" s="24" t="s">
        <v>71</v>
      </c>
      <c r="CP1" s="24" t="s">
        <v>72</v>
      </c>
      <c r="CQ1" s="24" t="s">
        <v>73</v>
      </c>
      <c r="CR1" s="24" t="s">
        <v>74</v>
      </c>
      <c r="CS1" s="24" t="s">
        <v>75</v>
      </c>
      <c r="CT1" s="1" t="s">
        <v>76</v>
      </c>
      <c r="CU1" s="25" t="s">
        <v>0</v>
      </c>
      <c r="CV1" s="5" t="s">
        <v>77</v>
      </c>
      <c r="CW1" s="14" t="s">
        <v>78</v>
      </c>
      <c r="CX1" s="14" t="s">
        <v>79</v>
      </c>
      <c r="CY1" s="14" t="s">
        <v>66</v>
      </c>
      <c r="CZ1" s="14" t="s">
        <v>80</v>
      </c>
      <c r="DA1" s="14" t="s">
        <v>81</v>
      </c>
      <c r="DB1" s="14" t="s">
        <v>82</v>
      </c>
      <c r="DC1" s="14" t="s">
        <v>83</v>
      </c>
      <c r="DD1" s="14" t="s">
        <v>84</v>
      </c>
      <c r="DE1" s="14" t="s">
        <v>85</v>
      </c>
      <c r="DF1" s="14" t="s">
        <v>86</v>
      </c>
      <c r="DG1" s="14" t="s">
        <v>87</v>
      </c>
      <c r="DH1" s="14" t="s">
        <v>88</v>
      </c>
      <c r="DI1" s="14" t="s">
        <v>89</v>
      </c>
      <c r="DJ1" s="14" t="s">
        <v>90</v>
      </c>
      <c r="DK1" s="14" t="s">
        <v>91</v>
      </c>
      <c r="DL1" s="14" t="s">
        <v>92</v>
      </c>
      <c r="DM1" s="14" t="s">
        <v>93</v>
      </c>
      <c r="DN1" s="14" t="s">
        <v>94</v>
      </c>
      <c r="DO1" s="14" t="s">
        <v>95</v>
      </c>
      <c r="DP1" s="14" t="s">
        <v>96</v>
      </c>
      <c r="DQ1" s="14" t="s">
        <v>97</v>
      </c>
      <c r="DR1" s="14" t="s">
        <v>56</v>
      </c>
      <c r="DS1" s="14" t="s">
        <v>98</v>
      </c>
      <c r="DT1" s="14" t="s">
        <v>99</v>
      </c>
      <c r="DU1" s="14" t="s">
        <v>100</v>
      </c>
      <c r="DV1" s="14" t="s">
        <v>101</v>
      </c>
      <c r="DW1" s="14" t="s">
        <v>102</v>
      </c>
      <c r="DX1" s="14" t="s">
        <v>103</v>
      </c>
      <c r="DY1" s="14" t="s">
        <v>104</v>
      </c>
      <c r="DZ1" s="14" t="s">
        <v>105</v>
      </c>
      <c r="EA1" s="14" t="s">
        <v>106</v>
      </c>
      <c r="EB1" s="14" t="s">
        <v>107</v>
      </c>
      <c r="EC1" s="14" t="s">
        <v>108</v>
      </c>
      <c r="ED1" s="14" t="s">
        <v>109</v>
      </c>
      <c r="EE1" s="15" t="s">
        <v>18</v>
      </c>
      <c r="EF1" s="14" t="s">
        <v>19</v>
      </c>
      <c r="EG1" s="14" t="s">
        <v>20</v>
      </c>
      <c r="EH1" s="14" t="s">
        <v>21</v>
      </c>
      <c r="EI1" s="14" t="s">
        <v>110</v>
      </c>
      <c r="EJ1" s="14" t="s">
        <v>23</v>
      </c>
      <c r="EK1" s="14" t="s">
        <v>111</v>
      </c>
      <c r="EL1" s="14" t="s">
        <v>112</v>
      </c>
      <c r="EM1" s="14" t="s">
        <v>26</v>
      </c>
      <c r="EN1" s="16" t="s">
        <v>27</v>
      </c>
      <c r="EO1" s="16" t="s">
        <v>28</v>
      </c>
      <c r="EP1" s="16" t="s">
        <v>29</v>
      </c>
      <c r="EQ1" s="16" t="s">
        <v>113</v>
      </c>
      <c r="ER1" s="16" t="s">
        <v>31</v>
      </c>
      <c r="ES1" s="16" t="s">
        <v>32</v>
      </c>
      <c r="ET1" s="16" t="s">
        <v>114</v>
      </c>
      <c r="EU1" s="16" t="s">
        <v>34</v>
      </c>
      <c r="EV1" s="16" t="s">
        <v>35</v>
      </c>
      <c r="EW1" s="16" t="s">
        <v>115</v>
      </c>
      <c r="EX1" s="16" t="s">
        <v>37</v>
      </c>
      <c r="EY1" s="16" t="s">
        <v>38</v>
      </c>
      <c r="EZ1" s="16" t="s">
        <v>39</v>
      </c>
      <c r="FA1" s="16" t="s">
        <v>116</v>
      </c>
      <c r="FB1" s="16" t="s">
        <v>117</v>
      </c>
      <c r="FC1" s="16" t="s">
        <v>118</v>
      </c>
      <c r="FD1" s="16" t="s">
        <v>54</v>
      </c>
      <c r="FE1" s="16" t="s">
        <v>119</v>
      </c>
      <c r="FF1" s="16" t="s">
        <v>120</v>
      </c>
      <c r="FG1" s="16" t="s">
        <v>121</v>
      </c>
      <c r="FH1" s="16" t="s">
        <v>122</v>
      </c>
      <c r="FI1" s="16" t="s">
        <v>123</v>
      </c>
      <c r="FJ1" s="16" t="s">
        <v>124</v>
      </c>
      <c r="FK1" s="16" t="s">
        <v>125</v>
      </c>
      <c r="FL1" s="16" t="s">
        <v>126</v>
      </c>
      <c r="FM1" s="16" t="s">
        <v>127</v>
      </c>
      <c r="FN1" s="16" t="s">
        <v>128</v>
      </c>
      <c r="FO1" s="16" t="s">
        <v>129</v>
      </c>
      <c r="FP1" s="16" t="s">
        <v>130</v>
      </c>
      <c r="FQ1" s="16" t="s">
        <v>131</v>
      </c>
      <c r="FR1" s="16" t="s">
        <v>132</v>
      </c>
      <c r="FS1" s="16" t="s">
        <v>133</v>
      </c>
      <c r="FT1" s="16" t="s">
        <v>134</v>
      </c>
      <c r="FU1" s="16" t="s">
        <v>44</v>
      </c>
      <c r="FV1" s="16" t="s">
        <v>135</v>
      </c>
      <c r="FW1" s="16" t="s">
        <v>58</v>
      </c>
      <c r="FX1" s="16" t="s">
        <v>136</v>
      </c>
      <c r="FY1" s="16" t="s">
        <v>137</v>
      </c>
      <c r="FZ1" s="16" t="s">
        <v>138</v>
      </c>
      <c r="GA1" s="16" t="s">
        <v>139</v>
      </c>
      <c r="GB1" s="16" t="s">
        <v>140</v>
      </c>
      <c r="GC1" s="16" t="s">
        <v>141</v>
      </c>
      <c r="GD1" s="16" t="s">
        <v>142</v>
      </c>
      <c r="GE1" s="16" t="s">
        <v>143</v>
      </c>
      <c r="GF1" s="16" t="s">
        <v>144</v>
      </c>
      <c r="GG1" s="16" t="s">
        <v>145</v>
      </c>
      <c r="GH1" s="16" t="s">
        <v>61</v>
      </c>
      <c r="GI1" s="16" t="s">
        <v>62</v>
      </c>
      <c r="GJ1" s="14" t="s">
        <v>146</v>
      </c>
      <c r="GK1" s="14" t="s">
        <v>147</v>
      </c>
      <c r="GL1" s="14" t="s">
        <v>148</v>
      </c>
      <c r="GM1" s="17" t="s">
        <v>149</v>
      </c>
      <c r="GN1" s="26" t="s">
        <v>150</v>
      </c>
      <c r="GO1" s="26" t="s">
        <v>151</v>
      </c>
      <c r="GP1" s="18" t="s">
        <v>41</v>
      </c>
      <c r="GQ1" s="18" t="s">
        <v>42</v>
      </c>
      <c r="GR1" s="18" t="s">
        <v>43</v>
      </c>
      <c r="GS1" s="21"/>
      <c r="GT1" s="27" t="s">
        <v>52</v>
      </c>
      <c r="GU1" s="27"/>
      <c r="GV1" s="27"/>
      <c r="GW1" s="27"/>
      <c r="GX1" s="28"/>
      <c r="GY1" s="28"/>
      <c r="GZ1" s="28"/>
      <c r="HA1" s="28"/>
      <c r="HB1" s="28"/>
      <c r="HC1" s="28"/>
      <c r="HD1" s="29" t="s">
        <v>13</v>
      </c>
      <c r="HE1" s="30" t="s">
        <v>152</v>
      </c>
      <c r="HF1" s="31"/>
      <c r="HG1" s="32"/>
      <c r="HK1" s="32" t="s">
        <v>4</v>
      </c>
      <c r="HP1" s="33" t="s">
        <v>153</v>
      </c>
      <c r="HQ1" s="33" t="s">
        <v>154</v>
      </c>
      <c r="HR1" s="33" t="s">
        <v>155</v>
      </c>
      <c r="HS1" s="33" t="s">
        <v>156</v>
      </c>
      <c r="HT1" s="33" t="s">
        <v>157</v>
      </c>
      <c r="HU1" s="33" t="s">
        <v>158</v>
      </c>
      <c r="HV1" s="33" t="s">
        <v>159</v>
      </c>
      <c r="HW1" s="33" t="s">
        <v>160</v>
      </c>
      <c r="HX1" s="34" t="s">
        <v>161</v>
      </c>
      <c r="IA1" s="14" t="s">
        <v>162</v>
      </c>
      <c r="IB1" s="35" t="s">
        <v>163</v>
      </c>
      <c r="IC1" s="36" t="s">
        <v>153</v>
      </c>
      <c r="ID1" s="36" t="s">
        <v>154</v>
      </c>
      <c r="IE1" s="36" t="s">
        <v>156</v>
      </c>
      <c r="IF1" s="37" t="s">
        <v>161</v>
      </c>
      <c r="IG1" s="36" t="s">
        <v>157</v>
      </c>
      <c r="IH1" s="36" t="s">
        <v>158</v>
      </c>
      <c r="II1" s="36" t="s">
        <v>155</v>
      </c>
      <c r="IJ1" s="36" t="s">
        <v>159</v>
      </c>
      <c r="IK1" s="36" t="s">
        <v>160</v>
      </c>
      <c r="IO1" s="33" t="s">
        <v>153</v>
      </c>
      <c r="IP1" s="33" t="s">
        <v>154</v>
      </c>
      <c r="IQ1" s="33" t="s">
        <v>155</v>
      </c>
      <c r="IR1" s="33" t="s">
        <v>156</v>
      </c>
      <c r="IS1" s="33" t="s">
        <v>157</v>
      </c>
      <c r="IT1" s="33" t="s">
        <v>158</v>
      </c>
      <c r="IU1" s="33" t="s">
        <v>159</v>
      </c>
      <c r="IV1" s="33" t="s">
        <v>160</v>
      </c>
      <c r="IW1" s="34" t="s">
        <v>161</v>
      </c>
      <c r="IY1" s="5" t="s">
        <v>164</v>
      </c>
    </row>
    <row r="2" spans="1:259" s="44" customFormat="1" ht="38.4" customHeight="1" thickBot="1" x14ac:dyDescent="0.35">
      <c r="A2" s="77" t="s">
        <v>330</v>
      </c>
      <c r="B2" s="78" t="e" vm="110">
        <v>#VALUE!</v>
      </c>
      <c r="C2" s="39">
        <v>1</v>
      </c>
      <c r="D2" s="70" t="s">
        <v>331</v>
      </c>
      <c r="E2" s="40" t="s">
        <v>332</v>
      </c>
      <c r="F2" s="41" t="s">
        <v>165</v>
      </c>
      <c r="G2" s="42">
        <f>COUNTIF($A$1:$A$8213,A2)</f>
        <v>1</v>
      </c>
      <c r="H2" s="43"/>
      <c r="I2" s="59" t="s">
        <v>333</v>
      </c>
      <c r="J2" s="44" t="str">
        <f>""</f>
        <v/>
      </c>
      <c r="K2" s="45">
        <v>11396</v>
      </c>
      <c r="L2" s="46">
        <v>3136</v>
      </c>
      <c r="M2" s="46" t="s">
        <v>1161</v>
      </c>
      <c r="N2" s="47" t="s">
        <v>177</v>
      </c>
      <c r="O2" s="74" t="s">
        <v>334</v>
      </c>
      <c r="P2" s="48" t="s">
        <v>335</v>
      </c>
      <c r="Q2" s="73">
        <v>1</v>
      </c>
      <c r="R2" s="49" t="s">
        <v>177</v>
      </c>
      <c r="S2" s="50">
        <v>0</v>
      </c>
      <c r="T2" s="51" t="s">
        <v>166</v>
      </c>
      <c r="U2" s="52" t="s">
        <v>167</v>
      </c>
      <c r="V2" s="52" t="s">
        <v>166</v>
      </c>
      <c r="W2" s="52" t="s">
        <v>166</v>
      </c>
      <c r="X2" s="52" t="s">
        <v>166</v>
      </c>
      <c r="Y2" s="52" t="s">
        <v>166</v>
      </c>
      <c r="Z2" s="52" t="s">
        <v>166</v>
      </c>
      <c r="AA2" s="52" t="s">
        <v>166</v>
      </c>
      <c r="AB2" s="52" t="s">
        <v>166</v>
      </c>
      <c r="AC2" s="52" t="s">
        <v>166</v>
      </c>
      <c r="AD2" s="52" t="s">
        <v>166</v>
      </c>
      <c r="AE2" s="52" t="s">
        <v>166</v>
      </c>
      <c r="AF2" s="53" t="s">
        <v>166</v>
      </c>
      <c r="AG2" s="53" t="s">
        <v>166</v>
      </c>
      <c r="AH2" s="53" t="s">
        <v>166</v>
      </c>
      <c r="AI2" s="53" t="s">
        <v>167</v>
      </c>
      <c r="AJ2" s="53" t="s">
        <v>166</v>
      </c>
      <c r="AK2" s="53" t="s">
        <v>166</v>
      </c>
      <c r="AL2" s="53" t="s">
        <v>166</v>
      </c>
      <c r="AM2" s="53" t="s">
        <v>166</v>
      </c>
      <c r="AN2" s="53" t="s">
        <v>166</v>
      </c>
      <c r="AO2" s="53" t="s">
        <v>166</v>
      </c>
      <c r="AP2" s="53" t="s">
        <v>166</v>
      </c>
      <c r="AQ2" s="53" t="s">
        <v>166</v>
      </c>
      <c r="AR2" s="53" t="s">
        <v>166</v>
      </c>
      <c r="AS2" s="53" t="s">
        <v>166</v>
      </c>
      <c r="AT2" s="54">
        <v>9</v>
      </c>
      <c r="AU2" s="53"/>
      <c r="AV2" s="53" t="str">
        <f>IF(LEFT(A2,1)="[",LEFT(A2,5)&amp;AU2&amp;A2,"")</f>
        <v/>
      </c>
      <c r="AW2" s="53" t="str">
        <f>C2&amp;H2&amp;A2</f>
        <v>1Tuvalu</v>
      </c>
      <c r="AX2" s="55" t="str">
        <f>_xlfn.TEXTJOIN(";",TRUE,AU2:AW2)</f>
        <v>1Tuvalu</v>
      </c>
      <c r="AY2" s="55" t="s">
        <v>167</v>
      </c>
      <c r="AZ2" s="56" t="s">
        <v>157</v>
      </c>
      <c r="BA2" s="56"/>
      <c r="BB2" s="56"/>
      <c r="BC2" s="57"/>
      <c r="BD2" s="58" t="s">
        <v>154</v>
      </c>
      <c r="BE2" s="59"/>
      <c r="BF2" s="58"/>
      <c r="BG2" s="58"/>
      <c r="BH2" s="58"/>
      <c r="BI2" s="58"/>
      <c r="BJ2" s="58"/>
      <c r="BK2" s="59"/>
      <c r="BL2" s="58" t="s">
        <v>156</v>
      </c>
      <c r="BM2" s="58" t="s">
        <v>161</v>
      </c>
      <c r="BN2" s="58" t="s">
        <v>154</v>
      </c>
      <c r="BO2" s="58" t="s">
        <v>157</v>
      </c>
      <c r="BP2" s="58"/>
      <c r="BQ2" s="58"/>
      <c r="BR2" s="58"/>
      <c r="BS2" s="58"/>
      <c r="BT2" s="58"/>
      <c r="BU2" s="60" t="s">
        <v>167</v>
      </c>
      <c r="BV2" s="61" t="s">
        <v>167</v>
      </c>
      <c r="BW2" s="61" t="s">
        <v>170</v>
      </c>
      <c r="BX2" s="59"/>
      <c r="CB2" s="5" t="s">
        <v>336</v>
      </c>
      <c r="CC2" s="5"/>
      <c r="CD2" s="62">
        <v>0</v>
      </c>
      <c r="CE2" s="62">
        <v>0</v>
      </c>
      <c r="CF2" s="62" t="e">
        <v>#REF!</v>
      </c>
      <c r="CG2" s="75" cm="1">
        <f t="array" ref="CG2">SUMPRODUCT(--(LEN(TRIM(BL2:BT2))&gt;0))</f>
        <v>4</v>
      </c>
      <c r="CH2" s="53" t="str">
        <f>IF(CG2=2,"y","n")</f>
        <v>n</v>
      </c>
      <c r="CI2" s="53" t="str">
        <f>IF(CG2=3,"y","n")</f>
        <v>n</v>
      </c>
      <c r="CJ2" s="53" t="str">
        <f>IF(CG2=4,"y","n")</f>
        <v>y</v>
      </c>
      <c r="CK2" s="53" t="str">
        <f>IF(CG2&gt;4,"y","n")</f>
        <v>n</v>
      </c>
      <c r="CL2" s="53" t="str">
        <f>IF(S2=0,"y","n")</f>
        <v>y</v>
      </c>
      <c r="CM2" s="53" t="str">
        <f>IF(S2=2,"y","n")</f>
        <v>n</v>
      </c>
      <c r="CN2" s="53" t="str">
        <f>IF(S2=3,"y","n")</f>
        <v>n</v>
      </c>
      <c r="CO2" s="53" t="str">
        <f>IF(S2&gt;=4,"y","n")</f>
        <v>n</v>
      </c>
      <c r="CP2" s="53" t="str">
        <f>IF(AT2=0,"y","n")</f>
        <v>n</v>
      </c>
      <c r="CQ2" s="53" t="str">
        <f>IF(AT2=1,"y","n")</f>
        <v>n</v>
      </c>
      <c r="CR2" s="53" t="str">
        <f>IF(AT2=2,"y","n")</f>
        <v>n</v>
      </c>
      <c r="CS2" s="53" t="str">
        <f>IF(AT2&gt;=3,"y","n")</f>
        <v>y</v>
      </c>
      <c r="CT2" s="38" t="str">
        <f>CHAR(34)&amp;A2&amp;CHAR(34)</f>
        <v>"Tuvalu"</v>
      </c>
      <c r="CU2" s="63" t="str">
        <f>CHAR(34)&amp;"rgn_"&amp;R2&amp;CHAR(34)</f>
        <v>"rgn_Oceania"</v>
      </c>
      <c r="CV2" s="44" t="str">
        <f>CHAR(34)&amp;D2&amp;CHAR(34)</f>
        <v>"https://i.ibb.co/RQ3gYR5/Tuvalu-Flag.png"</v>
      </c>
      <c r="CW2" s="44" t="str">
        <f t="shared" ref="CW2:CZ4" si="0">IF(CH2="y",CHAR(34)&amp;CH$1&amp;CHAR(34)&amp;",","")</f>
        <v/>
      </c>
      <c r="CX2" s="44" t="str">
        <f t="shared" si="0"/>
        <v/>
      </c>
      <c r="CY2" s="44" t="str">
        <f t="shared" si="0"/>
        <v>"4Color",</v>
      </c>
      <c r="CZ2" s="44" t="str">
        <f t="shared" si="0"/>
        <v/>
      </c>
      <c r="DA2" s="44" t="str">
        <f>IF(Q2&gt;1,CHAR(34)&amp;"words2"&amp;CHAR(34)&amp;",","")</f>
        <v/>
      </c>
      <c r="DB2" s="44" t="str">
        <f>IF(Q2&gt;2,CHAR(34)&amp;"words3"&amp;CHAR(34)&amp;",","")</f>
        <v/>
      </c>
      <c r="DC2" s="44" t="str">
        <f>IF(Q2=2,CHAR(34)&amp;"exact2"&amp;CHAR(34)&amp;",","")</f>
        <v/>
      </c>
      <c r="DD2" s="44"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"lets06",</v>
      </c>
      <c r="DE2" s="44"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"startT",</v>
      </c>
      <c r="DF2" s="44" t="str">
        <f>IFERROR(IF(SEARCH("tan",A2)&gt;0,CHAR(34)&amp;"withtn"&amp;CHAR(34)&amp;",",""),"")</f>
        <v/>
      </c>
      <c r="DG2" s="44" t="str">
        <f>IFERROR(IF(SEARCH("q",A2)&gt;0,CHAR(34)&amp;"with_q"&amp;CHAR(34)&amp;",",""),"")</f>
        <v/>
      </c>
      <c r="DH2" s="44" t="str">
        <f>IFERROR(IF(SEARCH("v",A2)&gt;0,CHAR(34)&amp;"with_v"&amp;CHAR(34)&amp;",",""),"")</f>
        <v>"with_v",</v>
      </c>
      <c r="DI2" s="44" t="str">
        <f>IFERROR(IF(SEARCH("w",A2)&gt;0,CHAR(34)&amp;"with_w"&amp;CHAR(34)&amp;",",""),"")</f>
        <v/>
      </c>
      <c r="DJ2" s="44" t="str">
        <f>IFERROR(IF(SEARCH("y",A2)&gt;0,CHAR(34)&amp;"with_y"&amp;CHAR(34)&amp;",",""),"")</f>
        <v/>
      </c>
      <c r="DK2" s="44" t="str">
        <f>IFERROR(IF(SEARCH("z",A2)&gt;0,CHAR(34)&amp;"with_z"&amp;CHAR(34)&amp;",",""),"")</f>
        <v/>
      </c>
      <c r="DL2" s="44" t="str">
        <f>IF(CG2=2, CHAR(34) &amp; _xlfn.TEXTJOIN("", TRUE, _xlfn._xlws.SORT(HP2:HX2)) &amp; CHAR(34) &amp; ",", "")</f>
        <v/>
      </c>
      <c r="DM2" s="44" t="str" cm="1">
        <f t="array" ref="DM2">IF(CG2=3,CHAR(34) &amp; _xlfn.TEXTJOIN("", TRUE, RIGHT(HP2:HX2, 2)) &amp; CHAR(34) &amp; ",", "")</f>
        <v/>
      </c>
      <c r="DN2" s="44" t="str">
        <f>IF(AND(ISNUMBER(SEARCH("18", O2)), ISERROR(SEARCH("1918", O2)), ISERROR(SEARCH("2018", O2))), CHAR(34) &amp; "year18" &amp; CHAR(34) &amp; ",", "")</f>
        <v/>
      </c>
      <c r="DO2" s="44" t="str">
        <f>IF(AND(ISNUMBER(SEARCH("19", O2)), ISERROR(SEARCH("1819", O2)),  ISERROR(SEARCH("1219", O2)),ISERROR(SEARCH("1119", O2)),ISERROR(SEARCH("1190", O2)),ISERROR(SEARCH("2019", O2))), CHAR(34) &amp; "year19" &amp; CHAR(34) &amp; ",", "")</f>
        <v>"year19",</v>
      </c>
      <c r="DP2" s="5" t="str">
        <f>IF(AND(ISNUMBER(SEARCH("20", O2)), ISERROR(SEARCH("1920", O2))), CHAR(34)&amp;"year00"&amp;CHAR(34)&amp;",", "")</f>
        <v/>
      </c>
      <c r="DQ2" s="5" t="str">
        <f>IF(CC2="y",CHAR(34)&amp;"soviet"&amp;CHAR(34)&amp;",","")</f>
        <v/>
      </c>
      <c r="DR2" s="5" t="str">
        <f>IF(BY2="y",CHAR(34)&amp;"dgband"&amp;CHAR(34)&amp;",","")</f>
        <v/>
      </c>
      <c r="DS2" s="5" t="str">
        <f>IF(W2="y",IF(AND(V2="n",BY2&lt;&gt;"y"),CHAR(34)&amp;"allver"&amp;CHAR(34)&amp;",",""),"")</f>
        <v/>
      </c>
      <c r="DT2" s="5" t="str">
        <f>IF(V2="y",IF(AND(W2="n",BY2&lt;&gt;"y"),CHAR(34)&amp;"allhor"&amp;CHAR(34)&amp;",",""),"")</f>
        <v/>
      </c>
      <c r="DU2" s="5" t="str">
        <f>IF(BY2="y",IF(AND(W2="n",V2="n"),CHAR(34)&amp;"alldia"&amp;CHAR(34)&amp;",",""),"")</f>
        <v/>
      </c>
      <c r="DV2" s="44" t="str">
        <f>IF(IA2&lt;&gt;"",(IF(IA2="y",CHAR(34)&amp;"largec"&amp;CHAR(34)&amp;",",CHAR(34)&amp;"smallc"&amp;CHAR(34)&amp;",")),"")</f>
        <v>"smallc",</v>
      </c>
      <c r="DW2" s="44" t="str">
        <f t="shared" ref="DW2:DZ4" si="1">IF(CL2="y",CHAR(34)&amp;CL$1&amp;CHAR(34)&amp;",","")</f>
        <v>"NoBand",</v>
      </c>
      <c r="DX2" s="44" t="str">
        <f t="shared" si="1"/>
        <v/>
      </c>
      <c r="DY2" s="44" t="str">
        <f t="shared" si="1"/>
        <v/>
      </c>
      <c r="DZ2" s="44" t="str">
        <f t="shared" si="1"/>
        <v/>
      </c>
      <c r="EA2" s="44" t="str">
        <f t="shared" ref="EA2:EE4" si="2">IF(T2="y",CHAR(34)&amp;T$1&amp;CHAR(34)&amp;",","")</f>
        <v/>
      </c>
      <c r="EB2" s="44" t="str">
        <f t="shared" si="2"/>
        <v>"Crosse",</v>
      </c>
      <c r="EC2" s="44" t="str">
        <f t="shared" si="2"/>
        <v/>
      </c>
      <c r="ED2" s="44" t="str">
        <f t="shared" si="2"/>
        <v/>
      </c>
      <c r="EE2" s="44" t="str">
        <f t="shared" si="2"/>
        <v/>
      </c>
      <c r="EF2" s="44" t="str">
        <f>IF(AND(Y2&lt;&gt;"n",Y2&lt;&gt;""),CHAR(34)&amp;Y$1&amp;CHAR(34)&amp;",","")</f>
        <v/>
      </c>
      <c r="EG2" s="44" t="str">
        <f t="shared" ref="EG2:EP4" si="3">IF(Z2="y",CHAR(34)&amp;Z$1&amp;CHAR(34)&amp;",","")</f>
        <v/>
      </c>
      <c r="EH2" s="44" t="str">
        <f t="shared" si="3"/>
        <v/>
      </c>
      <c r="EI2" s="44" t="str">
        <f t="shared" si="3"/>
        <v/>
      </c>
      <c r="EJ2" s="44" t="str">
        <f t="shared" si="3"/>
        <v/>
      </c>
      <c r="EK2" s="44" t="str">
        <f t="shared" si="3"/>
        <v/>
      </c>
      <c r="EL2" s="44" t="str">
        <f t="shared" si="3"/>
        <v/>
      </c>
      <c r="EM2" s="44" t="str">
        <f t="shared" si="3"/>
        <v/>
      </c>
      <c r="EN2" s="44" t="str">
        <f t="shared" si="3"/>
        <v/>
      </c>
      <c r="EO2" s="44" t="str">
        <f t="shared" si="3"/>
        <v/>
      </c>
      <c r="EP2" s="44" t="str">
        <f t="shared" si="3"/>
        <v>"Canton",</v>
      </c>
      <c r="EQ2" s="44" t="str">
        <f t="shared" ref="EQ2:EZ4" si="4">IF(AJ2="y",CHAR(34)&amp;AJ$1&amp;CHAR(34)&amp;",","")</f>
        <v/>
      </c>
      <c r="ER2" s="44" t="str">
        <f t="shared" si="4"/>
        <v/>
      </c>
      <c r="ES2" s="44" t="str">
        <f t="shared" si="4"/>
        <v/>
      </c>
      <c r="ET2" s="44" t="str">
        <f t="shared" si="4"/>
        <v/>
      </c>
      <c r="EU2" s="44" t="str">
        <f t="shared" si="4"/>
        <v/>
      </c>
      <c r="EV2" s="44" t="str">
        <f t="shared" si="4"/>
        <v/>
      </c>
      <c r="EW2" s="44" t="str">
        <f t="shared" si="4"/>
        <v/>
      </c>
      <c r="EX2" s="44" t="str">
        <f t="shared" si="4"/>
        <v/>
      </c>
      <c r="EY2" s="44" t="str">
        <f t="shared" si="4"/>
        <v/>
      </c>
      <c r="EZ2" s="44" t="str">
        <f t="shared" si="4"/>
        <v/>
      </c>
      <c r="FA2" s="44" t="str">
        <f>IF(AT2&gt;0,CHAR(34)&amp;"sta"&amp;AZ2&amp;CHAR(34)&amp;",","")</f>
        <v>"staYEL",</v>
      </c>
      <c r="FB2" s="44" t="str">
        <f>IF(AND(AT2&gt;0,BA2&lt;&gt;""),CHAR(34)&amp;"sta"&amp;BA2&amp;CHAR(34)&amp;",","")</f>
        <v/>
      </c>
      <c r="FC2" s="44" t="str">
        <f>IF(AND(AT2&gt;0,BB2&lt;&gt;""),CHAR(34)&amp;"sta"&amp;BB2&amp;CHAR(34)&amp;",","")</f>
        <v/>
      </c>
      <c r="FD2" s="44" t="str">
        <f>IF(BV2="n",CHAR(34)&amp;"tcWHYE"&amp;CHAR(34)&amp;",",IF(BV2="y",CHAR(34)&amp;FD$1&amp;CHAR(34)&amp;",",""))</f>
        <v>"ntWHYE",</v>
      </c>
      <c r="FE2" s="44" t="str">
        <f>IF(COUNTIF(BL2:BT2,"BLU")=0,CHAR(34)&amp;"NO_BLU"&amp;CHAR(34)&amp;",", "")</f>
        <v/>
      </c>
      <c r="FF2" s="44" t="str">
        <f>IF(COUNTIF(BL2:BT2,"WHI")=0,CHAR(34)&amp;"NO_WHI"&amp;CHAR(34)&amp;",", "")</f>
        <v/>
      </c>
      <c r="FG2" s="44" t="str">
        <f>IF(COUNTIF(BL2:BT2,"RED")=0,CHAR(34)&amp;"NO_RED"&amp;CHAR(34)&amp;",", "")</f>
        <v/>
      </c>
      <c r="FH2" s="44" t="str">
        <f>IF(COUNTIF(BL2:BS2,"GRE")=0,CHAR(34)&amp;"NO_GRE"&amp;CHAR(34)&amp;",", "")</f>
        <v>"NO_GRE",</v>
      </c>
      <c r="FI2" s="44" t="str">
        <f>IF(COUNTIF(BL2:BT2,"YEL")=0,CHAR(34)&amp;"NO_YEL"&amp;CHAR(34)&amp;",", "")</f>
        <v/>
      </c>
      <c r="FJ2" s="44" t="str">
        <f>IF(COUNTIF(BL2:BT2,"BLA")=0,CHAR(34)&amp;"NO_BLA"&amp;CHAR(34)&amp;",", "")</f>
        <v>"NO_BLA",</v>
      </c>
      <c r="FK2" s="44" t="str">
        <f>IF(AND(FH2&lt;&gt;"",FF2&lt;&gt;""),CHAR(34)&amp;"WHGRNO"&amp;CHAR(34)&amp;",","")</f>
        <v/>
      </c>
      <c r="FL2" s="44" t="str">
        <f>IF(AND(FI2&lt;&gt;"",FF2&lt;&gt;""),CHAR(34)&amp;"WHYENO"&amp;CHAR(34)&amp;",","")</f>
        <v/>
      </c>
      <c r="FM2" s="44" t="str">
        <f>IF(AND(FJ2&lt;&gt;"",FF2&lt;&gt;""),CHAR(34)&amp;"BAWHNO"&amp;CHAR(34)&amp;",","")</f>
        <v/>
      </c>
      <c r="FN2" s="44" t="str">
        <f>IF(AND(FE2&lt;&gt;"",FF2&lt;&gt;""),CHAR(34)&amp;"BLWHNO"&amp;CHAR(34)&amp;",","")</f>
        <v/>
      </c>
      <c r="FO2" s="44" t="str">
        <f>IF(AND(FE2&lt;&gt;"",FG2&lt;&gt;""),CHAR(34)&amp;"BLRENO"&amp;CHAR(34)&amp;",","")</f>
        <v/>
      </c>
      <c r="FP2" s="44" t="str">
        <f>IF(AND(FF2&lt;&gt;"",FF2&lt;&gt;""),CHAR(34)&amp;"WHRENO"&amp;CHAR(34)&amp;",","")</f>
        <v/>
      </c>
      <c r="FQ2" s="44" t="str">
        <f>IF(LEN(BF2)=3,CHAR(34)&amp;"001"&amp;BF2&amp;CHAR(34)&amp;",","")</f>
        <v/>
      </c>
      <c r="FR2" s="44" t="str">
        <f>IF(LEN(BG2)=3,CHAR(34)&amp;"002"&amp;BG2&amp;CHAR(34)&amp;",","")</f>
        <v/>
      </c>
      <c r="FS2" s="44" t="str">
        <f>IF(LEN(BH2)=3,CHAR(34)&amp;"003"&amp;BH2&amp;CHAR(34)&amp;",","")</f>
        <v/>
      </c>
      <c r="FT2" s="44" t="str">
        <f>CHAR(34)&amp;"myr"&amp;BD2&amp;CHAR(34)&amp;","</f>
        <v>"myrBLU",</v>
      </c>
      <c r="FU2" s="44" t="str">
        <f>IF(AY2="y",CHAR(34)&amp;"island"&amp;CHAR(34)&amp;",","")</f>
        <v>"island",</v>
      </c>
      <c r="FV2" s="44" t="str">
        <f>IF(BZ2="y",CHAR(34)&amp;"landlo"&amp;CHAR(34)&amp;",","")</f>
        <v/>
      </c>
      <c r="FW2" s="44" t="str">
        <f>IF(CA2="y",CHAR(34)&amp;"eunion"&amp;CHAR(34)&amp;",","")</f>
        <v/>
      </c>
      <c r="FX2" s="44" t="str">
        <f>SUBSTITUTE(IFERROR(SEARCH("[",A2),IFERROR(IF(AND(CA2&lt;&gt;"y",SEARCH("Europe",R2)&gt;0),CHAR(34)&amp;"noeuni"&amp;CHAR(34)&amp;",",""),"")),"1","")</f>
        <v/>
      </c>
      <c r="FY2" s="44" t="str">
        <f>IFERROR(IF(SEARCH("Arabic",CB2)&gt;0,CHAR(34)&amp;"arabic"&amp;CHAR(34)&amp;",",""),"")</f>
        <v/>
      </c>
      <c r="FZ2" s="44" t="str">
        <f>IFERROR(IF(SEARCH("English",CB2)&gt;0,CHAR(34)&amp;"englis"&amp;CHAR(34)&amp;",",""),"")</f>
        <v/>
      </c>
      <c r="GA2" s="44" t="str">
        <f>IFERROR(IF(SEARCH("French",CB2)&gt;0,CHAR(34)&amp;"french"&amp;CHAR(34)&amp;",",""),"")</f>
        <v/>
      </c>
      <c r="GB2" s="44" t="str">
        <f>IFERROR(IF(SEARCH("Spanish",CB2)&gt;0,CHAR(34)&amp;"spanis"&amp;CHAR(34)&amp;",",""),"")</f>
        <v/>
      </c>
      <c r="GC2" s="44" t="str">
        <f>IFERROR(IF(SEARCH("Portuguese",CB2)&gt;0,CHAR(34)&amp;"portug"&amp;CHAR(34)&amp;",",""),"")</f>
        <v/>
      </c>
      <c r="GD2" s="44" t="str">
        <f>IFERROR(IF(SEARCH("German",CB2)&gt;0,CHAR(34)&amp;"german"&amp;CHAR(34)&amp;",",""),"")</f>
        <v/>
      </c>
      <c r="GE2" s="44" t="str">
        <f>IFERROR(IF(SEARCH("Dutch",CB2)&gt;0,CHAR(34)&amp;"dutchs"&amp;CHAR(34)&amp;",",""),"")</f>
        <v/>
      </c>
      <c r="GF2" s="44" t="str">
        <f>IFERROR(IF(SEARCH("Histor",AU2)&gt;0,CHAR(34)&amp;"histor"&amp;CHAR(34)&amp;",",""),"")</f>
        <v/>
      </c>
      <c r="GG2" s="44" t="str">
        <f>IF(BU2="y",CHAR(34)&amp;"unjack"&amp;CHAR(34)&amp;",","")</f>
        <v>"unjack",</v>
      </c>
      <c r="GH2" s="44" t="str">
        <f>IF(CD2=1,CHAR(34)&amp;"southc"&amp;CHAR(34)&amp;",","")</f>
        <v/>
      </c>
      <c r="GI2" s="44" t="str">
        <f>IF(CE2=1,CHAR(34)&amp;"hasmap"&amp;CHAR(34)&amp;",","")</f>
        <v/>
      </c>
      <c r="GJ2" s="44" t="str">
        <f>IF(CP2="y",CHAR(34)&amp;CP$1&amp;CHAR(34)&amp;",","")</f>
        <v/>
      </c>
      <c r="GK2" s="44" t="str">
        <f>IF(GJ2="",CHAR(34)&amp;"HasSta"&amp;CHAR(34)&amp;",","")</f>
        <v>"HasSta",</v>
      </c>
      <c r="GL2" s="44" t="str">
        <f t="shared" ref="GL2:GN4" si="5">IF(CQ2="y",CHAR(34)&amp;CQ$1&amp;CHAR(34)&amp;",","")</f>
        <v/>
      </c>
      <c r="GM2" s="44" t="str">
        <f t="shared" si="5"/>
        <v/>
      </c>
      <c r="GN2" s="44" t="str">
        <f t="shared" si="5"/>
        <v>"3+Star",</v>
      </c>
      <c r="GP2" s="44" t="str">
        <f>CHAR(34)&amp;AU2&amp;CHAR(34)</f>
        <v>""</v>
      </c>
      <c r="GS2" s="44" t="str">
        <f>SUBSTITUTE("["&amp;_xlfn.CONCAT(CW2:GN2)&amp;"]",",]","]")</f>
        <v>["4Color","lets06","startT","with_v","year19","smallc","NoBand","Crosse","Canton","staYEL","ntWHYE","NO_GRE","NO_BLA","myrBLU","island","unjack","HasSta","3+Star"]</v>
      </c>
      <c r="GT2" s="44" t="str">
        <f t="shared" ref="GT2:HB4" si="6">IF(BL2&lt;&gt;"",CHAR(34)&amp;"cl_"&amp;BL2&amp;CHAR(34)&amp;",","")</f>
        <v>"cl_RED",</v>
      </c>
      <c r="GU2" s="44" t="str">
        <f t="shared" si="6"/>
        <v>"cl_WHI",</v>
      </c>
      <c r="GV2" s="44" t="str">
        <f t="shared" si="6"/>
        <v>"cl_BLU",</v>
      </c>
      <c r="GW2" s="44" t="str">
        <f t="shared" si="6"/>
        <v>"cl_YEL",</v>
      </c>
      <c r="GX2" s="44" t="str">
        <f t="shared" si="6"/>
        <v/>
      </c>
      <c r="GY2" s="44" t="str">
        <f t="shared" si="6"/>
        <v/>
      </c>
      <c r="GZ2" s="44" t="str">
        <f t="shared" si="6"/>
        <v/>
      </c>
      <c r="HA2" s="44" t="str">
        <f t="shared" si="6"/>
        <v/>
      </c>
      <c r="HB2" s="44" t="str">
        <f t="shared" si="6"/>
        <v/>
      </c>
      <c r="HC2" s="44" t="str">
        <f>SUBSTITUTE("["&amp;_xlfn.CONCAT(GT2:HB2)&amp;"]",",]","]")</f>
        <v>["cl_RED","cl_WHI","cl_BLU","cl_YEL"]</v>
      </c>
      <c r="HE2" s="64"/>
      <c r="HF2" s="65" t="str">
        <f>"{couname:"&amp;CT2&amp;(IF(HK2&lt;&gt;"",",subtype:"&amp;CHAR(34)&amp;HK2&amp;CHAR(34),""))&amp;",year:"&amp;HJ2&amp;",region:"&amp;CU2&amp;",Colors:"&amp;HC2&amp;",Items:"&amp;GS2&amp;",Flag:"&amp;CV2&amp;",HDFlag:"&amp;CHAR(34)&amp;E2&amp;CHAR(34)&amp;",type:"&amp;GP2&amp;", describe: "&amp;HH2&amp;", isnew:"&amp;CHAR(34)&amp;F2&amp;CHAR(34)&amp;", links: "&amp;HL2&amp;"},"</f>
        <v>{couname:"Tuvalu",year:"1978, 1997 ",region:"rgn_Oceania",Colors:["cl_RED","cl_WHI","cl_BLU","cl_YEL"],Items:["4Color","lets06","startT","with_v","year19","smallc","NoBand","Crosse","Canton","staYEL","ntWHYE","NO_GRE","NO_BLA","myrBLU","island","unjack","HasSta","3+Star"],Flag:"https://i.ibb.co/RQ3gYR5/Tuvalu-Flag.png",HDFlag:"https://upload.wikimedia.org/wikipedia/commons/thumb/3/38/Flag_of_Tuvalu.svg/2560px-Flag_of_Tuvalu.svg.png",type:"", describe: "\nThe stars represent the nine islands which comprise Tuvalu; the arrangement is geographically correct, with the east towards the top (i.e. north to the left).", isnew:".", links: "https://en.wikipedia.org/wiki/Flag_of_Tuvalu"},</v>
      </c>
      <c r="HG2" s="66" t="str">
        <f>"{couname:"&amp;CT2&amp;(IF(HK2&lt;&gt;"",",subtype:"&amp;CHAR(34)&amp;HK2&amp;CHAR(34),""))&amp;",year:"&amp;HJ2&amp;",region:"&amp;CU2&amp;",Colors:"&amp;HC2&amp;",Items:"&amp;GS2&amp;",Flag:"&amp;CV2&amp;",HDFlag:"&amp;CHAR(34)&amp;E2&amp;CHAR(34)&amp;",type:"&amp;GP2&amp;", describe: "&amp;HI2&amp;", links: "&amp;HL2&amp;"},"</f>
        <v>{couname:"Tuvalu",year:"1978, 1997 ",region:"rgn_Oceania",Colors:["cl_RED","cl_WHI","cl_BLU","cl_YEL"],Items:["4Color","lets06","startT","with_v","year19","smallc","NoBand","Crosse","Canton","staYEL","ntWHYE","NO_GRE","NO_BLA","myrBLU","island","unjack","HasSta","3+Star"],Flag:"https://i.ibb.co/RQ3gYR5/Tuvalu-Flag.png",HDFlag:"https://upload.wikimedia.org/wikipedia/commons/thumb/3/38/Flag_of_Tuvalu.svg/2560px-Flag_of_Tuvalu.svg.png",type:"", describe: "\nThe stars represent the nine islands which comprise Tuvalu; the arrangement is geographically correct, with the east towards the top (i.e. north to the left).", links: "https://en.wikipedia.org/wiki/Flag_of_Tuvalu"},</v>
      </c>
      <c r="HH2" s="44" t="str">
        <f>IF(P2&lt;&gt;"",CHAR(34)&amp;"\n"&amp;P2&amp;CHAR(34),CHAR(34)&amp;CHAR(34))</f>
        <v>"\nThe stars represent the nine islands which comprise Tuvalu; the arrangement is geographically correct, with the east towards the top (i.e. north to the left)."</v>
      </c>
      <c r="HI2" s="44" t="str">
        <f>IF(J2=0,CHAR(34)&amp;CHAR(34),HH2)</f>
        <v>"\nThe stars represent the nine islands which comprise Tuvalu; the arrangement is geographically correct, with the east towards the top (i.e. north to the left)."</v>
      </c>
      <c r="HJ2" s="44" t="str">
        <f>CHAR(34)&amp;O2&amp;CHAR(34)</f>
        <v>"1978, 1997 "</v>
      </c>
      <c r="HL2" s="44" t="str">
        <f>CHAR(34)&amp;I2&amp;CHAR(34)</f>
        <v>"https://en.wikipedia.org/wiki/Flag_of_Tuvalu"</v>
      </c>
      <c r="HM2" s="65"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{"couname":"Tuvalu","year":"1978, 1997 ","region":"rgn_Oceania","Colors":["cl_RED","cl_WHI","cl_BLU","cl_YEL"],"Items":["4Color","lets06","startT","with_v","year19","smallc","NoBand","Crosse","Canton","staYEL","ntWHYE","NO_GRE","NO_BLA","myrBLU","island","unjack","HasSta","3+Star"],"Flag":"https://i.ibb.co/RQ3gYR5/Tuvalu-Flag.png","HDFlag":"https://upload.wikimedia.org/wikipedia/commons/thumb/3/38/Flag_of_Tuvalu.svg/2560px-Flag_of_Tuvalu.svg.png","type":"", "describe": "\nThe stars represent the nine islands which comprise Tuvalu; the arrangement is geographically correct, with the east towards the top (i.e. north to the left).", "isnew": ".", "links": "https://en.wikipedia.org/wiki/Flag_of_Tuvalu"},</v>
      </c>
      <c r="HN2" s="67"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{"couname":"Tuvalu","year":"1978, 1997 ","region":"rgn_Oceania","Colors":["cl_RED","cl_WHI","cl_BLU","cl_YEL"],"Items":["4Color","lets06","startT","with_v","year19","smallc","NoBand","Crosse","Canton","staYEL","ntWHYE","NO_GRE","NO_BLA","myrBLU","island","unjack","HasSta","3+Star"],"Flag":"https://i.ibb.co/RQ3gYR5/Tuvalu-Flag.png","HDFlag":"https://upload.wikimedia.org/wikipedia/commons/thumb/3/38/Flag_of_Tuvalu.svg/2560px-Flag_of_Tuvalu.svg.png","type":"", "describe": "\nThe stars represent the nine islands which comprise Tuvalu; the arrangement is geographically correct, with the east towards the top (i.e. north to the left).", "isnew": ".", "links": "https://en.wikipedia.org/wiki/Flag_of_Tuvalu"},</v>
      </c>
      <c r="HO2" s="71"/>
      <c r="HP2" s="44" t="str" cm="1">
        <f t="array" ref="HP2">IF(_xlfn.TEXTJOIN(", ", TRUE, IF(ISNUMBER(SEARCH("BLA", BL2:BT2)), COLUMN(BL2:BT2) - COLUMN(BL2) + 1, ""))&lt;&gt;"","BLA","")</f>
        <v/>
      </c>
      <c r="HQ2" s="44" t="str" cm="1">
        <f t="array" ref="HQ2">IF(_xlfn.TEXTJOIN(", ", TRUE, IF(ISNUMBER(SEARCH("BLU", BL2:BT2)), COLUMN(BL2:BT2) - COLUMN(BL2) + 1, ""))&lt;&gt;"","BLU","")</f>
        <v>BLU</v>
      </c>
      <c r="HR2" s="44" t="str" cm="1">
        <f t="array" ref="HR2">IF(_xlfn.TEXTJOIN(", ", TRUE, IF(ISNUMBER(SEARCH("GRE", BL2:BT2)), COLUMN(BL2:BT2) - COLUMN(BL2) + 1, ""))&lt;&gt;"","GRE","")</f>
        <v/>
      </c>
      <c r="HS2" s="44" t="str" cm="1">
        <f t="array" ref="HS2">IF(_xlfn.TEXTJOIN(", ", TRUE, IF(ISNUMBER(SEARCH("RED", BL2:BT2)), COLUMN(BL2:BT2) - COLUMN(BL2) + 1, ""))&lt;&gt;"","RED","")</f>
        <v>RED</v>
      </c>
      <c r="HT2" s="44" t="str" cm="1">
        <f t="array" ref="HT2">IF(_xlfn.TEXTJOIN(", ", TRUE, IF(ISNUMBER(SEARCH("YEL", BL2:BT2)), COLUMN(BL2:BT2) - COLUMN(BL2) + 1, ""))&lt;&gt;"","YEL","")</f>
        <v>YEL</v>
      </c>
      <c r="HU2" s="44" t="str" cm="1">
        <f t="array" ref="HU2">IF(_xlfn.TEXTJOIN(", ", TRUE, IF(ISNUMBER(SEARCH("ORA", BL2:BT2)), COLUMN(BL2:BT2) - COLUMN(BL2) + 1, ""))&lt;&gt;"","ORA","")</f>
        <v/>
      </c>
      <c r="HV2" s="44" t="str" cm="1">
        <f t="array" ref="HV2">IF(_xlfn.TEXTJOIN(", ", TRUE, IF(ISNUMBER(SEARCH("BRO", BL2:BT2)), COLUMN(BL2:BT2) - COLUMN(BL2) + 1, ""))&lt;&gt;"","BRO","")</f>
        <v/>
      </c>
      <c r="HW2" s="44" t="str" cm="1">
        <f t="array" ref="HW2">IF(_xlfn.TEXTJOIN(", ", TRUE, IF(ISNUMBER(SEARCH("PUR", BL2:BT2)), COLUMN(BL2:BT2) - COLUMN(BL2) + 1, ""))&lt;&gt;"","PUR","")</f>
        <v/>
      </c>
      <c r="HX2" s="44" t="str" cm="1">
        <f t="array" ref="HX2">IF(_xlfn.TEXTJOIN(", ", TRUE, IF(ISNUMBER(SEARCH("WHI", BL2:BT2)), COLUMN(BL2:BT2) - COLUMN(BL2) + 1, ""))&lt;&gt;"","WHI","")</f>
        <v>WHI</v>
      </c>
      <c r="HY2" s="72"/>
      <c r="HZ2" s="72"/>
      <c r="IA2" s="5" t="s">
        <v>166</v>
      </c>
      <c r="IB2" s="5"/>
      <c r="IC2" s="68"/>
      <c r="ID2" s="68"/>
      <c r="IE2" s="68"/>
      <c r="IF2" s="68"/>
      <c r="IG2" s="68"/>
      <c r="IH2" s="68"/>
      <c r="II2" s="68"/>
      <c r="IJ2" s="68"/>
      <c r="IK2" s="68"/>
      <c r="IL2" s="44">
        <f>SUM(IC2:IK2)</f>
        <v>0</v>
      </c>
      <c r="IM2" s="42">
        <f>COUNTIF(IC2:IK2,"&gt;0")-CG2</f>
        <v>-4</v>
      </c>
      <c r="IN2" s="69" t="str">
        <f>"http://mkweb.bcgsc.ca/color-summarizer/?url="&amp;D2&amp;"&amp;precision=low&amp;num_clusters="&amp;CG2&amp;"&amp;text=1"</f>
        <v>http://mkweb.bcgsc.ca/color-summarizer/?url=https://i.ibb.co/RQ3gYR5/Tuvalu-Flag.png&amp;precision=low&amp;num_clusters=4&amp;text=1</v>
      </c>
      <c r="IO2" s="44" t="str">
        <f>IF(HP2&lt;&gt;"",CHAR(34)&amp;"black"&amp;CHAR(34),"")</f>
        <v/>
      </c>
      <c r="IP2" s="44" t="str">
        <f>IF(HQ2&lt;&gt;"",CHAR(34)&amp;"blue"&amp;CHAR(34),"")</f>
        <v>"blue"</v>
      </c>
      <c r="IQ2" s="44" t="str">
        <f>IF(HR2&lt;&gt;"",CHAR(34)&amp;"green"&amp;CHAR(34),"")</f>
        <v/>
      </c>
      <c r="IR2" s="44" t="str">
        <f>IF(HS2&lt;&gt;"",CHAR(34)&amp;"red"&amp;CHAR(34),"")</f>
        <v>"red"</v>
      </c>
      <c r="IS2" s="44" t="str">
        <f>IF(HT2&lt;&gt;"",CHAR(34)&amp;"yellow"&amp;CHAR(34),"")</f>
        <v>"yellow"</v>
      </c>
      <c r="IT2" s="44" t="str">
        <f>IF(HU2&lt;&gt;"",CHAR(34)&amp;"orange"&amp;CHAR(34),"")</f>
        <v/>
      </c>
      <c r="IU2" s="44" t="str">
        <f>IF(HV2&lt;&gt;"",CHAR(34)&amp;"brown"&amp;CHAR(34),"")</f>
        <v/>
      </c>
      <c r="IV2" s="44" t="str">
        <f>IF(HW2&lt;&gt;"",CHAR(34)&amp;"purple"&amp;CHAR(34),"")</f>
        <v/>
      </c>
      <c r="IW2" s="44" t="str">
        <f>IF(HX2&lt;&gt;"",CHAR(34)&amp;"white"&amp;CHAR(34),"")</f>
        <v>"white"</v>
      </c>
      <c r="IX2" s="44" t="str">
        <f>"{"&amp;CHAR(34)&amp;"url"&amp;CHAR(34)&amp;":"&amp;CHAR(34)&amp;IN2&amp;CHAR(34)&amp;","&amp;CHAR(34)&amp;"name"&amp;CHAR(34)&amp;":"&amp;CHAR(34)&amp;A2&amp;CHAR(34)&amp;"},"</f>
        <v>{"url":"http://mkweb.bcgsc.ca/color-summarizer/?url=https://i.ibb.co/RQ3gYR5/Tuvalu-Flag.png&amp;precision=low&amp;num_clusters=4&amp;text=1","name":"Tuvalu"},</v>
      </c>
      <c r="IY2" s="44">
        <v>226</v>
      </c>
    </row>
    <row r="3" spans="1:259" s="44" customFormat="1" ht="38.4" customHeight="1" thickBot="1" x14ac:dyDescent="0.35">
      <c r="A3" s="80" t="s">
        <v>523</v>
      </c>
      <c r="B3" s="78" t="e" vm="111">
        <v>#VALUE!</v>
      </c>
      <c r="C3" s="39">
        <v>2</v>
      </c>
      <c r="D3" s="70" t="s">
        <v>524</v>
      </c>
      <c r="E3" s="40" t="s">
        <v>524</v>
      </c>
      <c r="F3" s="41" t="s">
        <v>165</v>
      </c>
      <c r="G3" s="42">
        <f>COUNTIF($A$1:$A$8213,A3)</f>
        <v>1</v>
      </c>
      <c r="H3" s="43"/>
      <c r="I3" s="59" t="s">
        <v>525</v>
      </c>
      <c r="J3" s="44" t="str">
        <f>""</f>
        <v/>
      </c>
      <c r="K3" s="45"/>
      <c r="L3" s="46"/>
      <c r="M3" s="46"/>
      <c r="N3" s="47" t="s">
        <v>177</v>
      </c>
      <c r="O3" s="74" t="s">
        <v>356</v>
      </c>
      <c r="P3" s="48" t="s">
        <v>526</v>
      </c>
      <c r="Q3" s="73">
        <v>1</v>
      </c>
      <c r="R3" s="49" t="s">
        <v>177</v>
      </c>
      <c r="S3" s="50">
        <v>3</v>
      </c>
      <c r="T3" s="51" t="s">
        <v>166</v>
      </c>
      <c r="U3" s="52" t="s">
        <v>166</v>
      </c>
      <c r="V3" s="52" t="s">
        <v>166</v>
      </c>
      <c r="W3" s="52" t="s">
        <v>167</v>
      </c>
      <c r="X3" s="52" t="s">
        <v>166</v>
      </c>
      <c r="Y3" s="52" t="s">
        <v>167</v>
      </c>
      <c r="Z3" s="52" t="s">
        <v>167</v>
      </c>
      <c r="AA3" s="52" t="s">
        <v>167</v>
      </c>
      <c r="AB3" s="52" t="s">
        <v>167</v>
      </c>
      <c r="AC3" s="52" t="s">
        <v>166</v>
      </c>
      <c r="AD3" s="52" t="s">
        <v>166</v>
      </c>
      <c r="AE3" s="52" t="s">
        <v>166</v>
      </c>
      <c r="AF3" s="53" t="s">
        <v>166</v>
      </c>
      <c r="AG3" s="53" t="s">
        <v>167</v>
      </c>
      <c r="AH3" s="53" t="s">
        <v>167</v>
      </c>
      <c r="AI3" s="53" t="s">
        <v>166</v>
      </c>
      <c r="AJ3" s="53" t="s">
        <v>166</v>
      </c>
      <c r="AK3" s="53" t="s">
        <v>166</v>
      </c>
      <c r="AL3" s="53" t="s">
        <v>166</v>
      </c>
      <c r="AM3" s="53" t="s">
        <v>166</v>
      </c>
      <c r="AN3" s="53" t="s">
        <v>166</v>
      </c>
      <c r="AO3" s="53" t="s">
        <v>166</v>
      </c>
      <c r="AP3" s="53" t="s">
        <v>166</v>
      </c>
      <c r="AQ3" s="53" t="s">
        <v>166</v>
      </c>
      <c r="AR3" s="53" t="s">
        <v>166</v>
      </c>
      <c r="AS3" s="53" t="s">
        <v>166</v>
      </c>
      <c r="AT3" s="54">
        <v>7</v>
      </c>
      <c r="AU3" s="53" t="s">
        <v>360</v>
      </c>
      <c r="AV3" s="53" t="str">
        <f>IF(LEFT(A3,1)="[",LEFT(A3,5)&amp;AU3&amp;A3,"")</f>
        <v>[TUV]City[TUV] Funafuti</v>
      </c>
      <c r="AW3" s="53" t="str">
        <f>C3&amp;H3&amp;A3</f>
        <v>2[TUV] Funafuti</v>
      </c>
      <c r="AX3" s="55"/>
      <c r="AY3" s="55"/>
      <c r="AZ3" s="56" t="s">
        <v>154</v>
      </c>
      <c r="BA3" s="56"/>
      <c r="BB3" s="56"/>
      <c r="BC3" s="57"/>
      <c r="BD3" s="58" t="s">
        <v>161</v>
      </c>
      <c r="BE3" s="59"/>
      <c r="BF3" s="58" t="s">
        <v>156</v>
      </c>
      <c r="BG3" s="58" t="s">
        <v>161</v>
      </c>
      <c r="BH3" s="58" t="s">
        <v>156</v>
      </c>
      <c r="BI3" s="58"/>
      <c r="BJ3" s="58"/>
      <c r="BK3" s="59"/>
      <c r="BL3" s="58" t="s">
        <v>161</v>
      </c>
      <c r="BM3" s="58" t="s">
        <v>156</v>
      </c>
      <c r="BN3" s="58" t="s">
        <v>155</v>
      </c>
      <c r="BO3" s="58" t="s">
        <v>154</v>
      </c>
      <c r="BP3" s="58" t="s">
        <v>153</v>
      </c>
      <c r="BQ3" s="58"/>
      <c r="BR3" s="58"/>
      <c r="BS3" s="58"/>
      <c r="BT3" s="58"/>
      <c r="BU3" s="60"/>
      <c r="BV3" s="61"/>
      <c r="BW3" s="61">
        <v>0</v>
      </c>
      <c r="BX3" s="59"/>
      <c r="CB3" s="5"/>
      <c r="CC3" s="5"/>
      <c r="CD3" s="62">
        <v>0</v>
      </c>
      <c r="CE3" s="62">
        <v>0</v>
      </c>
      <c r="CF3" s="62" t="e">
        <v>#REF!</v>
      </c>
      <c r="CG3" s="75" cm="1">
        <f t="array" ref="CG3">SUMPRODUCT(--(LEN(TRIM(BL3:BT3))&gt;0))</f>
        <v>5</v>
      </c>
      <c r="CH3" s="53" t="str">
        <f>IF(CG3=2,"y","n")</f>
        <v>n</v>
      </c>
      <c r="CI3" s="53" t="str">
        <f>IF(CG3=3,"y","n")</f>
        <v>n</v>
      </c>
      <c r="CJ3" s="53" t="str">
        <f>IF(CG3=4,"y","n")</f>
        <v>n</v>
      </c>
      <c r="CK3" s="53" t="str">
        <f>IF(CG3&gt;4,"y","n")</f>
        <v>y</v>
      </c>
      <c r="CL3" s="53" t="str">
        <f>IF(S3=0,"y","n")</f>
        <v>n</v>
      </c>
      <c r="CM3" s="53" t="str">
        <f>IF(S3=2,"y","n")</f>
        <v>n</v>
      </c>
      <c r="CN3" s="53" t="str">
        <f>IF(S3=3,"y","n")</f>
        <v>y</v>
      </c>
      <c r="CO3" s="53" t="str">
        <f>IF(S3&gt;=4,"y","n")</f>
        <v>n</v>
      </c>
      <c r="CP3" s="53" t="str">
        <f>IF(AT3=0,"y","n")</f>
        <v>n</v>
      </c>
      <c r="CQ3" s="53" t="str">
        <f>IF(AT3=1,"y","n")</f>
        <v>n</v>
      </c>
      <c r="CR3" s="53" t="str">
        <f>IF(AT3=2,"y","n")</f>
        <v>n</v>
      </c>
      <c r="CS3" s="53" t="str">
        <f>IF(AT3&gt;=3,"y","n")</f>
        <v>y</v>
      </c>
      <c r="CT3" s="38" t="str">
        <f>CHAR(34)&amp;A3&amp;CHAR(34)</f>
        <v>"[TUV] Funafuti"</v>
      </c>
      <c r="CU3" s="63" t="str">
        <f>CHAR(34)&amp;"rgn_"&amp;R3&amp;CHAR(34)</f>
        <v>"rgn_Oceania"</v>
      </c>
      <c r="CV3" s="44" t="str">
        <f>CHAR(34)&amp;D3&amp;CHAR(34)</f>
        <v>"https://upload.wikimedia.org/wikipedia/commons/thumb/5/5c/Flag_of_Funafuti.svg/648px-Flag_of_Funafuti.svg.png"</v>
      </c>
      <c r="CW3" s="44" t="str">
        <f t="shared" si="0"/>
        <v/>
      </c>
      <c r="CX3" s="44" t="str">
        <f t="shared" si="0"/>
        <v/>
      </c>
      <c r="CY3" s="44" t="str">
        <f t="shared" si="0"/>
        <v/>
      </c>
      <c r="CZ3" s="44" t="str">
        <f t="shared" si="0"/>
        <v>"5+Colo",</v>
      </c>
      <c r="DA3" s="44" t="str">
        <f>IF(Q3&gt;1,CHAR(34)&amp;"words2"&amp;CHAR(34)&amp;",","")</f>
        <v/>
      </c>
      <c r="DB3" s="44" t="str">
        <f>IF(Q3&gt;2,CHAR(34)&amp;"words3"&amp;CHAR(34)&amp;",","")</f>
        <v/>
      </c>
      <c r="DC3" s="44" t="str">
        <f>IF(Q3=2,CHAR(34)&amp;"exact2"&amp;CHAR(34)&amp;",","")</f>
        <v/>
      </c>
      <c r="DD3" s="44" t="str">
        <f>IF(LEN(CHAR(34)&amp;"lets"&amp;LEN(SUBSTITUTE(SUBSTITUTE(IFERROR(TRIM(SUBSTITUTE(SUBSTITUTE(SUBSTITUTE(IFERROR(TRIM(SUBSTITUTE(A3,MID(A3,FIND("(",A3),FIND(")",A3)-FIND("(",A3)+1),"")),A3),"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",""),"-",""))&amp;CHAR(34)&amp;",")=9,CHAR(34)&amp;"lets"&amp;LEN(SUBSTITUTE(SUBSTITUTE(IFERROR(TRIM(SUBSTITUTE(SUBSTITUTE(SUBSTITUTE(IFERROR(TRIM(SUBSTITUTE(A3,MID(A3,FIND("(",A3),FIND(")",A3)-FIND("(",A3)+1),"")),A3),"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",""),"-",""))&amp;CHAR(34)&amp;",",CHAR(34)&amp;"lets0"&amp;LEN(SUBSTITUTE(SUBSTITUTE(IFERROR(TRIM(SUBSTITUTE(SUBSTITUTE(SUBSTITUTE(IFERROR(TRIM(SUBSTITUTE(A3,MID(A3,FIND("(",A3),FIND(")",A3)-FIND("(",A3)+1),"")),A3),"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f>
        <v>"lets08",</v>
      </c>
      <c r="DE3" s="44" t="str">
        <f>IFERROR(CHAR(34)&amp;"start"&amp;LEFT(TRIM(SUBSTITUTE(SUBSTITUTE(TRIM(SUBSTITUTE(SUBSTITUTE(A3, MID(A3, FIND("[", A3), FIND("]", A3) - FIND("[", A3) + 1), ""), "  ", " ")), MID(TRIM(SUBSTITUTE(SUBSTITUTE(A3, MID(A3, FIND("[", A3), FIND("]", A3) - FIND("[", A3) + 1), ""), "  ", " ")), FIND("[", TRIM(SUBSTITUTE(SUBSTITUTE(A3, MID(A3, FIND("[", A3), FIND("]", A3) - FIND("[", A3) + 1), ""), "  ", " "))), FIND("]", TRIM(SUBSTITUTE(SUBSTITUTE(A3, MID(A3, FIND("[", A3), FIND("]", A3) - FIND("[", A3) + 1), ""), "  ", " "))) - FIND("[", TRIM(SUBSTITUTE(SUBSTITUTE(A3, MID(A3, FIND("[", A3), FIND("]", A3) - FIND("[", A3) + 1), ""), "  ", " "))) + 1), ""), "  ", " ")),1)&amp;CHAR(34)&amp;",",CHAR(34)&amp;"start"&amp;IFERROR(LEFT(SUBSTITUTE(A3,"["&amp;MID(A3,FIND("[",A3)+1,FIND("]",A3)-FIND("[",A3)-1)&amp;"] ",""),1),LEFT(A3,1))&amp;CHAR(34)&amp;",")</f>
        <v>"startF",</v>
      </c>
      <c r="DF3" s="44" t="str">
        <f>IFERROR(IF(SEARCH("tan",A3)&gt;0,CHAR(34)&amp;"withtn"&amp;CHAR(34)&amp;",",""),"")</f>
        <v/>
      </c>
      <c r="DG3" s="44" t="str">
        <f>IFERROR(IF(SEARCH("q",A3)&gt;0,CHAR(34)&amp;"with_q"&amp;CHAR(34)&amp;",",""),"")</f>
        <v/>
      </c>
      <c r="DH3" s="44" t="str">
        <f>IFERROR(IF(SEARCH("v",A3)&gt;0,CHAR(34)&amp;"with_v"&amp;CHAR(34)&amp;",",""),"")</f>
        <v>"with_v",</v>
      </c>
      <c r="DI3" s="44" t="str">
        <f>IFERROR(IF(SEARCH("w",A3)&gt;0,CHAR(34)&amp;"with_w"&amp;CHAR(34)&amp;",",""),"")</f>
        <v/>
      </c>
      <c r="DJ3" s="44" t="str">
        <f>IFERROR(IF(SEARCH("y",A3)&gt;0,CHAR(34)&amp;"with_y"&amp;CHAR(34)&amp;",",""),"")</f>
        <v/>
      </c>
      <c r="DK3" s="44" t="str">
        <f>IFERROR(IF(SEARCH("z",A3)&gt;0,CHAR(34)&amp;"with_z"&amp;CHAR(34)&amp;",",""),"")</f>
        <v/>
      </c>
      <c r="DL3" s="44" t="str">
        <f>IF(CG3=2, CHAR(34) &amp; _xlfn.TEXTJOIN("", TRUE, _xlfn._xlws.SORT(HP3:HX3)) &amp; CHAR(34) &amp; ",", "")</f>
        <v/>
      </c>
      <c r="DM3" s="44" t="str" cm="1">
        <f t="array" ref="DM3">IF(CG3=3,CHAR(34) &amp; _xlfn.TEXTJOIN("", TRUE, RIGHT(HP3:HX3, 2)) &amp; CHAR(34) &amp; ",", "")</f>
        <v/>
      </c>
      <c r="DN3" s="44" t="str">
        <f>IF(AND(ISNUMBER(SEARCH("18", O3)), ISERROR(SEARCH("1918", O3)), ISERROR(SEARCH("2018", O3))), CHAR(34) &amp; "year18" &amp; CHAR(34) &amp; ",", "")</f>
        <v/>
      </c>
      <c r="DO3" s="44" t="str">
        <f>IF(AND(ISNUMBER(SEARCH("19", O3)), ISERROR(SEARCH("1819", O3)),  ISERROR(SEARCH("1219", O3)),ISERROR(SEARCH("1119", O3)),ISERROR(SEARCH("1190", O3)),ISERROR(SEARCH("2019", O3))), CHAR(34) &amp; "year19" &amp; CHAR(34) &amp; ",", "")</f>
        <v/>
      </c>
      <c r="DP3" s="5" t="str">
        <f>IF(AND(ISNUMBER(SEARCH("20", O3)), ISERROR(SEARCH("1920", O3))), CHAR(34)&amp;"year00"&amp;CHAR(34)&amp;",", "")</f>
        <v/>
      </c>
      <c r="DQ3" s="5" t="str">
        <f>IF(CC3="y",CHAR(34)&amp;"soviet"&amp;CHAR(34)&amp;",","")</f>
        <v/>
      </c>
      <c r="DR3" s="5" t="str">
        <f>IF(BY3="y",CHAR(34)&amp;"dgband"&amp;CHAR(34)&amp;",","")</f>
        <v/>
      </c>
      <c r="DS3" s="5" t="str">
        <f>IF(W3="y",IF(AND(V3="n",BY3&lt;&gt;"y"),CHAR(34)&amp;"allver"&amp;CHAR(34)&amp;",",""),"")</f>
        <v>"allver",</v>
      </c>
      <c r="DT3" s="5" t="str">
        <f>IF(V3="y",IF(AND(W3="n",BY3&lt;&gt;"y"),CHAR(34)&amp;"allhor"&amp;CHAR(34)&amp;",",""),"")</f>
        <v/>
      </c>
      <c r="DU3" s="5" t="str">
        <f>IF(BY3="y",IF(AND(W3="n",V3="n"),CHAR(34)&amp;"alldia"&amp;CHAR(34)&amp;",",""),"")</f>
        <v/>
      </c>
      <c r="DV3" s="44" t="str">
        <f>IF(IA3&lt;&gt;"",(IF(IA3="y",CHAR(34)&amp;"largec"&amp;CHAR(34)&amp;",",CHAR(34)&amp;"smallc"&amp;CHAR(34)&amp;",")),"")</f>
        <v/>
      </c>
      <c r="DW3" s="44" t="str">
        <f t="shared" si="1"/>
        <v/>
      </c>
      <c r="DX3" s="44" t="str">
        <f t="shared" si="1"/>
        <v/>
      </c>
      <c r="DY3" s="44" t="str">
        <f t="shared" si="1"/>
        <v>"3Bands",</v>
      </c>
      <c r="DZ3" s="44" t="str">
        <f t="shared" si="1"/>
        <v/>
      </c>
      <c r="EA3" s="44" t="str">
        <f t="shared" si="2"/>
        <v/>
      </c>
      <c r="EB3" s="44" t="str">
        <f t="shared" si="2"/>
        <v/>
      </c>
      <c r="EC3" s="44" t="str">
        <f t="shared" si="2"/>
        <v/>
      </c>
      <c r="ED3" s="44" t="str">
        <f t="shared" si="2"/>
        <v>"Vertic",</v>
      </c>
      <c r="EE3" s="44" t="str">
        <f t="shared" si="2"/>
        <v/>
      </c>
      <c r="EF3" s="44" t="str">
        <f>IF(AND(Y3&lt;&gt;"n",Y3&lt;&gt;""),CHAR(34)&amp;Y$1&amp;CHAR(34)&amp;",","")</f>
        <v>"Animal",</v>
      </c>
      <c r="EG3" s="44" t="str">
        <f t="shared" si="3"/>
        <v>"Bird",</v>
      </c>
      <c r="EH3" s="44" t="str">
        <f t="shared" si="3"/>
        <v>"Plants",</v>
      </c>
      <c r="EI3" s="44" t="str">
        <f t="shared" si="3"/>
        <v>"Texted",</v>
      </c>
      <c r="EJ3" s="44" t="str">
        <f t="shared" si="3"/>
        <v/>
      </c>
      <c r="EK3" s="44" t="str">
        <f t="shared" si="3"/>
        <v/>
      </c>
      <c r="EL3" s="44" t="str">
        <f t="shared" si="3"/>
        <v/>
      </c>
      <c r="EM3" s="44" t="str">
        <f t="shared" si="3"/>
        <v/>
      </c>
      <c r="EN3" s="44" t="str">
        <f t="shared" si="3"/>
        <v>"Unequa",</v>
      </c>
      <c r="EO3" s="44" t="str">
        <f t="shared" si="3"/>
        <v>"Center",</v>
      </c>
      <c r="EP3" s="44" t="str">
        <f t="shared" si="3"/>
        <v/>
      </c>
      <c r="EQ3" s="44" t="str">
        <f t="shared" si="4"/>
        <v/>
      </c>
      <c r="ER3" s="44" t="str">
        <f t="shared" si="4"/>
        <v/>
      </c>
      <c r="ES3" s="44" t="str">
        <f t="shared" si="4"/>
        <v/>
      </c>
      <c r="ET3" s="44" t="str">
        <f t="shared" si="4"/>
        <v/>
      </c>
      <c r="EU3" s="44" t="str">
        <f t="shared" si="4"/>
        <v/>
      </c>
      <c r="EV3" s="44" t="str">
        <f t="shared" si="4"/>
        <v/>
      </c>
      <c r="EW3" s="44" t="str">
        <f t="shared" si="4"/>
        <v/>
      </c>
      <c r="EX3" s="44" t="str">
        <f t="shared" si="4"/>
        <v/>
      </c>
      <c r="EY3" s="44" t="str">
        <f t="shared" si="4"/>
        <v/>
      </c>
      <c r="EZ3" s="44" t="str">
        <f t="shared" si="4"/>
        <v/>
      </c>
      <c r="FA3" s="44" t="str">
        <f>IF(AT3&gt;0,CHAR(34)&amp;"sta"&amp;AZ3&amp;CHAR(34)&amp;",","")</f>
        <v>"staBLU",</v>
      </c>
      <c r="FB3" s="44" t="str">
        <f>IF(AND(AT3&gt;0,BA3&lt;&gt;""),CHAR(34)&amp;"sta"&amp;BA3&amp;CHAR(34)&amp;",","")</f>
        <v/>
      </c>
      <c r="FC3" s="44" t="str">
        <f>IF(AND(AT3&gt;0,BB3&lt;&gt;""),CHAR(34)&amp;"sta"&amp;BB3&amp;CHAR(34)&amp;",","")</f>
        <v/>
      </c>
      <c r="FD3" s="44" t="str">
        <f>IF(BV3="n",CHAR(34)&amp;"tcWHYE"&amp;CHAR(34)&amp;",",IF(BV3="y",CHAR(34)&amp;FD$1&amp;CHAR(34)&amp;",",""))</f>
        <v/>
      </c>
      <c r="FE3" s="44" t="str">
        <f>IF(COUNTIF(BL3:BT3,"BLU")=0,CHAR(34)&amp;"NO_BLU"&amp;CHAR(34)&amp;",", "")</f>
        <v/>
      </c>
      <c r="FF3" s="44" t="str">
        <f>IF(COUNTIF(BL3:BT3,"WHI")=0,CHAR(34)&amp;"NO_WHI"&amp;CHAR(34)&amp;",", "")</f>
        <v/>
      </c>
      <c r="FG3" s="44" t="str">
        <f>IF(COUNTIF(BL3:BT3,"RED")=0,CHAR(34)&amp;"NO_RED"&amp;CHAR(34)&amp;",", "")</f>
        <v/>
      </c>
      <c r="FH3" s="44" t="str">
        <f>IF(COUNTIF(BL3:BS3,"GRE")=0,CHAR(34)&amp;"NO_GRE"&amp;CHAR(34)&amp;",", "")</f>
        <v/>
      </c>
      <c r="FI3" s="44" t="str">
        <f>IF(COUNTIF(BL3:BT3,"YEL")=0,CHAR(34)&amp;"NO_YEL"&amp;CHAR(34)&amp;",", "")</f>
        <v>"NO_YEL",</v>
      </c>
      <c r="FJ3" s="44" t="str">
        <f>IF(COUNTIF(BL3:BT3,"BLA")=0,CHAR(34)&amp;"NO_BLA"&amp;CHAR(34)&amp;",", "")</f>
        <v/>
      </c>
      <c r="FK3" s="44" t="str">
        <f>IF(AND(FH3&lt;&gt;"",FF3&lt;&gt;""),CHAR(34)&amp;"WHGRNO"&amp;CHAR(34)&amp;",","")</f>
        <v/>
      </c>
      <c r="FL3" s="44" t="str">
        <f>IF(AND(FI3&lt;&gt;"",FF3&lt;&gt;""),CHAR(34)&amp;"WHYENO"&amp;CHAR(34)&amp;",","")</f>
        <v/>
      </c>
      <c r="FM3" s="44" t="str">
        <f>IF(AND(FJ3&lt;&gt;"",FF3&lt;&gt;""),CHAR(34)&amp;"BAWHNO"&amp;CHAR(34)&amp;",","")</f>
        <v/>
      </c>
      <c r="FN3" s="44" t="str">
        <f>IF(AND(FE3&lt;&gt;"",FF3&lt;&gt;""),CHAR(34)&amp;"BLWHNO"&amp;CHAR(34)&amp;",","")</f>
        <v/>
      </c>
      <c r="FO3" s="44" t="str">
        <f>IF(AND(FE3&lt;&gt;"",FG3&lt;&gt;""),CHAR(34)&amp;"BLRENO"&amp;CHAR(34)&amp;",","")</f>
        <v/>
      </c>
      <c r="FP3" s="44" t="str">
        <f>IF(AND(FF3&lt;&gt;"",FF3&lt;&gt;""),CHAR(34)&amp;"WHRENO"&amp;CHAR(34)&amp;",","")</f>
        <v/>
      </c>
      <c r="FQ3" s="44" t="str">
        <f>IF(LEN(BF3)=3,CHAR(34)&amp;"001"&amp;BF3&amp;CHAR(34)&amp;",","")</f>
        <v>"001RED",</v>
      </c>
      <c r="FR3" s="44" t="str">
        <f>IF(LEN(BG3)=3,CHAR(34)&amp;"002"&amp;BG3&amp;CHAR(34)&amp;",","")</f>
        <v>"002WHI",</v>
      </c>
      <c r="FS3" s="44" t="str">
        <f>IF(LEN(BH3)=3,CHAR(34)&amp;"003"&amp;BH3&amp;CHAR(34)&amp;",","")</f>
        <v>"003RED",</v>
      </c>
      <c r="FT3" s="44" t="str">
        <f>CHAR(34)&amp;"myr"&amp;BD3&amp;CHAR(34)&amp;","</f>
        <v>"myrWHI",</v>
      </c>
      <c r="FU3" s="44" t="str">
        <f>IF(AY3="y",CHAR(34)&amp;"island"&amp;CHAR(34)&amp;",","")</f>
        <v/>
      </c>
      <c r="FV3" s="44" t="str">
        <f>IF(BZ3="y",CHAR(34)&amp;"landlo"&amp;CHAR(34)&amp;",","")</f>
        <v/>
      </c>
      <c r="FW3" s="44" t="str">
        <f>IF(CA3="y",CHAR(34)&amp;"eunion"&amp;CHAR(34)&amp;",","")</f>
        <v/>
      </c>
      <c r="FX3" s="44" t="str">
        <f>SUBSTITUTE(IFERROR(SEARCH("[",A3),IFERROR(IF(AND(CA3&lt;&gt;"y",SEARCH("Europe",R3)&gt;0),CHAR(34)&amp;"noeuni"&amp;CHAR(34)&amp;",",""),"")),"1","")</f>
        <v/>
      </c>
      <c r="FY3" s="44" t="str">
        <f>IFERROR(IF(SEARCH("Arabic",CB3)&gt;0,CHAR(34)&amp;"arabic"&amp;CHAR(34)&amp;",",""),"")</f>
        <v/>
      </c>
      <c r="FZ3" s="44" t="str">
        <f>IFERROR(IF(SEARCH("English",CB3)&gt;0,CHAR(34)&amp;"englis"&amp;CHAR(34)&amp;",",""),"")</f>
        <v/>
      </c>
      <c r="GA3" s="44" t="str">
        <f>IFERROR(IF(SEARCH("French",CB3)&gt;0,CHAR(34)&amp;"french"&amp;CHAR(34)&amp;",",""),"")</f>
        <v/>
      </c>
      <c r="GB3" s="44" t="str">
        <f>IFERROR(IF(SEARCH("Spanish",CB3)&gt;0,CHAR(34)&amp;"spanis"&amp;CHAR(34)&amp;",",""),"")</f>
        <v/>
      </c>
      <c r="GC3" s="44" t="str">
        <f>IFERROR(IF(SEARCH("Portuguese",CB3)&gt;0,CHAR(34)&amp;"portug"&amp;CHAR(34)&amp;",",""),"")</f>
        <v/>
      </c>
      <c r="GD3" s="44" t="str">
        <f>IFERROR(IF(SEARCH("German",CB3)&gt;0,CHAR(34)&amp;"german"&amp;CHAR(34)&amp;",",""),"")</f>
        <v/>
      </c>
      <c r="GE3" s="44" t="str">
        <f>IFERROR(IF(SEARCH("Dutch",CB3)&gt;0,CHAR(34)&amp;"dutchs"&amp;CHAR(34)&amp;",",""),"")</f>
        <v/>
      </c>
      <c r="GF3" s="44" t="str">
        <f>IFERROR(IF(SEARCH("Historical",AU3)&gt;0,CHAR(34)&amp;"histor"&amp;CHAR(34)&amp;",",""),"")</f>
        <v/>
      </c>
      <c r="GG3" s="44" t="str">
        <f>IF(BU3="y",CHAR(34)&amp;"unjack"&amp;CHAR(34)&amp;",","")</f>
        <v/>
      </c>
      <c r="GH3" s="44" t="str">
        <f>IF(CD3=1,CHAR(34)&amp;"southc"&amp;CHAR(34)&amp;",","")</f>
        <v/>
      </c>
      <c r="GI3" s="44" t="str">
        <f>IF(CE3=1,CHAR(34)&amp;"hasmap"&amp;CHAR(34)&amp;",","")</f>
        <v/>
      </c>
      <c r="GJ3" s="44" t="str">
        <f>IF(CP3="y",CHAR(34)&amp;CP$1&amp;CHAR(34)&amp;",","")</f>
        <v/>
      </c>
      <c r="GK3" s="44" t="str">
        <f>IF(GJ3="",CHAR(34)&amp;"HasSta"&amp;CHAR(34)&amp;",","")</f>
        <v>"HasSta",</v>
      </c>
      <c r="GL3" s="44" t="str">
        <f t="shared" si="5"/>
        <v/>
      </c>
      <c r="GM3" s="44" t="str">
        <f t="shared" si="5"/>
        <v/>
      </c>
      <c r="GN3" s="44" t="str">
        <f t="shared" si="5"/>
        <v>"3+Star",</v>
      </c>
      <c r="GP3" s="44" t="str">
        <f>CHAR(34)&amp;AU3&amp;CHAR(34)</f>
        <v>"City"</v>
      </c>
      <c r="GS3" s="44" t="str">
        <f>SUBSTITUTE("["&amp;_xlfn.CONCAT(CW3:GN3)&amp;"]",",]","]")</f>
        <v>["5+Colo","lets08","startF","with_v","allver","3Bands","Vertic","Animal","Bird","Plants","Texted","Unequa","Center","staBLU","NO_YEL","001RED","002WHI","003RED","myrWHI","HasSta","3+Star"]</v>
      </c>
      <c r="GT3" s="44" t="str">
        <f t="shared" si="6"/>
        <v>"cl_WHI",</v>
      </c>
      <c r="GU3" s="44" t="str">
        <f t="shared" si="6"/>
        <v>"cl_RED",</v>
      </c>
      <c r="GV3" s="44" t="str">
        <f t="shared" si="6"/>
        <v>"cl_GRE",</v>
      </c>
      <c r="GW3" s="44" t="str">
        <f t="shared" si="6"/>
        <v>"cl_BLU",</v>
      </c>
      <c r="GX3" s="44" t="str">
        <f t="shared" si="6"/>
        <v>"cl_BLA",</v>
      </c>
      <c r="GY3" s="44" t="str">
        <f t="shared" si="6"/>
        <v/>
      </c>
      <c r="GZ3" s="44" t="str">
        <f t="shared" si="6"/>
        <v/>
      </c>
      <c r="HA3" s="44" t="str">
        <f t="shared" si="6"/>
        <v/>
      </c>
      <c r="HB3" s="44" t="str">
        <f t="shared" si="6"/>
        <v/>
      </c>
      <c r="HC3" s="44" t="str">
        <f>SUBSTITUTE("["&amp;_xlfn.CONCAT(GT3:HB3)&amp;"]",",]","]")</f>
        <v>["cl_WHI","cl_RED","cl_GRE","cl_BLU","cl_BLA"]</v>
      </c>
      <c r="HE3" s="64"/>
      <c r="HF3" s="65" t="str">
        <f>"{couname:"&amp;CT3&amp;(IF(HK3&lt;&gt;"",",subtype:"&amp;CHAR(34)&amp;HK3&amp;CHAR(34),""))&amp;",year:"&amp;HJ3&amp;",region:"&amp;CU3&amp;",Colors:"&amp;HC3&amp;",Items:"&amp;GS3&amp;",Flag:"&amp;CV3&amp;",HDFlag:"&amp;CHAR(34)&amp;E3&amp;CHAR(34)&amp;",type:"&amp;GP3&amp;", describe: "&amp;HH3&amp;", isnew:"&amp;CHAR(34)&amp;F3&amp;CHAR(34)&amp;", links: "&amp;HL3&amp;"},"</f>
        <v>{couname:"[TUV] Funafuti",year:"??? ",region:"rgn_Oceania",Colors:["cl_WHI","cl_RED","cl_GRE","cl_BLU","cl_BLA"],Items:["5+Colo","lets08","startF","with_v","allver","3Bands","Vertic","Animal","Bird","Plants","Texted","Unequa","Center","staBLU","NO_YEL","001RED","002WHI","003RED","myrWHI","HasSta","3+Star"],Flag:"https://upload.wikimedia.org/wikipedia/commons/thumb/5/5c/Flag_of_Funafuti.svg/648px-Flag_of_Funafuti.svg.png",HDFlag:"https://upload.wikimedia.org/wikipedia/commons/thumb/5/5c/Flag_of_Funafuti.svg/648px-Flag_of_Funafuti.svg.png",type:"City", describe: "\nFunafuti is the capital of the island nation of Tuvalu. More people live in Funafuti than the rest of Tuvalu combined, with it containing approximately 60% of the nation's population.", isnew:".", links: "https://en.wikipedia.org/wiki/Funafuti"},</v>
      </c>
      <c r="HG3" s="66" t="str">
        <f>"{couname:"&amp;CT3&amp;(IF(HK3&lt;&gt;"",",subtype:"&amp;CHAR(34)&amp;HK3&amp;CHAR(34),""))&amp;",year:"&amp;HJ3&amp;",region:"&amp;CU3&amp;",Colors:"&amp;HC3&amp;",Items:"&amp;GS3&amp;",Flag:"&amp;CV3&amp;",HDFlag:"&amp;CHAR(34)&amp;E3&amp;CHAR(34)&amp;",type:"&amp;GP3&amp;", describe: "&amp;HI3&amp;", links: "&amp;HL3&amp;"},"</f>
        <v>{couname:"[TUV] Funafuti",year:"??? ",region:"rgn_Oceania",Colors:["cl_WHI","cl_RED","cl_GRE","cl_BLU","cl_BLA"],Items:["5+Colo","lets08","startF","with_v","allver","3Bands","Vertic","Animal","Bird","Plants","Texted","Unequa","Center","staBLU","NO_YEL","001RED","002WHI","003RED","myrWHI","HasSta","3+Star"],Flag:"https://upload.wikimedia.org/wikipedia/commons/thumb/5/5c/Flag_of_Funafuti.svg/648px-Flag_of_Funafuti.svg.png",HDFlag:"https://upload.wikimedia.org/wikipedia/commons/thumb/5/5c/Flag_of_Funafuti.svg/648px-Flag_of_Funafuti.svg.png",type:"City", describe: "\nFunafuti is the capital of the island nation of Tuvalu. More people live in Funafuti than the rest of Tuvalu combined, with it containing approximately 60% of the nation's population.", links: "https://en.wikipedia.org/wiki/Funafuti"},</v>
      </c>
      <c r="HH3" s="44" t="str">
        <f>IF(P3&lt;&gt;"",CHAR(34)&amp;"\n"&amp;P3&amp;CHAR(34),CHAR(34)&amp;CHAR(34))</f>
        <v>"\nFunafuti is the capital of the island nation of Tuvalu. More people live in Funafuti than the rest of Tuvalu combined, with it containing approximately 60% of the nation's population."</v>
      </c>
      <c r="HI3" s="44" t="str">
        <f>IF(J3=0,CHAR(34)&amp;CHAR(34),HH3)</f>
        <v>"\nFunafuti is the capital of the island nation of Tuvalu. More people live in Funafuti than the rest of Tuvalu combined, with it containing approximately 60% of the nation's population."</v>
      </c>
      <c r="HJ3" s="44" t="str">
        <f>CHAR(34)&amp;O3&amp;CHAR(34)</f>
        <v>"??? "</v>
      </c>
      <c r="HL3" s="44" t="str">
        <f>CHAR(34)&amp;I3&amp;CHAR(34)</f>
        <v>"https://en.wikipedia.org/wiki/Funafuti"</v>
      </c>
      <c r="HM3" s="65"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{"couname":"[TUV] Funafuti","year":"??? ","region":"rgn_Oceania","Colors":["cl_WHI","cl_RED","cl_GRE","cl_BLU","cl_BLA"],"Items":["5+Colo","lets08","startF","with_v","allver","3Bands","Vertic","Animal","Bird","Plants","Texted","Unequa","Center","staBLU","NO_YEL","001RED","002WHI","003RED","myrWHI","HasSta","3+Star"],"Flag":"https://upload.wikimedia.org/wikipedia/commons/thumb/5/5c/Flag_of_Funafuti.svg/648px-Flag_of_Funafuti.svg.png","HDFlag":"https://upload.wikimedia.org/wikipedia/commons/thumb/5/5c/Flag_of_Funafuti.svg/648px-Flag_of_Funafuti.svg.png","type":"City", "describe": "\nFunafuti is the capital of the island nation of Tuvalu. More people live in Funafuti than the rest of Tuvalu combined, with it containing approximately 60% of the nation's population.", "isnew": ".", "links": "https://en.wikipedia.org/wiki/Funafuti"},</v>
      </c>
      <c r="HN3" s="67"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{"couname":"[TUV] Funafuti","year":"??? ","region":"rgn_Oceania","Colors":["cl_WHI","cl_RED","cl_GRE","cl_BLU","cl_BLA"],"Items":["5+Colo","lets08","startF","with_v","allver","3Bands","Vertic","Animal","Bird","Plants","Texted","Unequa","Center","staBLU","NO_YEL","001RED","002WHI","003RED","myrWHI","HasSta","3+Star"],"Flag":"https://upload.wikimedia.org/wikipedia/commons/thumb/5/5c/Flag_of_Funafuti.svg/648px-Flag_of_Funafuti.svg.png","HDFlag":"https://upload.wikimedia.org/wikipedia/commons/thumb/5/5c/Flag_of_Funafuti.svg/648px-Flag_of_Funafuti.svg.png","type":"City", "describe": "\nFunafuti is the capital of the island nation of Tuvalu. More people live in Funafuti than the rest of Tuvalu combined, with it containing approximately 60% of the nation's population.", "isnew": ".", "links": "https://en.wikipedia.org/wiki/Funafuti"},</v>
      </c>
      <c r="HO3" s="71"/>
      <c r="HP3" s="44" t="str" cm="1">
        <f t="array" ref="HP3">IF(_xlfn.TEXTJOIN(", ", TRUE, IF(ISNUMBER(SEARCH("BLA", BL3:BT3)), COLUMN(BL3:BT3) - COLUMN(BL3) + 1, ""))&lt;&gt;"","BLA","")</f>
        <v>BLA</v>
      </c>
      <c r="HQ3" s="44" t="str" cm="1">
        <f t="array" ref="HQ3">IF(_xlfn.TEXTJOIN(", ", TRUE, IF(ISNUMBER(SEARCH("BLU", BL3:BT3)), COLUMN(BL3:BT3) - COLUMN(BL3) + 1, ""))&lt;&gt;"","BLU","")</f>
        <v>BLU</v>
      </c>
      <c r="HR3" s="44" t="str" cm="1">
        <f t="array" ref="HR3">IF(_xlfn.TEXTJOIN(", ", TRUE, IF(ISNUMBER(SEARCH("GRE", BL3:BT3)), COLUMN(BL3:BT3) - COLUMN(BL3) + 1, ""))&lt;&gt;"","GRE","")</f>
        <v>GRE</v>
      </c>
      <c r="HS3" s="44" t="str" cm="1">
        <f t="array" ref="HS3">IF(_xlfn.TEXTJOIN(", ", TRUE, IF(ISNUMBER(SEARCH("RED", BL3:BT3)), COLUMN(BL3:BT3) - COLUMN(BL3) + 1, ""))&lt;&gt;"","RED","")</f>
        <v>RED</v>
      </c>
      <c r="HT3" s="44" t="str" cm="1">
        <f t="array" ref="HT3">IF(_xlfn.TEXTJOIN(", ", TRUE, IF(ISNUMBER(SEARCH("YEL", BL3:BT3)), COLUMN(BL3:BT3) - COLUMN(BL3) + 1, ""))&lt;&gt;"","YEL","")</f>
        <v/>
      </c>
      <c r="HU3" s="44" t="str" cm="1">
        <f t="array" ref="HU3">IF(_xlfn.TEXTJOIN(", ", TRUE, IF(ISNUMBER(SEARCH("ORA", BL3:BT3)), COLUMN(BL3:BT3) - COLUMN(BL3) + 1, ""))&lt;&gt;"","ORA","")</f>
        <v/>
      </c>
      <c r="HV3" s="44" t="str" cm="1">
        <f t="array" ref="HV3">IF(_xlfn.TEXTJOIN(", ", TRUE, IF(ISNUMBER(SEARCH("BRO", BL3:BT3)), COLUMN(BL3:BT3) - COLUMN(BL3) + 1, ""))&lt;&gt;"","BRO","")</f>
        <v/>
      </c>
      <c r="HW3" s="44" t="str" cm="1">
        <f t="array" ref="HW3">IF(_xlfn.TEXTJOIN(", ", TRUE, IF(ISNUMBER(SEARCH("PUR", BL3:BT3)), COLUMN(BL3:BT3) - COLUMN(BL3) + 1, ""))&lt;&gt;"","PUR","")</f>
        <v/>
      </c>
      <c r="HX3" s="44" t="str" cm="1">
        <f t="array" ref="HX3">IF(_xlfn.TEXTJOIN(", ", TRUE, IF(ISNUMBER(SEARCH("WHI", BL3:BT3)), COLUMN(BL3:BT3) - COLUMN(BL3) + 1, ""))&lt;&gt;"","WHI","")</f>
        <v>WHI</v>
      </c>
      <c r="HY3" s="72"/>
      <c r="HZ3" s="72"/>
      <c r="IA3" s="5"/>
      <c r="IB3" s="5"/>
      <c r="IC3" s="68"/>
      <c r="ID3" s="68"/>
      <c r="IE3" s="68"/>
      <c r="IF3" s="68"/>
      <c r="IG3" s="68"/>
      <c r="IH3" s="68"/>
      <c r="II3" s="68"/>
      <c r="IJ3" s="68"/>
      <c r="IK3" s="68"/>
      <c r="IL3" s="44">
        <f>SUM(IC3:IK3)</f>
        <v>0</v>
      </c>
      <c r="IM3" s="42">
        <f>COUNTIF(IC3:IK3,"&gt;0")-CG3</f>
        <v>-5</v>
      </c>
      <c r="IN3" s="69" t="str">
        <f>"http://mkweb.bcgsc.ca/color-summarizer/?url="&amp;D3&amp;"&amp;precision=low&amp;num_clusters="&amp;CG3&amp;"&amp;text=1"</f>
        <v>http://mkweb.bcgsc.ca/color-summarizer/?url=https://upload.wikimedia.org/wikipedia/commons/thumb/5/5c/Flag_of_Funafuti.svg/648px-Flag_of_Funafuti.svg.png&amp;precision=low&amp;num_clusters=5&amp;text=1</v>
      </c>
      <c r="IO3" s="44" t="str">
        <f>IF(HP3&lt;&gt;"",CHAR(34)&amp;"black"&amp;CHAR(34),"")</f>
        <v>"black"</v>
      </c>
      <c r="IP3" s="44" t="str">
        <f>IF(HQ3&lt;&gt;"",CHAR(34)&amp;"blue"&amp;CHAR(34),"")</f>
        <v>"blue"</v>
      </c>
      <c r="IQ3" s="44" t="str">
        <f>IF(HR3&lt;&gt;"",CHAR(34)&amp;"green"&amp;CHAR(34),"")</f>
        <v>"green"</v>
      </c>
      <c r="IR3" s="44" t="str">
        <f>IF(HS3&lt;&gt;"",CHAR(34)&amp;"red"&amp;CHAR(34),"")</f>
        <v>"red"</v>
      </c>
      <c r="IS3" s="44" t="str">
        <f>IF(HT3&lt;&gt;"",CHAR(34)&amp;"yellow"&amp;CHAR(34),"")</f>
        <v/>
      </c>
      <c r="IT3" s="44" t="str">
        <f>IF(HU3&lt;&gt;"",CHAR(34)&amp;"orange"&amp;CHAR(34),"")</f>
        <v/>
      </c>
      <c r="IU3" s="44" t="str">
        <f>IF(HV3&lt;&gt;"",CHAR(34)&amp;"brown"&amp;CHAR(34),"")</f>
        <v/>
      </c>
      <c r="IV3" s="44" t="str">
        <f>IF(HW3&lt;&gt;"",CHAR(34)&amp;"purple"&amp;CHAR(34),"")</f>
        <v/>
      </c>
      <c r="IW3" s="44" t="str">
        <f>IF(HX3&lt;&gt;"",CHAR(34)&amp;"white"&amp;CHAR(34),"")</f>
        <v>"white"</v>
      </c>
      <c r="IX3" s="44" t="str">
        <f>"{"&amp;CHAR(34)&amp;"url"&amp;CHAR(34)&amp;":"&amp;CHAR(34)&amp;IN3&amp;CHAR(34)&amp;","&amp;CHAR(34)&amp;"name"&amp;CHAR(34)&amp;":"&amp;CHAR(34)&amp;A3&amp;CHAR(34)&amp;"},"</f>
        <v>{"url":"http://mkweb.bcgsc.ca/color-summarizer/?url=https://upload.wikimedia.org/wikipedia/commons/thumb/5/5c/Flag_of_Funafuti.svg/648px-Flag_of_Funafuti.svg.png&amp;precision=low&amp;num_clusters=5&amp;text=1","name":"[TUV] Funafuti"},</v>
      </c>
      <c r="IY3" s="44">
        <v>820</v>
      </c>
    </row>
    <row r="4" spans="1:259" s="44" customFormat="1" ht="38.4" customHeight="1" thickBot="1" x14ac:dyDescent="0.35">
      <c r="A4" s="81" t="s">
        <v>791</v>
      </c>
      <c r="B4" s="78" t="e" vm="112">
        <v>#VALUE!</v>
      </c>
      <c r="C4" s="39">
        <v>3</v>
      </c>
      <c r="D4" s="70" t="s">
        <v>792</v>
      </c>
      <c r="E4" s="40" t="s">
        <v>793</v>
      </c>
      <c r="F4" s="41" t="s">
        <v>647</v>
      </c>
      <c r="G4" s="42">
        <f>COUNTIF($A$1:$A$8213,A4)</f>
        <v>1</v>
      </c>
      <c r="H4" s="43" t="s">
        <v>1071</v>
      </c>
      <c r="I4" s="59" t="s">
        <v>794</v>
      </c>
      <c r="J4" s="44" t="str">
        <f>""</f>
        <v/>
      </c>
      <c r="K4" s="45"/>
      <c r="L4" s="46"/>
      <c r="M4" s="46"/>
      <c r="N4" s="47" t="s">
        <v>177</v>
      </c>
      <c r="O4" s="74">
        <v>1996</v>
      </c>
      <c r="P4" s="48" t="s">
        <v>795</v>
      </c>
      <c r="Q4" s="73">
        <v>2</v>
      </c>
      <c r="R4" s="49" t="s">
        <v>177</v>
      </c>
      <c r="S4" s="50">
        <v>5</v>
      </c>
      <c r="T4" s="51" t="s">
        <v>167</v>
      </c>
      <c r="U4" s="52" t="s">
        <v>166</v>
      </c>
      <c r="V4" s="52" t="s">
        <v>167</v>
      </c>
      <c r="W4" s="52" t="s">
        <v>166</v>
      </c>
      <c r="X4" s="52" t="s">
        <v>166</v>
      </c>
      <c r="Y4" s="52" t="s">
        <v>167</v>
      </c>
      <c r="Z4" s="52" t="s">
        <v>166</v>
      </c>
      <c r="AA4" s="52" t="s">
        <v>167</v>
      </c>
      <c r="AB4" s="52" t="s">
        <v>167</v>
      </c>
      <c r="AC4" s="52" t="s">
        <v>166</v>
      </c>
      <c r="AD4" s="52" t="s">
        <v>166</v>
      </c>
      <c r="AE4" s="52" t="s">
        <v>166</v>
      </c>
      <c r="AF4" s="53" t="s">
        <v>167</v>
      </c>
      <c r="AG4" s="53" t="s">
        <v>166</v>
      </c>
      <c r="AH4" s="53" t="s">
        <v>166</v>
      </c>
      <c r="AI4" s="53" t="s">
        <v>166</v>
      </c>
      <c r="AJ4" s="53" t="s">
        <v>166</v>
      </c>
      <c r="AK4" s="53" t="s">
        <v>166</v>
      </c>
      <c r="AL4" s="53" t="s">
        <v>166</v>
      </c>
      <c r="AM4" s="53" t="s">
        <v>167</v>
      </c>
      <c r="AN4" s="53" t="s">
        <v>166</v>
      </c>
      <c r="AO4" s="53" t="s">
        <v>167</v>
      </c>
      <c r="AP4" s="53" t="s">
        <v>166</v>
      </c>
      <c r="AQ4" s="53" t="s">
        <v>166</v>
      </c>
      <c r="AR4" s="53" t="s">
        <v>166</v>
      </c>
      <c r="AS4" s="53" t="s">
        <v>166</v>
      </c>
      <c r="AT4" s="54">
        <v>8</v>
      </c>
      <c r="AU4" s="53" t="s">
        <v>349</v>
      </c>
      <c r="AV4" s="53" t="str">
        <f>IF(LEFT(A4,1)="[",LEFT(A4,5)&amp;AU4&amp;A4,"")</f>
        <v>[TUV]Historical[TUV] Tuvalu (1996-1997)</v>
      </c>
      <c r="AW4" s="53" t="str">
        <f>C4&amp;H4&amp;A4</f>
        <v>3[TUV] Other[TUV] Tuvalu (1996-1997)</v>
      </c>
      <c r="AX4" s="55"/>
      <c r="AY4" s="55"/>
      <c r="AZ4" s="56" t="s">
        <v>161</v>
      </c>
      <c r="BA4" s="56" t="s">
        <v>231</v>
      </c>
      <c r="BB4" s="56"/>
      <c r="BC4" s="57"/>
      <c r="BD4" s="58" t="s">
        <v>154</v>
      </c>
      <c r="BE4" s="59"/>
      <c r="BF4" s="58" t="s">
        <v>156</v>
      </c>
      <c r="BG4" s="58" t="s">
        <v>154</v>
      </c>
      <c r="BH4" s="58" t="s">
        <v>156</v>
      </c>
      <c r="BI4" s="58"/>
      <c r="BJ4" s="58"/>
      <c r="BK4" s="59"/>
      <c r="BL4" s="58" t="s">
        <v>153</v>
      </c>
      <c r="BM4" s="58" t="s">
        <v>154</v>
      </c>
      <c r="BN4" s="58" t="s">
        <v>155</v>
      </c>
      <c r="BO4" s="58" t="s">
        <v>156</v>
      </c>
      <c r="BP4" s="58" t="s">
        <v>157</v>
      </c>
      <c r="BQ4" s="58" t="s">
        <v>158</v>
      </c>
      <c r="BR4" s="58" t="s">
        <v>231</v>
      </c>
      <c r="BS4" s="58" t="s">
        <v>231</v>
      </c>
      <c r="BT4" s="58" t="s">
        <v>161</v>
      </c>
      <c r="BU4" s="60"/>
      <c r="BV4" s="61"/>
      <c r="BW4" s="61">
        <v>0</v>
      </c>
      <c r="BX4" s="59"/>
      <c r="CB4" s="5"/>
      <c r="CC4" s="5"/>
      <c r="CD4" s="62">
        <v>0</v>
      </c>
      <c r="CE4" s="62">
        <v>0</v>
      </c>
      <c r="CF4" s="62" t="e">
        <v>#REF!</v>
      </c>
      <c r="CG4" s="75" cm="1">
        <f t="array" ref="CG4">SUMPRODUCT(--(LEN(TRIM(BL4:BT4))&gt;0))</f>
        <v>7</v>
      </c>
      <c r="CH4" s="53" t="str">
        <f>IF(CG4=2,"y","n")</f>
        <v>n</v>
      </c>
      <c r="CI4" s="53" t="str">
        <f>IF(CG4=3,"y","n")</f>
        <v>n</v>
      </c>
      <c r="CJ4" s="53" t="str">
        <f>IF(CG4=4,"y","n")</f>
        <v>n</v>
      </c>
      <c r="CK4" s="53" t="str">
        <f>IF(CG4&gt;4,"y","n")</f>
        <v>y</v>
      </c>
      <c r="CL4" s="53" t="str">
        <f>IF(S4=0,"y","n")</f>
        <v>n</v>
      </c>
      <c r="CM4" s="53" t="str">
        <f>IF(S4=2,"y","n")</f>
        <v>n</v>
      </c>
      <c r="CN4" s="53" t="str">
        <f>IF(S4=3,"y","n")</f>
        <v>n</v>
      </c>
      <c r="CO4" s="53" t="str">
        <f>IF(S4&gt;=4,"y","n")</f>
        <v>y</v>
      </c>
      <c r="CP4" s="53" t="str">
        <f>IF(AT4=0,"y","n")</f>
        <v>n</v>
      </c>
      <c r="CQ4" s="53" t="str">
        <f>IF(AT4=1,"y","n")</f>
        <v>n</v>
      </c>
      <c r="CR4" s="53" t="str">
        <f>IF(AT4=2,"y","n")</f>
        <v>n</v>
      </c>
      <c r="CS4" s="53" t="str">
        <f>IF(AT4&gt;=3,"y","n")</f>
        <v>y</v>
      </c>
      <c r="CT4" s="38" t="str">
        <f>CHAR(34)&amp;A4&amp;CHAR(34)</f>
        <v>"[TUV] Tuvalu (1996-1997)"</v>
      </c>
      <c r="CU4" s="63" t="str">
        <f>CHAR(34)&amp;"rgn_"&amp;R4&amp;CHAR(34)</f>
        <v>"rgn_Oceania"</v>
      </c>
      <c r="CV4" s="44" t="str">
        <f>CHAR(34)&amp;D4&amp;CHAR(34)</f>
        <v>"https://upload.wikimedia.org/wikipedia/commons/thumb/d/d3/Flag_of_Tuvalu_%281996%E2%80%931997%29.svg/640px-Flag_of_Tuvalu_%281996%E2%80%931997%29.svg.png"</v>
      </c>
      <c r="CW4" s="44" t="str">
        <f t="shared" si="0"/>
        <v/>
      </c>
      <c r="CX4" s="44" t="str">
        <f t="shared" si="0"/>
        <v/>
      </c>
      <c r="CY4" s="44" t="str">
        <f t="shared" si="0"/>
        <v/>
      </c>
      <c r="CZ4" s="44" t="str">
        <f t="shared" si="0"/>
        <v>"5+Colo",</v>
      </c>
      <c r="DA4" s="44" t="str">
        <f>IF(Q4&gt;1,CHAR(34)&amp;"words2"&amp;CHAR(34)&amp;",","")</f>
        <v>"words2",</v>
      </c>
      <c r="DB4" s="44" t="str">
        <f>IF(Q4&gt;2,CHAR(34)&amp;"words3"&amp;CHAR(34)&amp;",","")</f>
        <v/>
      </c>
      <c r="DD4" s="44" t="str">
        <f>IF(LEN(CHAR(34)&amp;"lets"&amp;LEN(SUBSTITUTE(SUBSTITUTE(IFERROR(TRIM(SUBSTITUTE(A4,MID(A4,FIND("[",A4),FIND("]",A4)-FIND("[",A4)+1),"")),A4)," ",""),"-",""))&amp;CHAR(34)&amp;",")=9,CHAR(34)&amp;"lets"&amp;LEN(SUBSTITUTE(SUBSTITUTE(IFERROR(TRIM(SUBSTITUTE(A4,MID(A4,FIND("[",A4),FIND("]",A4)-FIND("[",A4)+1),"")),A4)," ",""),"-",""))&amp;CHAR(34)&amp;",",CHAR(34)&amp;"lets0"&amp;LEN(SUBSTITUTE(SUBSTITUTE(IFERROR(TRIM(SUBSTITUTE(A4,MID(A4,FIND("[",A4),FIND("]",A4)-FIND("[",A4)+1),"")),A4)," ",""),"-",""))&amp;CHAR(34)&amp;",")</f>
        <v>"lets16",</v>
      </c>
      <c r="DE4" s="44" t="str">
        <f>CHAR(34)&amp;"start"&amp;IFERROR(LEFT(SUBSTITUTE(A4,"["&amp;MID(A4,FIND("[",A4)+1,FIND("]",A4)-FIND("[",A4)-1)&amp;"] ",""),1),LEFT(A4,1))&amp;CHAR(34)&amp;","</f>
        <v>"startT",</v>
      </c>
      <c r="DF4" s="44" t="str">
        <f>IFERROR(IF(SEARCH("tan",A4)&gt;0,CHAR(34)&amp;"withtn"&amp;CHAR(34)&amp;",",""),"")</f>
        <v/>
      </c>
      <c r="DG4" s="44" t="str">
        <f>IFERROR(IF(SEARCH("q",A4)&gt;0,CHAR(34)&amp;"with_q"&amp;CHAR(34)&amp;",",""),"")</f>
        <v/>
      </c>
      <c r="DH4" s="44" t="str">
        <f>IFERROR(IF(SEARCH("v",A4)&gt;0,CHAR(34)&amp;"with_v"&amp;CHAR(34)&amp;",",""),"")</f>
        <v>"with_v",</v>
      </c>
      <c r="DI4" s="44" t="str">
        <f>IFERROR(IF(SEARCH("w",A4)&gt;0,CHAR(34)&amp;"with_w"&amp;CHAR(34)&amp;",",""),"")</f>
        <v/>
      </c>
      <c r="DJ4" s="44" t="str">
        <f>IFERROR(IF(SEARCH("y",A4)&gt;0,CHAR(34)&amp;"with_y"&amp;CHAR(34)&amp;",",""),"")</f>
        <v/>
      </c>
      <c r="DK4" s="44" t="str">
        <f>IFERROR(IF(SEARCH("z",A4)&gt;0,CHAR(34)&amp;"with_z"&amp;CHAR(34)&amp;",",""),"")</f>
        <v/>
      </c>
      <c r="DL4" s="44" t="str">
        <f>IF(CG4=2, CHAR(34) &amp; _xlfn.TEXTJOIN("", TRUE, _xlfn._xlws.SORT(HP4:HX4)) &amp; CHAR(34) &amp; ",", "")</f>
        <v/>
      </c>
      <c r="DM4" s="44" t="str" cm="1">
        <f t="array" ref="DM4">IF(CG4=3,CHAR(34) &amp; _xlfn.TEXTJOIN("", TRUE, RIGHT(HP4:HX4, 2)) &amp; CHAR(34) &amp; ",", "")</f>
        <v/>
      </c>
      <c r="DN4" s="44" t="str">
        <f>IF(AND(ISNUMBER(SEARCH("18", O4)), ISERROR(SEARCH("1918", O4)), ISERROR(SEARCH("2018", O4))), CHAR(34) &amp; "year18" &amp; CHAR(34) &amp; ",", "")</f>
        <v/>
      </c>
      <c r="DO4" s="44" t="str">
        <f>IF(AND(ISNUMBER(SEARCH("19", O4)), ISERROR(SEARCH("1819", O4)),  ISERROR(SEARCH("1219", O4)),ISERROR(SEARCH("1119", O4)),ISERROR(SEARCH("1190", O4)),ISERROR(SEARCH("2019", O4))), CHAR(34) &amp; "year19" &amp; CHAR(34) &amp; ",", "")</f>
        <v>"year19",</v>
      </c>
      <c r="DP4" s="5" t="str">
        <f>IF(AND(ISNUMBER(SEARCH("20", O4)), ISERROR(SEARCH("1920", O4))), CHAR(34)&amp;"year00"&amp;CHAR(34)&amp;",", "")</f>
        <v/>
      </c>
      <c r="DQ4" s="5" t="str">
        <f>IF(CC4="y",CHAR(34)&amp;"soviet"&amp;CHAR(34)&amp;",","")</f>
        <v/>
      </c>
      <c r="DR4" s="5" t="str">
        <f>IF(BY4="y",CHAR(34)&amp;"dgband"&amp;CHAR(34)&amp;",","")</f>
        <v/>
      </c>
      <c r="DS4" s="5" t="str">
        <f>IF(W4="y",IF(AND(V4="n",BY4&lt;&gt;"y"),CHAR(34)&amp;"allver"&amp;CHAR(34)&amp;",",""),"")</f>
        <v/>
      </c>
      <c r="DT4" s="5" t="str">
        <f>IF(V4="y",IF(AND(W4="n",BY4&lt;&gt;"y"),CHAR(34)&amp;"allhor"&amp;CHAR(34)&amp;",",""),"")</f>
        <v>"allhor",</v>
      </c>
      <c r="DU4" s="5" t="str">
        <f>IF(BY4="y",IF(AND(W4="n",V4="n"),CHAR(34)&amp;"alldia"&amp;CHAR(34)&amp;",",""),"")</f>
        <v/>
      </c>
      <c r="DW4" s="44" t="str">
        <f t="shared" si="1"/>
        <v/>
      </c>
      <c r="DX4" s="44" t="str">
        <f t="shared" si="1"/>
        <v/>
      </c>
      <c r="DY4" s="44" t="str">
        <f t="shared" si="1"/>
        <v/>
      </c>
      <c r="DZ4" s="44" t="str">
        <f t="shared" si="1"/>
        <v>"4+Band",</v>
      </c>
      <c r="EA4" s="44" t="str">
        <f t="shared" si="2"/>
        <v>"Diagon",</v>
      </c>
      <c r="EB4" s="44" t="str">
        <f t="shared" si="2"/>
        <v/>
      </c>
      <c r="EC4" s="44" t="str">
        <f t="shared" si="2"/>
        <v>"Horizo",</v>
      </c>
      <c r="ED4" s="44" t="str">
        <f t="shared" si="2"/>
        <v/>
      </c>
      <c r="EE4" s="44" t="str">
        <f t="shared" si="2"/>
        <v/>
      </c>
      <c r="EF4" s="44" t="str">
        <f>IF(AND(Y4&lt;&gt;"n",Y4&lt;&gt;""),CHAR(34)&amp;Y$1&amp;CHAR(34)&amp;",","")</f>
        <v>"Animal",</v>
      </c>
      <c r="EG4" s="44" t="str">
        <f t="shared" si="3"/>
        <v/>
      </c>
      <c r="EH4" s="44" t="str">
        <f t="shared" si="3"/>
        <v>"Plants",</v>
      </c>
      <c r="EI4" s="44" t="str">
        <f t="shared" si="3"/>
        <v>"Texted",</v>
      </c>
      <c r="EJ4" s="44" t="str">
        <f t="shared" si="3"/>
        <v/>
      </c>
      <c r="EK4" s="44" t="str">
        <f t="shared" si="3"/>
        <v/>
      </c>
      <c r="EL4" s="44" t="str">
        <f t="shared" si="3"/>
        <v/>
      </c>
      <c r="EM4" s="44" t="str">
        <f t="shared" si="3"/>
        <v>"Trside",</v>
      </c>
      <c r="EN4" s="44" t="str">
        <f t="shared" si="3"/>
        <v/>
      </c>
      <c r="EO4" s="44" t="str">
        <f t="shared" si="3"/>
        <v/>
      </c>
      <c r="EP4" s="44" t="str">
        <f t="shared" si="3"/>
        <v/>
      </c>
      <c r="EQ4" s="44" t="str">
        <f t="shared" si="4"/>
        <v/>
      </c>
      <c r="ER4" s="44" t="str">
        <f t="shared" si="4"/>
        <v/>
      </c>
      <c r="ES4" s="44" t="str">
        <f t="shared" si="4"/>
        <v/>
      </c>
      <c r="ET4" s="44" t="str">
        <f t="shared" si="4"/>
        <v>"Geogrh",</v>
      </c>
      <c r="EU4" s="44" t="str">
        <f t="shared" si="4"/>
        <v/>
      </c>
      <c r="EV4" s="44" t="str">
        <f t="shared" si="4"/>
        <v>"Builds",</v>
      </c>
      <c r="EW4" s="44" t="str">
        <f t="shared" si="4"/>
        <v/>
      </c>
      <c r="EX4" s="44" t="str">
        <f t="shared" si="4"/>
        <v/>
      </c>
      <c r="EY4" s="44" t="str">
        <f t="shared" si="4"/>
        <v/>
      </c>
      <c r="EZ4" s="44" t="str">
        <f t="shared" si="4"/>
        <v/>
      </c>
      <c r="FA4" s="44" t="str">
        <f>IF(AT4&gt;0,CHAR(34)&amp;"sta"&amp;AZ4&amp;CHAR(34)&amp;",","")</f>
        <v>"staWHI",</v>
      </c>
      <c r="FB4" s="44" t="str">
        <f>IF(AND(AT4&gt;0,BA4&lt;&gt;""),CHAR(34)&amp;"sta"&amp;BA4&amp;CHAR(34)&amp;",","")</f>
        <v/>
      </c>
      <c r="FD4" s="44" t="str">
        <f>IF(BV4="n",CHAR(34)&amp;"tcWHYE"&amp;CHAR(34)&amp;",",IF(BV4="y",CHAR(34)&amp;FD$1&amp;CHAR(34)&amp;",",""))</f>
        <v/>
      </c>
      <c r="FE4" s="44" t="str">
        <f>IF(COUNTIF(BL4:BT4,"BLU")=0,CHAR(34)&amp;"NO_BLU"&amp;CHAR(34)&amp;",", "")</f>
        <v/>
      </c>
      <c r="FF4" s="44" t="str">
        <f>IF(COUNTIF(BL4:BT4,"WHI")=0,CHAR(34)&amp;"NO_WHI"&amp;CHAR(34)&amp;",", "")</f>
        <v/>
      </c>
      <c r="FG4" s="44" t="str">
        <f>IF(COUNTIF(BL4:BT4,"RED")=0,CHAR(34)&amp;"NO_RED"&amp;CHAR(34)&amp;",", "")</f>
        <v/>
      </c>
      <c r="FH4" s="44" t="str">
        <f>IF(COUNTIF(BL4:BS4,"GRE")=0,CHAR(34)&amp;"NO_GRE"&amp;CHAR(34)&amp;",", "")</f>
        <v/>
      </c>
      <c r="FI4" s="44" t="str">
        <f>IF(COUNTIF(BL4:BT4,"YEL")=0,CHAR(34)&amp;"NO_YEL"&amp;CHAR(34)&amp;",", "")</f>
        <v/>
      </c>
      <c r="FJ4" s="44" t="str">
        <f>IF(COUNTIF(BL4:BT4,"BLA")=0,CHAR(34)&amp;"NO_BLA"&amp;CHAR(34)&amp;",", "")</f>
        <v/>
      </c>
      <c r="FK4" s="44" t="str">
        <f>IF(AND(FH4&lt;&gt;"",FF4&lt;&gt;""),CHAR(34)&amp;"WHGRNO"&amp;CHAR(34)&amp;",","")</f>
        <v/>
      </c>
      <c r="FL4" s="44" t="str">
        <f>IF(AND(FI4&lt;&gt;"",FF4&lt;&gt;""),CHAR(34)&amp;"WHYENO"&amp;CHAR(34)&amp;",","")</f>
        <v/>
      </c>
      <c r="FM4" s="44" t="str">
        <f>IF(AND(FJ4&lt;&gt;"",FF4&lt;&gt;""),CHAR(34)&amp;"BAWHNO"&amp;CHAR(34)&amp;",","")</f>
        <v/>
      </c>
      <c r="FN4" s="44" t="str">
        <f>IF(AND(FE4&lt;&gt;"",FF4&lt;&gt;""),CHAR(34)&amp;"BLWHNO"&amp;CHAR(34)&amp;",","")</f>
        <v/>
      </c>
      <c r="FO4" s="44" t="str">
        <f>IF(AND(FE4&lt;&gt;"",FG4&lt;&gt;""),CHAR(34)&amp;"BLRENO"&amp;CHAR(34)&amp;",","")</f>
        <v/>
      </c>
      <c r="FP4" s="44" t="str">
        <f>IF(AND(FF4&lt;&gt;"",FF4&lt;&gt;""),CHAR(34)&amp;"WHRENO"&amp;CHAR(34)&amp;",","")</f>
        <v/>
      </c>
      <c r="FQ4" s="44" t="str">
        <f>IF(LEN(BF4)=3,CHAR(34)&amp;"001"&amp;BF4&amp;CHAR(34)&amp;",","")</f>
        <v>"001RED",</v>
      </c>
      <c r="FR4" s="44" t="str">
        <f>IF(LEN(BG4)=3,CHAR(34)&amp;"002"&amp;BG4&amp;CHAR(34)&amp;",","")</f>
        <v>"002BLU",</v>
      </c>
      <c r="FS4" s="44" t="str">
        <f>IF(LEN(BH4)=3,CHAR(34)&amp;"003"&amp;BH4&amp;CHAR(34)&amp;",","")</f>
        <v>"003RED",</v>
      </c>
      <c r="FT4" s="44" t="str">
        <f>CHAR(34)&amp;"myr"&amp;BD4&amp;CHAR(34)&amp;","</f>
        <v>"myrBLU",</v>
      </c>
      <c r="FU4" s="44" t="str">
        <f>IF(AY4="y",CHAR(34)&amp;"island"&amp;CHAR(34)&amp;",","")</f>
        <v/>
      </c>
      <c r="FV4" s="44" t="str">
        <f>IF(BZ4="y",CHAR(34)&amp;"landlo"&amp;CHAR(34)&amp;",","")</f>
        <v/>
      </c>
      <c r="FW4" s="44" t="str">
        <f>IF(CA4="y",CHAR(34)&amp;"eunion"&amp;CHAR(34)&amp;",","")</f>
        <v/>
      </c>
      <c r="FY4" s="44" t="str">
        <f>IFERROR(IF(SEARCH("Arabic",CB4)&gt;0,CHAR(34)&amp;"arabic"&amp;CHAR(34)&amp;",",""),"")</f>
        <v/>
      </c>
      <c r="FZ4" s="44" t="str">
        <f>IFERROR(IF(SEARCH("English",CB4)&gt;0,CHAR(34)&amp;"englis"&amp;CHAR(34)&amp;",",""),"")</f>
        <v/>
      </c>
      <c r="GA4" s="44" t="str">
        <f>IFERROR(IF(SEARCH("French",CB4)&gt;0,CHAR(34)&amp;"french"&amp;CHAR(34)&amp;",",""),"")</f>
        <v/>
      </c>
      <c r="GB4" s="44" t="str">
        <f>IFERROR(IF(SEARCH("Spanish",CB4)&gt;0,CHAR(34)&amp;"spanis"&amp;CHAR(34)&amp;",",""),"")</f>
        <v/>
      </c>
      <c r="GE4" s="44" t="str">
        <f>IFERROR(IF(SEARCH("Dutch",CB4)&gt;0,CHAR(34)&amp;"dutchs"&amp;CHAR(34)&amp;",",""),"")</f>
        <v/>
      </c>
      <c r="GF4" s="44" t="str">
        <f>IFERROR(IF(SEARCH("Historical",AU4)&gt;0,CHAR(34)&amp;"histor"&amp;CHAR(34)&amp;",",""),"")</f>
        <v>"histor",</v>
      </c>
      <c r="GG4" s="44" t="str">
        <f>IF(BU4="y",CHAR(34)&amp;"unjack"&amp;CHAR(34)&amp;",","")</f>
        <v/>
      </c>
      <c r="GH4" s="44" t="str">
        <f>IF(CD4=1,CHAR(34)&amp;"southc"&amp;CHAR(34)&amp;",","")</f>
        <v/>
      </c>
      <c r="GI4" s="44" t="str">
        <f>IF(CE4=1,CHAR(34)&amp;"hasmap"&amp;CHAR(34)&amp;",","")</f>
        <v/>
      </c>
      <c r="GJ4" s="44" t="str">
        <f>IF(CP4="y",CHAR(34)&amp;CP$1&amp;CHAR(34)&amp;",","")</f>
        <v/>
      </c>
      <c r="GK4" s="44" t="str">
        <f>IF(GJ4="",CHAR(34)&amp;"HasSta"&amp;CHAR(34)&amp;",","")</f>
        <v>"HasSta",</v>
      </c>
      <c r="GL4" s="44" t="str">
        <f t="shared" si="5"/>
        <v/>
      </c>
      <c r="GM4" s="44" t="str">
        <f t="shared" si="5"/>
        <v/>
      </c>
      <c r="GN4" s="44" t="str">
        <f t="shared" si="5"/>
        <v>"3+Star",</v>
      </c>
      <c r="GP4" s="44" t="str">
        <f>CHAR(34)&amp;AU4&amp;CHAR(34)</f>
        <v>"Historical"</v>
      </c>
      <c r="GS4" s="44" t="str">
        <f>SUBSTITUTE("["&amp;_xlfn.CONCAT(CW4:GN4)&amp;"]",",]","]")</f>
        <v>["5+Colo","words2","lets16","startT","with_v","year19","allhor","4+Band","Diagon","Horizo","Animal","Plants","Texted","Trside","Geogrh","Builds","staWHI","001RED","002BLU","003RED","myrBLU","histor","HasSta","3+Star"]</v>
      </c>
      <c r="GT4" s="44" t="str">
        <f t="shared" si="6"/>
        <v>"cl_BLA",</v>
      </c>
      <c r="GU4" s="44" t="str">
        <f t="shared" si="6"/>
        <v>"cl_BLU",</v>
      </c>
      <c r="GV4" s="44" t="str">
        <f t="shared" si="6"/>
        <v>"cl_GRE",</v>
      </c>
      <c r="GW4" s="44" t="str">
        <f t="shared" si="6"/>
        <v>"cl_RED",</v>
      </c>
      <c r="GX4" s="44" t="str">
        <f t="shared" si="6"/>
        <v>"cl_YEL",</v>
      </c>
      <c r="GY4" s="44" t="str">
        <f t="shared" si="6"/>
        <v>"cl_ORA",</v>
      </c>
      <c r="GZ4" s="44" t="str">
        <f t="shared" si="6"/>
        <v/>
      </c>
      <c r="HA4" s="44" t="str">
        <f t="shared" si="6"/>
        <v/>
      </c>
      <c r="HB4" s="44" t="str">
        <f t="shared" si="6"/>
        <v>"cl_WHI",</v>
      </c>
      <c r="HC4" s="44" t="str">
        <f>SUBSTITUTE("["&amp;_xlfn.CONCAT(GT4:HB4)&amp;"]",",]","]")</f>
        <v>["cl_BLA","cl_BLU","cl_GRE","cl_RED","cl_YEL","cl_ORA","cl_WHI"]</v>
      </c>
      <c r="HE4" s="64"/>
      <c r="HF4" s="65" t="str">
        <f>"{couname:"&amp;CT4&amp;(IF(HK4&lt;&gt;"",",subtype:"&amp;CHAR(34)&amp;HK4&amp;CHAR(34),""))&amp;",year:"&amp;HJ4&amp;",region:"&amp;CU4&amp;",Colors:"&amp;HC4&amp;",Items:"&amp;GS4&amp;",Flag:"&amp;CV4&amp;",HDFlag:"&amp;CHAR(34)&amp;E4&amp;CHAR(34)&amp;",type:"&amp;GP4&amp;", describe: "&amp;HH4&amp;", isnew:"&amp;CHAR(34)&amp;F4&amp;CHAR(34)&amp;", links: "&amp;HL4&amp;"},"</f>
        <v>{couname:"[TUV] Tuvalu (1996-1997)",year:"1996",region:"rgn_Oceania",Colors:["cl_BLA","cl_BLU","cl_GRE","cl_RED","cl_YEL","cl_ORA","cl_WHI"],Items:["5+Colo","words2","lets16","startT","with_v","year19","allhor","4+Band","Diagon","Horizo","Animal","Plants","Texted","Trside","Geogrh","Builds","staWHI","001RED","002BLU","003RED","myrBLU","histor","HasSta","3+Star"],Flag:"https://upload.wikimedia.org/wikipedia/commons/thumb/d/d3/Flag_of_Tuvalu_%281996%E2%80%931997%29.svg/640px-Flag_of_Tuvalu_%281996%E2%80%931997%29.svg.png",HDFlag:"https://upload.wikimedia.org/wikipedia/commons/thumb/d/d3/Flag_of_Tuvalu_%281996%E2%80%931997%29.svg/1280px-Flag_of_Tuvalu_%281996%E2%80%931997%29.svg.png",type:"Historical", describe: "\nA five banded horizontal flag of red, white, blue, white, and red with the blue band having a white triangle from the left side of the flag containing the coat of arms.", isnew:"www", links: "https://en.m.wikipedia.org/wiki/Flag_of_Tuvalu"},</v>
      </c>
      <c r="HG4" s="66" t="str">
        <f>"{couname:"&amp;CT4&amp;(IF(HK4&lt;&gt;"",",subtype:"&amp;CHAR(34)&amp;HK4&amp;CHAR(34),""))&amp;",year:"&amp;HJ4&amp;",region:"&amp;CU4&amp;",Colors:"&amp;HC4&amp;",Items:"&amp;GS4&amp;",Flag:"&amp;CV4&amp;",HDFlag:"&amp;CHAR(34)&amp;E4&amp;CHAR(34)&amp;",type:"&amp;GP4&amp;", describe: "&amp;HI4&amp;", links: "&amp;HL4&amp;"},"</f>
        <v>{couname:"[TUV] Tuvalu (1996-1997)",year:"1996",region:"rgn_Oceania",Colors:["cl_BLA","cl_BLU","cl_GRE","cl_RED","cl_YEL","cl_ORA","cl_WHI"],Items:["5+Colo","words2","lets16","startT","with_v","year19","allhor","4+Band","Diagon","Horizo","Animal","Plants","Texted","Trside","Geogrh","Builds","staWHI","001RED","002BLU","003RED","myrBLU","histor","HasSta","3+Star"],Flag:"https://upload.wikimedia.org/wikipedia/commons/thumb/d/d3/Flag_of_Tuvalu_%281996%E2%80%931997%29.svg/640px-Flag_of_Tuvalu_%281996%E2%80%931997%29.svg.png",HDFlag:"https://upload.wikimedia.org/wikipedia/commons/thumb/d/d3/Flag_of_Tuvalu_%281996%E2%80%931997%29.svg/1280px-Flag_of_Tuvalu_%281996%E2%80%931997%29.svg.png",type:"Historical", describe: "\nA five banded horizontal flag of red, white, blue, white, and red with the blue band having a white triangle from the left side of the flag containing the coat of arms.", links: "https://en.m.wikipedia.org/wiki/Flag_of_Tuvalu"},</v>
      </c>
      <c r="HH4" s="44" t="str">
        <f>IF(P4&lt;&gt;"",CHAR(34)&amp;"\n"&amp;P4&amp;CHAR(34),CHAR(34)&amp;CHAR(34))</f>
        <v>"\nA five banded horizontal flag of red, white, blue, white, and red with the blue band having a white triangle from the left side of the flag containing the coat of arms."</v>
      </c>
      <c r="HI4" s="44" t="str">
        <f>IF(J4=0,CHAR(34)&amp;CHAR(34),HH4)</f>
        <v>"\nA five banded horizontal flag of red, white, blue, white, and red with the blue band having a white triangle from the left side of the flag containing the coat of arms."</v>
      </c>
      <c r="HJ4" s="44" t="str">
        <f>CHAR(34)&amp;O4&amp;CHAR(34)</f>
        <v>"1996"</v>
      </c>
      <c r="HL4" s="44" t="str">
        <f>CHAR(34)&amp;I4&amp;CHAR(34)</f>
        <v>"https://en.m.wikipedia.org/wiki/Flag_of_Tuvalu"</v>
      </c>
      <c r="HM4" s="65"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"&amp;HH4&amp;", "&amp;CHAR(34)&amp;"isnew"&amp;CHAR(34)&amp;": "&amp;CHAR(34)&amp;F4&amp;CHAR(34)&amp;", "&amp;CHAR(34)&amp;"links"&amp;CHAR(34)&amp;": "&amp;HL4&amp;"},"</f>
        <v>{"couname":"[TUV] Tuvalu (1996-1997)","subtype":"[TUV] Other","year":"1996","region":"rgn_Oceania","Colors":["cl_BLA","cl_BLU","cl_GRE","cl_RED","cl_YEL","cl_ORA","cl_WHI"],"Items":["5+Colo","words2","lets16","startT","with_v","year19","allhor","4+Band","Diagon","Horizo","Animal","Plants","Texted","Trside","Geogrh","Builds","staWHI","001RED","002BLU","003RED","myrBLU","histor","HasSta","3+Star"],"Flag":"https://upload.wikimedia.org/wikipedia/commons/thumb/d/d3/Flag_of_Tuvalu_%281996%E2%80%931997%29.svg/640px-Flag_of_Tuvalu_%281996%E2%80%931997%29.svg.png","HDFlag":"https://upload.wikimedia.org/wikipedia/commons/thumb/d/d3/Flag_of_Tuvalu_%281996%E2%80%931997%29.svg/1280px-Flag_of_Tuvalu_%281996%E2%80%931997%29.svg.png","type":"Historical", "describe": "\nA five banded horizontal flag of red, white, blue, white, and red with the blue band having a white triangle from the left side of the flag containing the coat of arms.", "isnew": "www", "links": "https://en.m.wikipedia.org/wiki/Flag_of_Tuvalu"},</v>
      </c>
      <c r="HN4" s="67"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"&amp;HI4&amp;", "&amp;CHAR(34)&amp;"isnew"&amp;CHAR(34)&amp;": "&amp;CHAR(34)&amp;F4&amp;CHAR(34)&amp;", "&amp;CHAR(34)&amp;"links"&amp;CHAR(34)&amp;": "&amp;HL4&amp;"},"</f>
        <v>{"couname":"[TUV] Tuvalu (1996-1997)","subtype":"[TUV] Other","year":"1996","region":"rgn_Oceania","Colors":["cl_BLA","cl_BLU","cl_GRE","cl_RED","cl_YEL","cl_ORA","cl_WHI"],"Items":["5+Colo","words2","lets16","startT","with_v","year19","allhor","4+Band","Diagon","Horizo","Animal","Plants","Texted","Trside","Geogrh","Builds","staWHI","001RED","002BLU","003RED","myrBLU","histor","HasSta","3+Star"],"Flag":"https://upload.wikimedia.org/wikipedia/commons/thumb/d/d3/Flag_of_Tuvalu_%281996%E2%80%931997%29.svg/640px-Flag_of_Tuvalu_%281996%E2%80%931997%29.svg.png","HDFlag":"https://upload.wikimedia.org/wikipedia/commons/thumb/d/d3/Flag_of_Tuvalu_%281996%E2%80%931997%29.svg/1280px-Flag_of_Tuvalu_%281996%E2%80%931997%29.svg.png","type":"Historical", "describe": "\nA five banded horizontal flag of red, white, blue, white, and red with the blue band having a white triangle from the left side of the flag containing the coat of arms.", "isnew": "www", "links": "https://en.m.wikipedia.org/wiki/Flag_of_Tuvalu"},</v>
      </c>
      <c r="HO4" s="71">
        <v>45653</v>
      </c>
      <c r="HP4" s="44" t="str" cm="1">
        <f t="array" ref="HP4">IF(_xlfn.TEXTJOIN(", ", TRUE, IF(ISNUMBER(SEARCH("BLA", BL4:BT4)), COLUMN(BL4:BT4) - COLUMN(BL4) + 1, ""))&lt;&gt;"","BLA","")</f>
        <v>BLA</v>
      </c>
      <c r="HQ4" s="44" t="str" cm="1">
        <f t="array" ref="HQ4">IF(_xlfn.TEXTJOIN(", ", TRUE, IF(ISNUMBER(SEARCH("BLU", BL4:BT4)), COLUMN(BL4:BT4) - COLUMN(BL4) + 1, ""))&lt;&gt;"","BLU","")</f>
        <v>BLU</v>
      </c>
      <c r="HR4" s="44" t="str" cm="1">
        <f t="array" ref="HR4">IF(_xlfn.TEXTJOIN(", ", TRUE, IF(ISNUMBER(SEARCH("GRE", BL4:BT4)), COLUMN(BL4:BT4) - COLUMN(BL4) + 1, ""))&lt;&gt;"","GRE","")</f>
        <v>GRE</v>
      </c>
      <c r="HS4" s="44" t="str" cm="1">
        <f t="array" ref="HS4">IF(_xlfn.TEXTJOIN(", ", TRUE, IF(ISNUMBER(SEARCH("RED", BL4:BT4)), COLUMN(BL4:BT4) - COLUMN(BL4) + 1, ""))&lt;&gt;"","RED","")</f>
        <v>RED</v>
      </c>
      <c r="HT4" s="44" t="str" cm="1">
        <f t="array" ref="HT4">IF(_xlfn.TEXTJOIN(", ", TRUE, IF(ISNUMBER(SEARCH("YEL", BL4:BT4)), COLUMN(BL4:BT4) - COLUMN(BL4) + 1, ""))&lt;&gt;"","YEL","")</f>
        <v>YEL</v>
      </c>
      <c r="HU4" s="44" t="str" cm="1">
        <f t="array" ref="HU4">IF(_xlfn.TEXTJOIN(", ", TRUE, IF(ISNUMBER(SEARCH("ORA", BL4:BT4)), COLUMN(BL4:BT4) - COLUMN(BL4) + 1, ""))&lt;&gt;"","ORA","")</f>
        <v>ORA</v>
      </c>
      <c r="HV4" s="44" t="str" cm="1">
        <f t="array" ref="HV4">IF(_xlfn.TEXTJOIN(", ", TRUE, IF(ISNUMBER(SEARCH("BRO", BL4:BT4)), COLUMN(BL4:BT4) - COLUMN(BL4) + 1, ""))&lt;&gt;"","BRO","")</f>
        <v/>
      </c>
      <c r="HW4" s="44" t="str" cm="1">
        <f t="array" ref="HW4">IF(_xlfn.TEXTJOIN(", ", TRUE, IF(ISNUMBER(SEARCH("PUR", BL4:BT4)), COLUMN(BL4:BT4) - COLUMN(BL4) + 1, ""))&lt;&gt;"","PUR","")</f>
        <v/>
      </c>
      <c r="HX4" s="44" t="str" cm="1">
        <f t="array" ref="HX4">IF(_xlfn.TEXTJOIN(", ", TRUE, IF(ISNUMBER(SEARCH("WHI", BL4:BT4)), COLUMN(BL4:BT4) - COLUMN(BL4) + 1, ""))&lt;&gt;"","WHI","")</f>
        <v>WHI</v>
      </c>
      <c r="HY4" s="72"/>
      <c r="HZ4" s="72"/>
      <c r="IA4" s="5"/>
      <c r="IB4" s="5"/>
      <c r="IC4" s="68"/>
      <c r="ID4" s="68"/>
      <c r="IE4" s="68"/>
      <c r="IF4" s="68"/>
      <c r="IG4" s="68"/>
      <c r="IH4" s="68"/>
      <c r="II4" s="68"/>
      <c r="IJ4" s="68"/>
      <c r="IK4" s="68"/>
      <c r="IM4" s="42">
        <f>COUNTIF(IC4:IK4,"&gt;0")-CG4</f>
        <v>-7</v>
      </c>
      <c r="IN4" s="69" t="str">
        <f>"http://mkweb.bcgsc.ca/color-summarizer/?url="&amp;D4&amp;"&amp;precision=low&amp;num_clusters="&amp;CG4&amp;"&amp;text=1"</f>
        <v>http://mkweb.bcgsc.ca/color-summarizer/?url=https://upload.wikimedia.org/wikipedia/commons/thumb/d/d3/Flag_of_Tuvalu_%281996%E2%80%931997%29.svg/640px-Flag_of_Tuvalu_%281996%E2%80%931997%29.svg.png&amp;precision=low&amp;num_clusters=7&amp;text=1</v>
      </c>
      <c r="IO4" s="44" t="str">
        <f>IF(HP4&lt;&gt;"",CHAR(34)&amp;"black"&amp;CHAR(34),"")</f>
        <v>"black"</v>
      </c>
      <c r="IP4" s="44" t="str">
        <f>IF(HQ4&lt;&gt;"",CHAR(34)&amp;"blue"&amp;CHAR(34),"")</f>
        <v>"blue"</v>
      </c>
      <c r="IQ4" s="44" t="str">
        <f>IF(HR4&lt;&gt;"",CHAR(34)&amp;"green"&amp;CHAR(34),"")</f>
        <v>"green"</v>
      </c>
      <c r="IR4" s="44" t="str">
        <f>IF(HS4&lt;&gt;"",CHAR(34)&amp;"red"&amp;CHAR(34),"")</f>
        <v>"red"</v>
      </c>
      <c r="IS4" s="44" t="str">
        <f>IF(HT4&lt;&gt;"",CHAR(34)&amp;"yellow"&amp;CHAR(34),"")</f>
        <v>"yellow"</v>
      </c>
      <c r="IT4" s="44" t="str">
        <f>IF(HU4&lt;&gt;"",CHAR(34)&amp;"orange"&amp;CHAR(34),"")</f>
        <v>"orange"</v>
      </c>
      <c r="IU4" s="44" t="str">
        <f>IF(HV4&lt;&gt;"",CHAR(34)&amp;"brown"&amp;CHAR(34),"")</f>
        <v/>
      </c>
      <c r="IV4" s="44" t="str">
        <f>IF(HW4&lt;&gt;"",CHAR(34)&amp;"purple"&amp;CHAR(34),"")</f>
        <v/>
      </c>
      <c r="IW4" s="44" t="str">
        <f>IF(HX4&lt;&gt;"",CHAR(34)&amp;"white"&amp;CHAR(34),"")</f>
        <v>"white"</v>
      </c>
      <c r="IX4" s="44" t="str">
        <f>"{"&amp;CHAR(34)&amp;"url"&amp;CHAR(34)&amp;":"&amp;CHAR(34)&amp;IN4&amp;CHAR(34)&amp;","&amp;CHAR(34)&amp;"name"&amp;CHAR(34)&amp;":"&amp;CHAR(34)&amp;A4&amp;CHAR(34)&amp;"},"</f>
        <v>{"url":"http://mkweb.bcgsc.ca/color-summarizer/?url=https://upload.wikimedia.org/wikipedia/commons/thumb/d/d3/Flag_of_Tuvalu_%281996%E2%80%931997%29.svg/640px-Flag_of_Tuvalu_%281996%E2%80%931997%29.svg.png&amp;precision=low&amp;num_clusters=7&amp;text=1","name":"[TUV] Tuvalu (1996-1997)"},</v>
      </c>
      <c r="IY4" s="44">
        <v>1503</v>
      </c>
    </row>
    <row r="5" spans="1:259" ht="38.4" customHeight="1" x14ac:dyDescent="0.3">
      <c r="C5" s="84"/>
      <c r="G5" s="84"/>
      <c r="H5" s="84"/>
    </row>
    <row r="6" spans="1:259" ht="38.4" customHeight="1" x14ac:dyDescent="0.3">
      <c r="C6" s="84"/>
      <c r="G6" s="84"/>
      <c r="H6" s="84"/>
    </row>
    <row r="7" spans="1:259" ht="38.4" customHeight="1" x14ac:dyDescent="0.3">
      <c r="C7" s="84"/>
      <c r="G7" s="84"/>
      <c r="H7" s="84"/>
    </row>
    <row r="8" spans="1:259" ht="38.4" customHeight="1" x14ac:dyDescent="0.3">
      <c r="C8" s="84"/>
      <c r="G8" s="84"/>
      <c r="H8" s="84"/>
    </row>
  </sheetData>
  <autoFilter ref="A1:IY4" xr:uid="{A1051193-A95B-4CFB-A73C-F0184620C81F}">
    <sortState xmlns:xlrd2="http://schemas.microsoft.com/office/spreadsheetml/2017/richdata2" ref="A2:IY4">
      <sortCondition ref="AW1:AW4"/>
    </sortState>
  </autoFilter>
  <conditionalFormatting sqref="H1 CW1:GS1 IA1:IB1">
    <cfRule type="cellIs" dxfId="206" priority="66" operator="greaterThan">
      <formula>0</formula>
    </cfRule>
  </conditionalFormatting>
  <conditionalFormatting sqref="H1:H1048576">
    <cfRule type="cellIs" dxfId="205" priority="6" stopIfTrue="1" operator="notEqual">
      <formula>""</formula>
    </cfRule>
  </conditionalFormatting>
  <conditionalFormatting sqref="R2:R4 CU2:CU4">
    <cfRule type="cellIs" dxfId="204" priority="8" operator="greaterThan">
      <formula>0</formula>
    </cfRule>
  </conditionalFormatting>
  <conditionalFormatting sqref="T2:AS4 CH2:CS4">
    <cfRule type="cellIs" dxfId="203" priority="3" stopIfTrue="1" operator="equal">
      <formula>"n"</formula>
    </cfRule>
    <cfRule type="cellIs" dxfId="202" priority="4" stopIfTrue="1" operator="equal">
      <formula>"y"</formula>
    </cfRule>
    <cfRule type="cellIs" dxfId="201" priority="5" operator="greaterThan">
      <formula>0</formula>
    </cfRule>
  </conditionalFormatting>
  <conditionalFormatting sqref="T1:BK1">
    <cfRule type="cellIs" dxfId="200" priority="69" operator="greaterThan">
      <formula>0</formula>
    </cfRule>
  </conditionalFormatting>
  <conditionalFormatting sqref="AZ2:BB4">
    <cfRule type="expression" dxfId="199" priority="2">
      <formula>$AT2=0</formula>
    </cfRule>
  </conditionalFormatting>
  <conditionalFormatting sqref="AZ2:BU4">
    <cfRule type="cellIs" dxfId="198" priority="44" operator="equal">
      <formula>"PIN"</formula>
    </cfRule>
    <cfRule type="cellIs" dxfId="197" priority="45" operator="equal">
      <formula>"ORA"</formula>
    </cfRule>
    <cfRule type="cellIs" dxfId="196" priority="46" operator="equal">
      <formula>"GRA"</formula>
    </cfRule>
    <cfRule type="cellIs" dxfId="195" priority="47" operator="equal">
      <formula>"PUR"</formula>
    </cfRule>
    <cfRule type="cellIs" dxfId="194" priority="48" operator="equal">
      <formula>"BRO"</formula>
    </cfRule>
    <cfRule type="cellIs" dxfId="193" priority="49" operator="equal">
      <formula>"YEL"</formula>
    </cfRule>
    <cfRule type="cellIs" dxfId="192" priority="50" operator="equal">
      <formula>"BLU"</formula>
    </cfRule>
    <cfRule type="cellIs" dxfId="191" priority="51" operator="equal">
      <formula>"WHI"</formula>
    </cfRule>
    <cfRule type="cellIs" dxfId="190" priority="52" operator="equal">
      <formula>"GRE"</formula>
    </cfRule>
    <cfRule type="cellIs" dxfId="189" priority="53" operator="equal">
      <formula>"RED"</formula>
    </cfRule>
    <cfRule type="cellIs" dxfId="188" priority="54" operator="equal">
      <formula>"BLA"</formula>
    </cfRule>
  </conditionalFormatting>
  <conditionalFormatting sqref="BV1:BW1048576">
    <cfRule type="cellIs" dxfId="187" priority="68" operator="equal">
      <formula>"nc"</formula>
    </cfRule>
  </conditionalFormatting>
  <conditionalFormatting sqref="BX2:CA4 CD2:CF4">
    <cfRule type="cellIs" dxfId="186" priority="7" operator="equal">
      <formula>"y"</formula>
    </cfRule>
    <cfRule type="cellIs" dxfId="185" priority="55" operator="equal">
      <formula>"PIN"</formula>
    </cfRule>
    <cfRule type="cellIs" dxfId="184" priority="56" operator="equal">
      <formula>"ORA"</formula>
    </cfRule>
    <cfRule type="cellIs" dxfId="183" priority="57" operator="equal">
      <formula>"GRA"</formula>
    </cfRule>
    <cfRule type="cellIs" dxfId="182" priority="58" operator="equal">
      <formula>"PUR"</formula>
    </cfRule>
    <cfRule type="cellIs" dxfId="181" priority="59" operator="equal">
      <formula>"BRO"</formula>
    </cfRule>
    <cfRule type="cellIs" dxfId="180" priority="60" operator="equal">
      <formula>"YEL"</formula>
    </cfRule>
    <cfRule type="cellIs" dxfId="179" priority="61" operator="equal">
      <formula>"BLU"</formula>
    </cfRule>
    <cfRule type="cellIs" dxfId="178" priority="62" operator="equal">
      <formula>"WHI"</formula>
    </cfRule>
    <cfRule type="cellIs" dxfId="177" priority="63" operator="equal">
      <formula>"GRE"</formula>
    </cfRule>
    <cfRule type="cellIs" dxfId="176" priority="64" operator="equal">
      <formula>"RED"</formula>
    </cfRule>
    <cfRule type="cellIs" dxfId="175" priority="65" operator="equal">
      <formula>"BLA"</formula>
    </cfRule>
  </conditionalFormatting>
  <conditionalFormatting sqref="BZ2:CA4 CD2:CF4">
    <cfRule type="cellIs" dxfId="174" priority="9" operator="greaterThan">
      <formula>0</formula>
    </cfRule>
  </conditionalFormatting>
  <conditionalFormatting sqref="HF1:HG1">
    <cfRule type="cellIs" dxfId="173" priority="70" operator="greaterThan">
      <formula>0</formula>
    </cfRule>
  </conditionalFormatting>
  <conditionalFormatting sqref="HK1">
    <cfRule type="cellIs" dxfId="172" priority="67" operator="greaterThan">
      <formula>0</formula>
    </cfRule>
  </conditionalFormatting>
  <conditionalFormatting sqref="HP1:HX1">
    <cfRule type="cellIs" dxfId="171" priority="21" operator="equal">
      <formula>"PIN"</formula>
    </cfRule>
    <cfRule type="cellIs" dxfId="170" priority="22" operator="equal">
      <formula>"ORA"</formula>
    </cfRule>
    <cfRule type="cellIs" dxfId="169" priority="23" operator="equal">
      <formula>"GRA"</formula>
    </cfRule>
    <cfRule type="cellIs" dxfId="168" priority="24" operator="equal">
      <formula>"PUR"</formula>
    </cfRule>
    <cfRule type="cellIs" dxfId="167" priority="25" operator="equal">
      <formula>"BRO"</formula>
    </cfRule>
    <cfRule type="cellIs" dxfId="166" priority="26" operator="equal">
      <formula>"YEL"</formula>
    </cfRule>
    <cfRule type="cellIs" dxfId="165" priority="27" operator="equal">
      <formula>"BLU"</formula>
    </cfRule>
    <cfRule type="cellIs" dxfId="164" priority="28" operator="equal">
      <formula>"WHI"</formula>
    </cfRule>
    <cfRule type="cellIs" dxfId="163" priority="29" operator="equal">
      <formula>"GRE"</formula>
    </cfRule>
    <cfRule type="cellIs" dxfId="162" priority="30" operator="equal">
      <formula>"RED"</formula>
    </cfRule>
    <cfRule type="cellIs" dxfId="161" priority="31" operator="equal">
      <formula>"BLA"</formula>
    </cfRule>
  </conditionalFormatting>
  <conditionalFormatting sqref="IC1:IK1">
    <cfRule type="cellIs" dxfId="160" priority="33" operator="equal">
      <formula>"PIN"</formula>
    </cfRule>
    <cfRule type="cellIs" dxfId="159" priority="34" operator="equal">
      <formula>"ORA"</formula>
    </cfRule>
    <cfRule type="cellIs" dxfId="158" priority="35" operator="equal">
      <formula>"GRA"</formula>
    </cfRule>
    <cfRule type="cellIs" dxfId="157" priority="36" operator="equal">
      <formula>"PUR"</formula>
    </cfRule>
    <cfRule type="cellIs" dxfId="156" priority="37" operator="equal">
      <formula>"BRO"</formula>
    </cfRule>
    <cfRule type="cellIs" dxfId="155" priority="38" operator="equal">
      <formula>"YEL"</formula>
    </cfRule>
    <cfRule type="cellIs" dxfId="154" priority="39" operator="equal">
      <formula>"BLU"</formula>
    </cfRule>
    <cfRule type="cellIs" dxfId="153" priority="40" operator="equal">
      <formula>"WHI"</formula>
    </cfRule>
    <cfRule type="cellIs" dxfId="152" priority="41" operator="equal">
      <formula>"GRE"</formula>
    </cfRule>
    <cfRule type="cellIs" dxfId="151" priority="42" operator="equal">
      <formula>"RED"</formula>
    </cfRule>
    <cfRule type="cellIs" dxfId="150" priority="43" operator="equal">
      <formula>"BLA"</formula>
    </cfRule>
  </conditionalFormatting>
  <conditionalFormatting sqref="IC2:IK4">
    <cfRule type="expression" dxfId="149" priority="32">
      <formula>$IL2&gt;0</formula>
    </cfRule>
  </conditionalFormatting>
  <conditionalFormatting sqref="IO1:IW1">
    <cfRule type="cellIs" dxfId="148" priority="10" operator="equal">
      <formula>"PIN"</formula>
    </cfRule>
    <cfRule type="cellIs" dxfId="147" priority="11" operator="equal">
      <formula>"ORA"</formula>
    </cfRule>
    <cfRule type="cellIs" dxfId="146" priority="12" operator="equal">
      <formula>"GRA"</formula>
    </cfRule>
    <cfRule type="cellIs" dxfId="145" priority="13" operator="equal">
      <formula>"PUR"</formula>
    </cfRule>
    <cfRule type="cellIs" dxfId="144" priority="14" operator="equal">
      <formula>"BRO"</formula>
    </cfRule>
    <cfRule type="cellIs" dxfId="143" priority="15" operator="equal">
      <formula>"YEL"</formula>
    </cfRule>
    <cfRule type="cellIs" dxfId="142" priority="16" operator="equal">
      <formula>"BLU"</formula>
    </cfRule>
    <cfRule type="cellIs" dxfId="141" priority="17" operator="equal">
      <formula>"WHI"</formula>
    </cfRule>
    <cfRule type="cellIs" dxfId="140" priority="18" operator="equal">
      <formula>"GRE"</formula>
    </cfRule>
    <cfRule type="cellIs" dxfId="139" priority="19" operator="equal">
      <formula>"RED"</formula>
    </cfRule>
    <cfRule type="cellIs" dxfId="138" priority="20" operator="equal">
      <formula>"BLA"</formula>
    </cfRule>
  </conditionalFormatting>
  <conditionalFormatting sqref="S2:S4">
    <cfRule type="colorScale" priority="2984">
      <colorScale>
        <cfvo type="min"/>
        <cfvo type="max"/>
        <color rgb="FFFCFCFF"/>
        <color rgb="FF754BFB"/>
      </colorScale>
    </cfRule>
  </conditionalFormatting>
  <conditionalFormatting sqref="AT2:AT4">
    <cfRule type="colorScale" priority="2985">
      <colorScale>
        <cfvo type="min"/>
        <cfvo type="max"/>
        <color rgb="FFFCFCFF"/>
        <color theme="8" tint="0.39997558519241921"/>
      </colorScale>
    </cfRule>
  </conditionalFormatting>
  <conditionalFormatting sqref="CG2:CG4">
    <cfRule type="colorScale" priority="2986">
      <colorScale>
        <cfvo type="min"/>
        <cfvo type="max"/>
        <color rgb="FFFCFCFF"/>
        <color rgb="FF63BE7B"/>
      </colorScale>
    </cfRule>
  </conditionalFormatting>
  <conditionalFormatting sqref="J2:J4">
    <cfRule type="colorScale" priority="1">
      <colorScale>
        <cfvo type="min"/>
        <cfvo type="percentile" val="50"/>
        <cfvo type="max"/>
        <color rgb="FFF8696B"/>
        <color rgb="FFFFEB84"/>
        <color rgb="FF63BE7B"/>
      </colorScale>
    </cfRule>
  </conditionalFormatting>
  <hyperlinks>
    <hyperlink ref="D3" r:id="rId1" xr:uid="{21E546E0-C607-47B5-BF45-8C12AAB26A69}"/>
    <hyperlink ref="E2" r:id="rId2" xr:uid="{2D628C29-C517-4C7F-8F21-1327625C4A58}"/>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20481" r:id="rId6" name="Button 1">
              <controlPr defaultSize="0" print="0" autoFill="0" autoPict="0" macro="[0]!InsertImagesFromSelectedRange">
                <anchor moveWithCells="1" sizeWithCells="1">
                  <from>
                    <xdr:col>1</xdr:col>
                    <xdr:colOff>76200</xdr:colOff>
                    <xdr:row>0</xdr:row>
                    <xdr:rowOff>7620</xdr:rowOff>
                  </from>
                  <to>
                    <xdr:col>2</xdr:col>
                    <xdr:colOff>0</xdr:colOff>
                    <xdr:row>0</xdr:row>
                    <xdr:rowOff>487680</xdr:rowOff>
                  </to>
                </anchor>
              </controlPr>
            </control>
          </mc:Choice>
        </mc:AlternateContent>
        <mc:AlternateContent xmlns:mc="http://schemas.openxmlformats.org/markup-compatibility/2006">
          <mc:Choice Requires="x14">
            <control shapeId="20482" r:id="rId7" name="Button 2">
              <controlPr defaultSize="0" print="0" autoFill="0" autoPict="0" macro="[0]!ReplaceLineBreaksWithNewLineManualRange">
                <anchor moveWithCells="1" sizeWithCells="1">
                  <from>
                    <xdr:col>7</xdr:col>
                    <xdr:colOff>15240</xdr:colOff>
                    <xdr:row>0</xdr:row>
                    <xdr:rowOff>45720</xdr:rowOff>
                  </from>
                  <to>
                    <xdr:col>7</xdr:col>
                    <xdr:colOff>685800</xdr:colOff>
                    <xdr:row>0</xdr:row>
                    <xdr:rowOff>403860</xdr:rowOff>
                  </to>
                </anchor>
              </controlPr>
            </control>
          </mc:Choice>
        </mc:AlternateContent>
        <mc:AlternateContent xmlns:mc="http://schemas.openxmlformats.org/markup-compatibility/2006">
          <mc:Choice Requires="x14">
            <control shapeId="20483" r:id="rId8" name="Button 3">
              <controlPr defaultSize="0" print="0" autoFill="0" autoPict="0" macro="[0]!GoToSheet">
                <anchor moveWithCells="1" sizeWithCells="1">
                  <from>
                    <xdr:col>0</xdr:col>
                    <xdr:colOff>137160</xdr:colOff>
                    <xdr:row>0</xdr:row>
                    <xdr:rowOff>114300</xdr:rowOff>
                  </from>
                  <to>
                    <xdr:col>0</xdr:col>
                    <xdr:colOff>762000</xdr:colOff>
                    <xdr:row>0</xdr:row>
                    <xdr:rowOff>419100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04C585-B715-4040-8F05-60B29406C91D}">
  <sheetPr codeName="Sheet21"/>
  <dimension ref="A1:IY3"/>
  <sheetViews>
    <sheetView zoomScale="70" zoomScaleNormal="70" workbookViewId="0">
      <pane xSplit="5" ySplit="1" topLeftCell="F2" activePane="bottomRight" state="frozen"/>
      <selection activeCell="A2" sqref="A2"/>
      <selection pane="topRight" activeCell="A2" sqref="A2"/>
      <selection pane="bottomLeft" activeCell="A2" sqref="A2"/>
      <selection pane="bottomRight" activeCell="B3" sqref="B3"/>
    </sheetView>
  </sheetViews>
  <sheetFormatPr defaultRowHeight="38.4" customHeight="1" x14ac:dyDescent="0.3"/>
  <cols>
    <col min="1" max="1" width="52.44140625" style="82" bestFit="1" customWidth="1"/>
    <col min="2" max="2" width="10.109375" style="82" customWidth="1"/>
    <col min="3" max="3" width="7.44140625" style="83" customWidth="1"/>
    <col min="4" max="4" width="4.77734375" style="84" customWidth="1"/>
    <col min="5" max="5" width="4.5546875" style="84" customWidth="1"/>
    <col min="6" max="6" width="5.77734375" style="84" customWidth="1"/>
    <col min="7" max="7" width="7.44140625" style="82" customWidth="1"/>
    <col min="8" max="8" width="11.44140625" style="82" customWidth="1"/>
    <col min="9" max="9" width="10" style="82" customWidth="1"/>
    <col min="10" max="10" width="4.21875" style="82" customWidth="1"/>
    <col min="11" max="11" width="5.6640625" style="84" customWidth="1"/>
    <col min="12" max="12" width="2.88671875" style="84" customWidth="1"/>
    <col min="13" max="13" width="6.44140625" style="84" customWidth="1"/>
    <col min="14" max="14" width="4.5546875" style="84" customWidth="1"/>
    <col min="15" max="15" width="10.5546875" style="85" customWidth="1"/>
    <col min="16" max="16" width="6.88671875" style="84" customWidth="1"/>
    <col min="17" max="17" width="4.77734375" style="84" customWidth="1"/>
    <col min="18" max="18" width="13.109375" style="83" customWidth="1"/>
    <col min="19" max="19" width="6.77734375" style="83" customWidth="1"/>
    <col min="20" max="46" width="8.44140625" style="82" customWidth="1"/>
    <col min="47" max="47" width="24.5546875" style="82" customWidth="1"/>
    <col min="48" max="51" width="16.6640625" style="82" customWidth="1"/>
    <col min="52" max="52" width="6.5546875" style="82" customWidth="1"/>
    <col min="53" max="54" width="5.88671875" style="82" customWidth="1"/>
    <col min="55" max="55" width="1.33203125" style="82" customWidth="1"/>
    <col min="56" max="56" width="7.44140625" style="82" customWidth="1"/>
    <col min="57" max="57" width="2.33203125" style="82" customWidth="1"/>
    <col min="58" max="62" width="6.109375" style="82" customWidth="1"/>
    <col min="63" max="63" width="2.33203125" style="82" customWidth="1"/>
    <col min="64" max="64" width="7" style="82" bestFit="1" customWidth="1"/>
    <col min="65" max="65" width="6.44140625" style="82" bestFit="1" customWidth="1"/>
    <col min="66" max="66" width="7.109375" style="82" bestFit="1" customWidth="1"/>
    <col min="67" max="71" width="6.44140625" style="82" bestFit="1" customWidth="1"/>
    <col min="72" max="73" width="6.44140625" style="82" customWidth="1"/>
    <col min="74" max="75" width="13.44140625" style="82" customWidth="1"/>
    <col min="76" max="84" width="14.6640625" style="82" customWidth="1"/>
    <col min="85" max="85" width="6.44140625" style="82" customWidth="1"/>
    <col min="86" max="87" width="11.6640625" style="82" bestFit="1" customWidth="1"/>
    <col min="88" max="88" width="11.6640625" style="82" customWidth="1"/>
    <col min="89" max="89" width="12.77734375" style="82" bestFit="1" customWidth="1"/>
    <col min="90" max="90" width="16.44140625" style="83" bestFit="1" customWidth="1"/>
    <col min="91" max="92" width="14.88671875" style="83" bestFit="1" customWidth="1"/>
    <col min="93" max="93" width="16" style="83" bestFit="1" customWidth="1"/>
    <col min="94" max="97" width="7.77734375" style="82" customWidth="1"/>
    <col min="98" max="98" width="33.21875" style="82" customWidth="1"/>
    <col min="99" max="99" width="18" style="82" customWidth="1"/>
    <col min="100" max="100" width="75.6640625" style="82" customWidth="1"/>
    <col min="101" max="125" width="33" style="82" customWidth="1"/>
    <col min="126" max="126" width="8.88671875" style="82"/>
    <col min="127" max="128" width="9.44140625" style="82" bestFit="1" customWidth="1"/>
    <col min="129" max="129" width="10.77734375" style="82" bestFit="1" customWidth="1"/>
    <col min="130" max="134" width="10.77734375" style="82" customWidth="1"/>
    <col min="135" max="135" width="10.109375" style="82" bestFit="1" customWidth="1"/>
    <col min="136" max="136" width="7.77734375" style="82" bestFit="1" customWidth="1"/>
    <col min="137" max="137" width="7.77734375" style="82" customWidth="1"/>
    <col min="138" max="138" width="9" style="82" bestFit="1" customWidth="1"/>
    <col min="139" max="139" width="11.33203125" style="82" bestFit="1" customWidth="1"/>
    <col min="140" max="140" width="9.109375" style="82" bestFit="1" customWidth="1"/>
    <col min="141" max="141" width="9" style="82" bestFit="1" customWidth="1"/>
    <col min="142" max="142" width="12" style="82" bestFit="1" customWidth="1"/>
    <col min="143" max="166" width="12" style="82" customWidth="1"/>
    <col min="167" max="167" width="17.21875" style="82" customWidth="1"/>
    <col min="168" max="191" width="12" style="82" customWidth="1"/>
    <col min="192" max="192" width="8.5546875" style="82" bestFit="1" customWidth="1"/>
    <col min="193" max="193" width="8.5546875" style="82" customWidth="1"/>
    <col min="194" max="194" width="7.109375" style="82" bestFit="1" customWidth="1"/>
    <col min="195" max="195" width="7.5546875" style="82" bestFit="1" customWidth="1"/>
    <col min="196" max="196" width="8.5546875" style="82" bestFit="1" customWidth="1"/>
    <col min="197" max="200" width="8.5546875" style="82" customWidth="1"/>
    <col min="201" max="201" width="188.88671875" style="82" customWidth="1"/>
    <col min="202" max="202" width="9.5546875" style="82" bestFit="1" customWidth="1"/>
    <col min="203" max="203" width="10.44140625" style="82" bestFit="1" customWidth="1"/>
    <col min="204" max="204" width="11.109375" style="82" bestFit="1" customWidth="1"/>
    <col min="205" max="205" width="10.44140625" style="82" bestFit="1" customWidth="1"/>
    <col min="206" max="210" width="10.44140625" style="82" customWidth="1"/>
    <col min="211" max="211" width="45.44140625" style="82" customWidth="1"/>
    <col min="212" max="212" width="47.5546875" style="82" bestFit="1" customWidth="1"/>
    <col min="213" max="213" width="9.33203125" style="86" customWidth="1"/>
    <col min="214" max="214" width="119.5546875" style="82" customWidth="1"/>
    <col min="215" max="215" width="69.6640625" style="82" customWidth="1"/>
    <col min="216" max="218" width="8.88671875" style="82"/>
    <col min="219" max="219" width="37.109375" style="82" customWidth="1"/>
    <col min="220" max="220" width="16.33203125" style="82" customWidth="1"/>
    <col min="221" max="222" width="8.88671875" style="82"/>
    <col min="223" max="223" width="10.109375" style="82" bestFit="1" customWidth="1"/>
    <col min="224" max="232" width="10.88671875" style="82" customWidth="1"/>
    <col min="233" max="234" width="30.77734375" style="82" customWidth="1"/>
    <col min="235" max="235" width="5.109375" style="82" customWidth="1"/>
    <col min="236" max="236" width="3" style="82" customWidth="1"/>
    <col min="237" max="245" width="6.77734375" style="76" customWidth="1"/>
    <col min="246" max="247" width="8.88671875" style="82"/>
    <col min="248" max="248" width="61.5546875" style="82" customWidth="1"/>
    <col min="249" max="253" width="8.88671875" style="82"/>
    <col min="254" max="254" width="9" style="82" customWidth="1"/>
    <col min="255" max="16384" width="8.88671875" style="82"/>
  </cols>
  <sheetData>
    <row r="1" spans="1:259" s="5" customFormat="1" ht="38.4" customHeight="1" thickBot="1" x14ac:dyDescent="0.35">
      <c r="A1" s="1" t="s">
        <v>0</v>
      </c>
      <c r="B1" s="79" t="s">
        <v>1</v>
      </c>
      <c r="C1" s="2" t="s">
        <v>2</v>
      </c>
      <c r="D1" s="3"/>
      <c r="E1" s="3" t="s">
        <v>3</v>
      </c>
      <c r="F1" s="4"/>
      <c r="H1" s="6" t="s">
        <v>4</v>
      </c>
      <c r="J1" s="5" t="s">
        <v>5</v>
      </c>
      <c r="K1" s="7" t="s">
        <v>6</v>
      </c>
      <c r="L1" s="8" t="s">
        <v>7</v>
      </c>
      <c r="M1" s="8" t="s">
        <v>8</v>
      </c>
      <c r="N1" s="9" t="s">
        <v>9</v>
      </c>
      <c r="O1" s="10" t="s">
        <v>10</v>
      </c>
      <c r="P1" s="11" t="s">
        <v>11</v>
      </c>
      <c r="Q1" s="11" t="s">
        <v>12</v>
      </c>
      <c r="R1" s="12" t="s">
        <v>0</v>
      </c>
      <c r="S1" s="13" t="s">
        <v>13</v>
      </c>
      <c r="T1" s="14" t="s">
        <v>14</v>
      </c>
      <c r="U1" s="14" t="s">
        <v>15</v>
      </c>
      <c r="V1" s="15" t="s">
        <v>16</v>
      </c>
      <c r="W1" s="14" t="s">
        <v>17</v>
      </c>
      <c r="X1" s="14" t="s">
        <v>18</v>
      </c>
      <c r="Y1" s="14" t="s">
        <v>19</v>
      </c>
      <c r="Z1" s="14" t="s">
        <v>20</v>
      </c>
      <c r="AA1" s="14" t="s">
        <v>21</v>
      </c>
      <c r="AB1" s="14" t="s">
        <v>22</v>
      </c>
      <c r="AC1" s="14" t="s">
        <v>23</v>
      </c>
      <c r="AD1" s="14" t="s">
        <v>24</v>
      </c>
      <c r="AE1" s="14" t="s">
        <v>25</v>
      </c>
      <c r="AF1" s="16" t="s">
        <v>26</v>
      </c>
      <c r="AG1" s="16" t="s">
        <v>27</v>
      </c>
      <c r="AH1" s="16" t="s">
        <v>28</v>
      </c>
      <c r="AI1" s="16" t="s">
        <v>29</v>
      </c>
      <c r="AJ1" s="16" t="s">
        <v>30</v>
      </c>
      <c r="AK1" s="16" t="s">
        <v>31</v>
      </c>
      <c r="AL1" s="16" t="s">
        <v>32</v>
      </c>
      <c r="AM1" s="16" t="s">
        <v>33</v>
      </c>
      <c r="AN1" s="16" t="s">
        <v>34</v>
      </c>
      <c r="AO1" s="16" t="s">
        <v>35</v>
      </c>
      <c r="AP1" s="16" t="s">
        <v>36</v>
      </c>
      <c r="AQ1" s="16" t="s">
        <v>37</v>
      </c>
      <c r="AR1" s="16" t="s">
        <v>38</v>
      </c>
      <c r="AS1" s="16" t="s">
        <v>39</v>
      </c>
      <c r="AT1" s="17" t="s">
        <v>40</v>
      </c>
      <c r="AU1" s="18" t="s">
        <v>41</v>
      </c>
      <c r="AV1" s="18" t="s">
        <v>42</v>
      </c>
      <c r="AW1" s="18" t="s">
        <v>43</v>
      </c>
      <c r="AX1" s="19"/>
      <c r="AY1" s="20" t="s">
        <v>44</v>
      </c>
      <c r="AZ1" s="19" t="s">
        <v>45</v>
      </c>
      <c r="BA1" s="19"/>
      <c r="BB1" s="19"/>
      <c r="BC1" s="21"/>
      <c r="BD1" s="19" t="s">
        <v>46</v>
      </c>
      <c r="BE1" s="21"/>
      <c r="BF1" s="19" t="s">
        <v>47</v>
      </c>
      <c r="BG1" s="19" t="s">
        <v>48</v>
      </c>
      <c r="BH1" s="19" t="s">
        <v>49</v>
      </c>
      <c r="BI1" s="19" t="s">
        <v>50</v>
      </c>
      <c r="BJ1" s="19" t="s">
        <v>51</v>
      </c>
      <c r="BK1" s="21"/>
      <c r="BL1" s="22" t="s">
        <v>52</v>
      </c>
      <c r="BM1" s="22"/>
      <c r="BN1" s="22"/>
      <c r="BO1" s="22"/>
      <c r="BP1" s="22"/>
      <c r="BQ1" s="22"/>
      <c r="BR1" s="22"/>
      <c r="BS1" s="22"/>
      <c r="BT1" s="23"/>
      <c r="BU1" s="23" t="s">
        <v>53</v>
      </c>
      <c r="BV1" s="23" t="s">
        <v>54</v>
      </c>
      <c r="BW1" s="23" t="s">
        <v>55</v>
      </c>
      <c r="BX1" s="23"/>
      <c r="BY1" s="23" t="s">
        <v>56</v>
      </c>
      <c r="BZ1" s="23" t="s">
        <v>57</v>
      </c>
      <c r="CA1" s="23" t="s">
        <v>58</v>
      </c>
      <c r="CB1" s="23" t="s">
        <v>59</v>
      </c>
      <c r="CC1" s="23" t="s">
        <v>60</v>
      </c>
      <c r="CD1" s="23" t="s">
        <v>61</v>
      </c>
      <c r="CE1" s="23" t="s">
        <v>62</v>
      </c>
      <c r="CF1" s="23" t="s">
        <v>63</v>
      </c>
      <c r="CG1" s="23"/>
      <c r="CH1" s="23" t="s">
        <v>64</v>
      </c>
      <c r="CI1" s="23" t="s">
        <v>65</v>
      </c>
      <c r="CJ1" s="23" t="s">
        <v>66</v>
      </c>
      <c r="CK1" s="23" t="s">
        <v>67</v>
      </c>
      <c r="CL1" s="24" t="s">
        <v>68</v>
      </c>
      <c r="CM1" s="24" t="s">
        <v>69</v>
      </c>
      <c r="CN1" s="24" t="s">
        <v>70</v>
      </c>
      <c r="CO1" s="24" t="s">
        <v>71</v>
      </c>
      <c r="CP1" s="24" t="s">
        <v>72</v>
      </c>
      <c r="CQ1" s="24" t="s">
        <v>73</v>
      </c>
      <c r="CR1" s="24" t="s">
        <v>74</v>
      </c>
      <c r="CS1" s="24" t="s">
        <v>75</v>
      </c>
      <c r="CT1" s="1" t="s">
        <v>76</v>
      </c>
      <c r="CU1" s="25" t="s">
        <v>0</v>
      </c>
      <c r="CV1" s="5" t="s">
        <v>77</v>
      </c>
      <c r="CW1" s="14" t="s">
        <v>78</v>
      </c>
      <c r="CX1" s="14" t="s">
        <v>79</v>
      </c>
      <c r="CY1" s="14" t="s">
        <v>66</v>
      </c>
      <c r="CZ1" s="14" t="s">
        <v>80</v>
      </c>
      <c r="DA1" s="14" t="s">
        <v>81</v>
      </c>
      <c r="DB1" s="14" t="s">
        <v>82</v>
      </c>
      <c r="DC1" s="14" t="s">
        <v>83</v>
      </c>
      <c r="DD1" s="14" t="s">
        <v>84</v>
      </c>
      <c r="DE1" s="14" t="s">
        <v>85</v>
      </c>
      <c r="DF1" s="14" t="s">
        <v>86</v>
      </c>
      <c r="DG1" s="14" t="s">
        <v>87</v>
      </c>
      <c r="DH1" s="14" t="s">
        <v>88</v>
      </c>
      <c r="DI1" s="14" t="s">
        <v>89</v>
      </c>
      <c r="DJ1" s="14" t="s">
        <v>90</v>
      </c>
      <c r="DK1" s="14" t="s">
        <v>91</v>
      </c>
      <c r="DL1" s="14" t="s">
        <v>92</v>
      </c>
      <c r="DM1" s="14" t="s">
        <v>93</v>
      </c>
      <c r="DN1" s="14" t="s">
        <v>94</v>
      </c>
      <c r="DO1" s="14" t="s">
        <v>95</v>
      </c>
      <c r="DP1" s="14" t="s">
        <v>96</v>
      </c>
      <c r="DQ1" s="14" t="s">
        <v>97</v>
      </c>
      <c r="DR1" s="14" t="s">
        <v>56</v>
      </c>
      <c r="DS1" s="14" t="s">
        <v>98</v>
      </c>
      <c r="DT1" s="14" t="s">
        <v>99</v>
      </c>
      <c r="DU1" s="14" t="s">
        <v>100</v>
      </c>
      <c r="DV1" s="14" t="s">
        <v>101</v>
      </c>
      <c r="DW1" s="14" t="s">
        <v>102</v>
      </c>
      <c r="DX1" s="14" t="s">
        <v>103</v>
      </c>
      <c r="DY1" s="14" t="s">
        <v>104</v>
      </c>
      <c r="DZ1" s="14" t="s">
        <v>105</v>
      </c>
      <c r="EA1" s="14" t="s">
        <v>106</v>
      </c>
      <c r="EB1" s="14" t="s">
        <v>107</v>
      </c>
      <c r="EC1" s="14" t="s">
        <v>108</v>
      </c>
      <c r="ED1" s="14" t="s">
        <v>109</v>
      </c>
      <c r="EE1" s="15" t="s">
        <v>18</v>
      </c>
      <c r="EF1" s="14" t="s">
        <v>19</v>
      </c>
      <c r="EG1" s="14" t="s">
        <v>20</v>
      </c>
      <c r="EH1" s="14" t="s">
        <v>21</v>
      </c>
      <c r="EI1" s="14" t="s">
        <v>110</v>
      </c>
      <c r="EJ1" s="14" t="s">
        <v>23</v>
      </c>
      <c r="EK1" s="14" t="s">
        <v>111</v>
      </c>
      <c r="EL1" s="14" t="s">
        <v>112</v>
      </c>
      <c r="EM1" s="14" t="s">
        <v>26</v>
      </c>
      <c r="EN1" s="16" t="s">
        <v>27</v>
      </c>
      <c r="EO1" s="16" t="s">
        <v>28</v>
      </c>
      <c r="EP1" s="16" t="s">
        <v>29</v>
      </c>
      <c r="EQ1" s="16" t="s">
        <v>113</v>
      </c>
      <c r="ER1" s="16" t="s">
        <v>31</v>
      </c>
      <c r="ES1" s="16" t="s">
        <v>32</v>
      </c>
      <c r="ET1" s="16" t="s">
        <v>114</v>
      </c>
      <c r="EU1" s="16" t="s">
        <v>34</v>
      </c>
      <c r="EV1" s="16" t="s">
        <v>35</v>
      </c>
      <c r="EW1" s="16" t="s">
        <v>115</v>
      </c>
      <c r="EX1" s="16" t="s">
        <v>37</v>
      </c>
      <c r="EY1" s="16" t="s">
        <v>38</v>
      </c>
      <c r="EZ1" s="16" t="s">
        <v>39</v>
      </c>
      <c r="FA1" s="16" t="s">
        <v>116</v>
      </c>
      <c r="FB1" s="16" t="s">
        <v>117</v>
      </c>
      <c r="FC1" s="16" t="s">
        <v>118</v>
      </c>
      <c r="FD1" s="16" t="s">
        <v>54</v>
      </c>
      <c r="FE1" s="16" t="s">
        <v>119</v>
      </c>
      <c r="FF1" s="16" t="s">
        <v>120</v>
      </c>
      <c r="FG1" s="16" t="s">
        <v>121</v>
      </c>
      <c r="FH1" s="16" t="s">
        <v>122</v>
      </c>
      <c r="FI1" s="16" t="s">
        <v>123</v>
      </c>
      <c r="FJ1" s="16" t="s">
        <v>124</v>
      </c>
      <c r="FK1" s="16" t="s">
        <v>125</v>
      </c>
      <c r="FL1" s="16" t="s">
        <v>126</v>
      </c>
      <c r="FM1" s="16" t="s">
        <v>127</v>
      </c>
      <c r="FN1" s="16" t="s">
        <v>128</v>
      </c>
      <c r="FO1" s="16" t="s">
        <v>129</v>
      </c>
      <c r="FP1" s="16" t="s">
        <v>130</v>
      </c>
      <c r="FQ1" s="16" t="s">
        <v>131</v>
      </c>
      <c r="FR1" s="16" t="s">
        <v>132</v>
      </c>
      <c r="FS1" s="16" t="s">
        <v>133</v>
      </c>
      <c r="FT1" s="16" t="s">
        <v>134</v>
      </c>
      <c r="FU1" s="16" t="s">
        <v>44</v>
      </c>
      <c r="FV1" s="16" t="s">
        <v>135</v>
      </c>
      <c r="FW1" s="16" t="s">
        <v>58</v>
      </c>
      <c r="FX1" s="16" t="s">
        <v>136</v>
      </c>
      <c r="FY1" s="16" t="s">
        <v>137</v>
      </c>
      <c r="FZ1" s="16" t="s">
        <v>138</v>
      </c>
      <c r="GA1" s="16" t="s">
        <v>139</v>
      </c>
      <c r="GB1" s="16" t="s">
        <v>140</v>
      </c>
      <c r="GC1" s="16" t="s">
        <v>141</v>
      </c>
      <c r="GD1" s="16" t="s">
        <v>142</v>
      </c>
      <c r="GE1" s="16" t="s">
        <v>143</v>
      </c>
      <c r="GF1" s="16" t="s">
        <v>144</v>
      </c>
      <c r="GG1" s="16" t="s">
        <v>145</v>
      </c>
      <c r="GH1" s="16" t="s">
        <v>61</v>
      </c>
      <c r="GI1" s="16" t="s">
        <v>62</v>
      </c>
      <c r="GJ1" s="14" t="s">
        <v>146</v>
      </c>
      <c r="GK1" s="14" t="s">
        <v>147</v>
      </c>
      <c r="GL1" s="14" t="s">
        <v>148</v>
      </c>
      <c r="GM1" s="17" t="s">
        <v>149</v>
      </c>
      <c r="GN1" s="26" t="s">
        <v>150</v>
      </c>
      <c r="GO1" s="26" t="s">
        <v>151</v>
      </c>
      <c r="GP1" s="18" t="s">
        <v>41</v>
      </c>
      <c r="GQ1" s="18" t="s">
        <v>42</v>
      </c>
      <c r="GR1" s="18" t="s">
        <v>43</v>
      </c>
      <c r="GS1" s="21"/>
      <c r="GT1" s="27" t="s">
        <v>52</v>
      </c>
      <c r="GU1" s="27"/>
      <c r="GV1" s="27"/>
      <c r="GW1" s="27"/>
      <c r="GX1" s="28"/>
      <c r="GY1" s="28"/>
      <c r="GZ1" s="28"/>
      <c r="HA1" s="28"/>
      <c r="HB1" s="28"/>
      <c r="HC1" s="28"/>
      <c r="HD1" s="29" t="s">
        <v>13</v>
      </c>
      <c r="HE1" s="30" t="s">
        <v>152</v>
      </c>
      <c r="HF1" s="31"/>
      <c r="HG1" s="32"/>
      <c r="HK1" s="32" t="s">
        <v>4</v>
      </c>
      <c r="HP1" s="33" t="s">
        <v>153</v>
      </c>
      <c r="HQ1" s="33" t="s">
        <v>154</v>
      </c>
      <c r="HR1" s="33" t="s">
        <v>155</v>
      </c>
      <c r="HS1" s="33" t="s">
        <v>156</v>
      </c>
      <c r="HT1" s="33" t="s">
        <v>157</v>
      </c>
      <c r="HU1" s="33" t="s">
        <v>158</v>
      </c>
      <c r="HV1" s="33" t="s">
        <v>159</v>
      </c>
      <c r="HW1" s="33" t="s">
        <v>160</v>
      </c>
      <c r="HX1" s="34" t="s">
        <v>161</v>
      </c>
      <c r="IA1" s="14" t="s">
        <v>162</v>
      </c>
      <c r="IB1" s="35" t="s">
        <v>163</v>
      </c>
      <c r="IC1" s="36" t="s">
        <v>153</v>
      </c>
      <c r="ID1" s="36" t="s">
        <v>154</v>
      </c>
      <c r="IE1" s="36" t="s">
        <v>156</v>
      </c>
      <c r="IF1" s="37" t="s">
        <v>161</v>
      </c>
      <c r="IG1" s="36" t="s">
        <v>157</v>
      </c>
      <c r="IH1" s="36" t="s">
        <v>158</v>
      </c>
      <c r="II1" s="36" t="s">
        <v>155</v>
      </c>
      <c r="IJ1" s="36" t="s">
        <v>159</v>
      </c>
      <c r="IK1" s="36" t="s">
        <v>160</v>
      </c>
      <c r="IO1" s="33" t="s">
        <v>153</v>
      </c>
      <c r="IP1" s="33" t="s">
        <v>154</v>
      </c>
      <c r="IQ1" s="33" t="s">
        <v>155</v>
      </c>
      <c r="IR1" s="33" t="s">
        <v>156</v>
      </c>
      <c r="IS1" s="33" t="s">
        <v>157</v>
      </c>
      <c r="IT1" s="33" t="s">
        <v>158</v>
      </c>
      <c r="IU1" s="33" t="s">
        <v>159</v>
      </c>
      <c r="IV1" s="33" t="s">
        <v>160</v>
      </c>
      <c r="IW1" s="34" t="s">
        <v>161</v>
      </c>
      <c r="IY1" s="5" t="s">
        <v>164</v>
      </c>
    </row>
    <row r="2" spans="1:259" s="44" customFormat="1" ht="38.4" customHeight="1" thickBot="1" x14ac:dyDescent="0.35">
      <c r="A2" s="77" t="s">
        <v>337</v>
      </c>
      <c r="B2" s="78" t="e" vm="113">
        <v>#VALUE!</v>
      </c>
      <c r="C2" s="39">
        <v>1</v>
      </c>
      <c r="D2" s="70" t="s">
        <v>338</v>
      </c>
      <c r="E2" s="40" t="s">
        <v>339</v>
      </c>
      <c r="F2" s="41" t="s">
        <v>165</v>
      </c>
      <c r="G2" s="42">
        <f>COUNTIF($A$1:$A$8268,A2)</f>
        <v>1</v>
      </c>
      <c r="H2" s="43"/>
      <c r="I2" s="59" t="s">
        <v>340</v>
      </c>
      <c r="J2" s="44" t="str">
        <f>""</f>
        <v/>
      </c>
      <c r="K2" s="45">
        <v>334506</v>
      </c>
      <c r="L2" s="46">
        <v>300000</v>
      </c>
      <c r="M2" s="46" t="s">
        <v>1163</v>
      </c>
      <c r="N2" s="47" t="s">
        <v>177</v>
      </c>
      <c r="O2" s="74" t="s">
        <v>341</v>
      </c>
      <c r="P2" s="48" t="s">
        <v>342</v>
      </c>
      <c r="Q2" s="73">
        <v>1</v>
      </c>
      <c r="R2" s="49" t="s">
        <v>177</v>
      </c>
      <c r="S2" s="50">
        <v>5</v>
      </c>
      <c r="T2" s="51" t="s">
        <v>167</v>
      </c>
      <c r="U2" s="52" t="s">
        <v>166</v>
      </c>
      <c r="V2" s="52" t="s">
        <v>167</v>
      </c>
      <c r="W2" s="52" t="s">
        <v>166</v>
      </c>
      <c r="X2" s="52" t="s">
        <v>167</v>
      </c>
      <c r="Y2" s="52" t="s">
        <v>167</v>
      </c>
      <c r="Z2" s="52" t="s">
        <v>166</v>
      </c>
      <c r="AA2" s="52" t="s">
        <v>167</v>
      </c>
      <c r="AB2" s="52" t="s">
        <v>166</v>
      </c>
      <c r="AC2" s="52" t="s">
        <v>166</v>
      </c>
      <c r="AD2" s="52" t="s">
        <v>166</v>
      </c>
      <c r="AE2" s="52" t="s">
        <v>166</v>
      </c>
      <c r="AF2" s="53" t="s">
        <v>167</v>
      </c>
      <c r="AG2" s="53" t="s">
        <v>167</v>
      </c>
      <c r="AH2" s="53" t="s">
        <v>166</v>
      </c>
      <c r="AI2" s="53" t="s">
        <v>166</v>
      </c>
      <c r="AJ2" s="53" t="s">
        <v>166</v>
      </c>
      <c r="AK2" s="53" t="s">
        <v>166</v>
      </c>
      <c r="AL2" s="53" t="s">
        <v>167</v>
      </c>
      <c r="AM2" s="53" t="s">
        <v>166</v>
      </c>
      <c r="AN2" s="53" t="s">
        <v>166</v>
      </c>
      <c r="AO2" s="53" t="s">
        <v>166</v>
      </c>
      <c r="AP2" s="53" t="s">
        <v>166</v>
      </c>
      <c r="AQ2" s="53" t="s">
        <v>166</v>
      </c>
      <c r="AR2" s="53" t="s">
        <v>166</v>
      </c>
      <c r="AS2" s="53" t="s">
        <v>166</v>
      </c>
      <c r="AT2" s="54">
        <v>0</v>
      </c>
      <c r="AU2" s="53"/>
      <c r="AV2" s="53" t="str">
        <f>IF(LEFT(A2,1)="[",LEFT(A2,5)&amp;AU2&amp;A2,"")</f>
        <v/>
      </c>
      <c r="AW2" s="53" t="str">
        <f>C2&amp;H2&amp;A2</f>
        <v>1Vanuatu</v>
      </c>
      <c r="AX2" s="55" t="str">
        <f>_xlfn.TEXTJOIN(";",TRUE,AU2:AW2)</f>
        <v>1Vanuatu</v>
      </c>
      <c r="AY2" s="55" t="s">
        <v>167</v>
      </c>
      <c r="AZ2" s="56"/>
      <c r="BA2" s="56"/>
      <c r="BB2" s="56"/>
      <c r="BC2" s="57"/>
      <c r="BD2" s="58" t="s">
        <v>169</v>
      </c>
      <c r="BE2" s="59"/>
      <c r="BF2" s="58" t="s">
        <v>156</v>
      </c>
      <c r="BG2" s="58" t="s">
        <v>157</v>
      </c>
      <c r="BH2" s="58" t="s">
        <v>155</v>
      </c>
      <c r="BI2" s="58" t="s">
        <v>153</v>
      </c>
      <c r="BJ2" s="58"/>
      <c r="BK2" s="59"/>
      <c r="BL2" s="58" t="s">
        <v>156</v>
      </c>
      <c r="BM2" s="58" t="s">
        <v>155</v>
      </c>
      <c r="BN2" s="58" t="s">
        <v>153</v>
      </c>
      <c r="BO2" s="58" t="s">
        <v>157</v>
      </c>
      <c r="BP2" s="58"/>
      <c r="BQ2" s="58"/>
      <c r="BR2" s="58"/>
      <c r="BS2" s="58"/>
      <c r="BT2" s="58"/>
      <c r="BU2" s="60"/>
      <c r="BV2" s="61" t="s">
        <v>168</v>
      </c>
      <c r="BW2" s="61">
        <v>0</v>
      </c>
      <c r="BX2" s="59"/>
      <c r="BY2" s="44" t="s">
        <v>166</v>
      </c>
      <c r="CB2" s="5" t="s">
        <v>343</v>
      </c>
      <c r="CC2" s="5"/>
      <c r="CD2" s="62">
        <v>0</v>
      </c>
      <c r="CE2" s="62">
        <v>0</v>
      </c>
      <c r="CF2" s="62" t="e">
        <v>#REF!</v>
      </c>
      <c r="CG2" s="75" cm="1">
        <f t="array" ref="CG2">SUMPRODUCT(--(LEN(TRIM(BL2:BT2))&gt;0))</f>
        <v>4</v>
      </c>
      <c r="CH2" s="53" t="str">
        <f>IF(CG2=2,"y","n")</f>
        <v>n</v>
      </c>
      <c r="CI2" s="53" t="str">
        <f>IF(CG2=3,"y","n")</f>
        <v>n</v>
      </c>
      <c r="CJ2" s="53" t="str">
        <f>IF(CG2=4,"y","n")</f>
        <v>y</v>
      </c>
      <c r="CK2" s="53" t="str">
        <f>IF(CG2&gt;4,"y","n")</f>
        <v>n</v>
      </c>
      <c r="CL2" s="53" t="str">
        <f>IF(S2=0,"y","n")</f>
        <v>n</v>
      </c>
      <c r="CM2" s="53" t="str">
        <f>IF(S2=2,"y","n")</f>
        <v>n</v>
      </c>
      <c r="CN2" s="53" t="str">
        <f>IF(S2=3,"y","n")</f>
        <v>n</v>
      </c>
      <c r="CO2" s="53" t="str">
        <f>IF(S2&gt;=4,"y","n")</f>
        <v>y</v>
      </c>
      <c r="CP2" s="53" t="str">
        <f>IF(AT2=0,"y","n")</f>
        <v>y</v>
      </c>
      <c r="CQ2" s="53" t="str">
        <f>IF(AT2=1,"y","n")</f>
        <v>n</v>
      </c>
      <c r="CR2" s="53" t="str">
        <f>IF(AT2=2,"y","n")</f>
        <v>n</v>
      </c>
      <c r="CS2" s="53" t="str">
        <f>IF(AT2&gt;=3,"y","n")</f>
        <v>n</v>
      </c>
      <c r="CT2" s="38" t="str">
        <f>CHAR(34)&amp;A2&amp;CHAR(34)</f>
        <v>"Vanuatu"</v>
      </c>
      <c r="CU2" s="63" t="str">
        <f>CHAR(34)&amp;"rgn_"&amp;R2&amp;CHAR(34)</f>
        <v>"rgn_Oceania"</v>
      </c>
      <c r="CV2" s="44" t="str">
        <f>CHAR(34)&amp;D2&amp;CHAR(34)</f>
        <v>"https://i.ibb.co/J5QQTYW/Vanuatu-Flag.png"</v>
      </c>
      <c r="CW2" s="44" t="str">
        <f t="shared" ref="CW2:CZ3" si="0">IF(CH2="y",CHAR(34)&amp;CH$1&amp;CHAR(34)&amp;",","")</f>
        <v/>
      </c>
      <c r="CX2" s="44" t="str">
        <f t="shared" si="0"/>
        <v/>
      </c>
      <c r="CY2" s="44" t="str">
        <f t="shared" si="0"/>
        <v>"4Color",</v>
      </c>
      <c r="CZ2" s="44" t="str">
        <f t="shared" si="0"/>
        <v/>
      </c>
      <c r="DA2" s="44" t="str">
        <f>IF(Q2&gt;1,CHAR(34)&amp;"words2"&amp;CHAR(34)&amp;",","")</f>
        <v/>
      </c>
      <c r="DB2" s="44" t="str">
        <f>IF(Q2&gt;2,CHAR(34)&amp;"words3"&amp;CHAR(34)&amp;",","")</f>
        <v/>
      </c>
      <c r="DC2" s="44" t="str">
        <f>IF(Q2=2,CHAR(34)&amp;"exact2"&amp;CHAR(34)&amp;",","")</f>
        <v/>
      </c>
      <c r="DD2" s="44"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"lets07",</v>
      </c>
      <c r="DE2" s="44"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"startV",</v>
      </c>
      <c r="DF2" s="44" t="str">
        <f>IFERROR(IF(SEARCH("tan",A2)&gt;0,CHAR(34)&amp;"withtn"&amp;CHAR(34)&amp;",",""),"")</f>
        <v/>
      </c>
      <c r="DG2" s="44" t="str">
        <f>IFERROR(IF(SEARCH("q",A2)&gt;0,CHAR(34)&amp;"with_q"&amp;CHAR(34)&amp;",",""),"")</f>
        <v/>
      </c>
      <c r="DH2" s="44" t="str">
        <f>IFERROR(IF(SEARCH("v",A2)&gt;0,CHAR(34)&amp;"with_v"&amp;CHAR(34)&amp;",",""),"")</f>
        <v>"with_v",</v>
      </c>
      <c r="DI2" s="44" t="str">
        <f>IFERROR(IF(SEARCH("w",A2)&gt;0,CHAR(34)&amp;"with_w"&amp;CHAR(34)&amp;",",""),"")</f>
        <v/>
      </c>
      <c r="DJ2" s="44" t="str">
        <f>IFERROR(IF(SEARCH("y",A2)&gt;0,CHAR(34)&amp;"with_y"&amp;CHAR(34)&amp;",",""),"")</f>
        <v/>
      </c>
      <c r="DK2" s="44" t="str">
        <f>IFERROR(IF(SEARCH("z",A2)&gt;0,CHAR(34)&amp;"with_z"&amp;CHAR(34)&amp;",",""),"")</f>
        <v/>
      </c>
      <c r="DL2" s="44" t="str">
        <f>IF(CG2=2, CHAR(34) &amp; _xlfn.TEXTJOIN("", TRUE, _xlfn._xlws.SORT(HP2:HX2)) &amp; CHAR(34) &amp; ",", "")</f>
        <v/>
      </c>
      <c r="DM2" s="44" t="str" cm="1">
        <f t="array" ref="DM2">IF(CG2=3,CHAR(34) &amp; _xlfn.TEXTJOIN("", TRUE, RIGHT(HP2:HX2, 2)) &amp; CHAR(34) &amp; ",", "")</f>
        <v/>
      </c>
      <c r="DN2" s="44" t="str">
        <f>IF(AND(ISNUMBER(SEARCH("18", O2)), ISERROR(SEARCH("1918", O2)), ISERROR(SEARCH("2018", O2))), CHAR(34) &amp; "year18" &amp; CHAR(34) &amp; ",", "")</f>
        <v/>
      </c>
      <c r="DO2" s="44" t="str">
        <f>IF(AND(ISNUMBER(SEARCH("19", O2)), ISERROR(SEARCH("1819", O2)),  ISERROR(SEARCH("1219", O2)),ISERROR(SEARCH("1119", O2)),ISERROR(SEARCH("1190", O2)),ISERROR(SEARCH("2019", O2))), CHAR(34) &amp; "year19" &amp; CHAR(34) &amp; ",", "")</f>
        <v>"year19",</v>
      </c>
      <c r="DP2" s="5" t="str">
        <f>IF(AND(ISNUMBER(SEARCH("20", O2)), ISERROR(SEARCH("1920", O2))), CHAR(34)&amp;"year00"&amp;CHAR(34)&amp;",", "")</f>
        <v/>
      </c>
      <c r="DQ2" s="5" t="str">
        <f>IF(CC2="y",CHAR(34)&amp;"soviet"&amp;CHAR(34)&amp;",","")</f>
        <v/>
      </c>
      <c r="DR2" s="5" t="str">
        <f>IF(BY2="y",CHAR(34)&amp;"dgband"&amp;CHAR(34)&amp;",","")</f>
        <v/>
      </c>
      <c r="DS2" s="5" t="str">
        <f>IF(W2="y",IF(AND(V2="n",BY2&lt;&gt;"y"),CHAR(34)&amp;"allver"&amp;CHAR(34)&amp;",",""),"")</f>
        <v/>
      </c>
      <c r="DT2" s="5" t="str">
        <f>IF(V2="y",IF(AND(W2="n",BY2&lt;&gt;"y"),CHAR(34)&amp;"allhor"&amp;CHAR(34)&amp;",",""),"")</f>
        <v>"allhor",</v>
      </c>
      <c r="DU2" s="5" t="str">
        <f>IF(BY2="y",IF(AND(W2="n",V2="n"),CHAR(34)&amp;"alldia"&amp;CHAR(34)&amp;",",""),"")</f>
        <v/>
      </c>
      <c r="DV2" s="44" t="str">
        <f>IF(IA2&lt;&gt;"",(IF(IA2="y",CHAR(34)&amp;"largec"&amp;CHAR(34)&amp;",",CHAR(34)&amp;"smallc"&amp;CHAR(34)&amp;",")),"")</f>
        <v/>
      </c>
      <c r="DW2" s="44" t="str">
        <f t="shared" ref="DW2:DZ3" si="1">IF(CL2="y",CHAR(34)&amp;CL$1&amp;CHAR(34)&amp;",","")</f>
        <v/>
      </c>
      <c r="DX2" s="44" t="str">
        <f t="shared" si="1"/>
        <v/>
      </c>
      <c r="DY2" s="44" t="str">
        <f t="shared" si="1"/>
        <v/>
      </c>
      <c r="DZ2" s="44" t="str">
        <f t="shared" si="1"/>
        <v>"4+Band",</v>
      </c>
      <c r="EA2" s="44" t="str">
        <f t="shared" ref="EA2:EE3" si="2">IF(T2="y",CHAR(34)&amp;T$1&amp;CHAR(34)&amp;",","")</f>
        <v>"Diagon",</v>
      </c>
      <c r="EB2" s="44" t="str">
        <f t="shared" si="2"/>
        <v/>
      </c>
      <c r="EC2" s="44" t="str">
        <f t="shared" si="2"/>
        <v>"Horizo",</v>
      </c>
      <c r="ED2" s="44" t="str">
        <f t="shared" si="2"/>
        <v/>
      </c>
      <c r="EE2" s="44" t="str">
        <f t="shared" si="2"/>
        <v>"Circle",</v>
      </c>
      <c r="EF2" s="44" t="str">
        <f>IF(AND(Y2&lt;&gt;"n",Y2&lt;&gt;""),CHAR(34)&amp;Y$1&amp;CHAR(34)&amp;",","")</f>
        <v>"Animal",</v>
      </c>
      <c r="EG2" s="44" t="str">
        <f t="shared" ref="EG2:EP3" si="3">IF(Z2="y",CHAR(34)&amp;Z$1&amp;CHAR(34)&amp;",","")</f>
        <v/>
      </c>
      <c r="EH2" s="44" t="str">
        <f t="shared" si="3"/>
        <v>"Plants",</v>
      </c>
      <c r="EI2" s="44" t="str">
        <f t="shared" si="3"/>
        <v/>
      </c>
      <c r="EJ2" s="44" t="str">
        <f t="shared" si="3"/>
        <v/>
      </c>
      <c r="EK2" s="44" t="str">
        <f t="shared" si="3"/>
        <v/>
      </c>
      <c r="EL2" s="44" t="str">
        <f t="shared" si="3"/>
        <v/>
      </c>
      <c r="EM2" s="44" t="str">
        <f t="shared" si="3"/>
        <v>"Trside",</v>
      </c>
      <c r="EN2" s="44" t="str">
        <f t="shared" si="3"/>
        <v>"Unequa",</v>
      </c>
      <c r="EO2" s="44" t="str">
        <f t="shared" si="3"/>
        <v/>
      </c>
      <c r="EP2" s="44" t="str">
        <f t="shared" si="3"/>
        <v/>
      </c>
      <c r="EQ2" s="44" t="str">
        <f t="shared" ref="EQ2:EZ3" si="4">IF(AJ2="y",CHAR(34)&amp;AJ$1&amp;CHAR(34)&amp;",","")</f>
        <v/>
      </c>
      <c r="ER2" s="44" t="str">
        <f t="shared" si="4"/>
        <v/>
      </c>
      <c r="ES2" s="44" t="str">
        <f t="shared" si="4"/>
        <v>"Wavess",</v>
      </c>
      <c r="ET2" s="44" t="str">
        <f t="shared" si="4"/>
        <v/>
      </c>
      <c r="EU2" s="44" t="str">
        <f t="shared" si="4"/>
        <v/>
      </c>
      <c r="EV2" s="44" t="str">
        <f t="shared" si="4"/>
        <v/>
      </c>
      <c r="EW2" s="44" t="str">
        <f t="shared" si="4"/>
        <v/>
      </c>
      <c r="EX2" s="44" t="str">
        <f t="shared" si="4"/>
        <v/>
      </c>
      <c r="EY2" s="44" t="str">
        <f t="shared" si="4"/>
        <v/>
      </c>
      <c r="EZ2" s="44" t="str">
        <f t="shared" si="4"/>
        <v/>
      </c>
      <c r="FA2" s="44" t="str">
        <f>IF(AT2&gt;0,CHAR(34)&amp;"sta"&amp;AZ2&amp;CHAR(34)&amp;",","")</f>
        <v/>
      </c>
      <c r="FB2" s="44" t="str">
        <f>IF(AND(AT2&gt;0,BA2&lt;&gt;""),CHAR(34)&amp;"sta"&amp;BA2&amp;CHAR(34)&amp;",","")</f>
        <v/>
      </c>
      <c r="FC2" s="44" t="str">
        <f>IF(AND(AT2&gt;0,BB2&lt;&gt;""),CHAR(34)&amp;"sta"&amp;BB2&amp;CHAR(34)&amp;",","")</f>
        <v/>
      </c>
      <c r="FD2" s="44" t="str">
        <f>IF(BV2="n",CHAR(34)&amp;"tcWHYE"&amp;CHAR(34)&amp;",",IF(BV2="y",CHAR(34)&amp;FD$1&amp;CHAR(34)&amp;",",""))</f>
        <v/>
      </c>
      <c r="FE2" s="44" t="str">
        <f>IF(COUNTIF(BL2:BT2,"BLU")=0,CHAR(34)&amp;"NO_BLU"&amp;CHAR(34)&amp;",", "")</f>
        <v>"NO_BLU",</v>
      </c>
      <c r="FF2" s="44" t="str">
        <f>IF(COUNTIF(BL2:BT2,"WHI")=0,CHAR(34)&amp;"NO_WHI"&amp;CHAR(34)&amp;",", "")</f>
        <v>"NO_WHI",</v>
      </c>
      <c r="FG2" s="44" t="str">
        <f>IF(COUNTIF(BL2:BT2,"RED")=0,CHAR(34)&amp;"NO_RED"&amp;CHAR(34)&amp;",", "")</f>
        <v/>
      </c>
      <c r="FH2" s="44" t="str">
        <f>IF(COUNTIF(BL2:BS2,"GRE")=0,CHAR(34)&amp;"NO_GRE"&amp;CHAR(34)&amp;",", "")</f>
        <v/>
      </c>
      <c r="FI2" s="44" t="str">
        <f>IF(COUNTIF(BL2:BT2,"YEL")=0,CHAR(34)&amp;"NO_YEL"&amp;CHAR(34)&amp;",", "")</f>
        <v/>
      </c>
      <c r="FJ2" s="44" t="str">
        <f>IF(COUNTIF(BL2:BT2,"BLA")=0,CHAR(34)&amp;"NO_BLA"&amp;CHAR(34)&amp;",", "")</f>
        <v/>
      </c>
      <c r="FK2" s="44" t="str">
        <f>IF(AND(FH2&lt;&gt;"",FF2&lt;&gt;""),CHAR(34)&amp;"WHGRNO"&amp;CHAR(34)&amp;",","")</f>
        <v/>
      </c>
      <c r="FL2" s="44" t="str">
        <f>IF(AND(FI2&lt;&gt;"",FF2&lt;&gt;""),CHAR(34)&amp;"WHYENO"&amp;CHAR(34)&amp;",","")</f>
        <v/>
      </c>
      <c r="FM2" s="44" t="str">
        <f>IF(AND(FJ2&lt;&gt;"",FF2&lt;&gt;""),CHAR(34)&amp;"BAWHNO"&amp;CHAR(34)&amp;",","")</f>
        <v/>
      </c>
      <c r="FN2" s="44" t="str">
        <f>IF(AND(FE2&lt;&gt;"",FF2&lt;&gt;""),CHAR(34)&amp;"BLWHNO"&amp;CHAR(34)&amp;",","")</f>
        <v>"BLWHNO",</v>
      </c>
      <c r="FO2" s="44" t="str">
        <f>IF(AND(FE2&lt;&gt;"",FG2&lt;&gt;""),CHAR(34)&amp;"BLRENO"&amp;CHAR(34)&amp;",","")</f>
        <v/>
      </c>
      <c r="FP2" s="44" t="str">
        <f>IF(AND(FF2&lt;&gt;"",FF2&lt;&gt;""),CHAR(34)&amp;"WHRENO"&amp;CHAR(34)&amp;",","")</f>
        <v>"WHRENO",</v>
      </c>
      <c r="FQ2" s="44" t="str">
        <f>IF(LEN(BF2)=3,CHAR(34)&amp;"001"&amp;BF2&amp;CHAR(34)&amp;",","")</f>
        <v>"001RED",</v>
      </c>
      <c r="FR2" s="44" t="str">
        <f>IF(LEN(BG2)=3,CHAR(34)&amp;"002"&amp;BG2&amp;CHAR(34)&amp;",","")</f>
        <v>"002YEL",</v>
      </c>
      <c r="FS2" s="44" t="str">
        <f>IF(LEN(BH2)=3,CHAR(34)&amp;"003"&amp;BH2&amp;CHAR(34)&amp;",","")</f>
        <v>"003GRE",</v>
      </c>
      <c r="FT2" s="44" t="str">
        <f>CHAR(34)&amp;"myr"&amp;BD2&amp;CHAR(34)&amp;","</f>
        <v>"myrEQ",</v>
      </c>
      <c r="FU2" s="44" t="str">
        <f>IF(AY2="y",CHAR(34)&amp;"island"&amp;CHAR(34)&amp;",","")</f>
        <v>"island",</v>
      </c>
      <c r="FV2" s="44" t="str">
        <f>IF(BZ2="y",CHAR(34)&amp;"landlo"&amp;CHAR(34)&amp;",","")</f>
        <v/>
      </c>
      <c r="FW2" s="44" t="str">
        <f>IF(CA2="y",CHAR(34)&amp;"eunion"&amp;CHAR(34)&amp;",","")</f>
        <v/>
      </c>
      <c r="FX2" s="44" t="str">
        <f>SUBSTITUTE(IFERROR(SEARCH("[",A2),IFERROR(IF(AND(CA2&lt;&gt;"y",SEARCH("Europe",R2)&gt;0),CHAR(34)&amp;"noeuni"&amp;CHAR(34)&amp;",",""),"")),"1","")</f>
        <v/>
      </c>
      <c r="FY2" s="44" t="str">
        <f>IFERROR(IF(SEARCH("Arabic",CB2)&gt;0,CHAR(34)&amp;"arabic"&amp;CHAR(34)&amp;",",""),"")</f>
        <v/>
      </c>
      <c r="FZ2" s="44" t="str">
        <f>IFERROR(IF(SEARCH("English",CB2)&gt;0,CHAR(34)&amp;"englis"&amp;CHAR(34)&amp;",",""),"")</f>
        <v>"englis",</v>
      </c>
      <c r="GA2" s="44" t="str">
        <f>IFERROR(IF(SEARCH("French",CB2)&gt;0,CHAR(34)&amp;"french"&amp;CHAR(34)&amp;",",""),"")</f>
        <v>"french",</v>
      </c>
      <c r="GB2" s="44" t="str">
        <f>IFERROR(IF(SEARCH("Spanish",CB2)&gt;0,CHAR(34)&amp;"spanis"&amp;CHAR(34)&amp;",",""),"")</f>
        <v/>
      </c>
      <c r="GC2" s="44" t="str">
        <f>IFERROR(IF(SEARCH("Portuguese",CB2)&gt;0,CHAR(34)&amp;"portug"&amp;CHAR(34)&amp;",",""),"")</f>
        <v/>
      </c>
      <c r="GD2" s="44" t="str">
        <f>IFERROR(IF(SEARCH("German",CB2)&gt;0,CHAR(34)&amp;"german"&amp;CHAR(34)&amp;",",""),"")</f>
        <v/>
      </c>
      <c r="GE2" s="44" t="str">
        <f>IFERROR(IF(SEARCH("Dutch",CB2)&gt;0,CHAR(34)&amp;"dutchs"&amp;CHAR(34)&amp;",",""),"")</f>
        <v/>
      </c>
      <c r="GF2" s="44" t="str">
        <f>IFERROR(IF(SEARCH("Histor",AU2)&gt;0,CHAR(34)&amp;"histor"&amp;CHAR(34)&amp;",",""),"")</f>
        <v/>
      </c>
      <c r="GG2" s="44" t="str">
        <f>IF(BU2="y",CHAR(34)&amp;"unjack"&amp;CHAR(34)&amp;",","")</f>
        <v/>
      </c>
      <c r="GH2" s="44" t="str">
        <f>IF(CD2=1,CHAR(34)&amp;"southc"&amp;CHAR(34)&amp;",","")</f>
        <v/>
      </c>
      <c r="GI2" s="44" t="str">
        <f>IF(CE2=1,CHAR(34)&amp;"hasmap"&amp;CHAR(34)&amp;",","")</f>
        <v/>
      </c>
      <c r="GJ2" s="44" t="str">
        <f>IF(CP2="y",CHAR(34)&amp;CP$1&amp;CHAR(34)&amp;",","")</f>
        <v>"NoStar",</v>
      </c>
      <c r="GK2" s="44" t="str">
        <f>IF(GJ2="",CHAR(34)&amp;"HasSta"&amp;CHAR(34)&amp;",","")</f>
        <v/>
      </c>
      <c r="GL2" s="44" t="str">
        <f t="shared" ref="GL2:GN3" si="5">IF(CQ2="y",CHAR(34)&amp;CQ$1&amp;CHAR(34)&amp;",","")</f>
        <v/>
      </c>
      <c r="GM2" s="44" t="str">
        <f t="shared" si="5"/>
        <v/>
      </c>
      <c r="GN2" s="44" t="str">
        <f t="shared" si="5"/>
        <v/>
      </c>
      <c r="GP2" s="44" t="str">
        <f>CHAR(34)&amp;AU2&amp;CHAR(34)</f>
        <v>""</v>
      </c>
      <c r="GS2" s="44" t="str">
        <f>SUBSTITUTE("["&amp;_xlfn.CONCAT(CW2:GN2)&amp;"]",",]","]")</f>
        <v>["4Color","lets07","startV","with_v","year19","allhor","4+Band","Diagon","Horizo","Circle","Animal","Plants","Trside","Unequa","Wavess","NO_BLU","NO_WHI","BLWHNO","WHRENO","001RED","002YEL","003GRE","myrEQ","island","englis","french","NoStar"]</v>
      </c>
      <c r="GT2" s="44" t="str">
        <f t="shared" ref="GT2:HB3" si="6">IF(BL2&lt;&gt;"",CHAR(34)&amp;"cl_"&amp;BL2&amp;CHAR(34)&amp;",","")</f>
        <v>"cl_RED",</v>
      </c>
      <c r="GU2" s="44" t="str">
        <f t="shared" si="6"/>
        <v>"cl_GRE",</v>
      </c>
      <c r="GV2" s="44" t="str">
        <f t="shared" si="6"/>
        <v>"cl_BLA",</v>
      </c>
      <c r="GW2" s="44" t="str">
        <f t="shared" si="6"/>
        <v>"cl_YEL",</v>
      </c>
      <c r="GX2" s="44" t="str">
        <f t="shared" si="6"/>
        <v/>
      </c>
      <c r="GY2" s="44" t="str">
        <f t="shared" si="6"/>
        <v/>
      </c>
      <c r="GZ2" s="44" t="str">
        <f t="shared" si="6"/>
        <v/>
      </c>
      <c r="HA2" s="44" t="str">
        <f t="shared" si="6"/>
        <v/>
      </c>
      <c r="HB2" s="44" t="str">
        <f t="shared" si="6"/>
        <v/>
      </c>
      <c r="HC2" s="44" t="str">
        <f>SUBSTITUTE("["&amp;_xlfn.CONCAT(GT2:HB2)&amp;"]",",]","]")</f>
        <v>["cl_RED","cl_GRE","cl_BLA","cl_YEL"]</v>
      </c>
      <c r="HE2" s="64"/>
      <c r="HF2" s="65" t="str">
        <f>"{couname:"&amp;CT2&amp;(IF(HK2&lt;&gt;"",",subtype:"&amp;CHAR(34)&amp;HK2&amp;CHAR(34),""))&amp;",year:"&amp;HJ2&amp;",region:"&amp;CU2&amp;",Colors:"&amp;HC2&amp;",Items:"&amp;GS2&amp;",Flag:"&amp;CV2&amp;",HDFlag:"&amp;CHAR(34)&amp;E2&amp;CHAR(34)&amp;",type:"&amp;GP2&amp;", describe: "&amp;HH2&amp;", isnew:"&amp;CHAR(34)&amp;F2&amp;CHAR(34)&amp;", links: "&amp;HL2&amp;"},"</f>
        <v>{couname:"Vanuatu",year:"1980 ",region:"rgn_Oceania",Colors:["cl_RED","cl_GRE","cl_BLA","cl_YEL"],Items:["4Color","lets07","startV","with_v","year19","allhor","4+Band","Diagon","Horizo","Circle","Animal","Plants","Trside","Unequa","Wavess","NO_BLU","NO_WHI","BLWHNO","WHRENO","001RED","002YEL","003GRE","myrEQ","island","englis","french","NoStar"],Flag:"https://i.ibb.co/J5QQTYW/Vanuatu-Flag.png",HDFlag:"https://upload.wikimedia.org/wikipedia/commons/thumb/b/bc/Flag_of_Vanuatu.svg/2560px-Flag_of_Vanuatu.svg.png",type:"", describe: "\nThe green represents the richness of the islands, the red symbolises blood which unites humanity as humans, and the black the ni-Vanuatu people. The Prime Minister of Vanuatu, Father Walter Lini, requested the inclusion of yellow and black fimbriations to make the black stand out. The yellow Y-shape (pall) represents the shape of Vanuatu islands on the map and the light of the gospel going through the pattern of the islands in the Pacific Ocean (approximately 83% of the people of Vanuatu profess Christianity).\n\nThe emblem in the black is a boar's tusk—the symbol of customs and tradition but also prosperity. It is worn as a pendant on the islands—along with two leaves of the local namele tree. These leaves are supposed to be a token of peace, and their 39 leaflets represent the original 39 members of the Parliament of Vanuatu.", isnew:".", links: "https://en.wikipedia.org/wiki/Flag_of_Vanuatu"},</v>
      </c>
      <c r="HG2" s="66" t="str">
        <f>"{couname:"&amp;CT2&amp;(IF(HK2&lt;&gt;"",",subtype:"&amp;CHAR(34)&amp;HK2&amp;CHAR(34),""))&amp;",year:"&amp;HJ2&amp;",region:"&amp;CU2&amp;",Colors:"&amp;HC2&amp;",Items:"&amp;GS2&amp;",Flag:"&amp;CV2&amp;",HDFlag:"&amp;CHAR(34)&amp;E2&amp;CHAR(34)&amp;",type:"&amp;GP2&amp;", describe: "&amp;HI2&amp;", links: "&amp;HL2&amp;"},"</f>
        <v>{couname:"Vanuatu",year:"1980 ",region:"rgn_Oceania",Colors:["cl_RED","cl_GRE","cl_BLA","cl_YEL"],Items:["4Color","lets07","startV","with_v","year19","allhor","4+Band","Diagon","Horizo","Circle","Animal","Plants","Trside","Unequa","Wavess","NO_BLU","NO_WHI","BLWHNO","WHRENO","001RED","002YEL","003GRE","myrEQ","island","englis","french","NoStar"],Flag:"https://i.ibb.co/J5QQTYW/Vanuatu-Flag.png",HDFlag:"https://upload.wikimedia.org/wikipedia/commons/thumb/b/bc/Flag_of_Vanuatu.svg/2560px-Flag_of_Vanuatu.svg.png",type:"", describe: "\nThe green represents the richness of the islands, the red symbolises blood which unites humanity as humans, and the black the ni-Vanuatu people. The Prime Minister of Vanuatu, Father Walter Lini, requested the inclusion of yellow and black fimbriations to make the black stand out. The yellow Y-shape (pall) represents the shape of Vanuatu islands on the map and the light of the gospel going through the pattern of the islands in the Pacific Ocean (approximately 83% of the people of Vanuatu profess Christianity).\n\nThe emblem in the black is a boar's tusk—the symbol of customs and tradition but also prosperity. It is worn as a pendant on the islands—along with two leaves of the local namele tree. These leaves are supposed to be a token of peace, and their 39 leaflets represent the original 39 members of the Parliament of Vanuatu.", links: "https://en.wikipedia.org/wiki/Flag_of_Vanuatu"},</v>
      </c>
      <c r="HH2" s="44" t="str">
        <f>IF(P2&lt;&gt;"",CHAR(34)&amp;"\n"&amp;P2&amp;CHAR(34),CHAR(34)&amp;CHAR(34))</f>
        <v>"\nThe green represents the richness of the islands, the red symbolises blood which unites humanity as humans, and the black the ni-Vanuatu people. The Prime Minister of Vanuatu, Father Walter Lini, requested the inclusion of yellow and black fimbriations to make the black stand out. The yellow Y-shape (pall) represents the shape of Vanuatu islands on the map and the light of the gospel going through the pattern of the islands in the Pacific Ocean (approximately 83% of the people of Vanuatu profess Christianity).\n\nThe emblem in the black is a boar's tusk—the symbol of customs and tradition but also prosperity. It is worn as a pendant on the islands—along with two leaves of the local namele tree. These leaves are supposed to be a token of peace, and their 39 leaflets represent the original 39 members of the Parliament of Vanuatu."</v>
      </c>
      <c r="HI2" s="44" t="str">
        <f>IF(J2=0,CHAR(34)&amp;CHAR(34),HH2)</f>
        <v>"\nThe green represents the richness of the islands, the red symbolises blood which unites humanity as humans, and the black the ni-Vanuatu people. The Prime Minister of Vanuatu, Father Walter Lini, requested the inclusion of yellow and black fimbriations to make the black stand out. The yellow Y-shape (pall) represents the shape of Vanuatu islands on the map and the light of the gospel going through the pattern of the islands in the Pacific Ocean (approximately 83% of the people of Vanuatu profess Christianity).\n\nThe emblem in the black is a boar's tusk—the symbol of customs and tradition but also prosperity. It is worn as a pendant on the islands—along with two leaves of the local namele tree. These leaves are supposed to be a token of peace, and their 39 leaflets represent the original 39 members of the Parliament of Vanuatu."</v>
      </c>
      <c r="HJ2" s="44" t="str">
        <f>CHAR(34)&amp;O2&amp;CHAR(34)</f>
        <v>"1980 "</v>
      </c>
      <c r="HL2" s="44" t="str">
        <f>CHAR(34)&amp;I2&amp;CHAR(34)</f>
        <v>"https://en.wikipedia.org/wiki/Flag_of_Vanuatu"</v>
      </c>
      <c r="HM2" s="65"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{"couname":"Vanuatu","year":"1980 ","region":"rgn_Oceania","Colors":["cl_RED","cl_GRE","cl_BLA","cl_YEL"],"Items":["4Color","lets07","startV","with_v","year19","allhor","4+Band","Diagon","Horizo","Circle","Animal","Plants","Trside","Unequa","Wavess","NO_BLU","NO_WHI","BLWHNO","WHRENO","001RED","002YEL","003GRE","myrEQ","island","englis","french","NoStar"],"Flag":"https://i.ibb.co/J5QQTYW/Vanuatu-Flag.png","HDFlag":"https://upload.wikimedia.org/wikipedia/commons/thumb/b/bc/Flag_of_Vanuatu.svg/2560px-Flag_of_Vanuatu.svg.png","type":"", "describe": "\nThe green represents the richness of the islands, the red symbolises blood which unites humanity as humans, and the black the ni-Vanuatu people. The Prime Minister of Vanuatu, Father Walter Lini, requested the inclusion of yellow and black fimbriations to make the black stand out. The yellow Y-shape (pall) represents the shape of Vanuatu islands on the map and the light of the gospel going through the pattern of the islands in the Pacific Ocean (approximately 83% of the people of Vanuatu profess Christianity).\n\nThe emblem in the black is a boar's tusk—the symbol of customs and tradition but also prosperity. It is worn as a pendant on the islands—along with two leaves of the local namele tree. These leaves are supposed to be a token of peace, and their 39 leaflets represent the original 39 members of the Parliament of Vanuatu.", "isnew": ".", "links": "https://en.wikipedia.org/wiki/Flag_of_Vanuatu"},</v>
      </c>
      <c r="HN2" s="67"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{"couname":"Vanuatu","year":"1980 ","region":"rgn_Oceania","Colors":["cl_RED","cl_GRE","cl_BLA","cl_YEL"],"Items":["4Color","lets07","startV","with_v","year19","allhor","4+Band","Diagon","Horizo","Circle","Animal","Plants","Trside","Unequa","Wavess","NO_BLU","NO_WHI","BLWHNO","WHRENO","001RED","002YEL","003GRE","myrEQ","island","englis","french","NoStar"],"Flag":"https://i.ibb.co/J5QQTYW/Vanuatu-Flag.png","HDFlag":"https://upload.wikimedia.org/wikipedia/commons/thumb/b/bc/Flag_of_Vanuatu.svg/2560px-Flag_of_Vanuatu.svg.png","type":"", "describe": "\nThe green represents the richness of the islands, the red symbolises blood which unites humanity as humans, and the black the ni-Vanuatu people. The Prime Minister of Vanuatu, Father Walter Lini, requested the inclusion of yellow and black fimbriations to make the black stand out. The yellow Y-shape (pall) represents the shape of Vanuatu islands on the map and the light of the gospel going through the pattern of the islands in the Pacific Ocean (approximately 83% of the people of Vanuatu profess Christianity).\n\nThe emblem in the black is a boar's tusk—the symbol of customs and tradition but also prosperity. It is worn as a pendant on the islands—along with two leaves of the local namele tree. These leaves are supposed to be a token of peace, and their 39 leaflets represent the original 39 members of the Parliament of Vanuatu.", "isnew": ".", "links": "https://en.wikipedia.org/wiki/Flag_of_Vanuatu"},</v>
      </c>
      <c r="HO2" s="71"/>
      <c r="HP2" s="44" t="str" cm="1">
        <f t="array" ref="HP2">IF(_xlfn.TEXTJOIN(", ", TRUE, IF(ISNUMBER(SEARCH("BLA", BL2:BT2)), COLUMN(BL2:BT2) - COLUMN(BL2) + 1, ""))&lt;&gt;"","BLA","")</f>
        <v>BLA</v>
      </c>
      <c r="HQ2" s="44" t="str" cm="1">
        <f t="array" ref="HQ2">IF(_xlfn.TEXTJOIN(", ", TRUE, IF(ISNUMBER(SEARCH("BLU", BL2:BT2)), COLUMN(BL2:BT2) - COLUMN(BL2) + 1, ""))&lt;&gt;"","BLU","")</f>
        <v/>
      </c>
      <c r="HR2" s="44" t="str" cm="1">
        <f t="array" ref="HR2">IF(_xlfn.TEXTJOIN(", ", TRUE, IF(ISNUMBER(SEARCH("GRE", BL2:BT2)), COLUMN(BL2:BT2) - COLUMN(BL2) + 1, ""))&lt;&gt;"","GRE","")</f>
        <v>GRE</v>
      </c>
      <c r="HS2" s="44" t="str" cm="1">
        <f t="array" ref="HS2">IF(_xlfn.TEXTJOIN(", ", TRUE, IF(ISNUMBER(SEARCH("RED", BL2:BT2)), COLUMN(BL2:BT2) - COLUMN(BL2) + 1, ""))&lt;&gt;"","RED","")</f>
        <v>RED</v>
      </c>
      <c r="HT2" s="44" t="str" cm="1">
        <f t="array" ref="HT2">IF(_xlfn.TEXTJOIN(", ", TRUE, IF(ISNUMBER(SEARCH("YEL", BL2:BT2)), COLUMN(BL2:BT2) - COLUMN(BL2) + 1, ""))&lt;&gt;"","YEL","")</f>
        <v>YEL</v>
      </c>
      <c r="HU2" s="44" t="str" cm="1">
        <f t="array" ref="HU2">IF(_xlfn.TEXTJOIN(", ", TRUE, IF(ISNUMBER(SEARCH("ORA", BL2:BT2)), COLUMN(BL2:BT2) - COLUMN(BL2) + 1, ""))&lt;&gt;"","ORA","")</f>
        <v/>
      </c>
      <c r="HV2" s="44" t="str" cm="1">
        <f t="array" ref="HV2">IF(_xlfn.TEXTJOIN(", ", TRUE, IF(ISNUMBER(SEARCH("BRO", BL2:BT2)), COLUMN(BL2:BT2) - COLUMN(BL2) + 1, ""))&lt;&gt;"","BRO","")</f>
        <v/>
      </c>
      <c r="HW2" s="44" t="str" cm="1">
        <f t="array" ref="HW2">IF(_xlfn.TEXTJOIN(", ", TRUE, IF(ISNUMBER(SEARCH("PUR", BL2:BT2)), COLUMN(BL2:BT2) - COLUMN(BL2) + 1, ""))&lt;&gt;"","PUR","")</f>
        <v/>
      </c>
      <c r="HX2" s="44" t="str" cm="1">
        <f t="array" ref="HX2">IF(_xlfn.TEXTJOIN(", ", TRUE, IF(ISNUMBER(SEARCH("WHI", BL2:BT2)), COLUMN(BL2:BT2) - COLUMN(BL2) + 1, ""))&lt;&gt;"","WHI","")</f>
        <v/>
      </c>
      <c r="HY2" s="72"/>
      <c r="HZ2" s="72"/>
      <c r="IA2" s="5"/>
      <c r="IB2" s="5"/>
      <c r="IC2" s="68"/>
      <c r="ID2" s="68"/>
      <c r="IE2" s="68"/>
      <c r="IF2" s="68"/>
      <c r="IG2" s="68"/>
      <c r="IH2" s="68"/>
      <c r="II2" s="68"/>
      <c r="IJ2" s="68"/>
      <c r="IK2" s="68"/>
      <c r="IL2" s="44">
        <f>SUM(IC2:IK2)</f>
        <v>0</v>
      </c>
      <c r="IM2" s="42">
        <f>COUNTIF(IC2:IK2,"&gt;0")-CG2</f>
        <v>-4</v>
      </c>
      <c r="IN2" s="69" t="str">
        <f>"http://mkweb.bcgsc.ca/color-summarizer/?url="&amp;D2&amp;"&amp;precision=low&amp;num_clusters="&amp;CG2&amp;"&amp;text=1"</f>
        <v>http://mkweb.bcgsc.ca/color-summarizer/?url=https://i.ibb.co/J5QQTYW/Vanuatu-Flag.png&amp;precision=low&amp;num_clusters=4&amp;text=1</v>
      </c>
      <c r="IO2" s="44" t="str">
        <f>IF(HP2&lt;&gt;"",CHAR(34)&amp;"black"&amp;CHAR(34),"")</f>
        <v>"black"</v>
      </c>
      <c r="IP2" s="44" t="str">
        <f>IF(HQ2&lt;&gt;"",CHAR(34)&amp;"blue"&amp;CHAR(34),"")</f>
        <v/>
      </c>
      <c r="IQ2" s="44" t="str">
        <f>IF(HR2&lt;&gt;"",CHAR(34)&amp;"green"&amp;CHAR(34),"")</f>
        <v>"green"</v>
      </c>
      <c r="IR2" s="44" t="str">
        <f>IF(HS2&lt;&gt;"",CHAR(34)&amp;"red"&amp;CHAR(34),"")</f>
        <v>"red"</v>
      </c>
      <c r="IS2" s="44" t="str">
        <f>IF(HT2&lt;&gt;"",CHAR(34)&amp;"yellow"&amp;CHAR(34),"")</f>
        <v>"yellow"</v>
      </c>
      <c r="IT2" s="44" t="str">
        <f>IF(HU2&lt;&gt;"",CHAR(34)&amp;"orange"&amp;CHAR(34),"")</f>
        <v/>
      </c>
      <c r="IU2" s="44" t="str">
        <f>IF(HV2&lt;&gt;"",CHAR(34)&amp;"brown"&amp;CHAR(34),"")</f>
        <v/>
      </c>
      <c r="IV2" s="44" t="str">
        <f>IF(HW2&lt;&gt;"",CHAR(34)&amp;"purple"&amp;CHAR(34),"")</f>
        <v/>
      </c>
      <c r="IW2" s="44" t="str">
        <f>IF(HX2&lt;&gt;"",CHAR(34)&amp;"white"&amp;CHAR(34),"")</f>
        <v/>
      </c>
      <c r="IX2" s="44" t="str">
        <f>"{"&amp;CHAR(34)&amp;"url"&amp;CHAR(34)&amp;":"&amp;CHAR(34)&amp;IN2&amp;CHAR(34)&amp;","&amp;CHAR(34)&amp;"name"&amp;CHAR(34)&amp;":"&amp;CHAR(34)&amp;A2&amp;CHAR(34)&amp;"},"</f>
        <v>{"url":"http://mkweb.bcgsc.ca/color-summarizer/?url=https://i.ibb.co/J5QQTYW/Vanuatu-Flag.png&amp;precision=low&amp;num_clusters=4&amp;text=1","name":"Vanuatu"},</v>
      </c>
      <c r="IY2" s="44">
        <v>235</v>
      </c>
    </row>
    <row r="3" spans="1:259" s="44" customFormat="1" ht="38.4" customHeight="1" thickBot="1" x14ac:dyDescent="0.35">
      <c r="A3" s="80" t="s">
        <v>796</v>
      </c>
      <c r="B3" s="78" t="e" vm="114">
        <v>#VALUE!</v>
      </c>
      <c r="C3" s="39">
        <v>2</v>
      </c>
      <c r="D3" s="70" t="s">
        <v>797</v>
      </c>
      <c r="E3" s="40" t="s">
        <v>798</v>
      </c>
      <c r="F3" s="41" t="s">
        <v>165</v>
      </c>
      <c r="G3" s="42">
        <f>COUNTIF($A$1:$A$8268,A3)</f>
        <v>1</v>
      </c>
      <c r="H3" s="43"/>
      <c r="I3" s="59" t="s">
        <v>799</v>
      </c>
      <c r="J3" s="44" t="str">
        <f>""</f>
        <v/>
      </c>
      <c r="K3" s="45"/>
      <c r="L3" s="46"/>
      <c r="M3" s="46"/>
      <c r="N3" s="47" t="s">
        <v>177</v>
      </c>
      <c r="O3" s="74" t="s">
        <v>230</v>
      </c>
      <c r="P3" s="48" t="s">
        <v>800</v>
      </c>
      <c r="Q3" s="73">
        <v>2</v>
      </c>
      <c r="R3" s="49" t="s">
        <v>177</v>
      </c>
      <c r="S3" s="50">
        <v>7</v>
      </c>
      <c r="T3" s="51" t="s">
        <v>167</v>
      </c>
      <c r="U3" s="52" t="s">
        <v>166</v>
      </c>
      <c r="V3" s="52" t="s">
        <v>166</v>
      </c>
      <c r="W3" s="52" t="s">
        <v>167</v>
      </c>
      <c r="X3" s="52" t="s">
        <v>167</v>
      </c>
      <c r="Y3" s="52" t="s">
        <v>167</v>
      </c>
      <c r="Z3" s="52" t="s">
        <v>166</v>
      </c>
      <c r="AA3" s="52" t="s">
        <v>167</v>
      </c>
      <c r="AB3" s="52" t="s">
        <v>166</v>
      </c>
      <c r="AC3" s="52" t="s">
        <v>167</v>
      </c>
      <c r="AD3" s="52" t="s">
        <v>166</v>
      </c>
      <c r="AE3" s="52" t="s">
        <v>166</v>
      </c>
      <c r="AF3" s="53" t="s">
        <v>166</v>
      </c>
      <c r="AG3" s="53" t="s">
        <v>166</v>
      </c>
      <c r="AH3" s="53" t="s">
        <v>166</v>
      </c>
      <c r="AI3" s="53" t="s">
        <v>166</v>
      </c>
      <c r="AJ3" s="53" t="s">
        <v>166</v>
      </c>
      <c r="AK3" s="53" t="s">
        <v>166</v>
      </c>
      <c r="AL3" s="53" t="s">
        <v>166</v>
      </c>
      <c r="AM3" s="53" t="s">
        <v>166</v>
      </c>
      <c r="AN3" s="53" t="s">
        <v>166</v>
      </c>
      <c r="AO3" s="53" t="s">
        <v>166</v>
      </c>
      <c r="AP3" s="53" t="s">
        <v>166</v>
      </c>
      <c r="AQ3" s="53" t="s">
        <v>166</v>
      </c>
      <c r="AR3" s="53" t="s">
        <v>166</v>
      </c>
      <c r="AS3" s="53" t="s">
        <v>166</v>
      </c>
      <c r="AT3" s="54">
        <v>0</v>
      </c>
      <c r="AU3" s="53" t="s">
        <v>355</v>
      </c>
      <c r="AV3" s="53" t="str">
        <f>IF(LEFT(A3,1)="[",LEFT(A3,5)&amp;AU3&amp;A3,"")</f>
        <v>[VUT]Province[VUT] Torba Province</v>
      </c>
      <c r="AW3" s="53" t="str">
        <f>C3&amp;H3&amp;A3</f>
        <v>2[VUT] Torba Province</v>
      </c>
      <c r="AX3" s="55"/>
      <c r="AY3" s="55"/>
      <c r="AZ3" s="56" t="s">
        <v>231</v>
      </c>
      <c r="BA3" s="56" t="s">
        <v>231</v>
      </c>
      <c r="BB3" s="56"/>
      <c r="BC3" s="57"/>
      <c r="BD3" s="58" t="s">
        <v>157</v>
      </c>
      <c r="BE3" s="59"/>
      <c r="BF3" s="58" t="s">
        <v>154</v>
      </c>
      <c r="BG3" s="58" t="s">
        <v>153</v>
      </c>
      <c r="BH3" s="58" t="s">
        <v>157</v>
      </c>
      <c r="BI3" s="58"/>
      <c r="BJ3" s="58"/>
      <c r="BK3" s="59"/>
      <c r="BL3" s="58" t="s">
        <v>153</v>
      </c>
      <c r="BM3" s="58" t="s">
        <v>154</v>
      </c>
      <c r="BN3" s="58" t="s">
        <v>155</v>
      </c>
      <c r="BO3" s="58" t="s">
        <v>156</v>
      </c>
      <c r="BP3" s="58" t="s">
        <v>157</v>
      </c>
      <c r="BQ3" s="58" t="s">
        <v>231</v>
      </c>
      <c r="BR3" s="58" t="s">
        <v>231</v>
      </c>
      <c r="BS3" s="58" t="s">
        <v>231</v>
      </c>
      <c r="BT3" s="58" t="s">
        <v>161</v>
      </c>
      <c r="BU3" s="60"/>
      <c r="BV3" s="61"/>
      <c r="BW3" s="61">
        <v>0</v>
      </c>
      <c r="BX3" s="59"/>
      <c r="BY3" s="44" t="s">
        <v>167</v>
      </c>
      <c r="CB3" s="5"/>
      <c r="CC3" s="5"/>
      <c r="CD3" s="62">
        <v>0</v>
      </c>
      <c r="CE3" s="62">
        <v>0</v>
      </c>
      <c r="CF3" s="62" t="e">
        <v>#REF!</v>
      </c>
      <c r="CG3" s="75" cm="1">
        <f t="array" ref="CG3">SUMPRODUCT(--(LEN(TRIM(BL3:BT3))&gt;0))</f>
        <v>6</v>
      </c>
      <c r="CH3" s="53" t="str">
        <f>IF(CG3=2,"y","n")</f>
        <v>n</v>
      </c>
      <c r="CI3" s="53" t="str">
        <f>IF(CG3=3,"y","n")</f>
        <v>n</v>
      </c>
      <c r="CJ3" s="53" t="str">
        <f>IF(CG3=4,"y","n")</f>
        <v>n</v>
      </c>
      <c r="CK3" s="53" t="str">
        <f>IF(CG3&gt;4,"y","n")</f>
        <v>y</v>
      </c>
      <c r="CL3" s="53" t="str">
        <f>IF(S3=0,"y","n")</f>
        <v>n</v>
      </c>
      <c r="CM3" s="53" t="str">
        <f>IF(S3=2,"y","n")</f>
        <v>n</v>
      </c>
      <c r="CN3" s="53" t="str">
        <f>IF(S3=3,"y","n")</f>
        <v>n</v>
      </c>
      <c r="CO3" s="53" t="str">
        <f>IF(S3&gt;=4,"y","n")</f>
        <v>y</v>
      </c>
      <c r="CP3" s="53" t="str">
        <f>IF(AT3=0,"y","n")</f>
        <v>y</v>
      </c>
      <c r="CQ3" s="53" t="str">
        <f>IF(AT3=1,"y","n")</f>
        <v>n</v>
      </c>
      <c r="CR3" s="53" t="str">
        <f>IF(AT3=2,"y","n")</f>
        <v>n</v>
      </c>
      <c r="CS3" s="53" t="str">
        <f>IF(AT3&gt;=3,"y","n")</f>
        <v>n</v>
      </c>
      <c r="CT3" s="38" t="str">
        <f>CHAR(34)&amp;A3&amp;CHAR(34)</f>
        <v>"[VUT] Torba Province"</v>
      </c>
      <c r="CU3" s="63" t="str">
        <f>CHAR(34)&amp;"rgn_"&amp;R3&amp;CHAR(34)</f>
        <v>"rgn_Oceania"</v>
      </c>
      <c r="CV3" s="44" t="str">
        <f>CHAR(34)&amp;D3&amp;CHAR(34)</f>
        <v>"https://www.crwflags.com/fotw/images/v/vu-tor_p.gif"</v>
      </c>
      <c r="CW3" s="44" t="str">
        <f t="shared" si="0"/>
        <v/>
      </c>
      <c r="CX3" s="44" t="str">
        <f t="shared" si="0"/>
        <v/>
      </c>
      <c r="CY3" s="44" t="str">
        <f t="shared" si="0"/>
        <v/>
      </c>
      <c r="CZ3" s="44" t="str">
        <f t="shared" si="0"/>
        <v>"5+Colo",</v>
      </c>
      <c r="DA3" s="44" t="str">
        <f>IF(Q3&gt;1,CHAR(34)&amp;"words2"&amp;CHAR(34)&amp;",","")</f>
        <v>"words2",</v>
      </c>
      <c r="DB3" s="44" t="str">
        <f>IF(Q3&gt;2,CHAR(34)&amp;"words3"&amp;CHAR(34)&amp;",","")</f>
        <v/>
      </c>
      <c r="DD3" s="44"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"lets13",</v>
      </c>
      <c r="DE3" s="44" t="str">
        <f>CHAR(34)&amp;"start"&amp;IFERROR(LEFT(SUBSTITUTE(A3,"["&amp;MID(A3,FIND("[",A3)+1,FIND("]",A3)-FIND("[",A3)-1)&amp;"] ",""),1),LEFT(A3,1))&amp;CHAR(34)&amp;","</f>
        <v>"startT",</v>
      </c>
      <c r="DF3" s="44" t="str">
        <f>IFERROR(IF(SEARCH("tan",A3)&gt;0,CHAR(34)&amp;"withtn"&amp;CHAR(34)&amp;",",""),"")</f>
        <v/>
      </c>
      <c r="DG3" s="44" t="str">
        <f>IFERROR(IF(SEARCH("q",A3)&gt;0,CHAR(34)&amp;"with_q"&amp;CHAR(34)&amp;",",""),"")</f>
        <v/>
      </c>
      <c r="DH3" s="44" t="str">
        <f>IFERROR(IF(SEARCH("v",A3)&gt;0,CHAR(34)&amp;"with_v"&amp;CHAR(34)&amp;",",""),"")</f>
        <v>"with_v",</v>
      </c>
      <c r="DI3" s="44" t="str">
        <f>IFERROR(IF(SEARCH("w",A3)&gt;0,CHAR(34)&amp;"with_w"&amp;CHAR(34)&amp;",",""),"")</f>
        <v/>
      </c>
      <c r="DJ3" s="44" t="str">
        <f>IFERROR(IF(SEARCH("y",A3)&gt;0,CHAR(34)&amp;"with_y"&amp;CHAR(34)&amp;",",""),"")</f>
        <v/>
      </c>
      <c r="DK3" s="44" t="str">
        <f>IFERROR(IF(SEARCH("z",A3)&gt;0,CHAR(34)&amp;"with_z"&amp;CHAR(34)&amp;",",""),"")</f>
        <v/>
      </c>
      <c r="DL3" s="44" t="str">
        <f>IF(CG3=2, CHAR(34) &amp; _xlfn.TEXTJOIN("", TRUE, _xlfn._xlws.SORT(HP3:HX3)) &amp; CHAR(34) &amp; ",", "")</f>
        <v/>
      </c>
      <c r="DM3" s="44" t="str" cm="1">
        <f t="array" ref="DM3">IF(CG3=3,CHAR(34) &amp; _xlfn.TEXTJOIN("", TRUE, RIGHT(HP3:HX3, 2)) &amp; CHAR(34) &amp; ",", "")</f>
        <v/>
      </c>
      <c r="DN3" s="44" t="str">
        <f>IF(AND(ISNUMBER(SEARCH("18", O3)), ISERROR(SEARCH("1918", O3)), ISERROR(SEARCH("2018", O3))), CHAR(34) &amp; "year18" &amp; CHAR(34) &amp; ",", "")</f>
        <v/>
      </c>
      <c r="DO3" s="44" t="str">
        <f>IF(AND(ISNUMBER(SEARCH("19", O3)), ISERROR(SEARCH("1819", O3)),  ISERROR(SEARCH("1219", O3)),ISERROR(SEARCH("1119", O3)),ISERROR(SEARCH("1190", O3)),ISERROR(SEARCH("2019", O3))), CHAR(34) &amp; "year19" &amp; CHAR(34) &amp; ",", "")</f>
        <v/>
      </c>
      <c r="DP3" s="5" t="str">
        <f>IF(AND(ISNUMBER(SEARCH("20", O3)), ISERROR(SEARCH("1920", O3))), CHAR(34)&amp;"year00"&amp;CHAR(34)&amp;",", "")</f>
        <v/>
      </c>
      <c r="DQ3" s="5" t="str">
        <f>IF(CC3="y",CHAR(34)&amp;"soviet"&amp;CHAR(34)&amp;",","")</f>
        <v/>
      </c>
      <c r="DR3" s="5" t="str">
        <f>IF(BY3="y",CHAR(34)&amp;"dgband"&amp;CHAR(34)&amp;",","")</f>
        <v>"dgband",</v>
      </c>
      <c r="DS3" s="5" t="str">
        <f>IF(W3="y",IF(AND(V3="n",BY3&lt;&gt;"y"),CHAR(34)&amp;"allver"&amp;CHAR(34)&amp;",",""),"")</f>
        <v/>
      </c>
      <c r="DT3" s="5" t="str">
        <f>IF(V3="y",IF(AND(W3="n",BY3&lt;&gt;"y"),CHAR(34)&amp;"allhor"&amp;CHAR(34)&amp;",",""),"")</f>
        <v/>
      </c>
      <c r="DU3" s="5" t="str">
        <f>IF(BY3="y",IF(AND(W3="n",V3="n"),CHAR(34)&amp;"alldia"&amp;CHAR(34)&amp;",",""),"")</f>
        <v/>
      </c>
      <c r="DW3" s="44" t="str">
        <f t="shared" si="1"/>
        <v/>
      </c>
      <c r="DX3" s="44" t="str">
        <f t="shared" si="1"/>
        <v/>
      </c>
      <c r="DY3" s="44" t="str">
        <f t="shared" si="1"/>
        <v/>
      </c>
      <c r="DZ3" s="44" t="str">
        <f t="shared" si="1"/>
        <v>"4+Band",</v>
      </c>
      <c r="EA3" s="44" t="str">
        <f t="shared" si="2"/>
        <v>"Diagon",</v>
      </c>
      <c r="EB3" s="44" t="str">
        <f t="shared" si="2"/>
        <v/>
      </c>
      <c r="EC3" s="44" t="str">
        <f t="shared" si="2"/>
        <v/>
      </c>
      <c r="ED3" s="44" t="str">
        <f t="shared" si="2"/>
        <v>"Vertic",</v>
      </c>
      <c r="EE3" s="44" t="str">
        <f t="shared" si="2"/>
        <v>"Circle",</v>
      </c>
      <c r="EF3" s="44" t="str">
        <f>IF(AND(Y3&lt;&gt;"n",Y3&lt;&gt;""),CHAR(34)&amp;Y$1&amp;CHAR(34)&amp;",","")</f>
        <v>"Animal",</v>
      </c>
      <c r="EG3" s="44" t="str">
        <f t="shared" si="3"/>
        <v/>
      </c>
      <c r="EH3" s="44" t="str">
        <f t="shared" si="3"/>
        <v>"Plants",</v>
      </c>
      <c r="EI3" s="44" t="str">
        <f t="shared" si="3"/>
        <v/>
      </c>
      <c r="EJ3" s="44" t="str">
        <f t="shared" si="3"/>
        <v>"Weapon",</v>
      </c>
      <c r="EK3" s="44" t="str">
        <f t="shared" si="3"/>
        <v/>
      </c>
      <c r="EL3" s="44" t="str">
        <f t="shared" si="3"/>
        <v/>
      </c>
      <c r="EM3" s="44" t="str">
        <f t="shared" si="3"/>
        <v/>
      </c>
      <c r="EN3" s="44" t="str">
        <f t="shared" si="3"/>
        <v/>
      </c>
      <c r="EO3" s="44" t="str">
        <f t="shared" si="3"/>
        <v/>
      </c>
      <c r="EP3" s="44" t="str">
        <f t="shared" si="3"/>
        <v/>
      </c>
      <c r="EQ3" s="44" t="str">
        <f t="shared" si="4"/>
        <v/>
      </c>
      <c r="ER3" s="44" t="str">
        <f t="shared" si="4"/>
        <v/>
      </c>
      <c r="ES3" s="44" t="str">
        <f t="shared" si="4"/>
        <v/>
      </c>
      <c r="ET3" s="44" t="str">
        <f t="shared" si="4"/>
        <v/>
      </c>
      <c r="EU3" s="44" t="str">
        <f t="shared" si="4"/>
        <v/>
      </c>
      <c r="EV3" s="44" t="str">
        <f t="shared" si="4"/>
        <v/>
      </c>
      <c r="EW3" s="44" t="str">
        <f t="shared" si="4"/>
        <v/>
      </c>
      <c r="EX3" s="44" t="str">
        <f t="shared" si="4"/>
        <v/>
      </c>
      <c r="EY3" s="44" t="str">
        <f t="shared" si="4"/>
        <v/>
      </c>
      <c r="EZ3" s="44" t="str">
        <f t="shared" si="4"/>
        <v/>
      </c>
      <c r="FA3" s="44" t="str">
        <f>IF(AT3&gt;0,CHAR(34)&amp;"sta"&amp;AZ3&amp;CHAR(34)&amp;",","")</f>
        <v/>
      </c>
      <c r="FB3" s="44" t="str">
        <f>IF(AND(AT3&gt;0,BA3&lt;&gt;""),CHAR(34)&amp;"sta"&amp;BA3&amp;CHAR(34)&amp;",","")</f>
        <v/>
      </c>
      <c r="FD3" s="44" t="str">
        <f>IF(BV3="n",CHAR(34)&amp;"tcWHYE"&amp;CHAR(34)&amp;",",IF(BV3="y",CHAR(34)&amp;FD$1&amp;CHAR(34)&amp;",",""))</f>
        <v/>
      </c>
      <c r="FE3" s="44" t="str">
        <f>IF(COUNTIF(BL3:BT3,"BLU")=0,CHAR(34)&amp;"NO_BLU"&amp;CHAR(34)&amp;",", "")</f>
        <v/>
      </c>
      <c r="FF3" s="44" t="str">
        <f>IF(COUNTIF(BL3:BT3,"WHI")=0,CHAR(34)&amp;"NO_WHI"&amp;CHAR(34)&amp;",", "")</f>
        <v/>
      </c>
      <c r="FG3" s="44" t="str">
        <f>IF(COUNTIF(BL3:BT3,"RED")=0,CHAR(34)&amp;"NO_RED"&amp;CHAR(34)&amp;",", "")</f>
        <v/>
      </c>
      <c r="FH3" s="44" t="str">
        <f>IF(COUNTIF(BL3:BS3,"GRE")=0,CHAR(34)&amp;"NO_GRE"&amp;CHAR(34)&amp;",", "")</f>
        <v/>
      </c>
      <c r="FI3" s="44" t="str">
        <f>IF(COUNTIF(BL3:BT3,"YEL")=0,CHAR(34)&amp;"NO_YEL"&amp;CHAR(34)&amp;",", "")</f>
        <v/>
      </c>
      <c r="FJ3" s="44" t="str">
        <f>IF(COUNTIF(BL3:BT3,"BLA")=0,CHAR(34)&amp;"NO_BLA"&amp;CHAR(34)&amp;",", "")</f>
        <v/>
      </c>
      <c r="FK3" s="44" t="str">
        <f>IF(AND(FH3&lt;&gt;"",FF3&lt;&gt;""),CHAR(34)&amp;"WHGRNO"&amp;CHAR(34)&amp;",","")</f>
        <v/>
      </c>
      <c r="FL3" s="44" t="str">
        <f>IF(AND(FI3&lt;&gt;"",FF3&lt;&gt;""),CHAR(34)&amp;"WHYENO"&amp;CHAR(34)&amp;",","")</f>
        <v/>
      </c>
      <c r="FM3" s="44" t="str">
        <f>IF(AND(FJ3&lt;&gt;"",FF3&lt;&gt;""),CHAR(34)&amp;"BAWHNO"&amp;CHAR(34)&amp;",","")</f>
        <v/>
      </c>
      <c r="FN3" s="44" t="str">
        <f>IF(AND(FE3&lt;&gt;"",FF3&lt;&gt;""),CHAR(34)&amp;"BLWHNO"&amp;CHAR(34)&amp;",","")</f>
        <v/>
      </c>
      <c r="FO3" s="44" t="str">
        <f>IF(AND(FE3&lt;&gt;"",FG3&lt;&gt;""),CHAR(34)&amp;"BLRENO"&amp;CHAR(34)&amp;",","")</f>
        <v/>
      </c>
      <c r="FP3" s="44" t="str">
        <f>IF(AND(FF3&lt;&gt;"",FF3&lt;&gt;""),CHAR(34)&amp;"WHRENO"&amp;CHAR(34)&amp;",","")</f>
        <v/>
      </c>
      <c r="FQ3" s="44" t="str">
        <f>IF(LEN(BF3)=3,CHAR(34)&amp;"001"&amp;BF3&amp;CHAR(34)&amp;",","")</f>
        <v>"001BLU",</v>
      </c>
      <c r="FR3" s="44" t="str">
        <f>IF(LEN(BG3)=3,CHAR(34)&amp;"002"&amp;BG3&amp;CHAR(34)&amp;",","")</f>
        <v>"002BLA",</v>
      </c>
      <c r="FS3" s="44" t="str">
        <f>IF(LEN(BH3)=3,CHAR(34)&amp;"003"&amp;BH3&amp;CHAR(34)&amp;",","")</f>
        <v>"003YEL",</v>
      </c>
      <c r="FT3" s="44" t="str">
        <f>CHAR(34)&amp;"myr"&amp;BD3&amp;CHAR(34)&amp;","</f>
        <v>"myrYEL",</v>
      </c>
      <c r="FU3" s="44" t="str">
        <f>IF(AY3="y",CHAR(34)&amp;"island"&amp;CHAR(34)&amp;",","")</f>
        <v/>
      </c>
      <c r="FV3" s="44" t="str">
        <f>IF(BZ3="y",CHAR(34)&amp;"landlo"&amp;CHAR(34)&amp;",","")</f>
        <v/>
      </c>
      <c r="FW3" s="44" t="str">
        <f>IF(CA3="y",CHAR(34)&amp;"eunion"&amp;CHAR(34)&amp;",","")</f>
        <v/>
      </c>
      <c r="FY3" s="44" t="str">
        <f>IFERROR(IF(SEARCH("Arabic",CB3)&gt;0,CHAR(34)&amp;"arabic"&amp;CHAR(34)&amp;",",""),"")</f>
        <v/>
      </c>
      <c r="FZ3" s="44" t="str">
        <f>IFERROR(IF(SEARCH("English",CB3)&gt;0,CHAR(34)&amp;"englis"&amp;CHAR(34)&amp;",",""),"")</f>
        <v/>
      </c>
      <c r="GA3" s="44" t="str">
        <f>IFERROR(IF(SEARCH("French",CB3)&gt;0,CHAR(34)&amp;"french"&amp;CHAR(34)&amp;",",""),"")</f>
        <v/>
      </c>
      <c r="GB3" s="44" t="str">
        <f>IFERROR(IF(SEARCH("Spanish",CB3)&gt;0,CHAR(34)&amp;"spanis"&amp;CHAR(34)&amp;",",""),"")</f>
        <v/>
      </c>
      <c r="GE3" s="44" t="str">
        <f>IFERROR(IF(SEARCH("Dutch",CB3)&gt;0,CHAR(34)&amp;"dutchs"&amp;CHAR(34)&amp;",",""),"")</f>
        <v/>
      </c>
      <c r="GF3" s="44" t="str">
        <f>IFERROR(IF(SEARCH("Historical",AU3)&gt;0,CHAR(34)&amp;"histor"&amp;CHAR(34)&amp;",",""),"")</f>
        <v/>
      </c>
      <c r="GG3" s="44" t="str">
        <f>IF(BU3="y",CHAR(34)&amp;"unjack"&amp;CHAR(34)&amp;",","")</f>
        <v/>
      </c>
      <c r="GH3" s="44" t="str">
        <f>IF(CD3=1,CHAR(34)&amp;"southc"&amp;CHAR(34)&amp;",","")</f>
        <v/>
      </c>
      <c r="GI3" s="44" t="str">
        <f>IF(CE3=1,CHAR(34)&amp;"hasmap"&amp;CHAR(34)&amp;",","")</f>
        <v/>
      </c>
      <c r="GJ3" s="44" t="str">
        <f>IF(CP3="y",CHAR(34)&amp;CP$1&amp;CHAR(34)&amp;",","")</f>
        <v>"NoStar",</v>
      </c>
      <c r="GK3" s="44" t="str">
        <f>IF(GJ3="",CHAR(34)&amp;"HasSta"&amp;CHAR(34)&amp;",","")</f>
        <v/>
      </c>
      <c r="GL3" s="44" t="str">
        <f t="shared" si="5"/>
        <v/>
      </c>
      <c r="GM3" s="44" t="str">
        <f t="shared" si="5"/>
        <v/>
      </c>
      <c r="GN3" s="44" t="str">
        <f t="shared" si="5"/>
        <v/>
      </c>
      <c r="GP3" s="44" t="str">
        <f>CHAR(34)&amp;AU3&amp;CHAR(34)</f>
        <v>"Province"</v>
      </c>
      <c r="GS3" s="44" t="str">
        <f>SUBSTITUTE("["&amp;_xlfn.CONCAT(CW3:GN3)&amp;"]",",]","]")</f>
        <v>["5+Colo","words2","lets13","startT","with_v","dgband","4+Band","Diagon","Vertic","Circle","Animal","Plants","Weapon","001BLU","002BLA","003YEL","myrYEL","NoStar"]</v>
      </c>
      <c r="GT3" s="44" t="str">
        <f t="shared" si="6"/>
        <v>"cl_BLA",</v>
      </c>
      <c r="GU3" s="44" t="str">
        <f t="shared" si="6"/>
        <v>"cl_BLU",</v>
      </c>
      <c r="GV3" s="44" t="str">
        <f t="shared" si="6"/>
        <v>"cl_GRE",</v>
      </c>
      <c r="GW3" s="44" t="str">
        <f t="shared" si="6"/>
        <v>"cl_RED",</v>
      </c>
      <c r="GX3" s="44" t="str">
        <f t="shared" si="6"/>
        <v>"cl_YEL",</v>
      </c>
      <c r="GY3" s="44" t="str">
        <f t="shared" si="6"/>
        <v/>
      </c>
      <c r="GZ3" s="44" t="str">
        <f t="shared" si="6"/>
        <v/>
      </c>
      <c r="HA3" s="44" t="str">
        <f t="shared" si="6"/>
        <v/>
      </c>
      <c r="HB3" s="44" t="str">
        <f t="shared" si="6"/>
        <v>"cl_WHI",</v>
      </c>
      <c r="HC3" s="44" t="str">
        <f>SUBSTITUTE("["&amp;_xlfn.CONCAT(GT3:HB3)&amp;"]",",]","]")</f>
        <v>["cl_BLA","cl_BLU","cl_GRE","cl_RED","cl_YEL","cl_WHI"]</v>
      </c>
      <c r="HE3" s="64"/>
      <c r="HF3" s="65" t="str">
        <f>"{couname:"&amp;CT3&amp;(IF(HK3&lt;&gt;"",",subtype:"&amp;CHAR(34)&amp;HK3&amp;CHAR(34),""))&amp;",year:"&amp;HJ3&amp;",region:"&amp;CU3&amp;",Colors:"&amp;HC3&amp;",Items:"&amp;GS3&amp;",Flag:"&amp;CV3&amp;",HDFlag:"&amp;CHAR(34)&amp;E3&amp;CHAR(34)&amp;",type:"&amp;GP3&amp;", describe: "&amp;HH3&amp;", isnew:"&amp;CHAR(34)&amp;F3&amp;CHAR(34)&amp;", links: "&amp;HL3&amp;"},"</f>
        <v>{couname:"[VUT] Torba Province",year:"???",region:"rgn_Oceania",Colors:["cl_BLA","cl_BLU","cl_GRE","cl_RED","cl_YEL","cl_WHI"],Items:["5+Colo","words2","lets13","startT","with_v","dgband","4+Band","Diagon","Vertic","Circle","Animal","Plants","Weapon","001BLU","002BLA","003YEL","myrYEL","NoStar"],Flag:"https://www.crwflags.com/fotw/images/v/vu-tor_p.gif",HDFlag:"https://en.wikipedia.org/wiki/Torba_Province#/media/File:Flag_of_Torba_Province.png",type:"Province", describe: "\nThe Torba Province (former District of Ambryn, District of Malakula and District of Paama) flag is diagonally arranged, blue in the upper hoist, stripes of red-yellow-black-white-green, and yellow in the lower fly. Overall, centred, but displaced to the lower part of the flag, is a series of local emblems: two ferns and crossed spears on the perimeter, a chain of white stone beads, a white boars tusk, and a black crayfish.\n\nSource: Michel Lupant; Gaceta de Banderas no. 110\nJens Pattke, 28 June 2006\n\nThe flag can be seen on the following Facebook pages:\n\nhttp://www.facebook.com/photo.php?fbid=10100827282351540&amp;set=pb.20919298.-2207520000.1350214968&amp;type=1&amp;permPage=1\nhttp://www.facebook.com/photo.php?fbid=10100827282246750&amp;set=pb.20919298.-2207520000.1350214968&amp;type=1&amp;permPage=1\nhttp://www.facebook.com/photo.php?fbid=10100827280210830&amp;set=pb.20919298.-2207520000.1350214968&amp;type=1&amp;permPage=1\nhttp://www.facebook.com/photo.php?fbid=10100827280480290&amp;set=pb.20919298.-2207520000.1350214968&amp;type=1&amp;permPage=1\n\nParaskevas Renesis, 14 October 2012\n\n[Torba Province (Vanuatu)] image located by Jens Pattke, 1 May 2016\n\nAn example of the flag of the Torba Province at http://bloximages.chicago2.vip.townnews.com (source: http://dailypost.vu/news/myth-about-torba/article_e8726512-1cfc-52a1-be3c-a23001bddede.html) shows the flag with the emblem in the lower yellow triangular field instead of centred.\nJens Pattke, 1 May 2016", isnew:".", links: "https://en.wikipedia.org/wiki/Torba_Province"},</v>
      </c>
      <c r="HG3" s="66" t="str">
        <f>"{couname:"&amp;CT3&amp;(IF(HK3&lt;&gt;"",",subtype:"&amp;CHAR(34)&amp;HK3&amp;CHAR(34),""))&amp;",year:"&amp;HJ3&amp;",region:"&amp;CU3&amp;",Colors:"&amp;HC3&amp;",Items:"&amp;GS3&amp;",Flag:"&amp;CV3&amp;",HDFlag:"&amp;CHAR(34)&amp;E3&amp;CHAR(34)&amp;",type:"&amp;GP3&amp;", describe: "&amp;HI3&amp;", links: "&amp;HL3&amp;"},"</f>
        <v>{couname:"[VUT] Torba Province",year:"???",region:"rgn_Oceania",Colors:["cl_BLA","cl_BLU","cl_GRE","cl_RED","cl_YEL","cl_WHI"],Items:["5+Colo","words2","lets13","startT","with_v","dgband","4+Band","Diagon","Vertic","Circle","Animal","Plants","Weapon","001BLU","002BLA","003YEL","myrYEL","NoStar"],Flag:"https://www.crwflags.com/fotw/images/v/vu-tor_p.gif",HDFlag:"https://en.wikipedia.org/wiki/Torba_Province#/media/File:Flag_of_Torba_Province.png",type:"Province", describe: "\nThe Torba Province (former District of Ambryn, District of Malakula and District of Paama) flag is diagonally arranged, blue in the upper hoist, stripes of red-yellow-black-white-green, and yellow in the lower fly. Overall, centred, but displaced to the lower part of the flag, is a series of local emblems: two ferns and crossed spears on the perimeter, a chain of white stone beads, a white boars tusk, and a black crayfish.\n\nSource: Michel Lupant; Gaceta de Banderas no. 110\nJens Pattke, 28 June 2006\n\nThe flag can be seen on the following Facebook pages:\n\nhttp://www.facebook.com/photo.php?fbid=10100827282351540&amp;set=pb.20919298.-2207520000.1350214968&amp;type=1&amp;permPage=1\nhttp://www.facebook.com/photo.php?fbid=10100827282246750&amp;set=pb.20919298.-2207520000.1350214968&amp;type=1&amp;permPage=1\nhttp://www.facebook.com/photo.php?fbid=10100827280210830&amp;set=pb.20919298.-2207520000.1350214968&amp;type=1&amp;permPage=1\nhttp://www.facebook.com/photo.php?fbid=10100827280480290&amp;set=pb.20919298.-2207520000.1350214968&amp;type=1&amp;permPage=1\n\nParaskevas Renesis, 14 October 2012\n\n[Torba Province (Vanuatu)] image located by Jens Pattke, 1 May 2016\n\nAn example of the flag of the Torba Province at http://bloximages.chicago2.vip.townnews.com (source: http://dailypost.vu/news/myth-about-torba/article_e8726512-1cfc-52a1-be3c-a23001bddede.html) shows the flag with the emblem in the lower yellow triangular field instead of centred.\nJens Pattke, 1 May 2016", links: "https://en.wikipedia.org/wiki/Torba_Province"},</v>
      </c>
      <c r="HH3" s="44" t="str">
        <f>IF(P3&lt;&gt;"",CHAR(34)&amp;"\n"&amp;P3&amp;CHAR(34),CHAR(34)&amp;CHAR(34))</f>
        <v>"\nThe Torba Province (former District of Ambryn, District of Malakula and District of Paama) flag is diagonally arranged, blue in the upper hoist, stripes of red-yellow-black-white-green, and yellow in the lower fly. Overall, centred, but displaced to the lower part of the flag, is a series of local emblems: two ferns and crossed spears on the perimeter, a chain of white stone beads, a white boars tusk, and a black crayfish.\n\nSource: Michel Lupant; Gaceta de Banderas no. 110\nJens Pattke, 28 June 2006\n\nThe flag can be seen on the following Facebook pages:\n\nhttp://www.facebook.com/photo.php?fbid=10100827282351540&amp;set=pb.20919298.-2207520000.1350214968&amp;type=1&amp;permPage=1\nhttp://www.facebook.com/photo.php?fbid=10100827282246750&amp;set=pb.20919298.-2207520000.1350214968&amp;type=1&amp;permPage=1\nhttp://www.facebook.com/photo.php?fbid=10100827280210830&amp;set=pb.20919298.-2207520000.1350214968&amp;type=1&amp;permPage=1\nhttp://www.facebook.com/photo.php?fbid=10100827280480290&amp;set=pb.20919298.-2207520000.1350214968&amp;type=1&amp;permPage=1\n\nParaskevas Renesis, 14 October 2012\n\n[Torba Province (Vanuatu)] image located by Jens Pattke, 1 May 2016\n\nAn example of the flag of the Torba Province at http://bloximages.chicago2.vip.townnews.com (source: http://dailypost.vu/news/myth-about-torba/article_e8726512-1cfc-52a1-be3c-a23001bddede.html) shows the flag with the emblem in the lower yellow triangular field instead of centred.\nJens Pattke, 1 May 2016"</v>
      </c>
      <c r="HI3" s="44" t="str">
        <f>IF(J3=0,CHAR(34)&amp;CHAR(34),HH3)</f>
        <v>"\nThe Torba Province (former District of Ambryn, District of Malakula and District of Paama) flag is diagonally arranged, blue in the upper hoist, stripes of red-yellow-black-white-green, and yellow in the lower fly. Overall, centred, but displaced to the lower part of the flag, is a series of local emblems: two ferns and crossed spears on the perimeter, a chain of white stone beads, a white boars tusk, and a black crayfish.\n\nSource: Michel Lupant; Gaceta de Banderas no. 110\nJens Pattke, 28 June 2006\n\nThe flag can be seen on the following Facebook pages:\n\nhttp://www.facebook.com/photo.php?fbid=10100827282351540&amp;set=pb.20919298.-2207520000.1350214968&amp;type=1&amp;permPage=1\nhttp://www.facebook.com/photo.php?fbid=10100827282246750&amp;set=pb.20919298.-2207520000.1350214968&amp;type=1&amp;permPage=1\nhttp://www.facebook.com/photo.php?fbid=10100827280210830&amp;set=pb.20919298.-2207520000.1350214968&amp;type=1&amp;permPage=1\nhttp://www.facebook.com/photo.php?fbid=10100827280480290&amp;set=pb.20919298.-2207520000.1350214968&amp;type=1&amp;permPage=1\n\nParaskevas Renesis, 14 October 2012\n\n[Torba Province (Vanuatu)] image located by Jens Pattke, 1 May 2016\n\nAn example of the flag of the Torba Province at http://bloximages.chicago2.vip.townnews.com (source: http://dailypost.vu/news/myth-about-torba/article_e8726512-1cfc-52a1-be3c-a23001bddede.html) shows the flag with the emblem in the lower yellow triangular field instead of centred.\nJens Pattke, 1 May 2016"</v>
      </c>
      <c r="HJ3" s="44" t="str">
        <f>CHAR(34)&amp;O3&amp;CHAR(34)</f>
        <v>"???"</v>
      </c>
      <c r="HL3" s="44" t="str">
        <f>CHAR(34)&amp;I3&amp;CHAR(34)</f>
        <v>"https://en.wikipedia.org/wiki/Torba_Province"</v>
      </c>
      <c r="HM3" s="65"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{"couname":"[VUT] Torba Province","year":"???","region":"rgn_Oceania","Colors":["cl_BLA","cl_BLU","cl_GRE","cl_RED","cl_YEL","cl_WHI"],"Items":["5+Colo","words2","lets13","startT","with_v","dgband","4+Band","Diagon","Vertic","Circle","Animal","Plants","Weapon","001BLU","002BLA","003YEL","myrYEL","NoStar"],"Flag":"https://www.crwflags.com/fotw/images/v/vu-tor_p.gif","HDFlag":"https://en.wikipedia.org/wiki/Torba_Province#/media/File:Flag_of_Torba_Province.png","type":"Province", "describe": "\nThe Torba Province (former District of Ambryn, District of Malakula and District of Paama) flag is diagonally arranged, blue in the upper hoist, stripes of red-yellow-black-white-green, and yellow in the lower fly. Overall, centred, but displaced to the lower part of the flag, is a series of local emblems: two ferns and crossed spears on the perimeter, a chain of white stone beads, a white boars tusk, and a black crayfish.\n\nSource: Michel Lupant; Gaceta de Banderas no. 110\nJens Pattke, 28 June 2006\n\nThe flag can be seen on the following Facebook pages:\n\nhttp://www.facebook.com/photo.php?fbid=10100827282351540&amp;set=pb.20919298.-2207520000.1350214968&amp;type=1&amp;permPage=1\nhttp://www.facebook.com/photo.php?fbid=10100827282246750&amp;set=pb.20919298.-2207520000.1350214968&amp;type=1&amp;permPage=1\nhttp://www.facebook.com/photo.php?fbid=10100827280210830&amp;set=pb.20919298.-2207520000.1350214968&amp;type=1&amp;permPage=1\nhttp://www.facebook.com/photo.php?fbid=10100827280480290&amp;set=pb.20919298.-2207520000.1350214968&amp;type=1&amp;permPage=1\n\nParaskevas Renesis, 14 October 2012\n\n[Torba Province (Vanuatu)] image located by Jens Pattke, 1 May 2016\n\nAn example of the flag of the Torba Province at http://bloximages.chicago2.vip.townnews.com (source: http://dailypost.vu/news/myth-about-torba/article_e8726512-1cfc-52a1-be3c-a23001bddede.html) shows the flag with the emblem in the lower yellow triangular field instead of centred.\nJens Pattke, 1 May 2016", "isnew": ".", "links": "https://en.wikipedia.org/wiki/Torba_Province"},</v>
      </c>
      <c r="HN3" s="67"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{"couname":"[VUT] Torba Province","year":"???","region":"rgn_Oceania","Colors":["cl_BLA","cl_BLU","cl_GRE","cl_RED","cl_YEL","cl_WHI"],"Items":["5+Colo","words2","lets13","startT","with_v","dgband","4+Band","Diagon","Vertic","Circle","Animal","Plants","Weapon","001BLU","002BLA","003YEL","myrYEL","NoStar"],"Flag":"https://www.crwflags.com/fotw/images/v/vu-tor_p.gif","HDFlag":"https://en.wikipedia.org/wiki/Torba_Province#/media/File:Flag_of_Torba_Province.png","type":"Province", "describe": "\nThe Torba Province (former District of Ambryn, District of Malakula and District of Paama) flag is diagonally arranged, blue in the upper hoist, stripes of red-yellow-black-white-green, and yellow in the lower fly. Overall, centred, but displaced to the lower part of the flag, is a series of local emblems: two ferns and crossed spears on the perimeter, a chain of white stone beads, a white boars tusk, and a black crayfish.\n\nSource: Michel Lupant; Gaceta de Banderas no. 110\nJens Pattke, 28 June 2006\n\nThe flag can be seen on the following Facebook pages:\n\nhttp://www.facebook.com/photo.php?fbid=10100827282351540&amp;set=pb.20919298.-2207520000.1350214968&amp;type=1&amp;permPage=1\nhttp://www.facebook.com/photo.php?fbid=10100827282246750&amp;set=pb.20919298.-2207520000.1350214968&amp;type=1&amp;permPage=1\nhttp://www.facebook.com/photo.php?fbid=10100827280210830&amp;set=pb.20919298.-2207520000.1350214968&amp;type=1&amp;permPage=1\nhttp://www.facebook.com/photo.php?fbid=10100827280480290&amp;set=pb.20919298.-2207520000.1350214968&amp;type=1&amp;permPage=1\n\nParaskevas Renesis, 14 October 2012\n\n[Torba Province (Vanuatu)] image located by Jens Pattke, 1 May 2016\n\nAn example of the flag of the Torba Province at http://bloximages.chicago2.vip.townnews.com (source: http://dailypost.vu/news/myth-about-torba/article_e8726512-1cfc-52a1-be3c-a23001bddede.html) shows the flag with the emblem in the lower yellow triangular field instead of centred.\nJens Pattke, 1 May 2016", "isnew": ".", "links": "https://en.wikipedia.org/wiki/Torba_Province"},</v>
      </c>
      <c r="HO3" s="71">
        <v>45610</v>
      </c>
      <c r="HP3" s="44" t="str" cm="1">
        <f t="array" ref="HP3">IF(_xlfn.TEXTJOIN(", ", TRUE, IF(ISNUMBER(SEARCH("BLA", BL3:BT3)), COLUMN(BL3:BT3) - COLUMN(BL3) + 1, ""))&lt;&gt;"","BLA","")</f>
        <v>BLA</v>
      </c>
      <c r="HQ3" s="44" t="str" cm="1">
        <f t="array" ref="HQ3">IF(_xlfn.TEXTJOIN(", ", TRUE, IF(ISNUMBER(SEARCH("BLU", BL3:BT3)), COLUMN(BL3:BT3) - COLUMN(BL3) + 1, ""))&lt;&gt;"","BLU","")</f>
        <v>BLU</v>
      </c>
      <c r="HR3" s="44" t="str" cm="1">
        <f t="array" ref="HR3">IF(_xlfn.TEXTJOIN(", ", TRUE, IF(ISNUMBER(SEARCH("GRE", BL3:BT3)), COLUMN(BL3:BT3) - COLUMN(BL3) + 1, ""))&lt;&gt;"","GRE","")</f>
        <v>GRE</v>
      </c>
      <c r="HS3" s="44" t="str" cm="1">
        <f t="array" ref="HS3">IF(_xlfn.TEXTJOIN(", ", TRUE, IF(ISNUMBER(SEARCH("RED", BL3:BT3)), COLUMN(BL3:BT3) - COLUMN(BL3) + 1, ""))&lt;&gt;"","RED","")</f>
        <v>RED</v>
      </c>
      <c r="HT3" s="44" t="str" cm="1">
        <f t="array" ref="HT3">IF(_xlfn.TEXTJOIN(", ", TRUE, IF(ISNUMBER(SEARCH("YEL", BL3:BT3)), COLUMN(BL3:BT3) - COLUMN(BL3) + 1, ""))&lt;&gt;"","YEL","")</f>
        <v>YEL</v>
      </c>
      <c r="HU3" s="44" t="str" cm="1">
        <f t="array" ref="HU3">IF(_xlfn.TEXTJOIN(", ", TRUE, IF(ISNUMBER(SEARCH("ORA", BL3:BT3)), COLUMN(BL3:BT3) - COLUMN(BL3) + 1, ""))&lt;&gt;"","ORA","")</f>
        <v/>
      </c>
      <c r="HV3" s="44" t="str" cm="1">
        <f t="array" ref="HV3">IF(_xlfn.TEXTJOIN(", ", TRUE, IF(ISNUMBER(SEARCH("BRO", BL3:BT3)), COLUMN(BL3:BT3) - COLUMN(BL3) + 1, ""))&lt;&gt;"","BRO","")</f>
        <v/>
      </c>
      <c r="HW3" s="44" t="str" cm="1">
        <f t="array" ref="HW3">IF(_xlfn.TEXTJOIN(", ", TRUE, IF(ISNUMBER(SEARCH("PUR", BL3:BT3)), COLUMN(BL3:BT3) - COLUMN(BL3) + 1, ""))&lt;&gt;"","PUR","")</f>
        <v/>
      </c>
      <c r="HX3" s="44" t="str" cm="1">
        <f t="array" ref="HX3">IF(_xlfn.TEXTJOIN(", ", TRUE, IF(ISNUMBER(SEARCH("WHI", BL3:BT3)), COLUMN(BL3:BT3) - COLUMN(BL3) + 1, ""))&lt;&gt;"","WHI","")</f>
        <v>WHI</v>
      </c>
      <c r="HY3" s="72"/>
      <c r="HZ3" s="72"/>
      <c r="IA3" s="5"/>
      <c r="IB3" s="5"/>
      <c r="IC3" s="68"/>
      <c r="ID3" s="68"/>
      <c r="IE3" s="68"/>
      <c r="IF3" s="68"/>
      <c r="IG3" s="68"/>
      <c r="IH3" s="68"/>
      <c r="II3" s="68"/>
      <c r="IJ3" s="68"/>
      <c r="IK3" s="68"/>
      <c r="IM3" s="42">
        <f>COUNTIF(IC3:IK3,"&gt;0")-CG3</f>
        <v>-6</v>
      </c>
      <c r="IN3" s="69" t="str">
        <f>"http://mkweb.bcgsc.ca/color-summarizer/?url="&amp;D3&amp;"&amp;precision=low&amp;num_clusters="&amp;CG3&amp;"&amp;text=1"</f>
        <v>http://mkweb.bcgsc.ca/color-summarizer/?url=https://www.crwflags.com/fotw/images/v/vu-tor_p.gif&amp;precision=low&amp;num_clusters=6&amp;text=1</v>
      </c>
      <c r="IO3" s="44" t="str">
        <f>IF(HP3&lt;&gt;"",CHAR(34)&amp;"black"&amp;CHAR(34),"")</f>
        <v>"black"</v>
      </c>
      <c r="IP3" s="44" t="str">
        <f>IF(HQ3&lt;&gt;"",CHAR(34)&amp;"blue"&amp;CHAR(34),"")</f>
        <v>"blue"</v>
      </c>
      <c r="IQ3" s="44" t="str">
        <f>IF(HR3&lt;&gt;"",CHAR(34)&amp;"green"&amp;CHAR(34),"")</f>
        <v>"green"</v>
      </c>
      <c r="IR3" s="44" t="str">
        <f>IF(HS3&lt;&gt;"",CHAR(34)&amp;"red"&amp;CHAR(34),"")</f>
        <v>"red"</v>
      </c>
      <c r="IS3" s="44" t="str">
        <f>IF(HT3&lt;&gt;"",CHAR(34)&amp;"yellow"&amp;CHAR(34),"")</f>
        <v>"yellow"</v>
      </c>
      <c r="IT3" s="44" t="str">
        <f>IF(HU3&lt;&gt;"",CHAR(34)&amp;"orange"&amp;CHAR(34),"")</f>
        <v/>
      </c>
      <c r="IU3" s="44" t="str">
        <f>IF(HV3&lt;&gt;"",CHAR(34)&amp;"brown"&amp;CHAR(34),"")</f>
        <v/>
      </c>
      <c r="IV3" s="44" t="str">
        <f>IF(HW3&lt;&gt;"",CHAR(34)&amp;"purple"&amp;CHAR(34),"")</f>
        <v/>
      </c>
      <c r="IW3" s="44" t="str">
        <f>IF(HX3&lt;&gt;"",CHAR(34)&amp;"white"&amp;CHAR(34),"")</f>
        <v>"white"</v>
      </c>
      <c r="IX3" s="44" t="str">
        <f>"{"&amp;CHAR(34)&amp;"url"&amp;CHAR(34)&amp;":"&amp;CHAR(34)&amp;IN3&amp;CHAR(34)&amp;","&amp;CHAR(34)&amp;"name"&amp;CHAR(34)&amp;":"&amp;CHAR(34)&amp;A3&amp;CHAR(34)&amp;"},"</f>
        <v>{"url":"http://mkweb.bcgsc.ca/color-summarizer/?url=https://www.crwflags.com/fotw/images/v/vu-tor_p.gif&amp;precision=low&amp;num_clusters=6&amp;text=1","name":"[VUT] Torba Province"},</v>
      </c>
      <c r="IY3" s="44">
        <v>1492</v>
      </c>
    </row>
  </sheetData>
  <autoFilter ref="A1:IY3" xr:uid="{A1051193-A95B-4CFB-A73C-F0184620C81F}">
    <sortState xmlns:xlrd2="http://schemas.microsoft.com/office/spreadsheetml/2017/richdata2" ref="A2:IY3">
      <sortCondition ref="AW1:AW3"/>
    </sortState>
  </autoFilter>
  <conditionalFormatting sqref="H1 CW1:GS1 IA1:IB1">
    <cfRule type="cellIs" dxfId="137" priority="66" operator="greaterThan">
      <formula>0</formula>
    </cfRule>
  </conditionalFormatting>
  <conditionalFormatting sqref="H1:H1048576">
    <cfRule type="cellIs" dxfId="136" priority="6" stopIfTrue="1" operator="notEqual">
      <formula>""</formula>
    </cfRule>
  </conditionalFormatting>
  <conditionalFormatting sqref="R2:R3 CU2:CU3">
    <cfRule type="cellIs" dxfId="135" priority="8" operator="greaterThan">
      <formula>0</formula>
    </cfRule>
  </conditionalFormatting>
  <conditionalFormatting sqref="T2:AS3 CH2:CS3">
    <cfRule type="cellIs" dxfId="134" priority="3" stopIfTrue="1" operator="equal">
      <formula>"n"</formula>
    </cfRule>
    <cfRule type="cellIs" dxfId="133" priority="4" stopIfTrue="1" operator="equal">
      <formula>"y"</formula>
    </cfRule>
    <cfRule type="cellIs" dxfId="132" priority="5" operator="greaterThan">
      <formula>0</formula>
    </cfRule>
  </conditionalFormatting>
  <conditionalFormatting sqref="T1:BK1">
    <cfRule type="cellIs" dxfId="131" priority="69" operator="greaterThan">
      <formula>0</formula>
    </cfRule>
  </conditionalFormatting>
  <conditionalFormatting sqref="AZ2:BB3">
    <cfRule type="expression" dxfId="130" priority="2">
      <formula>$AT2=0</formula>
    </cfRule>
  </conditionalFormatting>
  <conditionalFormatting sqref="AZ2:BU3">
    <cfRule type="cellIs" dxfId="129" priority="44" operator="equal">
      <formula>"PIN"</formula>
    </cfRule>
    <cfRule type="cellIs" dxfId="128" priority="45" operator="equal">
      <formula>"ORA"</formula>
    </cfRule>
    <cfRule type="cellIs" dxfId="127" priority="46" operator="equal">
      <formula>"GRA"</formula>
    </cfRule>
    <cfRule type="cellIs" dxfId="126" priority="47" operator="equal">
      <formula>"PUR"</formula>
    </cfRule>
    <cfRule type="cellIs" dxfId="125" priority="48" operator="equal">
      <formula>"BRO"</formula>
    </cfRule>
    <cfRule type="cellIs" dxfId="124" priority="49" operator="equal">
      <formula>"YEL"</formula>
    </cfRule>
    <cfRule type="cellIs" dxfId="123" priority="50" operator="equal">
      <formula>"BLU"</formula>
    </cfRule>
    <cfRule type="cellIs" dxfId="122" priority="51" operator="equal">
      <formula>"WHI"</formula>
    </cfRule>
    <cfRule type="cellIs" dxfId="121" priority="52" operator="equal">
      <formula>"GRE"</formula>
    </cfRule>
    <cfRule type="cellIs" dxfId="120" priority="53" operator="equal">
      <formula>"RED"</formula>
    </cfRule>
    <cfRule type="cellIs" dxfId="119" priority="54" operator="equal">
      <formula>"BLA"</formula>
    </cfRule>
  </conditionalFormatting>
  <conditionalFormatting sqref="BV1:BW1048576">
    <cfRule type="cellIs" dxfId="118" priority="68" operator="equal">
      <formula>"nc"</formula>
    </cfRule>
  </conditionalFormatting>
  <conditionalFormatting sqref="BX2:CA3 CD2:CF3">
    <cfRule type="cellIs" dxfId="117" priority="7" operator="equal">
      <formula>"y"</formula>
    </cfRule>
    <cfRule type="cellIs" dxfId="116" priority="55" operator="equal">
      <formula>"PIN"</formula>
    </cfRule>
    <cfRule type="cellIs" dxfId="115" priority="56" operator="equal">
      <formula>"ORA"</formula>
    </cfRule>
    <cfRule type="cellIs" dxfId="114" priority="57" operator="equal">
      <formula>"GRA"</formula>
    </cfRule>
    <cfRule type="cellIs" dxfId="113" priority="58" operator="equal">
      <formula>"PUR"</formula>
    </cfRule>
    <cfRule type="cellIs" dxfId="112" priority="59" operator="equal">
      <formula>"BRO"</formula>
    </cfRule>
    <cfRule type="cellIs" dxfId="111" priority="60" operator="equal">
      <formula>"YEL"</formula>
    </cfRule>
    <cfRule type="cellIs" dxfId="110" priority="61" operator="equal">
      <formula>"BLU"</formula>
    </cfRule>
    <cfRule type="cellIs" dxfId="109" priority="62" operator="equal">
      <formula>"WHI"</formula>
    </cfRule>
    <cfRule type="cellIs" dxfId="108" priority="63" operator="equal">
      <formula>"GRE"</formula>
    </cfRule>
    <cfRule type="cellIs" dxfId="107" priority="64" operator="equal">
      <formula>"RED"</formula>
    </cfRule>
    <cfRule type="cellIs" dxfId="106" priority="65" operator="equal">
      <formula>"BLA"</formula>
    </cfRule>
  </conditionalFormatting>
  <conditionalFormatting sqref="BZ2:CA3 CD2:CF3">
    <cfRule type="cellIs" dxfId="105" priority="9" operator="greaterThan">
      <formula>0</formula>
    </cfRule>
  </conditionalFormatting>
  <conditionalFormatting sqref="HF1:HG1">
    <cfRule type="cellIs" dxfId="104" priority="70" operator="greaterThan">
      <formula>0</formula>
    </cfRule>
  </conditionalFormatting>
  <conditionalFormatting sqref="HK1">
    <cfRule type="cellIs" dxfId="103" priority="67" operator="greaterThan">
      <formula>0</formula>
    </cfRule>
  </conditionalFormatting>
  <conditionalFormatting sqref="HP1:HX1">
    <cfRule type="cellIs" dxfId="102" priority="21" operator="equal">
      <formula>"PIN"</formula>
    </cfRule>
    <cfRule type="cellIs" dxfId="101" priority="22" operator="equal">
      <formula>"ORA"</formula>
    </cfRule>
    <cfRule type="cellIs" dxfId="100" priority="23" operator="equal">
      <formula>"GRA"</formula>
    </cfRule>
    <cfRule type="cellIs" dxfId="99" priority="24" operator="equal">
      <formula>"PUR"</formula>
    </cfRule>
    <cfRule type="cellIs" dxfId="98" priority="25" operator="equal">
      <formula>"BRO"</formula>
    </cfRule>
    <cfRule type="cellIs" dxfId="97" priority="26" operator="equal">
      <formula>"YEL"</formula>
    </cfRule>
    <cfRule type="cellIs" dxfId="96" priority="27" operator="equal">
      <formula>"BLU"</formula>
    </cfRule>
    <cfRule type="cellIs" dxfId="95" priority="28" operator="equal">
      <formula>"WHI"</formula>
    </cfRule>
    <cfRule type="cellIs" dxfId="94" priority="29" operator="equal">
      <formula>"GRE"</formula>
    </cfRule>
    <cfRule type="cellIs" dxfId="93" priority="30" operator="equal">
      <formula>"RED"</formula>
    </cfRule>
    <cfRule type="cellIs" dxfId="92" priority="31" operator="equal">
      <formula>"BLA"</formula>
    </cfRule>
  </conditionalFormatting>
  <conditionalFormatting sqref="IC1:IK1">
    <cfRule type="cellIs" dxfId="91" priority="33" operator="equal">
      <formula>"PIN"</formula>
    </cfRule>
    <cfRule type="cellIs" dxfId="90" priority="34" operator="equal">
      <formula>"ORA"</formula>
    </cfRule>
    <cfRule type="cellIs" dxfId="89" priority="35" operator="equal">
      <formula>"GRA"</formula>
    </cfRule>
    <cfRule type="cellIs" dxfId="88" priority="36" operator="equal">
      <formula>"PUR"</formula>
    </cfRule>
    <cfRule type="cellIs" dxfId="87" priority="37" operator="equal">
      <formula>"BRO"</formula>
    </cfRule>
    <cfRule type="cellIs" dxfId="86" priority="38" operator="equal">
      <formula>"YEL"</formula>
    </cfRule>
    <cfRule type="cellIs" dxfId="85" priority="39" operator="equal">
      <formula>"BLU"</formula>
    </cfRule>
    <cfRule type="cellIs" dxfId="84" priority="40" operator="equal">
      <formula>"WHI"</formula>
    </cfRule>
    <cfRule type="cellIs" dxfId="83" priority="41" operator="equal">
      <formula>"GRE"</formula>
    </cfRule>
    <cfRule type="cellIs" dxfId="82" priority="42" operator="equal">
      <formula>"RED"</formula>
    </cfRule>
    <cfRule type="cellIs" dxfId="81" priority="43" operator="equal">
      <formula>"BLA"</formula>
    </cfRule>
  </conditionalFormatting>
  <conditionalFormatting sqref="IC2:IK3">
    <cfRule type="expression" dxfId="80" priority="32">
      <formula>$IL2&gt;0</formula>
    </cfRule>
  </conditionalFormatting>
  <conditionalFormatting sqref="IO1:IW1">
    <cfRule type="cellIs" dxfId="79" priority="10" operator="equal">
      <formula>"PIN"</formula>
    </cfRule>
    <cfRule type="cellIs" dxfId="78" priority="11" operator="equal">
      <formula>"ORA"</formula>
    </cfRule>
    <cfRule type="cellIs" dxfId="77" priority="12" operator="equal">
      <formula>"GRA"</formula>
    </cfRule>
    <cfRule type="cellIs" dxfId="76" priority="13" operator="equal">
      <formula>"PUR"</formula>
    </cfRule>
    <cfRule type="cellIs" dxfId="75" priority="14" operator="equal">
      <formula>"BRO"</formula>
    </cfRule>
    <cfRule type="cellIs" dxfId="74" priority="15" operator="equal">
      <formula>"YEL"</formula>
    </cfRule>
    <cfRule type="cellIs" dxfId="73" priority="16" operator="equal">
      <formula>"BLU"</formula>
    </cfRule>
    <cfRule type="cellIs" dxfId="72" priority="17" operator="equal">
      <formula>"WHI"</formula>
    </cfRule>
    <cfRule type="cellIs" dxfId="71" priority="18" operator="equal">
      <formula>"GRE"</formula>
    </cfRule>
    <cfRule type="cellIs" dxfId="70" priority="19" operator="equal">
      <formula>"RED"</formula>
    </cfRule>
    <cfRule type="cellIs" dxfId="69" priority="20" operator="equal">
      <formula>"BLA"</formula>
    </cfRule>
  </conditionalFormatting>
  <conditionalFormatting sqref="S2:S3">
    <cfRule type="colorScale" priority="3565">
      <colorScale>
        <cfvo type="min"/>
        <cfvo type="max"/>
        <color rgb="FFFCFCFF"/>
        <color rgb="FF754BFB"/>
      </colorScale>
    </cfRule>
  </conditionalFormatting>
  <conditionalFormatting sqref="AT2:AT3">
    <cfRule type="colorScale" priority="3566">
      <colorScale>
        <cfvo type="min"/>
        <cfvo type="max"/>
        <color rgb="FFFCFCFF"/>
        <color theme="8" tint="0.39997558519241921"/>
      </colorScale>
    </cfRule>
  </conditionalFormatting>
  <conditionalFormatting sqref="CG2:CG3">
    <cfRule type="colorScale" priority="3567">
      <colorScale>
        <cfvo type="min"/>
        <cfvo type="max"/>
        <color rgb="FFFCFCFF"/>
        <color rgb="FF63BE7B"/>
      </colorScale>
    </cfRule>
  </conditionalFormatting>
  <conditionalFormatting sqref="J2:J3">
    <cfRule type="colorScale" priority="1">
      <colorScale>
        <cfvo type="min"/>
        <cfvo type="percentile" val="50"/>
        <cfvo type="max"/>
        <color rgb="FFF8696B"/>
        <color rgb="FFFFEB84"/>
        <color rgb="FF63BE7B"/>
      </colorScale>
    </cfRule>
  </conditionalFormatting>
  <hyperlinks>
    <hyperlink ref="A2" r:id="rId1" display="https://fbref.com/en/country/VAN/Vanuatu-Football" xr:uid="{9FBF66E9-D70A-4E85-8714-DF901E7DA0EF}"/>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4577" r:id="rId5" name="Button 1">
              <controlPr defaultSize="0" print="0" autoFill="0" autoPict="0" macro="[0]!InsertImagesFromSelectedRange">
                <anchor moveWithCells="1" sizeWithCells="1">
                  <from>
                    <xdr:col>1</xdr:col>
                    <xdr:colOff>76200</xdr:colOff>
                    <xdr:row>0</xdr:row>
                    <xdr:rowOff>7620</xdr:rowOff>
                  </from>
                  <to>
                    <xdr:col>2</xdr:col>
                    <xdr:colOff>0</xdr:colOff>
                    <xdr:row>0</xdr:row>
                    <xdr:rowOff>487680</xdr:rowOff>
                  </to>
                </anchor>
              </controlPr>
            </control>
          </mc:Choice>
        </mc:AlternateContent>
        <mc:AlternateContent xmlns:mc="http://schemas.openxmlformats.org/markup-compatibility/2006">
          <mc:Choice Requires="x14">
            <control shapeId="24578" r:id="rId6" name="Button 2">
              <controlPr defaultSize="0" print="0" autoFill="0" autoPict="0" macro="[0]!ReplaceLineBreaksWithNewLineManualRange">
                <anchor moveWithCells="1" sizeWithCells="1">
                  <from>
                    <xdr:col>7</xdr:col>
                    <xdr:colOff>15240</xdr:colOff>
                    <xdr:row>0</xdr:row>
                    <xdr:rowOff>45720</xdr:rowOff>
                  </from>
                  <to>
                    <xdr:col>7</xdr:col>
                    <xdr:colOff>685800</xdr:colOff>
                    <xdr:row>0</xdr:row>
                    <xdr:rowOff>403860</xdr:rowOff>
                  </to>
                </anchor>
              </controlPr>
            </control>
          </mc:Choice>
        </mc:AlternateContent>
        <mc:AlternateContent xmlns:mc="http://schemas.openxmlformats.org/markup-compatibility/2006">
          <mc:Choice Requires="x14">
            <control shapeId="24579" r:id="rId7" name="Button 3">
              <controlPr defaultSize="0" print="0" autoFill="0" autoPict="0" macro="[0]!GoToSheet">
                <anchor moveWithCells="1" sizeWithCells="1">
                  <from>
                    <xdr:col>0</xdr:col>
                    <xdr:colOff>137160</xdr:colOff>
                    <xdr:row>0</xdr:row>
                    <xdr:rowOff>114300</xdr:rowOff>
                  </from>
                  <to>
                    <xdr:col>0</xdr:col>
                    <xdr:colOff>762000</xdr:colOff>
                    <xdr:row>0</xdr:row>
                    <xdr:rowOff>419100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119C13-A153-4F68-8B41-D0E2D23E3643}">
  <sheetPr codeName="Sheet5"/>
  <dimension ref="A1:IY74"/>
  <sheetViews>
    <sheetView zoomScale="70" zoomScaleNormal="70" workbookViewId="0">
      <pane xSplit="5" ySplit="1" topLeftCell="F2" activePane="bottomRight" state="frozen"/>
      <selection activeCell="A2" sqref="A2"/>
      <selection pane="topRight" activeCell="A2" sqref="A2"/>
      <selection pane="bottomLeft" activeCell="A2" sqref="A2"/>
      <selection pane="bottomRight" activeCell="B5" sqref="B5"/>
    </sheetView>
  </sheetViews>
  <sheetFormatPr defaultRowHeight="38.4" customHeight="1" x14ac:dyDescent="0.3"/>
  <cols>
    <col min="1" max="1" width="52.44140625" style="82" bestFit="1" customWidth="1"/>
    <col min="2" max="2" width="10.109375" style="82" customWidth="1"/>
    <col min="3" max="3" width="7.44140625" style="83" customWidth="1"/>
    <col min="4" max="4" width="4.77734375" style="84" customWidth="1"/>
    <col min="5" max="5" width="4.5546875" style="84" customWidth="1"/>
    <col min="6" max="6" width="5.77734375" style="84" customWidth="1"/>
    <col min="7" max="7" width="7.44140625" style="82" customWidth="1"/>
    <col min="8" max="8" width="11.44140625" style="82" customWidth="1"/>
    <col min="9" max="9" width="10" style="82" customWidth="1"/>
    <col min="10" max="10" width="4.21875" style="82" customWidth="1"/>
    <col min="11" max="11" width="5.6640625" style="84" customWidth="1"/>
    <col min="12" max="12" width="2.88671875" style="84" customWidth="1"/>
    <col min="13" max="13" width="6.44140625" style="84" customWidth="1"/>
    <col min="14" max="14" width="4.5546875" style="84" customWidth="1"/>
    <col min="15" max="15" width="10.5546875" style="85" customWidth="1"/>
    <col min="16" max="16" width="6.88671875" style="84" customWidth="1"/>
    <col min="17" max="17" width="4.77734375" style="84" customWidth="1"/>
    <col min="18" max="18" width="13.109375" style="83" customWidth="1"/>
    <col min="19" max="19" width="6.77734375" style="83" customWidth="1"/>
    <col min="20" max="46" width="8.44140625" style="82" customWidth="1"/>
    <col min="47" max="47" width="24.5546875" style="82" customWidth="1"/>
    <col min="48" max="51" width="16.6640625" style="82" customWidth="1"/>
    <col min="52" max="52" width="6.5546875" style="82" customWidth="1"/>
    <col min="53" max="54" width="5.88671875" style="82" customWidth="1"/>
    <col min="55" max="55" width="1.33203125" style="82" customWidth="1"/>
    <col min="56" max="56" width="7.44140625" style="82" customWidth="1"/>
    <col min="57" max="57" width="2.33203125" style="82" customWidth="1"/>
    <col min="58" max="62" width="6.109375" style="82" customWidth="1"/>
    <col min="63" max="63" width="2.33203125" style="82" customWidth="1"/>
    <col min="64" max="64" width="7" style="82" bestFit="1" customWidth="1"/>
    <col min="65" max="65" width="6.44140625" style="82" bestFit="1" customWidth="1"/>
    <col min="66" max="66" width="7.109375" style="82" bestFit="1" customWidth="1"/>
    <col min="67" max="71" width="6.44140625" style="82" bestFit="1" customWidth="1"/>
    <col min="72" max="73" width="6.44140625" style="82" customWidth="1"/>
    <col min="74" max="75" width="13.44140625" style="82" customWidth="1"/>
    <col min="76" max="84" width="14.6640625" style="82" customWidth="1"/>
    <col min="85" max="85" width="6.44140625" style="82" customWidth="1"/>
    <col min="86" max="87" width="11.6640625" style="82" bestFit="1" customWidth="1"/>
    <col min="88" max="88" width="11.6640625" style="82" customWidth="1"/>
    <col min="89" max="89" width="12.77734375" style="82" bestFit="1" customWidth="1"/>
    <col min="90" max="90" width="16.44140625" style="83" bestFit="1" customWidth="1"/>
    <col min="91" max="92" width="14.88671875" style="83" bestFit="1" customWidth="1"/>
    <col min="93" max="93" width="16" style="83" bestFit="1" customWidth="1"/>
    <col min="94" max="97" width="7.77734375" style="82" customWidth="1"/>
    <col min="98" max="98" width="33.21875" style="82" customWidth="1"/>
    <col min="99" max="99" width="18" style="82" customWidth="1"/>
    <col min="100" max="100" width="75.6640625" style="82" customWidth="1"/>
    <col min="101" max="125" width="33" style="82" customWidth="1"/>
    <col min="126" max="126" width="8.88671875" style="82"/>
    <col min="127" max="128" width="9.44140625" style="82" bestFit="1" customWidth="1"/>
    <col min="129" max="129" width="10.77734375" style="82" bestFit="1" customWidth="1"/>
    <col min="130" max="134" width="10.77734375" style="82" customWidth="1"/>
    <col min="135" max="135" width="10.109375" style="82" bestFit="1" customWidth="1"/>
    <col min="136" max="136" width="7.77734375" style="82" bestFit="1" customWidth="1"/>
    <col min="137" max="137" width="7.77734375" style="82" customWidth="1"/>
    <col min="138" max="138" width="9" style="82" bestFit="1" customWidth="1"/>
    <col min="139" max="139" width="11.33203125" style="82" bestFit="1" customWidth="1"/>
    <col min="140" max="140" width="9.109375" style="82" bestFit="1" customWidth="1"/>
    <col min="141" max="141" width="9" style="82" bestFit="1" customWidth="1"/>
    <col min="142" max="142" width="12" style="82" bestFit="1" customWidth="1"/>
    <col min="143" max="166" width="12" style="82" customWidth="1"/>
    <col min="167" max="167" width="17.21875" style="82" customWidth="1"/>
    <col min="168" max="191" width="12" style="82" customWidth="1"/>
    <col min="192" max="192" width="8.5546875" style="82" bestFit="1" customWidth="1"/>
    <col min="193" max="193" width="8.5546875" style="82" customWidth="1"/>
    <col min="194" max="194" width="7.109375" style="82" bestFit="1" customWidth="1"/>
    <col min="195" max="195" width="7.5546875" style="82" bestFit="1" customWidth="1"/>
    <col min="196" max="196" width="8.5546875" style="82" bestFit="1" customWidth="1"/>
    <col min="197" max="200" width="8.5546875" style="82" customWidth="1"/>
    <col min="201" max="201" width="188.88671875" style="82" customWidth="1"/>
    <col min="202" max="202" width="9.5546875" style="82" bestFit="1" customWidth="1"/>
    <col min="203" max="203" width="10.44140625" style="82" bestFit="1" customWidth="1"/>
    <col min="204" max="204" width="11.109375" style="82" bestFit="1" customWidth="1"/>
    <col min="205" max="205" width="10.44140625" style="82" bestFit="1" customWidth="1"/>
    <col min="206" max="210" width="10.44140625" style="82" customWidth="1"/>
    <col min="211" max="211" width="45.44140625" style="82" customWidth="1"/>
    <col min="212" max="212" width="47.5546875" style="82" bestFit="1" customWidth="1"/>
    <col min="213" max="213" width="9.33203125" style="86" customWidth="1"/>
    <col min="214" max="214" width="119.5546875" style="82" customWidth="1"/>
    <col min="215" max="215" width="69.6640625" style="82" customWidth="1"/>
    <col min="216" max="218" width="8.88671875" style="82"/>
    <col min="219" max="219" width="37.109375" style="82" customWidth="1"/>
    <col min="220" max="220" width="16.33203125" style="82" customWidth="1"/>
    <col min="221" max="222" width="8.88671875" style="82"/>
    <col min="223" max="223" width="10.109375" style="82" bestFit="1" customWidth="1"/>
    <col min="224" max="232" width="10.88671875" style="82" customWidth="1"/>
    <col min="233" max="234" width="30.77734375" style="82" customWidth="1"/>
    <col min="235" max="235" width="5.109375" style="82" customWidth="1"/>
    <col min="236" max="236" width="3" style="82" customWidth="1"/>
    <col min="237" max="245" width="6.77734375" style="76" customWidth="1"/>
    <col min="246" max="247" width="8.88671875" style="82"/>
    <col min="248" max="248" width="61.5546875" style="82" customWidth="1"/>
    <col min="249" max="253" width="8.88671875" style="82"/>
    <col min="254" max="254" width="9" style="82" customWidth="1"/>
    <col min="255" max="16384" width="8.88671875" style="82"/>
  </cols>
  <sheetData>
    <row r="1" spans="1:259" s="5" customFormat="1" ht="38.4" customHeight="1" thickBot="1" x14ac:dyDescent="0.35">
      <c r="A1" s="1" t="s">
        <v>0</v>
      </c>
      <c r="B1" s="79" t="s">
        <v>1</v>
      </c>
      <c r="C1" s="2" t="s">
        <v>2</v>
      </c>
      <c r="D1" s="3"/>
      <c r="E1" s="3" t="s">
        <v>3</v>
      </c>
      <c r="F1" s="4"/>
      <c r="H1" s="6" t="s">
        <v>4</v>
      </c>
      <c r="J1" s="5" t="s">
        <v>5</v>
      </c>
      <c r="K1" s="7" t="s">
        <v>6</v>
      </c>
      <c r="L1" s="8" t="s">
        <v>7</v>
      </c>
      <c r="M1" s="8" t="s">
        <v>8</v>
      </c>
      <c r="N1" s="9" t="s">
        <v>9</v>
      </c>
      <c r="O1" s="10" t="s">
        <v>10</v>
      </c>
      <c r="P1" s="11" t="s">
        <v>11</v>
      </c>
      <c r="Q1" s="11" t="s">
        <v>12</v>
      </c>
      <c r="R1" s="12" t="s">
        <v>0</v>
      </c>
      <c r="S1" s="13" t="s">
        <v>13</v>
      </c>
      <c r="T1" s="14" t="s">
        <v>14</v>
      </c>
      <c r="U1" s="14" t="s">
        <v>15</v>
      </c>
      <c r="V1" s="15" t="s">
        <v>16</v>
      </c>
      <c r="W1" s="14" t="s">
        <v>17</v>
      </c>
      <c r="X1" s="14" t="s">
        <v>18</v>
      </c>
      <c r="Y1" s="14" t="s">
        <v>19</v>
      </c>
      <c r="Z1" s="14" t="s">
        <v>20</v>
      </c>
      <c r="AA1" s="14" t="s">
        <v>21</v>
      </c>
      <c r="AB1" s="14" t="s">
        <v>22</v>
      </c>
      <c r="AC1" s="14" t="s">
        <v>23</v>
      </c>
      <c r="AD1" s="14" t="s">
        <v>24</v>
      </c>
      <c r="AE1" s="14" t="s">
        <v>25</v>
      </c>
      <c r="AF1" s="16" t="s">
        <v>26</v>
      </c>
      <c r="AG1" s="16" t="s">
        <v>27</v>
      </c>
      <c r="AH1" s="16" t="s">
        <v>28</v>
      </c>
      <c r="AI1" s="16" t="s">
        <v>29</v>
      </c>
      <c r="AJ1" s="16" t="s">
        <v>30</v>
      </c>
      <c r="AK1" s="16" t="s">
        <v>31</v>
      </c>
      <c r="AL1" s="16" t="s">
        <v>32</v>
      </c>
      <c r="AM1" s="16" t="s">
        <v>33</v>
      </c>
      <c r="AN1" s="16" t="s">
        <v>34</v>
      </c>
      <c r="AO1" s="16" t="s">
        <v>35</v>
      </c>
      <c r="AP1" s="16" t="s">
        <v>36</v>
      </c>
      <c r="AQ1" s="16" t="s">
        <v>37</v>
      </c>
      <c r="AR1" s="16" t="s">
        <v>38</v>
      </c>
      <c r="AS1" s="16" t="s">
        <v>39</v>
      </c>
      <c r="AT1" s="17" t="s">
        <v>40</v>
      </c>
      <c r="AU1" s="18" t="s">
        <v>41</v>
      </c>
      <c r="AV1" s="18" t="s">
        <v>42</v>
      </c>
      <c r="AW1" s="18" t="s">
        <v>43</v>
      </c>
      <c r="AX1" s="19"/>
      <c r="AY1" s="20" t="s">
        <v>44</v>
      </c>
      <c r="AZ1" s="19" t="s">
        <v>45</v>
      </c>
      <c r="BA1" s="19"/>
      <c r="BB1" s="19"/>
      <c r="BC1" s="21"/>
      <c r="BD1" s="19" t="s">
        <v>46</v>
      </c>
      <c r="BE1" s="21"/>
      <c r="BF1" s="19" t="s">
        <v>47</v>
      </c>
      <c r="BG1" s="19" t="s">
        <v>48</v>
      </c>
      <c r="BH1" s="19" t="s">
        <v>49</v>
      </c>
      <c r="BI1" s="19" t="s">
        <v>50</v>
      </c>
      <c r="BJ1" s="19" t="s">
        <v>51</v>
      </c>
      <c r="BK1" s="21"/>
      <c r="BL1" s="22" t="s">
        <v>52</v>
      </c>
      <c r="BM1" s="22"/>
      <c r="BN1" s="22"/>
      <c r="BO1" s="22"/>
      <c r="BP1" s="22"/>
      <c r="BQ1" s="22"/>
      <c r="BR1" s="22"/>
      <c r="BS1" s="22"/>
      <c r="BT1" s="23"/>
      <c r="BU1" s="23" t="s">
        <v>53</v>
      </c>
      <c r="BV1" s="23" t="s">
        <v>54</v>
      </c>
      <c r="BW1" s="23" t="s">
        <v>55</v>
      </c>
      <c r="BX1" s="23"/>
      <c r="BY1" s="23" t="s">
        <v>56</v>
      </c>
      <c r="BZ1" s="23" t="s">
        <v>57</v>
      </c>
      <c r="CA1" s="23" t="s">
        <v>58</v>
      </c>
      <c r="CB1" s="23" t="s">
        <v>59</v>
      </c>
      <c r="CC1" s="23" t="s">
        <v>60</v>
      </c>
      <c r="CD1" s="23" t="s">
        <v>61</v>
      </c>
      <c r="CE1" s="23" t="s">
        <v>62</v>
      </c>
      <c r="CF1" s="23" t="s">
        <v>63</v>
      </c>
      <c r="CG1" s="23"/>
      <c r="CH1" s="23" t="s">
        <v>64</v>
      </c>
      <c r="CI1" s="23" t="s">
        <v>65</v>
      </c>
      <c r="CJ1" s="23" t="s">
        <v>66</v>
      </c>
      <c r="CK1" s="23" t="s">
        <v>67</v>
      </c>
      <c r="CL1" s="24" t="s">
        <v>68</v>
      </c>
      <c r="CM1" s="24" t="s">
        <v>69</v>
      </c>
      <c r="CN1" s="24" t="s">
        <v>70</v>
      </c>
      <c r="CO1" s="24" t="s">
        <v>71</v>
      </c>
      <c r="CP1" s="24" t="s">
        <v>72</v>
      </c>
      <c r="CQ1" s="24" t="s">
        <v>73</v>
      </c>
      <c r="CR1" s="24" t="s">
        <v>74</v>
      </c>
      <c r="CS1" s="24" t="s">
        <v>75</v>
      </c>
      <c r="CT1" s="1" t="s">
        <v>76</v>
      </c>
      <c r="CU1" s="25" t="s">
        <v>0</v>
      </c>
      <c r="CV1" s="5" t="s">
        <v>77</v>
      </c>
      <c r="CW1" s="14" t="s">
        <v>78</v>
      </c>
      <c r="CX1" s="14" t="s">
        <v>79</v>
      </c>
      <c r="CY1" s="14" t="s">
        <v>66</v>
      </c>
      <c r="CZ1" s="14" t="s">
        <v>80</v>
      </c>
      <c r="DA1" s="14" t="s">
        <v>81</v>
      </c>
      <c r="DB1" s="14" t="s">
        <v>82</v>
      </c>
      <c r="DC1" s="14" t="s">
        <v>83</v>
      </c>
      <c r="DD1" s="14" t="s">
        <v>84</v>
      </c>
      <c r="DE1" s="14" t="s">
        <v>85</v>
      </c>
      <c r="DF1" s="14" t="s">
        <v>86</v>
      </c>
      <c r="DG1" s="14" t="s">
        <v>87</v>
      </c>
      <c r="DH1" s="14" t="s">
        <v>88</v>
      </c>
      <c r="DI1" s="14" t="s">
        <v>89</v>
      </c>
      <c r="DJ1" s="14" t="s">
        <v>90</v>
      </c>
      <c r="DK1" s="14" t="s">
        <v>91</v>
      </c>
      <c r="DL1" s="14" t="s">
        <v>92</v>
      </c>
      <c r="DM1" s="14" t="s">
        <v>93</v>
      </c>
      <c r="DN1" s="14" t="s">
        <v>94</v>
      </c>
      <c r="DO1" s="14" t="s">
        <v>95</v>
      </c>
      <c r="DP1" s="14" t="s">
        <v>96</v>
      </c>
      <c r="DQ1" s="14" t="s">
        <v>97</v>
      </c>
      <c r="DR1" s="14" t="s">
        <v>56</v>
      </c>
      <c r="DS1" s="14" t="s">
        <v>98</v>
      </c>
      <c r="DT1" s="14" t="s">
        <v>99</v>
      </c>
      <c r="DU1" s="14" t="s">
        <v>100</v>
      </c>
      <c r="DV1" s="14" t="s">
        <v>101</v>
      </c>
      <c r="DW1" s="14" t="s">
        <v>102</v>
      </c>
      <c r="DX1" s="14" t="s">
        <v>103</v>
      </c>
      <c r="DY1" s="14" t="s">
        <v>104</v>
      </c>
      <c r="DZ1" s="14" t="s">
        <v>105</v>
      </c>
      <c r="EA1" s="14" t="s">
        <v>106</v>
      </c>
      <c r="EB1" s="14" t="s">
        <v>107</v>
      </c>
      <c r="EC1" s="14" t="s">
        <v>108</v>
      </c>
      <c r="ED1" s="14" t="s">
        <v>109</v>
      </c>
      <c r="EE1" s="15" t="s">
        <v>18</v>
      </c>
      <c r="EF1" s="14" t="s">
        <v>19</v>
      </c>
      <c r="EG1" s="14" t="s">
        <v>20</v>
      </c>
      <c r="EH1" s="14" t="s">
        <v>21</v>
      </c>
      <c r="EI1" s="14" t="s">
        <v>110</v>
      </c>
      <c r="EJ1" s="14" t="s">
        <v>23</v>
      </c>
      <c r="EK1" s="14" t="s">
        <v>111</v>
      </c>
      <c r="EL1" s="14" t="s">
        <v>112</v>
      </c>
      <c r="EM1" s="14" t="s">
        <v>26</v>
      </c>
      <c r="EN1" s="16" t="s">
        <v>27</v>
      </c>
      <c r="EO1" s="16" t="s">
        <v>28</v>
      </c>
      <c r="EP1" s="16" t="s">
        <v>29</v>
      </c>
      <c r="EQ1" s="16" t="s">
        <v>113</v>
      </c>
      <c r="ER1" s="16" t="s">
        <v>31</v>
      </c>
      <c r="ES1" s="16" t="s">
        <v>32</v>
      </c>
      <c r="ET1" s="16" t="s">
        <v>114</v>
      </c>
      <c r="EU1" s="16" t="s">
        <v>34</v>
      </c>
      <c r="EV1" s="16" t="s">
        <v>35</v>
      </c>
      <c r="EW1" s="16" t="s">
        <v>115</v>
      </c>
      <c r="EX1" s="16" t="s">
        <v>37</v>
      </c>
      <c r="EY1" s="16" t="s">
        <v>38</v>
      </c>
      <c r="EZ1" s="16" t="s">
        <v>39</v>
      </c>
      <c r="FA1" s="16" t="s">
        <v>116</v>
      </c>
      <c r="FB1" s="16" t="s">
        <v>117</v>
      </c>
      <c r="FC1" s="16" t="s">
        <v>118</v>
      </c>
      <c r="FD1" s="16" t="s">
        <v>54</v>
      </c>
      <c r="FE1" s="16" t="s">
        <v>119</v>
      </c>
      <c r="FF1" s="16" t="s">
        <v>120</v>
      </c>
      <c r="FG1" s="16" t="s">
        <v>121</v>
      </c>
      <c r="FH1" s="16" t="s">
        <v>122</v>
      </c>
      <c r="FI1" s="16" t="s">
        <v>123</v>
      </c>
      <c r="FJ1" s="16" t="s">
        <v>124</v>
      </c>
      <c r="FK1" s="16" t="s">
        <v>125</v>
      </c>
      <c r="FL1" s="16" t="s">
        <v>126</v>
      </c>
      <c r="FM1" s="16" t="s">
        <v>127</v>
      </c>
      <c r="FN1" s="16" t="s">
        <v>128</v>
      </c>
      <c r="FO1" s="16" t="s">
        <v>129</v>
      </c>
      <c r="FP1" s="16" t="s">
        <v>130</v>
      </c>
      <c r="FQ1" s="16" t="s">
        <v>131</v>
      </c>
      <c r="FR1" s="16" t="s">
        <v>132</v>
      </c>
      <c r="FS1" s="16" t="s">
        <v>133</v>
      </c>
      <c r="FT1" s="16" t="s">
        <v>134</v>
      </c>
      <c r="FU1" s="16" t="s">
        <v>44</v>
      </c>
      <c r="FV1" s="16" t="s">
        <v>135</v>
      </c>
      <c r="FW1" s="16" t="s">
        <v>58</v>
      </c>
      <c r="FX1" s="16" t="s">
        <v>136</v>
      </c>
      <c r="FY1" s="16" t="s">
        <v>137</v>
      </c>
      <c r="FZ1" s="16" t="s">
        <v>138</v>
      </c>
      <c r="GA1" s="16" t="s">
        <v>139</v>
      </c>
      <c r="GB1" s="16" t="s">
        <v>140</v>
      </c>
      <c r="GC1" s="16" t="s">
        <v>141</v>
      </c>
      <c r="GD1" s="16" t="s">
        <v>142</v>
      </c>
      <c r="GE1" s="16" t="s">
        <v>143</v>
      </c>
      <c r="GF1" s="16" t="s">
        <v>144</v>
      </c>
      <c r="GG1" s="16" t="s">
        <v>145</v>
      </c>
      <c r="GH1" s="16" t="s">
        <v>61</v>
      </c>
      <c r="GI1" s="16" t="s">
        <v>62</v>
      </c>
      <c r="GJ1" s="14" t="s">
        <v>146</v>
      </c>
      <c r="GK1" s="14" t="s">
        <v>147</v>
      </c>
      <c r="GL1" s="14" t="s">
        <v>148</v>
      </c>
      <c r="GM1" s="17" t="s">
        <v>149</v>
      </c>
      <c r="GN1" s="26" t="s">
        <v>150</v>
      </c>
      <c r="GO1" s="26" t="s">
        <v>151</v>
      </c>
      <c r="GP1" s="18" t="s">
        <v>41</v>
      </c>
      <c r="GQ1" s="18" t="s">
        <v>42</v>
      </c>
      <c r="GR1" s="18" t="s">
        <v>43</v>
      </c>
      <c r="GS1" s="21"/>
      <c r="GT1" s="27" t="s">
        <v>52</v>
      </c>
      <c r="GU1" s="27"/>
      <c r="GV1" s="27"/>
      <c r="GW1" s="27"/>
      <c r="GX1" s="28"/>
      <c r="GY1" s="28"/>
      <c r="GZ1" s="28"/>
      <c r="HA1" s="28"/>
      <c r="HB1" s="28"/>
      <c r="HC1" s="28"/>
      <c r="HD1" s="29" t="s">
        <v>13</v>
      </c>
      <c r="HE1" s="30" t="s">
        <v>152</v>
      </c>
      <c r="HF1" s="31"/>
      <c r="HG1" s="32"/>
      <c r="HK1" s="32" t="s">
        <v>4</v>
      </c>
      <c r="HP1" s="33" t="s">
        <v>153</v>
      </c>
      <c r="HQ1" s="33" t="s">
        <v>154</v>
      </c>
      <c r="HR1" s="33" t="s">
        <v>155</v>
      </c>
      <c r="HS1" s="33" t="s">
        <v>156</v>
      </c>
      <c r="HT1" s="33" t="s">
        <v>157</v>
      </c>
      <c r="HU1" s="33" t="s">
        <v>158</v>
      </c>
      <c r="HV1" s="33" t="s">
        <v>159</v>
      </c>
      <c r="HW1" s="33" t="s">
        <v>160</v>
      </c>
      <c r="HX1" s="34" t="s">
        <v>161</v>
      </c>
      <c r="IA1" s="14" t="s">
        <v>162</v>
      </c>
      <c r="IB1" s="35" t="s">
        <v>163</v>
      </c>
      <c r="IC1" s="36" t="s">
        <v>153</v>
      </c>
      <c r="ID1" s="36" t="s">
        <v>154</v>
      </c>
      <c r="IE1" s="36" t="s">
        <v>156</v>
      </c>
      <c r="IF1" s="37" t="s">
        <v>161</v>
      </c>
      <c r="IG1" s="36" t="s">
        <v>157</v>
      </c>
      <c r="IH1" s="36" t="s">
        <v>158</v>
      </c>
      <c r="II1" s="36" t="s">
        <v>155</v>
      </c>
      <c r="IJ1" s="36" t="s">
        <v>159</v>
      </c>
      <c r="IK1" s="36" t="s">
        <v>160</v>
      </c>
      <c r="IO1" s="33" t="s">
        <v>153</v>
      </c>
      <c r="IP1" s="33" t="s">
        <v>154</v>
      </c>
      <c r="IQ1" s="33" t="s">
        <v>155</v>
      </c>
      <c r="IR1" s="33" t="s">
        <v>156</v>
      </c>
      <c r="IS1" s="33" t="s">
        <v>157</v>
      </c>
      <c r="IT1" s="33" t="s">
        <v>158</v>
      </c>
      <c r="IU1" s="33" t="s">
        <v>159</v>
      </c>
      <c r="IV1" s="33" t="s">
        <v>160</v>
      </c>
      <c r="IW1" s="34" t="s">
        <v>161</v>
      </c>
      <c r="IY1" s="5" t="s">
        <v>164</v>
      </c>
    </row>
    <row r="2" spans="1:259" s="44" customFormat="1" ht="38.4" customHeight="1" thickBot="1" x14ac:dyDescent="0.35">
      <c r="A2" s="77" t="s">
        <v>344</v>
      </c>
      <c r="B2" s="78" t="e" vm="115">
        <v>#VALUE!</v>
      </c>
      <c r="C2" s="39">
        <v>1</v>
      </c>
      <c r="D2" s="70" t="s">
        <v>345</v>
      </c>
      <c r="E2" s="40" t="s">
        <v>346</v>
      </c>
      <c r="F2" s="41" t="s">
        <v>165</v>
      </c>
      <c r="G2" s="42">
        <f>COUNTIF($A$1:$A$8344,A2)</f>
        <v>1</v>
      </c>
      <c r="H2" s="43"/>
      <c r="I2" s="59" t="s">
        <v>347</v>
      </c>
      <c r="J2" s="44" t="str">
        <f>""</f>
        <v/>
      </c>
      <c r="K2" s="45">
        <v>15289</v>
      </c>
      <c r="L2" s="46">
        <v>100</v>
      </c>
      <c r="M2" s="46" t="s">
        <v>1162</v>
      </c>
      <c r="N2" s="47" t="s">
        <v>177</v>
      </c>
      <c r="O2" s="74" t="s">
        <v>175</v>
      </c>
      <c r="P2" s="48" t="s">
        <v>348</v>
      </c>
      <c r="Q2" s="73">
        <v>3</v>
      </c>
      <c r="R2" s="49" t="s">
        <v>177</v>
      </c>
      <c r="S2" s="50">
        <v>0</v>
      </c>
      <c r="T2" s="51" t="s">
        <v>167</v>
      </c>
      <c r="U2" s="52" t="s">
        <v>167</v>
      </c>
      <c r="V2" s="52" t="s">
        <v>166</v>
      </c>
      <c r="W2" s="52" t="s">
        <v>166</v>
      </c>
      <c r="X2" s="52" t="s">
        <v>166</v>
      </c>
      <c r="Y2" s="52" t="s">
        <v>166</v>
      </c>
      <c r="Z2" s="52" t="s">
        <v>166</v>
      </c>
      <c r="AA2" s="52" t="s">
        <v>166</v>
      </c>
      <c r="AB2" s="52" t="s">
        <v>166</v>
      </c>
      <c r="AC2" s="52" t="s">
        <v>166</v>
      </c>
      <c r="AD2" s="52" t="s">
        <v>166</v>
      </c>
      <c r="AE2" s="52" t="s">
        <v>166</v>
      </c>
      <c r="AF2" s="53" t="s">
        <v>166</v>
      </c>
      <c r="AG2" s="53" t="s">
        <v>166</v>
      </c>
      <c r="AH2" s="53" t="s">
        <v>166</v>
      </c>
      <c r="AI2" s="53" t="s">
        <v>167</v>
      </c>
      <c r="AJ2" s="53" t="s">
        <v>166</v>
      </c>
      <c r="AK2" s="53" t="s">
        <v>166</v>
      </c>
      <c r="AL2" s="53" t="s">
        <v>166</v>
      </c>
      <c r="AM2" s="53" t="s">
        <v>166</v>
      </c>
      <c r="AN2" s="53" t="s">
        <v>166</v>
      </c>
      <c r="AO2" s="53" t="s">
        <v>166</v>
      </c>
      <c r="AP2" s="53" t="s">
        <v>166</v>
      </c>
      <c r="AQ2" s="53" t="s">
        <v>166</v>
      </c>
      <c r="AR2" s="53" t="s">
        <v>166</v>
      </c>
      <c r="AS2" s="53" t="s">
        <v>166</v>
      </c>
      <c r="AT2" s="54">
        <v>0</v>
      </c>
      <c r="AU2" s="53"/>
      <c r="AV2" s="53" t="str">
        <f>IF(LEFT(A2,1)="[",LEFT(A2,5)&amp;AU2&amp;A2,"")</f>
        <v/>
      </c>
      <c r="AW2" s="53" t="str">
        <f>C2&amp;H2&amp;A2</f>
        <v>1Wallis and Futuna</v>
      </c>
      <c r="AX2" s="55"/>
      <c r="AY2" s="55" t="s">
        <v>167</v>
      </c>
      <c r="AZ2" s="56"/>
      <c r="BA2" s="56"/>
      <c r="BB2" s="56"/>
      <c r="BC2" s="57"/>
      <c r="BD2" s="58" t="s">
        <v>156</v>
      </c>
      <c r="BE2" s="59"/>
      <c r="BF2" s="58"/>
      <c r="BG2" s="58"/>
      <c r="BH2" s="58"/>
      <c r="BI2" s="58"/>
      <c r="BJ2" s="58"/>
      <c r="BK2" s="59"/>
      <c r="BL2" s="58" t="s">
        <v>156</v>
      </c>
      <c r="BM2" s="58" t="s">
        <v>161</v>
      </c>
      <c r="BN2" s="58" t="s">
        <v>154</v>
      </c>
      <c r="BO2" s="58"/>
      <c r="BP2" s="58"/>
      <c r="BQ2" s="58"/>
      <c r="BR2" s="58"/>
      <c r="BS2" s="58"/>
      <c r="BT2" s="58"/>
      <c r="BU2" s="60" t="s">
        <v>166</v>
      </c>
      <c r="BV2" s="61" t="s">
        <v>168</v>
      </c>
      <c r="BW2" s="61" t="s">
        <v>170</v>
      </c>
      <c r="BX2" s="59"/>
      <c r="BY2" s="44" t="s">
        <v>166</v>
      </c>
      <c r="CB2" s="5" t="s">
        <v>139</v>
      </c>
      <c r="CC2" s="5"/>
      <c r="CD2" s="62">
        <v>0</v>
      </c>
      <c r="CE2" s="62">
        <v>0</v>
      </c>
      <c r="CF2" s="62" t="e">
        <v>#REF!</v>
      </c>
      <c r="CG2" s="75" cm="1">
        <f t="array" ref="CG2">SUMPRODUCT(--(LEN(TRIM(BL2:BT2))&gt;0))</f>
        <v>3</v>
      </c>
      <c r="CH2" s="53" t="str">
        <f>IF(CG2=2,"y","n")</f>
        <v>n</v>
      </c>
      <c r="CI2" s="53" t="str">
        <f>IF(CG2=3,"y","n")</f>
        <v>y</v>
      </c>
      <c r="CJ2" s="53" t="str">
        <f>IF(CG2=4,"y","n")</f>
        <v>n</v>
      </c>
      <c r="CK2" s="53" t="str">
        <f>IF(CG2&gt;4,"y","n")</f>
        <v>n</v>
      </c>
      <c r="CL2" s="53" t="str">
        <f>IF(S2=0,"y","n")</f>
        <v>y</v>
      </c>
      <c r="CM2" s="53" t="str">
        <f>IF(S2=2,"y","n")</f>
        <v>n</v>
      </c>
      <c r="CN2" s="53" t="str">
        <f>IF(S2=3,"y","n")</f>
        <v>n</v>
      </c>
      <c r="CO2" s="53" t="str">
        <f>IF(S2&gt;=4,"y","n")</f>
        <v>n</v>
      </c>
      <c r="CP2" s="53" t="str">
        <f>IF(AT2=0,"y","n")</f>
        <v>y</v>
      </c>
      <c r="CQ2" s="53" t="str">
        <f>IF(AT2=1,"y","n")</f>
        <v>n</v>
      </c>
      <c r="CR2" s="53" t="str">
        <f>IF(AT2=2,"y","n")</f>
        <v>n</v>
      </c>
      <c r="CS2" s="53" t="str">
        <f>IF(AT2&gt;=3,"y","n")</f>
        <v>n</v>
      </c>
      <c r="CT2" s="38" t="str">
        <f>CHAR(34)&amp;A2&amp;CHAR(34)</f>
        <v>"Wallis and Futuna"</v>
      </c>
      <c r="CU2" s="63" t="str">
        <f>CHAR(34)&amp;"rgn_"&amp;R2&amp;CHAR(34)</f>
        <v>"rgn_Oceania"</v>
      </c>
      <c r="CV2" s="44" t="str">
        <f>CHAR(34)&amp;D2&amp;CHAR(34)</f>
        <v>"https://upload.wikimedia.org/wikipedia/commons/thumb/d/d2/Flag_of_Wallis_and_Futuna.svg/300px-Flag_of_Wallis_and_Futuna.svg.png"</v>
      </c>
      <c r="CW2" s="44" t="str">
        <f t="shared" ref="CW2:CZ5" si="0">IF(CH2="y",CHAR(34)&amp;CH$1&amp;CHAR(34)&amp;",","")</f>
        <v/>
      </c>
      <c r="CX2" s="44" t="str">
        <f t="shared" si="0"/>
        <v>"3Color",</v>
      </c>
      <c r="CY2" s="44" t="str">
        <f t="shared" si="0"/>
        <v/>
      </c>
      <c r="CZ2" s="44" t="str">
        <f t="shared" si="0"/>
        <v/>
      </c>
      <c r="DA2" s="44" t="str">
        <f>IF(Q2&gt;1,CHAR(34)&amp;"words2"&amp;CHAR(34)&amp;",","")</f>
        <v>"words2",</v>
      </c>
      <c r="DB2" s="44" t="str">
        <f>IF(Q2&gt;2,CHAR(34)&amp;"words3"&amp;CHAR(34)&amp;",","")</f>
        <v>"words3",</v>
      </c>
      <c r="DC2" s="44" t="str">
        <f>IF(Q2=2,CHAR(34)&amp;"exact2"&amp;CHAR(34)&amp;",","")</f>
        <v/>
      </c>
      <c r="DD2" s="44"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"lets15",</v>
      </c>
      <c r="DE2" s="44"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"startW",</v>
      </c>
      <c r="DF2" s="44" t="str">
        <f>IFERROR(IF(SEARCH("tan",A2)&gt;0,CHAR(34)&amp;"withtn"&amp;CHAR(34)&amp;",",""),"")</f>
        <v/>
      </c>
      <c r="DG2" s="44" t="str">
        <f>IFERROR(IF(SEARCH("q",A2)&gt;0,CHAR(34)&amp;"with_q"&amp;CHAR(34)&amp;",",""),"")</f>
        <v/>
      </c>
      <c r="DH2" s="44" t="str">
        <f>IFERROR(IF(SEARCH("v",A2)&gt;0,CHAR(34)&amp;"with_v"&amp;CHAR(34)&amp;",",""),"")</f>
        <v/>
      </c>
      <c r="DI2" s="44" t="str">
        <f>IFERROR(IF(SEARCH("w",A2)&gt;0,CHAR(34)&amp;"with_w"&amp;CHAR(34)&amp;",",""),"")</f>
        <v>"with_w",</v>
      </c>
      <c r="DJ2" s="44" t="str">
        <f>IFERROR(IF(SEARCH("y",A2)&gt;0,CHAR(34)&amp;"with_y"&amp;CHAR(34)&amp;",",""),"")</f>
        <v/>
      </c>
      <c r="DK2" s="44" t="str">
        <f>IFERROR(IF(SEARCH("z",A2)&gt;0,CHAR(34)&amp;"with_z"&amp;CHAR(34)&amp;",",""),"")</f>
        <v/>
      </c>
      <c r="DL2" s="44" t="str">
        <f>IF(CG2=2, CHAR(34) &amp; _xlfn.TEXTJOIN("", TRUE, _xlfn._xlws.SORT(HP2:HX2)) &amp; CHAR(34) &amp; ",", "")</f>
        <v/>
      </c>
      <c r="DM2" s="44" t="str" cm="1">
        <f t="array" ref="DM2">IF(CG2=3,CHAR(34) &amp; _xlfn.TEXTJOIN("", TRUE, RIGHT(HP2:HX2, 2)) &amp; CHAR(34) &amp; ",", "")</f>
        <v>"LUEDHI",</v>
      </c>
      <c r="DN2" s="44" t="str">
        <f>IF(AND(ISNUMBER(SEARCH("18", O2)), ISERROR(SEARCH("1918", O2)), ISERROR(SEARCH("2018", O2))), CHAR(34) &amp; "year18" &amp; CHAR(34) &amp; ",", "")</f>
        <v/>
      </c>
      <c r="DO2" s="44" t="str">
        <f>IF(AND(ISNUMBER(SEARCH("19", O2)), ISERROR(SEARCH("1819", O2)),  ISERROR(SEARCH("1219", O2)),ISERROR(SEARCH("1119", O2)),ISERROR(SEARCH("1190", O2)),ISERROR(SEARCH("2019", O2))), CHAR(34) &amp; "year19" &amp; CHAR(34) &amp; ",", "")</f>
        <v>"year19",</v>
      </c>
      <c r="DP2" s="5" t="str">
        <f>IF(AND(ISNUMBER(SEARCH("20", O2)), ISERROR(SEARCH("1920", O2))), CHAR(34)&amp;"year00"&amp;CHAR(34)&amp;",", "")</f>
        <v/>
      </c>
      <c r="DQ2" s="5" t="str">
        <f>IF(CC2="y",CHAR(34)&amp;"soviet"&amp;CHAR(34)&amp;",","")</f>
        <v/>
      </c>
      <c r="DR2" s="5" t="str">
        <f>IF(BY2="y",CHAR(34)&amp;"dgband"&amp;CHAR(34)&amp;",","")</f>
        <v/>
      </c>
      <c r="DS2" s="5" t="str">
        <f>IF(W2="y",IF(AND(V2="n",BY2&lt;&gt;"y"),CHAR(34)&amp;"allver"&amp;CHAR(34)&amp;",",""),"")</f>
        <v/>
      </c>
      <c r="DT2" s="5" t="str">
        <f>IF(V2="y",IF(AND(W2="n",BY2&lt;&gt;"y"),CHAR(34)&amp;"allhor"&amp;CHAR(34)&amp;",",""),"")</f>
        <v/>
      </c>
      <c r="DU2" s="5" t="str">
        <f>IF(BY2="y",IF(AND(W2="n",V2="n"),CHAR(34)&amp;"alldia"&amp;CHAR(34)&amp;",",""),"")</f>
        <v/>
      </c>
      <c r="DV2" s="44" t="str">
        <f>IF(IA2&lt;&gt;"",(IF(IA2="y",CHAR(34)&amp;"largec"&amp;CHAR(34)&amp;",",CHAR(34)&amp;"smallc"&amp;CHAR(34)&amp;",")),"")</f>
        <v>"smallc",</v>
      </c>
      <c r="DW2" s="44" t="str">
        <f t="shared" ref="DW2:DZ5" si="1">IF(CL2="y",CHAR(34)&amp;CL$1&amp;CHAR(34)&amp;",","")</f>
        <v>"NoBand",</v>
      </c>
      <c r="DX2" s="44" t="str">
        <f t="shared" si="1"/>
        <v/>
      </c>
      <c r="DY2" s="44" t="str">
        <f t="shared" si="1"/>
        <v/>
      </c>
      <c r="DZ2" s="44" t="str">
        <f t="shared" si="1"/>
        <v/>
      </c>
      <c r="EA2" s="44" t="str">
        <f t="shared" ref="EA2:EE5" si="2">IF(T2="y",CHAR(34)&amp;T$1&amp;CHAR(34)&amp;",","")</f>
        <v>"Diagon",</v>
      </c>
      <c r="EB2" s="44" t="str">
        <f t="shared" si="2"/>
        <v>"Crosse",</v>
      </c>
      <c r="EC2" s="44" t="str">
        <f t="shared" si="2"/>
        <v/>
      </c>
      <c r="ED2" s="44" t="str">
        <f t="shared" si="2"/>
        <v/>
      </c>
      <c r="EE2" s="44" t="str">
        <f t="shared" si="2"/>
        <v/>
      </c>
      <c r="EF2" s="44" t="str">
        <f>IF(AND(Y2&lt;&gt;"n",Y2&lt;&gt;""),CHAR(34)&amp;Y$1&amp;CHAR(34)&amp;",","")</f>
        <v/>
      </c>
      <c r="EG2" s="44" t="str">
        <f t="shared" ref="EG2:EP5" si="3">IF(Z2="y",CHAR(34)&amp;Z$1&amp;CHAR(34)&amp;",","")</f>
        <v/>
      </c>
      <c r="EH2" s="44" t="str">
        <f t="shared" si="3"/>
        <v/>
      </c>
      <c r="EI2" s="44" t="str">
        <f t="shared" si="3"/>
        <v/>
      </c>
      <c r="EJ2" s="44" t="str">
        <f t="shared" si="3"/>
        <v/>
      </c>
      <c r="EK2" s="44" t="str">
        <f t="shared" si="3"/>
        <v/>
      </c>
      <c r="EL2" s="44" t="str">
        <f t="shared" si="3"/>
        <v/>
      </c>
      <c r="EM2" s="44" t="str">
        <f t="shared" si="3"/>
        <v/>
      </c>
      <c r="EN2" s="44" t="str">
        <f t="shared" si="3"/>
        <v/>
      </c>
      <c r="EO2" s="44" t="str">
        <f t="shared" si="3"/>
        <v/>
      </c>
      <c r="EP2" s="44" t="str">
        <f t="shared" si="3"/>
        <v>"Canton",</v>
      </c>
      <c r="EQ2" s="44" t="str">
        <f t="shared" ref="EQ2:EZ5" si="4">IF(AJ2="y",CHAR(34)&amp;AJ$1&amp;CHAR(34)&amp;",","")</f>
        <v/>
      </c>
      <c r="ER2" s="44" t="str">
        <f t="shared" si="4"/>
        <v/>
      </c>
      <c r="ES2" s="44" t="str">
        <f t="shared" si="4"/>
        <v/>
      </c>
      <c r="ET2" s="44" t="str">
        <f t="shared" si="4"/>
        <v/>
      </c>
      <c r="EU2" s="44" t="str">
        <f t="shared" si="4"/>
        <v/>
      </c>
      <c r="EV2" s="44" t="str">
        <f t="shared" si="4"/>
        <v/>
      </c>
      <c r="EW2" s="44" t="str">
        <f t="shared" si="4"/>
        <v/>
      </c>
      <c r="EX2" s="44" t="str">
        <f t="shared" si="4"/>
        <v/>
      </c>
      <c r="EY2" s="44" t="str">
        <f t="shared" si="4"/>
        <v/>
      </c>
      <c r="EZ2" s="44" t="str">
        <f t="shared" si="4"/>
        <v/>
      </c>
      <c r="FA2" s="44" t="str">
        <f>IF(AT2&gt;0,CHAR(34)&amp;"sta"&amp;AZ2&amp;CHAR(34)&amp;",","")</f>
        <v/>
      </c>
      <c r="FB2" s="44" t="str">
        <f>IF(AND(AT2&gt;0,BA2&lt;&gt;""),CHAR(34)&amp;"sta"&amp;BA2&amp;CHAR(34)&amp;",","")</f>
        <v/>
      </c>
      <c r="FC2" s="44" t="str">
        <f>IF(AND(AT2&gt;0,BB2&lt;&gt;""),CHAR(34)&amp;"sta"&amp;BB2&amp;CHAR(34)&amp;",","")</f>
        <v/>
      </c>
      <c r="FD2" s="44" t="str">
        <f>IF(BV2="n",CHAR(34)&amp;"tcWHYE"&amp;CHAR(34)&amp;",",IF(BV2="y",CHAR(34)&amp;FD$1&amp;CHAR(34)&amp;",",""))</f>
        <v/>
      </c>
      <c r="FE2" s="44" t="str">
        <f>IF(COUNTIF(BL2:BT2,"BLU")=0,CHAR(34)&amp;"NO_BLU"&amp;CHAR(34)&amp;",", "")</f>
        <v/>
      </c>
      <c r="FF2" s="44" t="str">
        <f>IF(COUNTIF(BL2:BT2,"WHI")=0,CHAR(34)&amp;"NO_WHI"&amp;CHAR(34)&amp;",", "")</f>
        <v/>
      </c>
      <c r="FG2" s="44" t="str">
        <f>IF(COUNTIF(BL2:BT2,"RED")=0,CHAR(34)&amp;"NO_RED"&amp;CHAR(34)&amp;",", "")</f>
        <v/>
      </c>
      <c r="FH2" s="44" t="str">
        <f>IF(COUNTIF(BL2:BS2,"GRE")=0,CHAR(34)&amp;"NO_GRE"&amp;CHAR(34)&amp;",", "")</f>
        <v>"NO_GRE",</v>
      </c>
      <c r="FI2" s="44" t="str">
        <f>IF(COUNTIF(BL2:BT2,"YEL")=0,CHAR(34)&amp;"NO_YEL"&amp;CHAR(34)&amp;",", "")</f>
        <v>"NO_YEL",</v>
      </c>
      <c r="FJ2" s="44" t="str">
        <f>IF(COUNTIF(BL2:BT2,"BLA")=0,CHAR(34)&amp;"NO_BLA"&amp;CHAR(34)&amp;",", "")</f>
        <v>"NO_BLA",</v>
      </c>
      <c r="FK2" s="44" t="str">
        <f>IF(AND(FH2&lt;&gt;"",FF2&lt;&gt;""),CHAR(34)&amp;"WHGRNO"&amp;CHAR(34)&amp;",","")</f>
        <v/>
      </c>
      <c r="FL2" s="44" t="str">
        <f>IF(AND(FI2&lt;&gt;"",FF2&lt;&gt;""),CHAR(34)&amp;"WHYENO"&amp;CHAR(34)&amp;",","")</f>
        <v/>
      </c>
      <c r="FM2" s="44" t="str">
        <f>IF(AND(FJ2&lt;&gt;"",FF2&lt;&gt;""),CHAR(34)&amp;"BAWHNO"&amp;CHAR(34)&amp;",","")</f>
        <v/>
      </c>
      <c r="FN2" s="44" t="str">
        <f>IF(AND(FE2&lt;&gt;"",FF2&lt;&gt;""),CHAR(34)&amp;"BLWHNO"&amp;CHAR(34)&amp;",","")</f>
        <v/>
      </c>
      <c r="FO2" s="44" t="str">
        <f>IF(AND(FE2&lt;&gt;"",FG2&lt;&gt;""),CHAR(34)&amp;"BLRENO"&amp;CHAR(34)&amp;",","")</f>
        <v/>
      </c>
      <c r="FP2" s="44" t="str">
        <f>IF(AND(FF2&lt;&gt;"",FF2&lt;&gt;""),CHAR(34)&amp;"WHRENO"&amp;CHAR(34)&amp;",","")</f>
        <v/>
      </c>
      <c r="FQ2" s="44" t="str">
        <f>IF(LEN(BF2)=3,CHAR(34)&amp;"001"&amp;BF2&amp;CHAR(34)&amp;",","")</f>
        <v/>
      </c>
      <c r="FR2" s="44" t="str">
        <f>IF(LEN(BG2)=3,CHAR(34)&amp;"002"&amp;BG2&amp;CHAR(34)&amp;",","")</f>
        <v/>
      </c>
      <c r="FS2" s="44" t="str">
        <f>IF(LEN(BH2)=3,CHAR(34)&amp;"003"&amp;BH2&amp;CHAR(34)&amp;",","")</f>
        <v/>
      </c>
      <c r="FT2" s="44" t="str">
        <f>CHAR(34)&amp;"myr"&amp;BD2&amp;CHAR(34)&amp;","</f>
        <v>"myrRED",</v>
      </c>
      <c r="FU2" s="44" t="str">
        <f>IF(AY2="y",CHAR(34)&amp;"island"&amp;CHAR(34)&amp;",","")</f>
        <v>"island",</v>
      </c>
      <c r="FV2" s="44" t="str">
        <f>IF(BZ2="y",CHAR(34)&amp;"landlo"&amp;CHAR(34)&amp;",","")</f>
        <v/>
      </c>
      <c r="FW2" s="44" t="str">
        <f>IF(CA2="y",CHAR(34)&amp;"eunion"&amp;CHAR(34)&amp;",","")</f>
        <v/>
      </c>
      <c r="FX2" s="44" t="str">
        <f>SUBSTITUTE(IFERROR(SEARCH("[",A2),IFERROR(IF(AND(CA2&lt;&gt;"y",SEARCH("Europe",R2)&gt;0),CHAR(34)&amp;"noeuni"&amp;CHAR(34)&amp;",",""),"")),"1","")</f>
        <v/>
      </c>
      <c r="FY2" s="44" t="str">
        <f>IFERROR(IF(SEARCH("Arabic",CB2)&gt;0,CHAR(34)&amp;"arabic"&amp;CHAR(34)&amp;",",""),"")</f>
        <v/>
      </c>
      <c r="FZ2" s="44" t="str">
        <f>IFERROR(IF(SEARCH("English",CB2)&gt;0,CHAR(34)&amp;"englis"&amp;CHAR(34)&amp;",",""),"")</f>
        <v/>
      </c>
      <c r="GA2" s="44" t="str">
        <f>IFERROR(IF(SEARCH("French",CB2)&gt;0,CHAR(34)&amp;"french"&amp;CHAR(34)&amp;",",""),"")</f>
        <v>"french",</v>
      </c>
      <c r="GB2" s="44" t="str">
        <f>IFERROR(IF(SEARCH("Spanish",CB2)&gt;0,CHAR(34)&amp;"spanis"&amp;CHAR(34)&amp;",",""),"")</f>
        <v/>
      </c>
      <c r="GC2" s="44" t="str">
        <f>IFERROR(IF(SEARCH("Portuguese",CB2)&gt;0,CHAR(34)&amp;"portug"&amp;CHAR(34)&amp;",",""),"")</f>
        <v/>
      </c>
      <c r="GD2" s="44" t="str">
        <f>IFERROR(IF(SEARCH("German",CB2)&gt;0,CHAR(34)&amp;"german"&amp;CHAR(34)&amp;",",""),"")</f>
        <v/>
      </c>
      <c r="GE2" s="44" t="str">
        <f>IFERROR(IF(SEARCH("Dutch",CB2)&gt;0,CHAR(34)&amp;"dutchs"&amp;CHAR(34)&amp;",",""),"")</f>
        <v/>
      </c>
      <c r="GF2" s="44" t="str">
        <f>IFERROR(IF(SEARCH("Histor",AU2)&gt;0,CHAR(34)&amp;"histor"&amp;CHAR(34)&amp;",",""),"")</f>
        <v/>
      </c>
      <c r="GG2" s="44" t="str">
        <f>IF(BU2="y",CHAR(34)&amp;"unjack"&amp;CHAR(34)&amp;",","")</f>
        <v/>
      </c>
      <c r="GH2" s="44" t="str">
        <f>IF(CD2=1,CHAR(34)&amp;"southc"&amp;CHAR(34)&amp;",","")</f>
        <v/>
      </c>
      <c r="GI2" s="44" t="str">
        <f>IF(CE2=1,CHAR(34)&amp;"hasmap"&amp;CHAR(34)&amp;",","")</f>
        <v/>
      </c>
      <c r="GJ2" s="44" t="str">
        <f>IF(CP2="y",CHAR(34)&amp;CP$1&amp;CHAR(34)&amp;",","")</f>
        <v>"NoStar",</v>
      </c>
      <c r="GK2" s="44" t="str">
        <f>IF(GJ2="",CHAR(34)&amp;"HasSta"&amp;CHAR(34)&amp;",","")</f>
        <v/>
      </c>
      <c r="GL2" s="44" t="str">
        <f t="shared" ref="GL2:GN5" si="5">IF(CQ2="y",CHAR(34)&amp;CQ$1&amp;CHAR(34)&amp;",","")</f>
        <v/>
      </c>
      <c r="GM2" s="44" t="str">
        <f t="shared" si="5"/>
        <v/>
      </c>
      <c r="GN2" s="44" t="str">
        <f t="shared" si="5"/>
        <v/>
      </c>
      <c r="GP2" s="44" t="str">
        <f>CHAR(34)&amp;AU2&amp;CHAR(34)</f>
        <v>""</v>
      </c>
      <c r="GS2" s="44" t="str">
        <f>SUBSTITUTE("["&amp;_xlfn.CONCAT(CW2:GN2)&amp;"]",",]","]")</f>
        <v>["3Color","words2","words3","lets15","startW","with_w","LUEDHI","year19","smallc","NoBand","Diagon","Crosse","Canton","NO_GRE","NO_YEL","NO_BLA","myrRED","island","french","NoStar"]</v>
      </c>
      <c r="GT2" s="44" t="str">
        <f t="shared" ref="GT2:HB5" si="6">IF(BL2&lt;&gt;"",CHAR(34)&amp;"cl_"&amp;BL2&amp;CHAR(34)&amp;",","")</f>
        <v>"cl_RED",</v>
      </c>
      <c r="GU2" s="44" t="str">
        <f t="shared" si="6"/>
        <v>"cl_WHI",</v>
      </c>
      <c r="GV2" s="44" t="str">
        <f t="shared" si="6"/>
        <v>"cl_BLU",</v>
      </c>
      <c r="GW2" s="44" t="str">
        <f t="shared" si="6"/>
        <v/>
      </c>
      <c r="GX2" s="44" t="str">
        <f t="shared" si="6"/>
        <v/>
      </c>
      <c r="GY2" s="44" t="str">
        <f t="shared" si="6"/>
        <v/>
      </c>
      <c r="GZ2" s="44" t="str">
        <f t="shared" si="6"/>
        <v/>
      </c>
      <c r="HA2" s="44" t="str">
        <f t="shared" si="6"/>
        <v/>
      </c>
      <c r="HB2" s="44" t="str">
        <f t="shared" si="6"/>
        <v/>
      </c>
      <c r="HC2" s="44" t="str">
        <f>SUBSTITUTE("["&amp;_xlfn.CONCAT(GT2:HB2)&amp;"]",",]","]")</f>
        <v>["cl_RED","cl_WHI","cl_BLU"]</v>
      </c>
      <c r="HE2" s="64"/>
      <c r="HF2" s="65" t="str">
        <f>"{couname:"&amp;CT2&amp;(IF(HK2&lt;&gt;"",",subtype:"&amp;CHAR(34)&amp;HK2&amp;CHAR(34),""))&amp;",year:"&amp;HJ2&amp;",region:"&amp;CU2&amp;",Colors:"&amp;HC2&amp;",Items:"&amp;GS2&amp;",Flag:"&amp;CV2&amp;",HDFlag:"&amp;CHAR(34)&amp;E2&amp;CHAR(34)&amp;",type:"&amp;GP2&amp;", describe: "&amp;HH2&amp;", isnew:"&amp;CHAR(34)&amp;F2&amp;CHAR(34)&amp;", links: "&amp;HL2&amp;"},"</f>
        <v>{couname:"Wallis and Futuna",year:"1960 ",region:"rgn_Oceania",Colors:["cl_RED","cl_WHI","cl_BLU"],Items:["3Color","words2","words3","lets15","startW","with_w","LUEDHI","year19","smallc","NoBand","Diagon","Crosse","Canton","NO_GRE","NO_YEL","NO_BLA","myrRED","island","french","NoStar"],Flag:"https://upload.wikimedia.org/wikipedia/commons/thumb/d/d2/Flag_of_Wallis_and_Futuna.svg/300px-Flag_of_Wallis_and_Futuna.svg.png",HDFlag:"https://upload.wikimedia.org/wikipedia/commons/thumb/d/d2/Flag_of_Wallis_and_Futuna.svg/2560px-Flag_of_Wallis_and_Futuna.svg.png",type:"", describe: "\nThis flag features a red field with four white isosceles triangles in the middle. The color red symbolizes courage; while the white color represents purity of ideals. The four triangles represents the three native kings of the islands and the French administrator.", isnew:".", links: "https://en.wikipedia.org/wiki/Flag_of_Wallis_and_Futuna"},</v>
      </c>
      <c r="HG2" s="66" t="str">
        <f>"{couname:"&amp;CT2&amp;(IF(HK2&lt;&gt;"",",subtype:"&amp;CHAR(34)&amp;HK2&amp;CHAR(34),""))&amp;",year:"&amp;HJ2&amp;",region:"&amp;CU2&amp;",Colors:"&amp;HC2&amp;",Items:"&amp;GS2&amp;",Flag:"&amp;CV2&amp;",HDFlag:"&amp;CHAR(34)&amp;E2&amp;CHAR(34)&amp;",type:"&amp;GP2&amp;", describe: "&amp;HI2&amp;", links: "&amp;HL2&amp;"},"</f>
        <v>{couname:"Wallis and Futuna",year:"1960 ",region:"rgn_Oceania",Colors:["cl_RED","cl_WHI","cl_BLU"],Items:["3Color","words2","words3","lets15","startW","with_w","LUEDHI","year19","smallc","NoBand","Diagon","Crosse","Canton","NO_GRE","NO_YEL","NO_BLA","myrRED","island","french","NoStar"],Flag:"https://upload.wikimedia.org/wikipedia/commons/thumb/d/d2/Flag_of_Wallis_and_Futuna.svg/300px-Flag_of_Wallis_and_Futuna.svg.png",HDFlag:"https://upload.wikimedia.org/wikipedia/commons/thumb/d/d2/Flag_of_Wallis_and_Futuna.svg/2560px-Flag_of_Wallis_and_Futuna.svg.png",type:"", describe: "\nThis flag features a red field with four white isosceles triangles in the middle. The color red symbolizes courage; while the white color represents purity of ideals. The four triangles represents the three native kings of the islands and the French administrator.", links: "https://en.wikipedia.org/wiki/Flag_of_Wallis_and_Futuna"},</v>
      </c>
      <c r="HH2" s="44" t="str">
        <f>IF(P2&lt;&gt;"",CHAR(34)&amp;"\n"&amp;P2&amp;CHAR(34),CHAR(34)&amp;CHAR(34))</f>
        <v>"\nThis flag features a red field with four white isosceles triangles in the middle. The color red symbolizes courage; while the white color represents purity of ideals. The four triangles represents the three native kings of the islands and the French administrator."</v>
      </c>
      <c r="HI2" s="44" t="str">
        <f>IF(J2=0,CHAR(34)&amp;CHAR(34),HH2)</f>
        <v>"\nThis flag features a red field with four white isosceles triangles in the middle. The color red symbolizes courage; while the white color represents purity of ideals. The four triangles represents the three native kings of the islands and the French administrator."</v>
      </c>
      <c r="HJ2" s="44" t="str">
        <f>CHAR(34)&amp;O2&amp;CHAR(34)</f>
        <v>"1960 "</v>
      </c>
      <c r="HL2" s="44" t="str">
        <f>CHAR(34)&amp;I2&amp;CHAR(34)</f>
        <v>"https://en.wikipedia.org/wiki/Flag_of_Wallis_and_Futuna"</v>
      </c>
      <c r="HM2" s="65"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{"couname":"Wallis and Futuna","year":"1960 ","region":"rgn_Oceania","Colors":["cl_RED","cl_WHI","cl_BLU"],"Items":["3Color","words2","words3","lets15","startW","with_w","LUEDHI","year19","smallc","NoBand","Diagon","Crosse","Canton","NO_GRE","NO_YEL","NO_BLA","myrRED","island","french","NoStar"],"Flag":"https://upload.wikimedia.org/wikipedia/commons/thumb/d/d2/Flag_of_Wallis_and_Futuna.svg/300px-Flag_of_Wallis_and_Futuna.svg.png","HDFlag":"https://upload.wikimedia.org/wikipedia/commons/thumb/d/d2/Flag_of_Wallis_and_Futuna.svg/2560px-Flag_of_Wallis_and_Futuna.svg.png","type":"", "describe": "\nThis flag features a red field with four white isosceles triangles in the middle. The color red symbolizes courage; while the white color represents purity of ideals. The four triangles represents the three native kings of the islands and the French administrator.", "isnew": ".", "links": "https://en.wikipedia.org/wiki/Flag_of_Wallis_and_Futuna"},</v>
      </c>
      <c r="HN2" s="67"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{"couname":"Wallis and Futuna","year":"1960 ","region":"rgn_Oceania","Colors":["cl_RED","cl_WHI","cl_BLU"],"Items":["3Color","words2","words3","lets15","startW","with_w","LUEDHI","year19","smallc","NoBand","Diagon","Crosse","Canton","NO_GRE","NO_YEL","NO_BLA","myrRED","island","french","NoStar"],"Flag":"https://upload.wikimedia.org/wikipedia/commons/thumb/d/d2/Flag_of_Wallis_and_Futuna.svg/300px-Flag_of_Wallis_and_Futuna.svg.png","HDFlag":"https://upload.wikimedia.org/wikipedia/commons/thumb/d/d2/Flag_of_Wallis_and_Futuna.svg/2560px-Flag_of_Wallis_and_Futuna.svg.png","type":"", "describe": "\nThis flag features a red field with four white isosceles triangles in the middle. The color red symbolizes courage; while the white color represents purity of ideals. The four triangles represents the three native kings of the islands and the French administrator.", "isnew": ".", "links": "https://en.wikipedia.org/wiki/Flag_of_Wallis_and_Futuna"},</v>
      </c>
      <c r="HO2" s="71"/>
      <c r="HP2" s="44" t="str" cm="1">
        <f t="array" ref="HP2">IF(_xlfn.TEXTJOIN(", ", TRUE, IF(ISNUMBER(SEARCH("BLA", BL2:BT2)), COLUMN(BL2:BT2) - COLUMN(BL2) + 1, ""))&lt;&gt;"","BLA","")</f>
        <v/>
      </c>
      <c r="HQ2" s="44" t="str" cm="1">
        <f t="array" ref="HQ2">IF(_xlfn.TEXTJOIN(", ", TRUE, IF(ISNUMBER(SEARCH("BLU", BL2:BT2)), COLUMN(BL2:BT2) - COLUMN(BL2) + 1, ""))&lt;&gt;"","BLU","")</f>
        <v>BLU</v>
      </c>
      <c r="HR2" s="44" t="str" cm="1">
        <f t="array" ref="HR2">IF(_xlfn.TEXTJOIN(", ", TRUE, IF(ISNUMBER(SEARCH("GRE", BL2:BT2)), COLUMN(BL2:BT2) - COLUMN(BL2) + 1, ""))&lt;&gt;"","GRE","")</f>
        <v/>
      </c>
      <c r="HS2" s="44" t="str" cm="1">
        <f t="array" ref="HS2">IF(_xlfn.TEXTJOIN(", ", TRUE, IF(ISNUMBER(SEARCH("RED", BL2:BT2)), COLUMN(BL2:BT2) - COLUMN(BL2) + 1, ""))&lt;&gt;"","RED","")</f>
        <v>RED</v>
      </c>
      <c r="HT2" s="44" t="str" cm="1">
        <f t="array" ref="HT2">IF(_xlfn.TEXTJOIN(", ", TRUE, IF(ISNUMBER(SEARCH("YEL", BL2:BT2)), COLUMN(BL2:BT2) - COLUMN(BL2) + 1, ""))&lt;&gt;"","YEL","")</f>
        <v/>
      </c>
      <c r="HU2" s="44" t="str" cm="1">
        <f t="array" ref="HU2">IF(_xlfn.TEXTJOIN(", ", TRUE, IF(ISNUMBER(SEARCH("ORA", BL2:BT2)), COLUMN(BL2:BT2) - COLUMN(BL2) + 1, ""))&lt;&gt;"","ORA","")</f>
        <v/>
      </c>
      <c r="HV2" s="44" t="str" cm="1">
        <f t="array" ref="HV2">IF(_xlfn.TEXTJOIN(", ", TRUE, IF(ISNUMBER(SEARCH("BRO", BL2:BT2)), COLUMN(BL2:BT2) - COLUMN(BL2) + 1, ""))&lt;&gt;"","BRO","")</f>
        <v/>
      </c>
      <c r="HW2" s="44" t="str" cm="1">
        <f t="array" ref="HW2">IF(_xlfn.TEXTJOIN(", ", TRUE, IF(ISNUMBER(SEARCH("PUR", BL2:BT2)), COLUMN(BL2:BT2) - COLUMN(BL2) + 1, ""))&lt;&gt;"","PUR","")</f>
        <v/>
      </c>
      <c r="HX2" s="44" t="str" cm="1">
        <f t="array" ref="HX2">IF(_xlfn.TEXTJOIN(", ", TRUE, IF(ISNUMBER(SEARCH("WHI", BL2:BT2)), COLUMN(BL2:BT2) - COLUMN(BL2) + 1, ""))&lt;&gt;"","WHI","")</f>
        <v>WHI</v>
      </c>
      <c r="HY2" s="72"/>
      <c r="HZ2" s="72"/>
      <c r="IA2" s="5" t="s">
        <v>166</v>
      </c>
      <c r="IB2" s="5"/>
      <c r="IC2" s="68"/>
      <c r="ID2" s="68"/>
      <c r="IE2" s="68"/>
      <c r="IF2" s="68"/>
      <c r="IG2" s="68"/>
      <c r="IH2" s="68"/>
      <c r="II2" s="68"/>
      <c r="IJ2" s="68"/>
      <c r="IK2" s="68"/>
      <c r="IL2" s="44">
        <f>SUM(IC2:IK2)</f>
        <v>0</v>
      </c>
      <c r="IM2" s="42">
        <f>COUNTIF(IC2:IK2,"&gt;0")-CG2</f>
        <v>-3</v>
      </c>
      <c r="IN2" s="69" t="str">
        <f>"http://mkweb.bcgsc.ca/color-summarizer/?url="&amp;D2&amp;"&amp;precision=low&amp;num_clusters="&amp;CG2&amp;"&amp;text=1"</f>
        <v>http://mkweb.bcgsc.ca/color-summarizer/?url=https://upload.wikimedia.org/wikipedia/commons/thumb/d/d2/Flag_of_Wallis_and_Futuna.svg/300px-Flag_of_Wallis_and_Futuna.svg.png&amp;precision=low&amp;num_clusters=3&amp;text=1</v>
      </c>
      <c r="IO2" s="44" t="str">
        <f>IF(HP2&lt;&gt;"",CHAR(34)&amp;"black"&amp;CHAR(34),"")</f>
        <v/>
      </c>
      <c r="IP2" s="44" t="str">
        <f>IF(HQ2&lt;&gt;"",CHAR(34)&amp;"blue"&amp;CHAR(34),"")</f>
        <v>"blue"</v>
      </c>
      <c r="IQ2" s="44" t="str">
        <f>IF(HR2&lt;&gt;"",CHAR(34)&amp;"green"&amp;CHAR(34),"")</f>
        <v/>
      </c>
      <c r="IR2" s="44" t="str">
        <f>IF(HS2&lt;&gt;"",CHAR(34)&amp;"red"&amp;CHAR(34),"")</f>
        <v>"red"</v>
      </c>
      <c r="IS2" s="44" t="str">
        <f>IF(HT2&lt;&gt;"",CHAR(34)&amp;"yellow"&amp;CHAR(34),"")</f>
        <v/>
      </c>
      <c r="IT2" s="44" t="str">
        <f>IF(HU2&lt;&gt;"",CHAR(34)&amp;"orange"&amp;CHAR(34),"")</f>
        <v/>
      </c>
      <c r="IU2" s="44" t="str">
        <f>IF(HV2&lt;&gt;"",CHAR(34)&amp;"brown"&amp;CHAR(34),"")</f>
        <v/>
      </c>
      <c r="IV2" s="44" t="str">
        <f>IF(HW2&lt;&gt;"",CHAR(34)&amp;"purple"&amp;CHAR(34),"")</f>
        <v/>
      </c>
      <c r="IW2" s="44" t="str">
        <f>IF(HX2&lt;&gt;"",CHAR(34)&amp;"white"&amp;CHAR(34),"")</f>
        <v>"white"</v>
      </c>
      <c r="IX2" s="44" t="str">
        <f>"{"&amp;CHAR(34)&amp;"url"&amp;CHAR(34)&amp;":"&amp;CHAR(34)&amp;IN2&amp;CHAR(34)&amp;","&amp;CHAR(34)&amp;"name"&amp;CHAR(34)&amp;":"&amp;CHAR(34)&amp;A2&amp;CHAR(34)&amp;"},"</f>
        <v>{"url":"http://mkweb.bcgsc.ca/color-summarizer/?url=https://upload.wikimedia.org/wikipedia/commons/thumb/d/d2/Flag_of_Wallis_and_Futuna.svg/300px-Flag_of_Wallis_and_Futuna.svg.png&amp;precision=low&amp;num_clusters=3&amp;text=1","name":"Wallis and Futuna"},</v>
      </c>
      <c r="IY2" s="44">
        <v>240</v>
      </c>
    </row>
    <row r="3" spans="1:259" s="44" customFormat="1" ht="38.4" customHeight="1" thickBot="1" x14ac:dyDescent="0.35">
      <c r="A3" s="80" t="s">
        <v>801</v>
      </c>
      <c r="B3" s="78" t="e" vm="116">
        <v>#VALUE!</v>
      </c>
      <c r="C3" s="39">
        <v>2</v>
      </c>
      <c r="D3" s="70" t="s">
        <v>802</v>
      </c>
      <c r="E3" s="40" t="s">
        <v>803</v>
      </c>
      <c r="F3" s="41" t="s">
        <v>165</v>
      </c>
      <c r="G3" s="42">
        <f>COUNTIF($A$1:$A$8344,A3)</f>
        <v>1</v>
      </c>
      <c r="H3" s="43"/>
      <c r="I3" s="59" t="s">
        <v>804</v>
      </c>
      <c r="J3" s="44" t="str">
        <f>""</f>
        <v/>
      </c>
      <c r="K3" s="45"/>
      <c r="L3" s="46"/>
      <c r="M3" s="46"/>
      <c r="N3" s="47" t="s">
        <v>177</v>
      </c>
      <c r="O3" s="74" t="s">
        <v>230</v>
      </c>
      <c r="P3" s="48" t="s">
        <v>805</v>
      </c>
      <c r="Q3" s="73">
        <v>1</v>
      </c>
      <c r="R3" s="49" t="s">
        <v>177</v>
      </c>
      <c r="S3" s="50">
        <v>0</v>
      </c>
      <c r="T3" s="51" t="s">
        <v>167</v>
      </c>
      <c r="U3" s="52" t="s">
        <v>167</v>
      </c>
      <c r="V3" s="52" t="s">
        <v>166</v>
      </c>
      <c r="W3" s="52" t="s">
        <v>166</v>
      </c>
      <c r="X3" s="52" t="s">
        <v>166</v>
      </c>
      <c r="Y3" s="52" t="s">
        <v>166</v>
      </c>
      <c r="Z3" s="52" t="s">
        <v>166</v>
      </c>
      <c r="AA3" s="52" t="s">
        <v>167</v>
      </c>
      <c r="AB3" s="52" t="s">
        <v>166</v>
      </c>
      <c r="AC3" s="52" t="s">
        <v>167</v>
      </c>
      <c r="AD3" s="52" t="s">
        <v>166</v>
      </c>
      <c r="AE3" s="52" t="s">
        <v>166</v>
      </c>
      <c r="AF3" s="53" t="s">
        <v>166</v>
      </c>
      <c r="AG3" s="53" t="s">
        <v>166</v>
      </c>
      <c r="AH3" s="53" t="s">
        <v>166</v>
      </c>
      <c r="AI3" s="53" t="s">
        <v>167</v>
      </c>
      <c r="AJ3" s="53" t="s">
        <v>166</v>
      </c>
      <c r="AK3" s="53" t="s">
        <v>166</v>
      </c>
      <c r="AL3" s="53" t="s">
        <v>166</v>
      </c>
      <c r="AM3" s="53" t="s">
        <v>166</v>
      </c>
      <c r="AN3" s="53" t="s">
        <v>166</v>
      </c>
      <c r="AO3" s="53" t="s">
        <v>166</v>
      </c>
      <c r="AP3" s="53" t="s">
        <v>166</v>
      </c>
      <c r="AQ3" s="53" t="s">
        <v>166</v>
      </c>
      <c r="AR3" s="53" t="s">
        <v>166</v>
      </c>
      <c r="AS3" s="53" t="s">
        <v>166</v>
      </c>
      <c r="AT3" s="54">
        <v>0</v>
      </c>
      <c r="AU3" s="53" t="s">
        <v>806</v>
      </c>
      <c r="AV3" s="53" t="str">
        <f>IF(LEFT(A3,1)="[",LEFT(A3,5)&amp;AU3&amp;A3,"")</f>
        <v>[WLF]Chiefdom[WLF] Alo</v>
      </c>
      <c r="AW3" s="53" t="str">
        <f>C3&amp;H3&amp;A3</f>
        <v>2[WLF] Alo</v>
      </c>
      <c r="AX3" s="55"/>
      <c r="AY3" s="55"/>
      <c r="AZ3" s="56"/>
      <c r="BA3" s="56"/>
      <c r="BB3" s="56"/>
      <c r="BC3" s="57"/>
      <c r="BD3" s="58" t="s">
        <v>156</v>
      </c>
      <c r="BE3" s="59"/>
      <c r="BF3" s="58"/>
      <c r="BG3" s="58"/>
      <c r="BH3" s="58"/>
      <c r="BI3" s="58"/>
      <c r="BJ3" s="58"/>
      <c r="BK3" s="59"/>
      <c r="BL3" s="58" t="s">
        <v>156</v>
      </c>
      <c r="BM3" s="58" t="s">
        <v>155</v>
      </c>
      <c r="BN3" s="58" t="s">
        <v>157</v>
      </c>
      <c r="BO3" s="58" t="s">
        <v>154</v>
      </c>
      <c r="BP3" s="58" t="s">
        <v>161</v>
      </c>
      <c r="BQ3" s="58"/>
      <c r="BR3" s="58"/>
      <c r="BS3" s="58"/>
      <c r="BT3" s="58"/>
      <c r="BU3" s="60" t="s">
        <v>166</v>
      </c>
      <c r="BV3" s="61"/>
      <c r="BW3" s="61">
        <v>0</v>
      </c>
      <c r="BX3" s="59"/>
      <c r="BY3" s="44" t="s">
        <v>166</v>
      </c>
      <c r="CB3" s="5"/>
      <c r="CC3" s="5"/>
      <c r="CD3" s="62">
        <v>0</v>
      </c>
      <c r="CE3" s="62">
        <v>0</v>
      </c>
      <c r="CF3" s="62" t="e">
        <v>#REF!</v>
      </c>
      <c r="CG3" s="75" cm="1">
        <f t="array" ref="CG3">SUMPRODUCT(--(LEN(TRIM(BL3:BT3))&gt;0))</f>
        <v>5</v>
      </c>
      <c r="CH3" s="53" t="str">
        <f>IF(CG3=2,"y","n")</f>
        <v>n</v>
      </c>
      <c r="CI3" s="53" t="str">
        <f>IF(CG3=3,"y","n")</f>
        <v>n</v>
      </c>
      <c r="CJ3" s="53" t="str">
        <f>IF(CG3=4,"y","n")</f>
        <v>n</v>
      </c>
      <c r="CK3" s="53" t="str">
        <f>IF(CG3&gt;4,"y","n")</f>
        <v>y</v>
      </c>
      <c r="CL3" s="53" t="str">
        <f>IF(S3=0,"y","n")</f>
        <v>y</v>
      </c>
      <c r="CM3" s="53" t="str">
        <f>IF(S3=2,"y","n")</f>
        <v>n</v>
      </c>
      <c r="CN3" s="53" t="str">
        <f>IF(S3=3,"y","n")</f>
        <v>n</v>
      </c>
      <c r="CO3" s="53" t="str">
        <f>IF(S3&gt;=4,"y","n")</f>
        <v>n</v>
      </c>
      <c r="CP3" s="53" t="str">
        <f>IF(AT3=0,"y","n")</f>
        <v>y</v>
      </c>
      <c r="CQ3" s="53" t="str">
        <f>IF(AT3=1,"y","n")</f>
        <v>n</v>
      </c>
      <c r="CR3" s="53" t="str">
        <f>IF(AT3=2,"y","n")</f>
        <v>n</v>
      </c>
      <c r="CS3" s="53" t="str">
        <f>IF(AT3&gt;=3,"y","n")</f>
        <v>n</v>
      </c>
      <c r="CT3" s="38" t="str">
        <f>CHAR(34)&amp;A3&amp;CHAR(34)</f>
        <v>"[WLF] Alo"</v>
      </c>
      <c r="CU3" s="63" t="str">
        <f>CHAR(34)&amp;"rgn_"&amp;R3&amp;CHAR(34)</f>
        <v>"rgn_Oceania"</v>
      </c>
      <c r="CV3" s="44" t="str">
        <f>CHAR(34)&amp;D3&amp;CHAR(34)</f>
        <v>"https://upload.wikimedia.org/wikipedia/commons/thumb/f/fa/Flag_of_Alo.svg/640px-Flag_of_Alo.svg.png"</v>
      </c>
      <c r="CW3" s="44" t="str">
        <f t="shared" si="0"/>
        <v/>
      </c>
      <c r="CX3" s="44" t="str">
        <f t="shared" si="0"/>
        <v/>
      </c>
      <c r="CY3" s="44" t="str">
        <f t="shared" si="0"/>
        <v/>
      </c>
      <c r="CZ3" s="44" t="str">
        <f t="shared" si="0"/>
        <v>"5+Colo",</v>
      </c>
      <c r="DA3" s="44" t="str">
        <f>IF(Q3&gt;1,CHAR(34)&amp;"words2"&amp;CHAR(34)&amp;",","")</f>
        <v/>
      </c>
      <c r="DB3" s="44" t="str">
        <f>IF(Q3&gt;2,CHAR(34)&amp;"words3"&amp;CHAR(34)&amp;",","")</f>
        <v/>
      </c>
      <c r="DD3" s="44"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"lets03",</v>
      </c>
      <c r="DE3" s="44" t="str">
        <f>CHAR(34)&amp;"start"&amp;IFERROR(LEFT(SUBSTITUTE(A3,"["&amp;MID(A3,FIND("[",A3)+1,FIND("]",A3)-FIND("[",A3)-1)&amp;"] ",""),1),LEFT(A3,1))&amp;CHAR(34)&amp;","</f>
        <v>"startA",</v>
      </c>
      <c r="DF3" s="44" t="str">
        <f>IFERROR(IF(SEARCH("tan",A3)&gt;0,CHAR(34)&amp;"withtn"&amp;CHAR(34)&amp;",",""),"")</f>
        <v/>
      </c>
      <c r="DG3" s="44" t="str">
        <f>IFERROR(IF(SEARCH("q",A3)&gt;0,CHAR(34)&amp;"with_q"&amp;CHAR(34)&amp;",",""),"")</f>
        <v/>
      </c>
      <c r="DH3" s="44" t="str">
        <f>IFERROR(IF(SEARCH("v",A3)&gt;0,CHAR(34)&amp;"with_v"&amp;CHAR(34)&amp;",",""),"")</f>
        <v/>
      </c>
      <c r="DI3" s="44" t="str">
        <f>IFERROR(IF(SEARCH("w",A3)&gt;0,CHAR(34)&amp;"with_w"&amp;CHAR(34)&amp;",",""),"")</f>
        <v>"with_w",</v>
      </c>
      <c r="DJ3" s="44" t="str">
        <f>IFERROR(IF(SEARCH("y",A3)&gt;0,CHAR(34)&amp;"with_y"&amp;CHAR(34)&amp;",",""),"")</f>
        <v/>
      </c>
      <c r="DK3" s="44" t="str">
        <f>IFERROR(IF(SEARCH("z",A3)&gt;0,CHAR(34)&amp;"with_z"&amp;CHAR(34)&amp;",",""),"")</f>
        <v/>
      </c>
      <c r="DL3" s="44" t="str">
        <f>IF(CG3=2, CHAR(34) &amp; _xlfn.TEXTJOIN("", TRUE, _xlfn._xlws.SORT(HP3:HX3)) &amp; CHAR(34) &amp; ",", "")</f>
        <v/>
      </c>
      <c r="DM3" s="44" t="str" cm="1">
        <f t="array" ref="DM3">IF(CG3=3,CHAR(34) &amp; _xlfn.TEXTJOIN("", TRUE, RIGHT(HP3:HX3, 2)) &amp; CHAR(34) &amp; ",", "")</f>
        <v/>
      </c>
      <c r="DN3" s="44" t="str">
        <f>IF(AND(ISNUMBER(SEARCH("18", O3)), ISERROR(SEARCH("1918", O3)), ISERROR(SEARCH("2018", O3))), CHAR(34) &amp; "year18" &amp; CHAR(34) &amp; ",", "")</f>
        <v/>
      </c>
      <c r="DO3" s="44" t="str">
        <f>IF(AND(ISNUMBER(SEARCH("19", O3)), ISERROR(SEARCH("1819", O3)),  ISERROR(SEARCH("1219", O3)),ISERROR(SEARCH("1119", O3)),ISERROR(SEARCH("1190", O3)),ISERROR(SEARCH("2019", O3))), CHAR(34) &amp; "year19" &amp; CHAR(34) &amp; ",", "")</f>
        <v/>
      </c>
      <c r="DP3" s="5" t="str">
        <f>IF(AND(ISNUMBER(SEARCH("20", O3)), ISERROR(SEARCH("1920", O3))), CHAR(34)&amp;"year00"&amp;CHAR(34)&amp;",", "")</f>
        <v/>
      </c>
      <c r="DQ3" s="5" t="str">
        <f>IF(CC3="y",CHAR(34)&amp;"soviet"&amp;CHAR(34)&amp;",","")</f>
        <v/>
      </c>
      <c r="DR3" s="5" t="str">
        <f>IF(BY3="y",CHAR(34)&amp;"dgband"&amp;CHAR(34)&amp;",","")</f>
        <v/>
      </c>
      <c r="DS3" s="5" t="str">
        <f>IF(W3="y",IF(AND(V3="n",BY3&lt;&gt;"y"),CHAR(34)&amp;"allver"&amp;CHAR(34)&amp;",",""),"")</f>
        <v/>
      </c>
      <c r="DT3" s="5" t="str">
        <f>IF(V3="y",IF(AND(W3="n",BY3&lt;&gt;"y"),CHAR(34)&amp;"allhor"&amp;CHAR(34)&amp;",",""),"")</f>
        <v/>
      </c>
      <c r="DU3" s="5" t="str">
        <f>IF(BY3="y",IF(AND(W3="n",V3="n"),CHAR(34)&amp;"alldia"&amp;CHAR(34)&amp;",",""),"")</f>
        <v/>
      </c>
      <c r="DW3" s="44" t="str">
        <f t="shared" si="1"/>
        <v>"NoBand",</v>
      </c>
      <c r="DX3" s="44" t="str">
        <f t="shared" si="1"/>
        <v/>
      </c>
      <c r="DY3" s="44" t="str">
        <f t="shared" si="1"/>
        <v/>
      </c>
      <c r="DZ3" s="44" t="str">
        <f t="shared" si="1"/>
        <v/>
      </c>
      <c r="EA3" s="44" t="str">
        <f t="shared" si="2"/>
        <v>"Diagon",</v>
      </c>
      <c r="EB3" s="44" t="str">
        <f t="shared" si="2"/>
        <v>"Crosse",</v>
      </c>
      <c r="EC3" s="44" t="str">
        <f t="shared" si="2"/>
        <v/>
      </c>
      <c r="ED3" s="44" t="str">
        <f t="shared" si="2"/>
        <v/>
      </c>
      <c r="EE3" s="44" t="str">
        <f t="shared" si="2"/>
        <v/>
      </c>
      <c r="EF3" s="44" t="str">
        <f>IF(AND(Y3&lt;&gt;"n",Y3&lt;&gt;""),CHAR(34)&amp;Y$1&amp;CHAR(34)&amp;",","")</f>
        <v/>
      </c>
      <c r="EG3" s="44" t="str">
        <f t="shared" si="3"/>
        <v/>
      </c>
      <c r="EH3" s="44" t="str">
        <f t="shared" si="3"/>
        <v>"Plants",</v>
      </c>
      <c r="EI3" s="44" t="str">
        <f t="shared" si="3"/>
        <v/>
      </c>
      <c r="EJ3" s="44" t="str">
        <f t="shared" si="3"/>
        <v>"Weapon",</v>
      </c>
      <c r="EK3" s="44" t="str">
        <f t="shared" si="3"/>
        <v/>
      </c>
      <c r="EL3" s="44" t="str">
        <f t="shared" si="3"/>
        <v/>
      </c>
      <c r="EM3" s="44" t="str">
        <f t="shared" si="3"/>
        <v/>
      </c>
      <c r="EN3" s="44" t="str">
        <f t="shared" si="3"/>
        <v/>
      </c>
      <c r="EO3" s="44" t="str">
        <f t="shared" si="3"/>
        <v/>
      </c>
      <c r="EP3" s="44" t="str">
        <f t="shared" si="3"/>
        <v>"Canton",</v>
      </c>
      <c r="EQ3" s="44" t="str">
        <f t="shared" si="4"/>
        <v/>
      </c>
      <c r="ER3" s="44" t="str">
        <f t="shared" si="4"/>
        <v/>
      </c>
      <c r="ES3" s="44" t="str">
        <f t="shared" si="4"/>
        <v/>
      </c>
      <c r="ET3" s="44" t="str">
        <f t="shared" si="4"/>
        <v/>
      </c>
      <c r="EU3" s="44" t="str">
        <f t="shared" si="4"/>
        <v/>
      </c>
      <c r="EV3" s="44" t="str">
        <f t="shared" si="4"/>
        <v/>
      </c>
      <c r="EW3" s="44" t="str">
        <f t="shared" si="4"/>
        <v/>
      </c>
      <c r="EX3" s="44" t="str">
        <f t="shared" si="4"/>
        <v/>
      </c>
      <c r="EY3" s="44" t="str">
        <f t="shared" si="4"/>
        <v/>
      </c>
      <c r="EZ3" s="44" t="str">
        <f t="shared" si="4"/>
        <v/>
      </c>
      <c r="FA3" s="44" t="str">
        <f>IF(AT3&gt;0,CHAR(34)&amp;"sta"&amp;AZ3&amp;CHAR(34)&amp;",","")</f>
        <v/>
      </c>
      <c r="FB3" s="44" t="str">
        <f>IF(AND(AT3&gt;0,BA3&lt;&gt;""),CHAR(34)&amp;"sta"&amp;BA3&amp;CHAR(34)&amp;",","")</f>
        <v/>
      </c>
      <c r="FD3" s="44" t="str">
        <f>IF(BV3="n",CHAR(34)&amp;"tcWHYE"&amp;CHAR(34)&amp;",",IF(BV3="y",CHAR(34)&amp;FD$1&amp;CHAR(34)&amp;",",""))</f>
        <v/>
      </c>
      <c r="FE3" s="44" t="str">
        <f>IF(COUNTIF(BL3:BT3,"BLU")=0,CHAR(34)&amp;"NO_BLU"&amp;CHAR(34)&amp;",", "")</f>
        <v/>
      </c>
      <c r="FF3" s="44" t="str">
        <f>IF(COUNTIF(BL3:BT3,"WHI")=0,CHAR(34)&amp;"NO_WHI"&amp;CHAR(34)&amp;",", "")</f>
        <v/>
      </c>
      <c r="FG3" s="44" t="str">
        <f>IF(COUNTIF(BL3:BT3,"RED")=0,CHAR(34)&amp;"NO_RED"&amp;CHAR(34)&amp;",", "")</f>
        <v/>
      </c>
      <c r="FH3" s="44" t="str">
        <f>IF(COUNTIF(BL3:BS3,"GRE")=0,CHAR(34)&amp;"NO_GRE"&amp;CHAR(34)&amp;",", "")</f>
        <v/>
      </c>
      <c r="FI3" s="44" t="str">
        <f>IF(COUNTIF(BL3:BT3,"YEL")=0,CHAR(34)&amp;"NO_YEL"&amp;CHAR(34)&amp;",", "")</f>
        <v/>
      </c>
      <c r="FJ3" s="44" t="str">
        <f>IF(COUNTIF(BL3:BT3,"BLA")=0,CHAR(34)&amp;"NO_BLA"&amp;CHAR(34)&amp;",", "")</f>
        <v>"NO_BLA",</v>
      </c>
      <c r="FK3" s="44" t="str">
        <f>IF(AND(FH3&lt;&gt;"",FF3&lt;&gt;""),CHAR(34)&amp;"WHGRNO"&amp;CHAR(34)&amp;",","")</f>
        <v/>
      </c>
      <c r="FL3" s="44" t="str">
        <f>IF(AND(FI3&lt;&gt;"",FF3&lt;&gt;""),CHAR(34)&amp;"WHYENO"&amp;CHAR(34)&amp;",","")</f>
        <v/>
      </c>
      <c r="FM3" s="44" t="str">
        <f>IF(AND(FJ3&lt;&gt;"",FF3&lt;&gt;""),CHAR(34)&amp;"BAWHNO"&amp;CHAR(34)&amp;",","")</f>
        <v/>
      </c>
      <c r="FN3" s="44" t="str">
        <f>IF(AND(FE3&lt;&gt;"",FF3&lt;&gt;""),CHAR(34)&amp;"BLWHNO"&amp;CHAR(34)&amp;",","")</f>
        <v/>
      </c>
      <c r="FO3" s="44" t="str">
        <f>IF(AND(FE3&lt;&gt;"",FG3&lt;&gt;""),CHAR(34)&amp;"BLRENO"&amp;CHAR(34)&amp;",","")</f>
        <v/>
      </c>
      <c r="FP3" s="44" t="str">
        <f>IF(AND(FF3&lt;&gt;"",FF3&lt;&gt;""),CHAR(34)&amp;"WHRENO"&amp;CHAR(34)&amp;",","")</f>
        <v/>
      </c>
      <c r="FQ3" s="44" t="str">
        <f>IF(LEN(BF3)=3,CHAR(34)&amp;"001"&amp;BF3&amp;CHAR(34)&amp;",","")</f>
        <v/>
      </c>
      <c r="FR3" s="44" t="str">
        <f>IF(LEN(BG3)=3,CHAR(34)&amp;"002"&amp;BG3&amp;CHAR(34)&amp;",","")</f>
        <v/>
      </c>
      <c r="FS3" s="44" t="str">
        <f>IF(LEN(BH3)=3,CHAR(34)&amp;"003"&amp;BH3&amp;CHAR(34)&amp;",","")</f>
        <v/>
      </c>
      <c r="FT3" s="44" t="str">
        <f>CHAR(34)&amp;"myr"&amp;BD3&amp;CHAR(34)&amp;","</f>
        <v>"myrRED",</v>
      </c>
      <c r="FU3" s="44" t="str">
        <f>IF(AY3="y",CHAR(34)&amp;"island"&amp;CHAR(34)&amp;",","")</f>
        <v/>
      </c>
      <c r="FV3" s="44" t="str">
        <f>IF(BZ3="y",CHAR(34)&amp;"landlo"&amp;CHAR(34)&amp;",","")</f>
        <v/>
      </c>
      <c r="FW3" s="44" t="str">
        <f>IF(CA3="y",CHAR(34)&amp;"eunion"&amp;CHAR(34)&amp;",","")</f>
        <v/>
      </c>
      <c r="FY3" s="44" t="str">
        <f>IFERROR(IF(SEARCH("Arabic",CB3)&gt;0,CHAR(34)&amp;"arabic"&amp;CHAR(34)&amp;",",""),"")</f>
        <v/>
      </c>
      <c r="FZ3" s="44" t="str">
        <f>IFERROR(IF(SEARCH("English",CB3)&gt;0,CHAR(34)&amp;"englis"&amp;CHAR(34)&amp;",",""),"")</f>
        <v/>
      </c>
      <c r="GA3" s="44" t="str">
        <f>IFERROR(IF(SEARCH("French",CB3)&gt;0,CHAR(34)&amp;"french"&amp;CHAR(34)&amp;",",""),"")</f>
        <v/>
      </c>
      <c r="GB3" s="44" t="str">
        <f>IFERROR(IF(SEARCH("Spanish",CB3)&gt;0,CHAR(34)&amp;"spanis"&amp;CHAR(34)&amp;",",""),"")</f>
        <v/>
      </c>
      <c r="GE3" s="44" t="str">
        <f>IFERROR(IF(SEARCH("Dutch",CB3)&gt;0,CHAR(34)&amp;"dutchs"&amp;CHAR(34)&amp;",",""),"")</f>
        <v/>
      </c>
      <c r="GF3" s="44" t="str">
        <f>IFERROR(IF(SEARCH("Historical",AU3)&gt;0,CHAR(34)&amp;"histor"&amp;CHAR(34)&amp;",",""),"")</f>
        <v/>
      </c>
      <c r="GG3" s="44" t="str">
        <f>IF(BU3="y",CHAR(34)&amp;"unjack"&amp;CHAR(34)&amp;",","")</f>
        <v/>
      </c>
      <c r="GH3" s="44" t="str">
        <f>IF(CD3=1,CHAR(34)&amp;"southc"&amp;CHAR(34)&amp;",","")</f>
        <v/>
      </c>
      <c r="GI3" s="44" t="str">
        <f>IF(CE3=1,CHAR(34)&amp;"hasmap"&amp;CHAR(34)&amp;",","")</f>
        <v/>
      </c>
      <c r="GJ3" s="44" t="str">
        <f>IF(CP3="y",CHAR(34)&amp;CP$1&amp;CHAR(34)&amp;",","")</f>
        <v>"NoStar",</v>
      </c>
      <c r="GK3" s="44" t="str">
        <f>IF(GJ3="",CHAR(34)&amp;"HasSta"&amp;CHAR(34)&amp;",","")</f>
        <v/>
      </c>
      <c r="GL3" s="44" t="str">
        <f t="shared" si="5"/>
        <v/>
      </c>
      <c r="GM3" s="44" t="str">
        <f t="shared" si="5"/>
        <v/>
      </c>
      <c r="GN3" s="44" t="str">
        <f t="shared" si="5"/>
        <v/>
      </c>
      <c r="GP3" s="44" t="str">
        <f>CHAR(34)&amp;AU3&amp;CHAR(34)</f>
        <v>"Chiefdom"</v>
      </c>
      <c r="GS3" s="44" t="str">
        <f>SUBSTITUTE("["&amp;_xlfn.CONCAT(CW3:GN3)&amp;"]",",]","]")</f>
        <v>["5+Colo","lets03","startA","with_w","NoBand","Diagon","Crosse","Plants","Weapon","Canton","NO_BLA","myrRED","NoStar"]</v>
      </c>
      <c r="GT3" s="44" t="str">
        <f t="shared" si="6"/>
        <v>"cl_RED",</v>
      </c>
      <c r="GU3" s="44" t="str">
        <f t="shared" si="6"/>
        <v>"cl_GRE",</v>
      </c>
      <c r="GV3" s="44" t="str">
        <f t="shared" si="6"/>
        <v>"cl_YEL",</v>
      </c>
      <c r="GW3" s="44" t="str">
        <f t="shared" si="6"/>
        <v>"cl_BLU",</v>
      </c>
      <c r="GX3" s="44" t="str">
        <f t="shared" si="6"/>
        <v>"cl_WHI",</v>
      </c>
      <c r="GY3" s="44" t="str">
        <f t="shared" si="6"/>
        <v/>
      </c>
      <c r="GZ3" s="44" t="str">
        <f t="shared" si="6"/>
        <v/>
      </c>
      <c r="HA3" s="44" t="str">
        <f t="shared" si="6"/>
        <v/>
      </c>
      <c r="HB3" s="44" t="str">
        <f t="shared" si="6"/>
        <v/>
      </c>
      <c r="HC3" s="44" t="str">
        <f>SUBSTITUTE("["&amp;_xlfn.CONCAT(GT3:HB3)&amp;"]",",]","]")</f>
        <v>["cl_RED","cl_GRE","cl_YEL","cl_BLU","cl_WHI"]</v>
      </c>
      <c r="HE3" s="64"/>
      <c r="HF3" s="65" t="str">
        <f>"{couname:"&amp;CT3&amp;(IF(HK3&lt;&gt;"",",subtype:"&amp;CHAR(34)&amp;HK3&amp;CHAR(34),""))&amp;",year:"&amp;HJ3&amp;",region:"&amp;CU3&amp;",Colors:"&amp;HC3&amp;",Items:"&amp;GS3&amp;",Flag:"&amp;CV3&amp;",HDFlag:"&amp;CHAR(34)&amp;E3&amp;CHAR(34)&amp;",type:"&amp;GP3&amp;", describe: "&amp;HH3&amp;", isnew:"&amp;CHAR(34)&amp;F3&amp;CHAR(34)&amp;", links: "&amp;HL3&amp;"},"</f>
        <v>{couname:"[WLF] Alo",year:"???",region:"rgn_Oceania",Colors:["cl_RED","cl_GRE","cl_YEL","cl_BLU","cl_WHI"],Items:["5+Colo","lets03","startA","with_w","NoBand","Diagon","Crosse","Plants","Weapon","Canton","NO_BLA","myrRED","NoStar"],Flag:"https://upload.wikimedia.org/wikipedia/commons/thumb/f/fa/Flag_of_Alo.svg/640px-Flag_of_Alo.svg.png",HDFlag:"https://upload.wikimedia.org/wikipedia/commons/thumb/f/fa/Flag_of_Alo.svg/2560px-Flag_of_Alo.svg.png",type:"Chiefdom", describe: "\nThe Royal standard of Alo represents a palm, upon which are crossed a club and an axe, the weapons who killed Father Chanel.", isnew:".", links: "https://www.fotw.info/flags/wf-a.html"},</v>
      </c>
      <c r="HG3" s="66" t="str">
        <f>"{couname:"&amp;CT3&amp;(IF(HK3&lt;&gt;"",",subtype:"&amp;CHAR(34)&amp;HK3&amp;CHAR(34),""))&amp;",year:"&amp;HJ3&amp;",region:"&amp;CU3&amp;",Colors:"&amp;HC3&amp;",Items:"&amp;GS3&amp;",Flag:"&amp;CV3&amp;",HDFlag:"&amp;CHAR(34)&amp;E3&amp;CHAR(34)&amp;",type:"&amp;GP3&amp;", describe: "&amp;HI3&amp;", links: "&amp;HL3&amp;"},"</f>
        <v>{couname:"[WLF] Alo",year:"???",region:"rgn_Oceania",Colors:["cl_RED","cl_GRE","cl_YEL","cl_BLU","cl_WHI"],Items:["5+Colo","lets03","startA","with_w","NoBand","Diagon","Crosse","Plants","Weapon","Canton","NO_BLA","myrRED","NoStar"],Flag:"https://upload.wikimedia.org/wikipedia/commons/thumb/f/fa/Flag_of_Alo.svg/640px-Flag_of_Alo.svg.png",HDFlag:"https://upload.wikimedia.org/wikipedia/commons/thumb/f/fa/Flag_of_Alo.svg/2560px-Flag_of_Alo.svg.png",type:"Chiefdom", describe: "\nThe Royal standard of Alo represents a palm, upon which are crossed a club and an axe, the weapons who killed Father Chanel.", links: "https://www.fotw.info/flags/wf-a.html"},</v>
      </c>
      <c r="HH3" s="44" t="str">
        <f>IF(P3&lt;&gt;"",CHAR(34)&amp;"\n"&amp;P3&amp;CHAR(34),CHAR(34)&amp;CHAR(34))</f>
        <v>"\nThe Royal standard of Alo represents a palm, upon which are crossed a club and an axe, the weapons who killed Father Chanel."</v>
      </c>
      <c r="HI3" s="44" t="str">
        <f>IF(J3=0,CHAR(34)&amp;CHAR(34),HH3)</f>
        <v>"\nThe Royal standard of Alo represents a palm, upon which are crossed a club and an axe, the weapons who killed Father Chanel."</v>
      </c>
      <c r="HJ3" s="44" t="str">
        <f>CHAR(34)&amp;O3&amp;CHAR(34)</f>
        <v>"???"</v>
      </c>
      <c r="HL3" s="44" t="str">
        <f>CHAR(34)&amp;I3&amp;CHAR(34)</f>
        <v>"https://www.fotw.info/flags/wf-a.html"</v>
      </c>
      <c r="HM3" s="65"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{"couname":"[WLF] Alo","year":"???","region":"rgn_Oceania","Colors":["cl_RED","cl_GRE","cl_YEL","cl_BLU","cl_WHI"],"Items":["5+Colo","lets03","startA","with_w","NoBand","Diagon","Crosse","Plants","Weapon","Canton","NO_BLA","myrRED","NoStar"],"Flag":"https://upload.wikimedia.org/wikipedia/commons/thumb/f/fa/Flag_of_Alo.svg/640px-Flag_of_Alo.svg.png","HDFlag":"https://upload.wikimedia.org/wikipedia/commons/thumb/f/fa/Flag_of_Alo.svg/2560px-Flag_of_Alo.svg.png","type":"Chiefdom", "describe": "\nThe Royal standard of Alo represents a palm, upon which are crossed a club and an axe, the weapons who killed Father Chanel.", "isnew": ".", "links": "https://www.fotw.info/flags/wf-a.html"},</v>
      </c>
      <c r="HN3" s="67"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{"couname":"[WLF] Alo","year":"???","region":"rgn_Oceania","Colors":["cl_RED","cl_GRE","cl_YEL","cl_BLU","cl_WHI"],"Items":["5+Colo","lets03","startA","with_w","NoBand","Diagon","Crosse","Plants","Weapon","Canton","NO_BLA","myrRED","NoStar"],"Flag":"https://upload.wikimedia.org/wikipedia/commons/thumb/f/fa/Flag_of_Alo.svg/640px-Flag_of_Alo.svg.png","HDFlag":"https://upload.wikimedia.org/wikipedia/commons/thumb/f/fa/Flag_of_Alo.svg/2560px-Flag_of_Alo.svg.png","type":"Chiefdom", "describe": "\nThe Royal standard of Alo represents a palm, upon which are crossed a club and an axe, the weapons who killed Father Chanel.", "isnew": ".", "links": "https://www.fotw.info/flags/wf-a.html"},</v>
      </c>
      <c r="HO3" s="71">
        <v>45596</v>
      </c>
      <c r="HP3" s="44" t="str" cm="1">
        <f t="array" ref="HP3">IF(_xlfn.TEXTJOIN(", ", TRUE, IF(ISNUMBER(SEARCH("BLA", BL3:BT3)), COLUMN(BL3:BT3) - COLUMN(BL3) + 1, ""))&lt;&gt;"","BLA","")</f>
        <v/>
      </c>
      <c r="HQ3" s="44" t="str" cm="1">
        <f t="array" ref="HQ3">IF(_xlfn.TEXTJOIN(", ", TRUE, IF(ISNUMBER(SEARCH("BLU", BL3:BT3)), COLUMN(BL3:BT3) - COLUMN(BL3) + 1, ""))&lt;&gt;"","BLU","")</f>
        <v>BLU</v>
      </c>
      <c r="HR3" s="44" t="str" cm="1">
        <f t="array" ref="HR3">IF(_xlfn.TEXTJOIN(", ", TRUE, IF(ISNUMBER(SEARCH("GRE", BL3:BT3)), COLUMN(BL3:BT3) - COLUMN(BL3) + 1, ""))&lt;&gt;"","GRE","")</f>
        <v>GRE</v>
      </c>
      <c r="HS3" s="44" t="str" cm="1">
        <f t="array" ref="HS3">IF(_xlfn.TEXTJOIN(", ", TRUE, IF(ISNUMBER(SEARCH("RED", BL3:BT3)), COLUMN(BL3:BT3) - COLUMN(BL3) + 1, ""))&lt;&gt;"","RED","")</f>
        <v>RED</v>
      </c>
      <c r="HT3" s="44" t="str" cm="1">
        <f t="array" ref="HT3">IF(_xlfn.TEXTJOIN(", ", TRUE, IF(ISNUMBER(SEARCH("YEL", BL3:BT3)), COLUMN(BL3:BT3) - COLUMN(BL3) + 1, ""))&lt;&gt;"","YEL","")</f>
        <v>YEL</v>
      </c>
      <c r="HU3" s="44" t="str" cm="1">
        <f t="array" ref="HU3">IF(_xlfn.TEXTJOIN(", ", TRUE, IF(ISNUMBER(SEARCH("ORA", BL3:BT3)), COLUMN(BL3:BT3) - COLUMN(BL3) + 1, ""))&lt;&gt;"","ORA","")</f>
        <v/>
      </c>
      <c r="HV3" s="44" t="str" cm="1">
        <f t="array" ref="HV3">IF(_xlfn.TEXTJOIN(", ", TRUE, IF(ISNUMBER(SEARCH("BRO", BL3:BT3)), COLUMN(BL3:BT3) - COLUMN(BL3) + 1, ""))&lt;&gt;"","BRO","")</f>
        <v/>
      </c>
      <c r="HW3" s="44" t="str" cm="1">
        <f t="array" ref="HW3">IF(_xlfn.TEXTJOIN(", ", TRUE, IF(ISNUMBER(SEARCH("PUR", BL3:BT3)), COLUMN(BL3:BT3) - COLUMN(BL3) + 1, ""))&lt;&gt;"","PUR","")</f>
        <v/>
      </c>
      <c r="HX3" s="44" t="str" cm="1">
        <f t="array" ref="HX3">IF(_xlfn.TEXTJOIN(", ", TRUE, IF(ISNUMBER(SEARCH("WHI", BL3:BT3)), COLUMN(BL3:BT3) - COLUMN(BL3) + 1, ""))&lt;&gt;"","WHI","")</f>
        <v>WHI</v>
      </c>
      <c r="HY3" s="72"/>
      <c r="HZ3" s="72"/>
      <c r="IA3" s="5"/>
      <c r="IB3" s="5"/>
      <c r="IC3" s="68"/>
      <c r="ID3" s="68"/>
      <c r="IE3" s="68"/>
      <c r="IF3" s="68"/>
      <c r="IG3" s="68"/>
      <c r="IH3" s="68"/>
      <c r="II3" s="68"/>
      <c r="IJ3" s="68"/>
      <c r="IK3" s="68"/>
      <c r="IM3" s="42">
        <f>COUNTIF(IC3:IK3,"&gt;0")-CG3</f>
        <v>-5</v>
      </c>
      <c r="IN3" s="69" t="str">
        <f>"http://mkweb.bcgsc.ca/color-summarizer/?url="&amp;D3&amp;"&amp;precision=low&amp;num_clusters="&amp;CG3&amp;"&amp;text=1"</f>
        <v>http://mkweb.bcgsc.ca/color-summarizer/?url=https://upload.wikimedia.org/wikipedia/commons/thumb/f/fa/Flag_of_Alo.svg/640px-Flag_of_Alo.svg.png&amp;precision=low&amp;num_clusters=5&amp;text=1</v>
      </c>
      <c r="IO3" s="44" t="str">
        <f>IF(HP3&lt;&gt;"",CHAR(34)&amp;"black"&amp;CHAR(34),"")</f>
        <v/>
      </c>
      <c r="IP3" s="44" t="str">
        <f>IF(HQ3&lt;&gt;"",CHAR(34)&amp;"blue"&amp;CHAR(34),"")</f>
        <v>"blue"</v>
      </c>
      <c r="IQ3" s="44" t="str">
        <f>IF(HR3&lt;&gt;"",CHAR(34)&amp;"green"&amp;CHAR(34),"")</f>
        <v>"green"</v>
      </c>
      <c r="IR3" s="44" t="str">
        <f>IF(HS3&lt;&gt;"",CHAR(34)&amp;"red"&amp;CHAR(34),"")</f>
        <v>"red"</v>
      </c>
      <c r="IS3" s="44" t="str">
        <f>IF(HT3&lt;&gt;"",CHAR(34)&amp;"yellow"&amp;CHAR(34),"")</f>
        <v>"yellow"</v>
      </c>
      <c r="IT3" s="44" t="str">
        <f>IF(HU3&lt;&gt;"",CHAR(34)&amp;"orange"&amp;CHAR(34),"")</f>
        <v/>
      </c>
      <c r="IU3" s="44" t="str">
        <f>IF(HV3&lt;&gt;"",CHAR(34)&amp;"brown"&amp;CHAR(34),"")</f>
        <v/>
      </c>
      <c r="IV3" s="44" t="str">
        <f>IF(HW3&lt;&gt;"",CHAR(34)&amp;"purple"&amp;CHAR(34),"")</f>
        <v/>
      </c>
      <c r="IW3" s="44" t="str">
        <f>IF(HX3&lt;&gt;"",CHAR(34)&amp;"white"&amp;CHAR(34),"")</f>
        <v>"white"</v>
      </c>
      <c r="IX3" s="44" t="str">
        <f>"{"&amp;CHAR(34)&amp;"url"&amp;CHAR(34)&amp;":"&amp;CHAR(34)&amp;IN3&amp;CHAR(34)&amp;","&amp;CHAR(34)&amp;"name"&amp;CHAR(34)&amp;":"&amp;CHAR(34)&amp;A3&amp;CHAR(34)&amp;"},"</f>
        <v>{"url":"http://mkweb.bcgsc.ca/color-summarizer/?url=https://upload.wikimedia.org/wikipedia/commons/thumb/f/fa/Flag_of_Alo.svg/640px-Flag_of_Alo.svg.png&amp;precision=low&amp;num_clusters=5&amp;text=1","name":"[WLF] Alo"},</v>
      </c>
      <c r="IY3" s="44">
        <v>1493</v>
      </c>
    </row>
    <row r="4" spans="1:259" s="44" customFormat="1" ht="38.4" customHeight="1" thickBot="1" x14ac:dyDescent="0.35">
      <c r="A4" s="80" t="s">
        <v>807</v>
      </c>
      <c r="B4" s="78" t="e" vm="117">
        <v>#VALUE!</v>
      </c>
      <c r="C4" s="39">
        <v>2</v>
      </c>
      <c r="D4" s="70" t="s">
        <v>808</v>
      </c>
      <c r="E4" s="40" t="s">
        <v>809</v>
      </c>
      <c r="F4" s="41" t="s">
        <v>165</v>
      </c>
      <c r="G4" s="42">
        <f>COUNTIF($A$1:$A$8344,A4)</f>
        <v>1</v>
      </c>
      <c r="H4" s="43"/>
      <c r="I4" s="59" t="s">
        <v>810</v>
      </c>
      <c r="J4" s="44" t="str">
        <f>""</f>
        <v/>
      </c>
      <c r="K4" s="45"/>
      <c r="L4" s="46"/>
      <c r="M4" s="46"/>
      <c r="N4" s="47" t="s">
        <v>177</v>
      </c>
      <c r="O4" s="74" t="s">
        <v>230</v>
      </c>
      <c r="P4" s="48" t="s">
        <v>811</v>
      </c>
      <c r="Q4" s="73">
        <v>1</v>
      </c>
      <c r="R4" s="49" t="s">
        <v>177</v>
      </c>
      <c r="S4" s="50">
        <v>2</v>
      </c>
      <c r="T4" s="51" t="s">
        <v>167</v>
      </c>
      <c r="U4" s="52" t="s">
        <v>166</v>
      </c>
      <c r="V4" s="52" t="s">
        <v>166</v>
      </c>
      <c r="W4" s="52" t="s">
        <v>166</v>
      </c>
      <c r="X4" s="52" t="s">
        <v>167</v>
      </c>
      <c r="Y4" s="52" t="s">
        <v>166</v>
      </c>
      <c r="Z4" s="52" t="s">
        <v>166</v>
      </c>
      <c r="AA4" s="52" t="s">
        <v>167</v>
      </c>
      <c r="AB4" s="52" t="s">
        <v>166</v>
      </c>
      <c r="AC4" s="52" t="s">
        <v>167</v>
      </c>
      <c r="AD4" s="52" t="s">
        <v>166</v>
      </c>
      <c r="AE4" s="52" t="s">
        <v>166</v>
      </c>
      <c r="AF4" s="53" t="s">
        <v>166</v>
      </c>
      <c r="AG4" s="53" t="s">
        <v>166</v>
      </c>
      <c r="AH4" s="53" t="s">
        <v>166</v>
      </c>
      <c r="AI4" s="53" t="s">
        <v>167</v>
      </c>
      <c r="AJ4" s="53" t="s">
        <v>166</v>
      </c>
      <c r="AK4" s="53" t="s">
        <v>166</v>
      </c>
      <c r="AL4" s="53" t="s">
        <v>166</v>
      </c>
      <c r="AM4" s="53" t="s">
        <v>166</v>
      </c>
      <c r="AN4" s="53" t="s">
        <v>166</v>
      </c>
      <c r="AO4" s="53" t="s">
        <v>166</v>
      </c>
      <c r="AP4" s="53" t="s">
        <v>166</v>
      </c>
      <c r="AQ4" s="53" t="s">
        <v>166</v>
      </c>
      <c r="AR4" s="53" t="s">
        <v>166</v>
      </c>
      <c r="AS4" s="53" t="s">
        <v>166</v>
      </c>
      <c r="AT4" s="54">
        <v>0</v>
      </c>
      <c r="AU4" s="53" t="s">
        <v>806</v>
      </c>
      <c r="AV4" s="53" t="str">
        <f>IF(LEFT(A4,1)="[",LEFT(A4,5)&amp;AU4&amp;A4,"")</f>
        <v>[WLF]Chiefdom[WLF] Sigave</v>
      </c>
      <c r="AW4" s="53" t="str">
        <f>C4&amp;H4&amp;A4</f>
        <v>2[WLF] Sigave</v>
      </c>
      <c r="AX4" s="55"/>
      <c r="AY4" s="55"/>
      <c r="AZ4" s="56"/>
      <c r="BA4" s="56"/>
      <c r="BB4" s="56"/>
      <c r="BC4" s="57"/>
      <c r="BD4" s="58" t="s">
        <v>156</v>
      </c>
      <c r="BE4" s="59"/>
      <c r="BF4" s="58" t="s">
        <v>156</v>
      </c>
      <c r="BG4" s="58"/>
      <c r="BH4" s="58" t="s">
        <v>153</v>
      </c>
      <c r="BI4" s="58"/>
      <c r="BJ4" s="58"/>
      <c r="BK4" s="59"/>
      <c r="BL4" s="58" t="s">
        <v>156</v>
      </c>
      <c r="BM4" s="58" t="s">
        <v>157</v>
      </c>
      <c r="BN4" s="58" t="s">
        <v>154</v>
      </c>
      <c r="BO4" s="58" t="s">
        <v>161</v>
      </c>
      <c r="BP4" s="58" t="s">
        <v>153</v>
      </c>
      <c r="BQ4" s="58" t="s">
        <v>155</v>
      </c>
      <c r="BR4" s="58"/>
      <c r="BS4" s="58"/>
      <c r="BT4" s="58"/>
      <c r="BU4" s="60" t="s">
        <v>166</v>
      </c>
      <c r="BV4" s="61"/>
      <c r="BW4" s="61">
        <v>0</v>
      </c>
      <c r="BX4" s="59"/>
      <c r="BY4" s="44" t="s">
        <v>167</v>
      </c>
      <c r="CB4" s="5"/>
      <c r="CC4" s="5"/>
      <c r="CD4" s="62">
        <v>0</v>
      </c>
      <c r="CE4" s="62">
        <v>0</v>
      </c>
      <c r="CF4" s="62" t="e">
        <v>#REF!</v>
      </c>
      <c r="CG4" s="75" cm="1">
        <f t="array" ref="CG4">SUMPRODUCT(--(LEN(TRIM(BL4:BT4))&gt;0))</f>
        <v>6</v>
      </c>
      <c r="CH4" s="53" t="str">
        <f>IF(CG4=2,"y","n")</f>
        <v>n</v>
      </c>
      <c r="CI4" s="53" t="str">
        <f>IF(CG4=3,"y","n")</f>
        <v>n</v>
      </c>
      <c r="CJ4" s="53" t="str">
        <f>IF(CG4=4,"y","n")</f>
        <v>n</v>
      </c>
      <c r="CK4" s="53" t="str">
        <f>IF(CG4&gt;4,"y","n")</f>
        <v>y</v>
      </c>
      <c r="CL4" s="53" t="str">
        <f>IF(S4=0,"y","n")</f>
        <v>n</v>
      </c>
      <c r="CM4" s="53" t="str">
        <f>IF(S4=2,"y","n")</f>
        <v>y</v>
      </c>
      <c r="CN4" s="53" t="str">
        <f>IF(S4=3,"y","n")</f>
        <v>n</v>
      </c>
      <c r="CO4" s="53" t="str">
        <f>IF(S4&gt;=4,"y","n")</f>
        <v>n</v>
      </c>
      <c r="CP4" s="53" t="str">
        <f>IF(AT4=0,"y","n")</f>
        <v>y</v>
      </c>
      <c r="CQ4" s="53" t="str">
        <f>IF(AT4=1,"y","n")</f>
        <v>n</v>
      </c>
      <c r="CR4" s="53" t="str">
        <f>IF(AT4=2,"y","n")</f>
        <v>n</v>
      </c>
      <c r="CS4" s="53" t="str">
        <f>IF(AT4&gt;=3,"y","n")</f>
        <v>n</v>
      </c>
      <c r="CT4" s="38" t="str">
        <f>CHAR(34)&amp;A4&amp;CHAR(34)</f>
        <v>"[WLF] Sigave"</v>
      </c>
      <c r="CU4" s="63" t="str">
        <f>CHAR(34)&amp;"rgn_"&amp;R4&amp;CHAR(34)</f>
        <v>"rgn_Oceania"</v>
      </c>
      <c r="CV4" s="44" t="str">
        <f>CHAR(34)&amp;D4&amp;CHAR(34)</f>
        <v>"https://upload.wikimedia.org/wikipedia/commons/thumb/8/89/Flag_of_Sigave.svg/640px-Flag_of_Sigave.svg.png"</v>
      </c>
      <c r="CW4" s="44" t="str">
        <f t="shared" si="0"/>
        <v/>
      </c>
      <c r="CX4" s="44" t="str">
        <f t="shared" si="0"/>
        <v/>
      </c>
      <c r="CY4" s="44" t="str">
        <f t="shared" si="0"/>
        <v/>
      </c>
      <c r="CZ4" s="44" t="str">
        <f t="shared" si="0"/>
        <v>"5+Colo",</v>
      </c>
      <c r="DA4" s="44" t="str">
        <f>IF(Q4&gt;1,CHAR(34)&amp;"words2"&amp;CHAR(34)&amp;",","")</f>
        <v/>
      </c>
      <c r="DB4" s="44" t="str">
        <f>IF(Q4&gt;2,CHAR(34)&amp;"words3"&amp;CHAR(34)&amp;",","")</f>
        <v/>
      </c>
      <c r="DD4" s="44" t="str">
        <f>IF(LEN(CHAR(34)&amp;"lets"&amp;LEN(SUBSTITUTE(SUBSTITUTE(IFERROR(TRIM(SUBSTITUTE(A4,MID(A4,FIND("[",A4),FIND("]",A4)-FIND("[",A4)+1),"")),A4)," ",""),"-",""))&amp;CHAR(34)&amp;",")=9,CHAR(34)&amp;"lets"&amp;LEN(SUBSTITUTE(SUBSTITUTE(IFERROR(TRIM(SUBSTITUTE(A4,MID(A4,FIND("[",A4),FIND("]",A4)-FIND("[",A4)+1),"")),A4)," ",""),"-",""))&amp;CHAR(34)&amp;",",CHAR(34)&amp;"lets0"&amp;LEN(SUBSTITUTE(SUBSTITUTE(IFERROR(TRIM(SUBSTITUTE(A4,MID(A4,FIND("[",A4),FIND("]",A4)-FIND("[",A4)+1),"")),A4)," ",""),"-",""))&amp;CHAR(34)&amp;",")</f>
        <v>"lets06",</v>
      </c>
      <c r="DE4" s="44" t="str">
        <f>CHAR(34)&amp;"start"&amp;IFERROR(LEFT(SUBSTITUTE(A4,"["&amp;MID(A4,FIND("[",A4)+1,FIND("]",A4)-FIND("[",A4)-1)&amp;"] ",""),1),LEFT(A4,1))&amp;CHAR(34)&amp;","</f>
        <v>"startS",</v>
      </c>
      <c r="DF4" s="44" t="str">
        <f>IFERROR(IF(SEARCH("tan",A4)&gt;0,CHAR(34)&amp;"withtn"&amp;CHAR(34)&amp;",",""),"")</f>
        <v/>
      </c>
      <c r="DG4" s="44" t="str">
        <f>IFERROR(IF(SEARCH("q",A4)&gt;0,CHAR(34)&amp;"with_q"&amp;CHAR(34)&amp;",",""),"")</f>
        <v/>
      </c>
      <c r="DH4" s="44" t="str">
        <f>IFERROR(IF(SEARCH("v",A4)&gt;0,CHAR(34)&amp;"with_v"&amp;CHAR(34)&amp;",",""),"")</f>
        <v>"with_v",</v>
      </c>
      <c r="DI4" s="44" t="str">
        <f>IFERROR(IF(SEARCH("w",A4)&gt;0,CHAR(34)&amp;"with_w"&amp;CHAR(34)&amp;",",""),"")</f>
        <v>"with_w",</v>
      </c>
      <c r="DJ4" s="44" t="str">
        <f>IFERROR(IF(SEARCH("y",A4)&gt;0,CHAR(34)&amp;"with_y"&amp;CHAR(34)&amp;",",""),"")</f>
        <v/>
      </c>
      <c r="DK4" s="44" t="str">
        <f>IFERROR(IF(SEARCH("z",A4)&gt;0,CHAR(34)&amp;"with_z"&amp;CHAR(34)&amp;",",""),"")</f>
        <v/>
      </c>
      <c r="DL4" s="44" t="str">
        <f>IF(CG4=2, CHAR(34) &amp; _xlfn.TEXTJOIN("", TRUE, _xlfn._xlws.SORT(HP4:HX4)) &amp; CHAR(34) &amp; ",", "")</f>
        <v/>
      </c>
      <c r="DM4" s="44" t="str" cm="1">
        <f t="array" ref="DM4">IF(CG4=3,CHAR(34) &amp; _xlfn.TEXTJOIN("", TRUE, RIGHT(HP4:HX4, 2)) &amp; CHAR(34) &amp; ",", "")</f>
        <v/>
      </c>
      <c r="DN4" s="44" t="str">
        <f>IF(AND(ISNUMBER(SEARCH("18", O4)), ISERROR(SEARCH("1918", O4)), ISERROR(SEARCH("2018", O4))), CHAR(34) &amp; "year18" &amp; CHAR(34) &amp; ",", "")</f>
        <v/>
      </c>
      <c r="DO4" s="44" t="str">
        <f>IF(AND(ISNUMBER(SEARCH("19", O4)), ISERROR(SEARCH("1819", O4)),  ISERROR(SEARCH("1219", O4)),ISERROR(SEARCH("1119", O4)),ISERROR(SEARCH("1190", O4)),ISERROR(SEARCH("2019", O4))), CHAR(34) &amp; "year19" &amp; CHAR(34) &amp; ",", "")</f>
        <v/>
      </c>
      <c r="DP4" s="5" t="str">
        <f>IF(AND(ISNUMBER(SEARCH("20", O4)), ISERROR(SEARCH("1920", O4))), CHAR(34)&amp;"year00"&amp;CHAR(34)&amp;",", "")</f>
        <v/>
      </c>
      <c r="DQ4" s="5" t="str">
        <f>IF(CC4="y",CHAR(34)&amp;"soviet"&amp;CHAR(34)&amp;",","")</f>
        <v/>
      </c>
      <c r="DR4" s="5" t="str">
        <f>IF(BY4="y",CHAR(34)&amp;"dgband"&amp;CHAR(34)&amp;",","")</f>
        <v>"dgband",</v>
      </c>
      <c r="DS4" s="5" t="str">
        <f>IF(W4="y",IF(AND(V4="n",BY4&lt;&gt;"y"),CHAR(34)&amp;"allver"&amp;CHAR(34)&amp;",",""),"")</f>
        <v/>
      </c>
      <c r="DT4" s="5" t="str">
        <f>IF(V4="y",IF(AND(W4="n",BY4&lt;&gt;"y"),CHAR(34)&amp;"allhor"&amp;CHAR(34)&amp;",",""),"")</f>
        <v/>
      </c>
      <c r="DU4" s="5" t="str">
        <f>IF(BY4="y",IF(AND(W4="n",V4="n"),CHAR(34)&amp;"alldia"&amp;CHAR(34)&amp;",",""),"")</f>
        <v>"alldia",</v>
      </c>
      <c r="DW4" s="44" t="str">
        <f t="shared" si="1"/>
        <v/>
      </c>
      <c r="DX4" s="44" t="str">
        <f t="shared" si="1"/>
        <v>"2Bands",</v>
      </c>
      <c r="DY4" s="44" t="str">
        <f t="shared" si="1"/>
        <v/>
      </c>
      <c r="DZ4" s="44" t="str">
        <f t="shared" si="1"/>
        <v/>
      </c>
      <c r="EA4" s="44" t="str">
        <f t="shared" si="2"/>
        <v>"Diagon",</v>
      </c>
      <c r="EB4" s="44" t="str">
        <f t="shared" si="2"/>
        <v/>
      </c>
      <c r="EC4" s="44" t="str">
        <f t="shared" si="2"/>
        <v/>
      </c>
      <c r="ED4" s="44" t="str">
        <f t="shared" si="2"/>
        <v/>
      </c>
      <c r="EE4" s="44" t="str">
        <f t="shared" si="2"/>
        <v>"Circle",</v>
      </c>
      <c r="EF4" s="44" t="str">
        <f>IF(AND(Y4&lt;&gt;"n",Y4&lt;&gt;""),CHAR(34)&amp;Y$1&amp;CHAR(34)&amp;",","")</f>
        <v/>
      </c>
      <c r="EG4" s="44" t="str">
        <f t="shared" si="3"/>
        <v/>
      </c>
      <c r="EH4" s="44" t="str">
        <f t="shared" si="3"/>
        <v>"Plants",</v>
      </c>
      <c r="EI4" s="44" t="str">
        <f t="shared" si="3"/>
        <v/>
      </c>
      <c r="EJ4" s="44" t="str">
        <f t="shared" si="3"/>
        <v>"Weapon",</v>
      </c>
      <c r="EK4" s="44" t="str">
        <f t="shared" si="3"/>
        <v/>
      </c>
      <c r="EL4" s="44" t="str">
        <f t="shared" si="3"/>
        <v/>
      </c>
      <c r="EM4" s="44" t="str">
        <f t="shared" si="3"/>
        <v/>
      </c>
      <c r="EN4" s="44" t="str">
        <f t="shared" si="3"/>
        <v/>
      </c>
      <c r="EO4" s="44" t="str">
        <f t="shared" si="3"/>
        <v/>
      </c>
      <c r="EP4" s="44" t="str">
        <f t="shared" si="3"/>
        <v>"Canton",</v>
      </c>
      <c r="EQ4" s="44" t="str">
        <f t="shared" si="4"/>
        <v/>
      </c>
      <c r="ER4" s="44" t="str">
        <f t="shared" si="4"/>
        <v/>
      </c>
      <c r="ES4" s="44" t="str">
        <f t="shared" si="4"/>
        <v/>
      </c>
      <c r="ET4" s="44" t="str">
        <f t="shared" si="4"/>
        <v/>
      </c>
      <c r="EU4" s="44" t="str">
        <f t="shared" si="4"/>
        <v/>
      </c>
      <c r="EV4" s="44" t="str">
        <f t="shared" si="4"/>
        <v/>
      </c>
      <c r="EW4" s="44" t="str">
        <f t="shared" si="4"/>
        <v/>
      </c>
      <c r="EX4" s="44" t="str">
        <f t="shared" si="4"/>
        <v/>
      </c>
      <c r="EY4" s="44" t="str">
        <f t="shared" si="4"/>
        <v/>
      </c>
      <c r="EZ4" s="44" t="str">
        <f t="shared" si="4"/>
        <v/>
      </c>
      <c r="FA4" s="44" t="str">
        <f>IF(AT4&gt;0,CHAR(34)&amp;"sta"&amp;AZ4&amp;CHAR(34)&amp;",","")</f>
        <v/>
      </c>
      <c r="FB4" s="44" t="str">
        <f>IF(AND(AT4&gt;0,BA4&lt;&gt;""),CHAR(34)&amp;"sta"&amp;BA4&amp;CHAR(34)&amp;",","")</f>
        <v/>
      </c>
      <c r="FD4" s="44" t="str">
        <f>IF(BV4="n",CHAR(34)&amp;"tcWHYE"&amp;CHAR(34)&amp;",",IF(BV4="y",CHAR(34)&amp;FD$1&amp;CHAR(34)&amp;",",""))</f>
        <v/>
      </c>
      <c r="FE4" s="44" t="str">
        <f>IF(COUNTIF(BL4:BT4,"BLU")=0,CHAR(34)&amp;"NO_BLU"&amp;CHAR(34)&amp;",", "")</f>
        <v/>
      </c>
      <c r="FF4" s="44" t="str">
        <f>IF(COUNTIF(BL4:BT4,"WHI")=0,CHAR(34)&amp;"NO_WHI"&amp;CHAR(34)&amp;",", "")</f>
        <v/>
      </c>
      <c r="FG4" s="44" t="str">
        <f>IF(COUNTIF(BL4:BT4,"RED")=0,CHAR(34)&amp;"NO_RED"&amp;CHAR(34)&amp;",", "")</f>
        <v/>
      </c>
      <c r="FH4" s="44" t="str">
        <f>IF(COUNTIF(BL4:BS4,"GRE")=0,CHAR(34)&amp;"NO_GRE"&amp;CHAR(34)&amp;",", "")</f>
        <v/>
      </c>
      <c r="FI4" s="44" t="str">
        <f>IF(COUNTIF(BL4:BT4,"YEL")=0,CHAR(34)&amp;"NO_YEL"&amp;CHAR(34)&amp;",", "")</f>
        <v/>
      </c>
      <c r="FJ4" s="44" t="str">
        <f>IF(COUNTIF(BL4:BT4,"BLA")=0,CHAR(34)&amp;"NO_BLA"&amp;CHAR(34)&amp;",", "")</f>
        <v/>
      </c>
      <c r="FK4" s="44" t="str">
        <f>IF(AND(FH4&lt;&gt;"",FF4&lt;&gt;""),CHAR(34)&amp;"WHGRNO"&amp;CHAR(34)&amp;",","")</f>
        <v/>
      </c>
      <c r="FL4" s="44" t="str">
        <f>IF(AND(FI4&lt;&gt;"",FF4&lt;&gt;""),CHAR(34)&amp;"WHYENO"&amp;CHAR(34)&amp;",","")</f>
        <v/>
      </c>
      <c r="FM4" s="44" t="str">
        <f>IF(AND(FJ4&lt;&gt;"",FF4&lt;&gt;""),CHAR(34)&amp;"BAWHNO"&amp;CHAR(34)&amp;",","")</f>
        <v/>
      </c>
      <c r="FN4" s="44" t="str">
        <f>IF(AND(FE4&lt;&gt;"",FF4&lt;&gt;""),CHAR(34)&amp;"BLWHNO"&amp;CHAR(34)&amp;",","")</f>
        <v/>
      </c>
      <c r="FO4" s="44" t="str">
        <f>IF(AND(FE4&lt;&gt;"",FG4&lt;&gt;""),CHAR(34)&amp;"BLRENO"&amp;CHAR(34)&amp;",","")</f>
        <v/>
      </c>
      <c r="FP4" s="44" t="str">
        <f>IF(AND(FF4&lt;&gt;"",FF4&lt;&gt;""),CHAR(34)&amp;"WHRENO"&amp;CHAR(34)&amp;",","")</f>
        <v/>
      </c>
      <c r="FQ4" s="44" t="str">
        <f>IF(LEN(BF4)=3,CHAR(34)&amp;"001"&amp;BF4&amp;CHAR(34)&amp;",","")</f>
        <v>"001RED",</v>
      </c>
      <c r="FR4" s="44" t="str">
        <f>IF(LEN(BG4)=3,CHAR(34)&amp;"002"&amp;BG4&amp;CHAR(34)&amp;",","")</f>
        <v/>
      </c>
      <c r="FS4" s="44" t="str">
        <f>IF(LEN(BH4)=3,CHAR(34)&amp;"003"&amp;BH4&amp;CHAR(34)&amp;",","")</f>
        <v>"003BLA",</v>
      </c>
      <c r="FT4" s="44" t="str">
        <f>CHAR(34)&amp;"myr"&amp;BD4&amp;CHAR(34)&amp;","</f>
        <v>"myrRED",</v>
      </c>
      <c r="FU4" s="44" t="str">
        <f>IF(AY4="y",CHAR(34)&amp;"island"&amp;CHAR(34)&amp;",","")</f>
        <v/>
      </c>
      <c r="FV4" s="44" t="str">
        <f>IF(BZ4="y",CHAR(34)&amp;"landlo"&amp;CHAR(34)&amp;",","")</f>
        <v/>
      </c>
      <c r="FW4" s="44" t="str">
        <f>IF(CA4="y",CHAR(34)&amp;"eunion"&amp;CHAR(34)&amp;",","")</f>
        <v/>
      </c>
      <c r="FY4" s="44" t="str">
        <f>IFERROR(IF(SEARCH("Arabic",CB4)&gt;0,CHAR(34)&amp;"arabic"&amp;CHAR(34)&amp;",",""),"")</f>
        <v/>
      </c>
      <c r="FZ4" s="44" t="str">
        <f>IFERROR(IF(SEARCH("English",CB4)&gt;0,CHAR(34)&amp;"englis"&amp;CHAR(34)&amp;",",""),"")</f>
        <v/>
      </c>
      <c r="GA4" s="44" t="str">
        <f>IFERROR(IF(SEARCH("French",CB4)&gt;0,CHAR(34)&amp;"french"&amp;CHAR(34)&amp;",",""),"")</f>
        <v/>
      </c>
      <c r="GB4" s="44" t="str">
        <f>IFERROR(IF(SEARCH("Spanish",CB4)&gt;0,CHAR(34)&amp;"spanis"&amp;CHAR(34)&amp;",",""),"")</f>
        <v/>
      </c>
      <c r="GE4" s="44" t="str">
        <f>IFERROR(IF(SEARCH("Dutch",CB4)&gt;0,CHAR(34)&amp;"dutchs"&amp;CHAR(34)&amp;",",""),"")</f>
        <v/>
      </c>
      <c r="GF4" s="44" t="str">
        <f>IFERROR(IF(SEARCH("Historical",AU4)&gt;0,CHAR(34)&amp;"histor"&amp;CHAR(34)&amp;",",""),"")</f>
        <v/>
      </c>
      <c r="GG4" s="44" t="str">
        <f>IF(BU4="y",CHAR(34)&amp;"unjack"&amp;CHAR(34)&amp;",","")</f>
        <v/>
      </c>
      <c r="GH4" s="44" t="str">
        <f>IF(CD4=1,CHAR(34)&amp;"southc"&amp;CHAR(34)&amp;",","")</f>
        <v/>
      </c>
      <c r="GI4" s="44" t="str">
        <f>IF(CE4=1,CHAR(34)&amp;"hasmap"&amp;CHAR(34)&amp;",","")</f>
        <v/>
      </c>
      <c r="GJ4" s="44" t="str">
        <f>IF(CP4="y",CHAR(34)&amp;CP$1&amp;CHAR(34)&amp;",","")</f>
        <v>"NoStar",</v>
      </c>
      <c r="GK4" s="44" t="str">
        <f>IF(GJ4="",CHAR(34)&amp;"HasSta"&amp;CHAR(34)&amp;",","")</f>
        <v/>
      </c>
      <c r="GL4" s="44" t="str">
        <f t="shared" si="5"/>
        <v/>
      </c>
      <c r="GM4" s="44" t="str">
        <f t="shared" si="5"/>
        <v/>
      </c>
      <c r="GN4" s="44" t="str">
        <f t="shared" si="5"/>
        <v/>
      </c>
      <c r="GP4" s="44" t="str">
        <f>CHAR(34)&amp;AU4&amp;CHAR(34)</f>
        <v>"Chiefdom"</v>
      </c>
      <c r="GS4" s="44" t="str">
        <f>SUBSTITUTE("["&amp;_xlfn.CONCAT(CW4:GN4)&amp;"]",",]","]")</f>
        <v>["5+Colo","lets06","startS","with_v","with_w","dgband","alldia","2Bands","Diagon","Circle","Plants","Weapon","Canton","001RED","003BLA","myrRED","NoStar"]</v>
      </c>
      <c r="GT4" s="44" t="str">
        <f t="shared" si="6"/>
        <v>"cl_RED",</v>
      </c>
      <c r="GU4" s="44" t="str">
        <f t="shared" si="6"/>
        <v>"cl_YEL",</v>
      </c>
      <c r="GV4" s="44" t="str">
        <f t="shared" si="6"/>
        <v>"cl_BLU",</v>
      </c>
      <c r="GW4" s="44" t="str">
        <f t="shared" si="6"/>
        <v>"cl_WHI",</v>
      </c>
      <c r="GX4" s="44" t="str">
        <f t="shared" si="6"/>
        <v>"cl_BLA",</v>
      </c>
      <c r="GY4" s="44" t="str">
        <f t="shared" si="6"/>
        <v>"cl_GRE",</v>
      </c>
      <c r="GZ4" s="44" t="str">
        <f t="shared" si="6"/>
        <v/>
      </c>
      <c r="HA4" s="44" t="str">
        <f t="shared" si="6"/>
        <v/>
      </c>
      <c r="HB4" s="44" t="str">
        <f t="shared" si="6"/>
        <v/>
      </c>
      <c r="HC4" s="44" t="str">
        <f>SUBSTITUTE("["&amp;_xlfn.CONCAT(GT4:HB4)&amp;"]",",]","]")</f>
        <v>["cl_RED","cl_YEL","cl_BLU","cl_WHI","cl_BLA","cl_GRE"]</v>
      </c>
      <c r="HE4" s="64"/>
      <c r="HF4" s="65" t="str">
        <f>"{couname:"&amp;CT4&amp;(IF(HK4&lt;&gt;"",",subtype:"&amp;CHAR(34)&amp;HK4&amp;CHAR(34),""))&amp;",year:"&amp;HJ4&amp;",region:"&amp;CU4&amp;",Colors:"&amp;HC4&amp;",Items:"&amp;GS4&amp;",Flag:"&amp;CV4&amp;",HDFlag:"&amp;CHAR(34)&amp;E4&amp;CHAR(34)&amp;",type:"&amp;GP4&amp;", describe: "&amp;HH4&amp;", isnew:"&amp;CHAR(34)&amp;F4&amp;CHAR(34)&amp;", links: "&amp;HL4&amp;"},"</f>
        <v>{couname:"[WLF] Sigave",year:"???",region:"rgn_Oceania",Colors:["cl_RED","cl_YEL","cl_BLU","cl_WHI","cl_BLA","cl_GRE"],Items:["5+Colo","lets06","startS","with_v","with_w","dgband","alldia","2Bands","Diagon","Circle","Plants","Weapon","Canton","001RED","003BLA","myrRED","NoStar"],Flag:"https://upload.wikimedia.org/wikipedia/commons/thumb/8/89/Flag_of_Sigave.svg/640px-Flag_of_Sigave.svg.png",HDFlag:"https://upload.wikimedia.org/wikipedia/commons/thumb/8/89/Flag_of_Sigave.svg/2560px-Flag_of_Sigave.svg.png",type:"Chiefdom", describe: "\nThe Royal standard of Sigave represents a palm flanked by two spears. The palm is the symbol of a small braided basket, which contained the remains of teeth and jaws of the founding ancestor of a lineage", isnew:".", links: "https://www.fotw.info/flags/wf-s.html"},</v>
      </c>
      <c r="HG4" s="66" t="str">
        <f>"{couname:"&amp;CT4&amp;(IF(HK4&lt;&gt;"",",subtype:"&amp;CHAR(34)&amp;HK4&amp;CHAR(34),""))&amp;",year:"&amp;HJ4&amp;",region:"&amp;CU4&amp;",Colors:"&amp;HC4&amp;",Items:"&amp;GS4&amp;",Flag:"&amp;CV4&amp;",HDFlag:"&amp;CHAR(34)&amp;E4&amp;CHAR(34)&amp;",type:"&amp;GP4&amp;", describe: "&amp;HI4&amp;", links: "&amp;HL4&amp;"},"</f>
        <v>{couname:"[WLF] Sigave",year:"???",region:"rgn_Oceania",Colors:["cl_RED","cl_YEL","cl_BLU","cl_WHI","cl_BLA","cl_GRE"],Items:["5+Colo","lets06","startS","with_v","with_w","dgband","alldia","2Bands","Diagon","Circle","Plants","Weapon","Canton","001RED","003BLA","myrRED","NoStar"],Flag:"https://upload.wikimedia.org/wikipedia/commons/thumb/8/89/Flag_of_Sigave.svg/640px-Flag_of_Sigave.svg.png",HDFlag:"https://upload.wikimedia.org/wikipedia/commons/thumb/8/89/Flag_of_Sigave.svg/2560px-Flag_of_Sigave.svg.png",type:"Chiefdom", describe: "\nThe Royal standard of Sigave represents a palm flanked by two spears. The palm is the symbol of a small braided basket, which contained the remains of teeth and jaws of the founding ancestor of a lineage", links: "https://www.fotw.info/flags/wf-s.html"},</v>
      </c>
      <c r="HH4" s="44" t="str">
        <f>IF(P4&lt;&gt;"",CHAR(34)&amp;"\n"&amp;P4&amp;CHAR(34),CHAR(34)&amp;CHAR(34))</f>
        <v>"\nThe Royal standard of Sigave represents a palm flanked by two spears. The palm is the symbol of a small braided basket, which contained the remains of teeth and jaws of the founding ancestor of a lineage"</v>
      </c>
      <c r="HI4" s="44" t="str">
        <f>IF(J4=0,CHAR(34)&amp;CHAR(34),HH4)</f>
        <v>"\nThe Royal standard of Sigave represents a palm flanked by two spears. The palm is the symbol of a small braided basket, which contained the remains of teeth and jaws of the founding ancestor of a lineage"</v>
      </c>
      <c r="HJ4" s="44" t="str">
        <f>CHAR(34)&amp;O4&amp;CHAR(34)</f>
        <v>"???"</v>
      </c>
      <c r="HL4" s="44" t="str">
        <f>CHAR(34)&amp;I4&amp;CHAR(34)</f>
        <v>"https://www.fotw.info/flags/wf-s.html"</v>
      </c>
      <c r="HM4" s="65"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"&amp;HH4&amp;", "&amp;CHAR(34)&amp;"isnew"&amp;CHAR(34)&amp;": "&amp;CHAR(34)&amp;F4&amp;CHAR(34)&amp;", "&amp;CHAR(34)&amp;"links"&amp;CHAR(34)&amp;": "&amp;HL4&amp;"},"</f>
        <v>{"couname":"[WLF] Sigave","year":"???","region":"rgn_Oceania","Colors":["cl_RED","cl_YEL","cl_BLU","cl_WHI","cl_BLA","cl_GRE"],"Items":["5+Colo","lets06","startS","with_v","with_w","dgband","alldia","2Bands","Diagon","Circle","Plants","Weapon","Canton","001RED","003BLA","myrRED","NoStar"],"Flag":"https://upload.wikimedia.org/wikipedia/commons/thumb/8/89/Flag_of_Sigave.svg/640px-Flag_of_Sigave.svg.png","HDFlag":"https://upload.wikimedia.org/wikipedia/commons/thumb/8/89/Flag_of_Sigave.svg/2560px-Flag_of_Sigave.svg.png","type":"Chiefdom", "describe": "\nThe Royal standard of Sigave represents a palm flanked by two spears. The palm is the symbol of a small braided basket, which contained the remains of teeth and jaws of the founding ancestor of a lineage", "isnew": ".", "links": "https://www.fotw.info/flags/wf-s.html"},</v>
      </c>
      <c r="HN4" s="67"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"&amp;HI4&amp;", "&amp;CHAR(34)&amp;"isnew"&amp;CHAR(34)&amp;": "&amp;CHAR(34)&amp;F4&amp;CHAR(34)&amp;", "&amp;CHAR(34)&amp;"links"&amp;CHAR(34)&amp;": "&amp;HL4&amp;"},"</f>
        <v>{"couname":"[WLF] Sigave","year":"???","region":"rgn_Oceania","Colors":["cl_RED","cl_YEL","cl_BLU","cl_WHI","cl_BLA","cl_GRE"],"Items":["5+Colo","lets06","startS","with_v","with_w","dgband","alldia","2Bands","Diagon","Circle","Plants","Weapon","Canton","001RED","003BLA","myrRED","NoStar"],"Flag":"https://upload.wikimedia.org/wikipedia/commons/thumb/8/89/Flag_of_Sigave.svg/640px-Flag_of_Sigave.svg.png","HDFlag":"https://upload.wikimedia.org/wikipedia/commons/thumb/8/89/Flag_of_Sigave.svg/2560px-Flag_of_Sigave.svg.png","type":"Chiefdom", "describe": "\nThe Royal standard of Sigave represents a palm flanked by two spears. The palm is the symbol of a small braided basket, which contained the remains of teeth and jaws of the founding ancestor of a lineage", "isnew": ".", "links": "https://www.fotw.info/flags/wf-s.html"},</v>
      </c>
      <c r="HO4" s="71">
        <v>45596</v>
      </c>
      <c r="HP4" s="44" t="str" cm="1">
        <f t="array" ref="HP4">IF(_xlfn.TEXTJOIN(", ", TRUE, IF(ISNUMBER(SEARCH("BLA", BL4:BT4)), COLUMN(BL4:BT4) - COLUMN(BL4) + 1, ""))&lt;&gt;"","BLA","")</f>
        <v>BLA</v>
      </c>
      <c r="HQ4" s="44" t="str" cm="1">
        <f t="array" ref="HQ4">IF(_xlfn.TEXTJOIN(", ", TRUE, IF(ISNUMBER(SEARCH("BLU", BL4:BT4)), COLUMN(BL4:BT4) - COLUMN(BL4) + 1, ""))&lt;&gt;"","BLU","")</f>
        <v>BLU</v>
      </c>
      <c r="HR4" s="44" t="str" cm="1">
        <f t="array" ref="HR4">IF(_xlfn.TEXTJOIN(", ", TRUE, IF(ISNUMBER(SEARCH("GRE", BL4:BT4)), COLUMN(BL4:BT4) - COLUMN(BL4) + 1, ""))&lt;&gt;"","GRE","")</f>
        <v>GRE</v>
      </c>
      <c r="HS4" s="44" t="str" cm="1">
        <f t="array" ref="HS4">IF(_xlfn.TEXTJOIN(", ", TRUE, IF(ISNUMBER(SEARCH("RED", BL4:BT4)), COLUMN(BL4:BT4) - COLUMN(BL4) + 1, ""))&lt;&gt;"","RED","")</f>
        <v>RED</v>
      </c>
      <c r="HT4" s="44" t="str" cm="1">
        <f t="array" ref="HT4">IF(_xlfn.TEXTJOIN(", ", TRUE, IF(ISNUMBER(SEARCH("YEL", BL4:BT4)), COLUMN(BL4:BT4) - COLUMN(BL4) + 1, ""))&lt;&gt;"","YEL","")</f>
        <v>YEL</v>
      </c>
      <c r="HU4" s="44" t="str" cm="1">
        <f t="array" ref="HU4">IF(_xlfn.TEXTJOIN(", ", TRUE, IF(ISNUMBER(SEARCH("ORA", BL4:BT4)), COLUMN(BL4:BT4) - COLUMN(BL4) + 1, ""))&lt;&gt;"","ORA","")</f>
        <v/>
      </c>
      <c r="HV4" s="44" t="str" cm="1">
        <f t="array" ref="HV4">IF(_xlfn.TEXTJOIN(", ", TRUE, IF(ISNUMBER(SEARCH("BRO", BL4:BT4)), COLUMN(BL4:BT4) - COLUMN(BL4) + 1, ""))&lt;&gt;"","BRO","")</f>
        <v/>
      </c>
      <c r="HW4" s="44" t="str" cm="1">
        <f t="array" ref="HW4">IF(_xlfn.TEXTJOIN(", ", TRUE, IF(ISNUMBER(SEARCH("PUR", BL4:BT4)), COLUMN(BL4:BT4) - COLUMN(BL4) + 1, ""))&lt;&gt;"","PUR","")</f>
        <v/>
      </c>
      <c r="HX4" s="44" t="str" cm="1">
        <f t="array" ref="HX4">IF(_xlfn.TEXTJOIN(", ", TRUE, IF(ISNUMBER(SEARCH("WHI", BL4:BT4)), COLUMN(BL4:BT4) - COLUMN(BL4) + 1, ""))&lt;&gt;"","WHI","")</f>
        <v>WHI</v>
      </c>
      <c r="HY4" s="72"/>
      <c r="HZ4" s="72"/>
      <c r="IA4" s="5"/>
      <c r="IB4" s="5"/>
      <c r="IC4" s="68"/>
      <c r="ID4" s="68"/>
      <c r="IE4" s="68"/>
      <c r="IF4" s="68"/>
      <c r="IG4" s="68"/>
      <c r="IH4" s="68"/>
      <c r="II4" s="68"/>
      <c r="IJ4" s="68"/>
      <c r="IK4" s="68"/>
      <c r="IM4" s="42">
        <f>COUNTIF(IC4:IK4,"&gt;0")-CG4</f>
        <v>-6</v>
      </c>
      <c r="IN4" s="69" t="str">
        <f>"http://mkweb.bcgsc.ca/color-summarizer/?url="&amp;D4&amp;"&amp;precision=low&amp;num_clusters="&amp;CG4&amp;"&amp;text=1"</f>
        <v>http://mkweb.bcgsc.ca/color-summarizer/?url=https://upload.wikimedia.org/wikipedia/commons/thumb/8/89/Flag_of_Sigave.svg/640px-Flag_of_Sigave.svg.png&amp;precision=low&amp;num_clusters=6&amp;text=1</v>
      </c>
      <c r="IO4" s="44" t="str">
        <f>IF(HP4&lt;&gt;"",CHAR(34)&amp;"black"&amp;CHAR(34),"")</f>
        <v>"black"</v>
      </c>
      <c r="IP4" s="44" t="str">
        <f>IF(HQ4&lt;&gt;"",CHAR(34)&amp;"blue"&amp;CHAR(34),"")</f>
        <v>"blue"</v>
      </c>
      <c r="IQ4" s="44" t="str">
        <f>IF(HR4&lt;&gt;"",CHAR(34)&amp;"green"&amp;CHAR(34),"")</f>
        <v>"green"</v>
      </c>
      <c r="IR4" s="44" t="str">
        <f>IF(HS4&lt;&gt;"",CHAR(34)&amp;"red"&amp;CHAR(34),"")</f>
        <v>"red"</v>
      </c>
      <c r="IS4" s="44" t="str">
        <f>IF(HT4&lt;&gt;"",CHAR(34)&amp;"yellow"&amp;CHAR(34),"")</f>
        <v>"yellow"</v>
      </c>
      <c r="IT4" s="44" t="str">
        <f>IF(HU4&lt;&gt;"",CHAR(34)&amp;"orange"&amp;CHAR(34),"")</f>
        <v/>
      </c>
      <c r="IU4" s="44" t="str">
        <f>IF(HV4&lt;&gt;"",CHAR(34)&amp;"brown"&amp;CHAR(34),"")</f>
        <v/>
      </c>
      <c r="IV4" s="44" t="str">
        <f>IF(HW4&lt;&gt;"",CHAR(34)&amp;"purple"&amp;CHAR(34),"")</f>
        <v/>
      </c>
      <c r="IW4" s="44" t="str">
        <f>IF(HX4&lt;&gt;"",CHAR(34)&amp;"white"&amp;CHAR(34),"")</f>
        <v>"white"</v>
      </c>
      <c r="IX4" s="44" t="str">
        <f>"{"&amp;CHAR(34)&amp;"url"&amp;CHAR(34)&amp;":"&amp;CHAR(34)&amp;IN4&amp;CHAR(34)&amp;","&amp;CHAR(34)&amp;"name"&amp;CHAR(34)&amp;":"&amp;CHAR(34)&amp;A4&amp;CHAR(34)&amp;"},"</f>
        <v>{"url":"http://mkweb.bcgsc.ca/color-summarizer/?url=https://upload.wikimedia.org/wikipedia/commons/thumb/8/89/Flag_of_Sigave.svg/640px-Flag_of_Sigave.svg.png&amp;precision=low&amp;num_clusters=6&amp;text=1","name":"[WLF] Sigave"},</v>
      </c>
      <c r="IY4" s="44">
        <v>1494</v>
      </c>
    </row>
    <row r="5" spans="1:259" s="44" customFormat="1" ht="38.4" customHeight="1" thickBot="1" x14ac:dyDescent="0.35">
      <c r="A5" s="80" t="s">
        <v>812</v>
      </c>
      <c r="B5" s="78" t="e" vm="118">
        <v>#VALUE!</v>
      </c>
      <c r="C5" s="39">
        <v>2</v>
      </c>
      <c r="D5" s="70" t="s">
        <v>813</v>
      </c>
      <c r="E5" s="40" t="s">
        <v>814</v>
      </c>
      <c r="F5" s="41" t="s">
        <v>165</v>
      </c>
      <c r="G5" s="42">
        <f>COUNTIF($A$1:$A$8344,A5)</f>
        <v>1</v>
      </c>
      <c r="H5" s="43"/>
      <c r="I5" s="59" t="s">
        <v>815</v>
      </c>
      <c r="J5" s="44" t="str">
        <f>""</f>
        <v/>
      </c>
      <c r="K5" s="45"/>
      <c r="L5" s="46"/>
      <c r="M5" s="46"/>
      <c r="N5" s="47" t="s">
        <v>177</v>
      </c>
      <c r="O5" s="74" t="s">
        <v>230</v>
      </c>
      <c r="P5" s="48" t="s">
        <v>816</v>
      </c>
      <c r="Q5" s="73">
        <v>1</v>
      </c>
      <c r="R5" s="49" t="s">
        <v>177</v>
      </c>
      <c r="S5" s="50">
        <v>0</v>
      </c>
      <c r="T5" s="51" t="s">
        <v>166</v>
      </c>
      <c r="U5" s="52" t="s">
        <v>167</v>
      </c>
      <c r="V5" s="52" t="s">
        <v>166</v>
      </c>
      <c r="W5" s="52" t="s">
        <v>166</v>
      </c>
      <c r="X5" s="52" t="s">
        <v>166</v>
      </c>
      <c r="Y5" s="52" t="s">
        <v>166</v>
      </c>
      <c r="Z5" s="52" t="s">
        <v>166</v>
      </c>
      <c r="AA5" s="52" t="s">
        <v>166</v>
      </c>
      <c r="AB5" s="52" t="s">
        <v>166</v>
      </c>
      <c r="AC5" s="52" t="s">
        <v>166</v>
      </c>
      <c r="AD5" s="52" t="s">
        <v>166</v>
      </c>
      <c r="AE5" s="52" t="s">
        <v>166</v>
      </c>
      <c r="AF5" s="53" t="s">
        <v>166</v>
      </c>
      <c r="AG5" s="53" t="s">
        <v>166</v>
      </c>
      <c r="AH5" s="53" t="s">
        <v>166</v>
      </c>
      <c r="AI5" s="53" t="s">
        <v>167</v>
      </c>
      <c r="AJ5" s="53" t="s">
        <v>166</v>
      </c>
      <c r="AK5" s="53" t="s">
        <v>166</v>
      </c>
      <c r="AL5" s="53" t="s">
        <v>166</v>
      </c>
      <c r="AM5" s="53" t="s">
        <v>166</v>
      </c>
      <c r="AN5" s="53" t="s">
        <v>166</v>
      </c>
      <c r="AO5" s="53" t="s">
        <v>166</v>
      </c>
      <c r="AP5" s="53" t="s">
        <v>166</v>
      </c>
      <c r="AQ5" s="53" t="s">
        <v>166</v>
      </c>
      <c r="AR5" s="53" t="s">
        <v>166</v>
      </c>
      <c r="AS5" s="53" t="s">
        <v>166</v>
      </c>
      <c r="AT5" s="54">
        <v>0</v>
      </c>
      <c r="AU5" s="53" t="s">
        <v>806</v>
      </c>
      <c r="AV5" s="53" t="str">
        <f>IF(LEFT(A5,1)="[",LEFT(A5,5)&amp;AU5&amp;A5,"")</f>
        <v>[WLF]Chiefdom[WLF] Uvea</v>
      </c>
      <c r="AW5" s="53" t="str">
        <f>C5&amp;H5&amp;A5</f>
        <v>2[WLF] Uvea</v>
      </c>
      <c r="AX5" s="55"/>
      <c r="AY5" s="55"/>
      <c r="AZ5" s="56"/>
      <c r="BA5" s="56"/>
      <c r="BB5" s="56"/>
      <c r="BC5" s="57"/>
      <c r="BD5" s="58" t="s">
        <v>156</v>
      </c>
      <c r="BE5" s="59"/>
      <c r="BF5" s="58"/>
      <c r="BG5" s="58"/>
      <c r="BH5" s="58"/>
      <c r="BI5" s="58"/>
      <c r="BJ5" s="58"/>
      <c r="BK5" s="59"/>
      <c r="BL5" s="58" t="s">
        <v>156</v>
      </c>
      <c r="BM5" s="58" t="s">
        <v>161</v>
      </c>
      <c r="BN5" s="58" t="s">
        <v>154</v>
      </c>
      <c r="BO5" s="58"/>
      <c r="BP5" s="58"/>
      <c r="BQ5" s="58"/>
      <c r="BR5" s="58"/>
      <c r="BS5" s="58"/>
      <c r="BT5" s="58"/>
      <c r="BU5" s="60" t="s">
        <v>166</v>
      </c>
      <c r="BV5" s="61"/>
      <c r="BW5" s="61">
        <v>0</v>
      </c>
      <c r="BX5" s="59"/>
      <c r="BY5" s="44" t="s">
        <v>166</v>
      </c>
      <c r="CB5" s="5"/>
      <c r="CC5" s="5"/>
      <c r="CD5" s="62">
        <v>0</v>
      </c>
      <c r="CE5" s="62">
        <v>0</v>
      </c>
      <c r="CF5" s="62" t="e">
        <v>#REF!</v>
      </c>
      <c r="CG5" s="75" cm="1">
        <f t="array" ref="CG5">SUMPRODUCT(--(LEN(TRIM(BL5:BT5))&gt;0))</f>
        <v>3</v>
      </c>
      <c r="CH5" s="53" t="str">
        <f>IF(CG5=2,"y","n")</f>
        <v>n</v>
      </c>
      <c r="CI5" s="53" t="str">
        <f>IF(CG5=3,"y","n")</f>
        <v>y</v>
      </c>
      <c r="CJ5" s="53" t="str">
        <f>IF(CG5=4,"y","n")</f>
        <v>n</v>
      </c>
      <c r="CK5" s="53" t="str">
        <f>IF(CG5&gt;4,"y","n")</f>
        <v>n</v>
      </c>
      <c r="CL5" s="53" t="str">
        <f>IF(S5=0,"y","n")</f>
        <v>y</v>
      </c>
      <c r="CM5" s="53" t="str">
        <f>IF(S5=2,"y","n")</f>
        <v>n</v>
      </c>
      <c r="CN5" s="53" t="str">
        <f>IF(S5=3,"y","n")</f>
        <v>n</v>
      </c>
      <c r="CO5" s="53" t="str">
        <f>IF(S5&gt;=4,"y","n")</f>
        <v>n</v>
      </c>
      <c r="CP5" s="53" t="str">
        <f>IF(AT5=0,"y","n")</f>
        <v>y</v>
      </c>
      <c r="CQ5" s="53" t="str">
        <f>IF(AT5=1,"y","n")</f>
        <v>n</v>
      </c>
      <c r="CR5" s="53" t="str">
        <f>IF(AT5=2,"y","n")</f>
        <v>n</v>
      </c>
      <c r="CS5" s="53" t="str">
        <f>IF(AT5&gt;=3,"y","n")</f>
        <v>n</v>
      </c>
      <c r="CT5" s="38" t="str">
        <f>CHAR(34)&amp;A5&amp;CHAR(34)</f>
        <v>"[WLF] Uvea"</v>
      </c>
      <c r="CU5" s="63" t="str">
        <f>CHAR(34)&amp;"rgn_"&amp;R5&amp;CHAR(34)</f>
        <v>"rgn_Oceania"</v>
      </c>
      <c r="CV5" s="44" t="str">
        <f>CHAR(34)&amp;D5&amp;CHAR(34)</f>
        <v>"https://upload.wikimedia.org/wikipedia/commons/thumb/b/b8/Flag_of_Uvea.svg/640px-Flag_of_Uvea.svg.png"</v>
      </c>
      <c r="CW5" s="44" t="str">
        <f t="shared" si="0"/>
        <v/>
      </c>
      <c r="CX5" s="44" t="str">
        <f t="shared" si="0"/>
        <v>"3Color",</v>
      </c>
      <c r="CY5" s="44" t="str">
        <f t="shared" si="0"/>
        <v/>
      </c>
      <c r="CZ5" s="44" t="str">
        <f t="shared" si="0"/>
        <v/>
      </c>
      <c r="DA5" s="44" t="str">
        <f>IF(Q5&gt;1,CHAR(34)&amp;"words2"&amp;CHAR(34)&amp;",","")</f>
        <v/>
      </c>
      <c r="DB5" s="44" t="str">
        <f>IF(Q5&gt;2,CHAR(34)&amp;"words3"&amp;CHAR(34)&amp;",","")</f>
        <v/>
      </c>
      <c r="DD5" s="44" t="str">
        <f>IF(LEN(CHAR(34)&amp;"lets"&amp;LEN(SUBSTITUTE(SUBSTITUTE(IFERROR(TRIM(SUBSTITUTE(A5,MID(A5,FIND("[",A5),FIND("]",A5)-FIND("[",A5)+1),"")),A5)," ",""),"-",""))&amp;CHAR(34)&amp;",")=9,CHAR(34)&amp;"lets"&amp;LEN(SUBSTITUTE(SUBSTITUTE(IFERROR(TRIM(SUBSTITUTE(A5,MID(A5,FIND("[",A5),FIND("]",A5)-FIND("[",A5)+1),"")),A5)," ",""),"-",""))&amp;CHAR(34)&amp;",",CHAR(34)&amp;"lets0"&amp;LEN(SUBSTITUTE(SUBSTITUTE(IFERROR(TRIM(SUBSTITUTE(A5,MID(A5,FIND("[",A5),FIND("]",A5)-FIND("[",A5)+1),"")),A5)," ",""),"-",""))&amp;CHAR(34)&amp;",")</f>
        <v>"lets04",</v>
      </c>
      <c r="DE5" s="44" t="str">
        <f>CHAR(34)&amp;"start"&amp;IFERROR(LEFT(SUBSTITUTE(A5,"["&amp;MID(A5,FIND("[",A5)+1,FIND("]",A5)-FIND("[",A5)-1)&amp;"] ",""),1),LEFT(A5,1))&amp;CHAR(34)&amp;","</f>
        <v>"startU",</v>
      </c>
      <c r="DF5" s="44" t="str">
        <f>IFERROR(IF(SEARCH("tan",A5)&gt;0,CHAR(34)&amp;"withtn"&amp;CHAR(34)&amp;",",""),"")</f>
        <v/>
      </c>
      <c r="DG5" s="44" t="str">
        <f>IFERROR(IF(SEARCH("q",A5)&gt;0,CHAR(34)&amp;"with_q"&amp;CHAR(34)&amp;",",""),"")</f>
        <v/>
      </c>
      <c r="DH5" s="44" t="str">
        <f>IFERROR(IF(SEARCH("v",A5)&gt;0,CHAR(34)&amp;"with_v"&amp;CHAR(34)&amp;",",""),"")</f>
        <v>"with_v",</v>
      </c>
      <c r="DI5" s="44" t="str">
        <f>IFERROR(IF(SEARCH("w",A5)&gt;0,CHAR(34)&amp;"with_w"&amp;CHAR(34)&amp;",",""),"")</f>
        <v>"with_w",</v>
      </c>
      <c r="DJ5" s="44" t="str">
        <f>IFERROR(IF(SEARCH("y",A5)&gt;0,CHAR(34)&amp;"with_y"&amp;CHAR(34)&amp;",",""),"")</f>
        <v/>
      </c>
      <c r="DK5" s="44" t="str">
        <f>IFERROR(IF(SEARCH("z",A5)&gt;0,CHAR(34)&amp;"with_z"&amp;CHAR(34)&amp;",",""),"")</f>
        <v/>
      </c>
      <c r="DL5" s="44" t="str">
        <f>IF(CG5=2, CHAR(34) &amp; _xlfn.TEXTJOIN("", TRUE, _xlfn._xlws.SORT(HP5:HX5)) &amp; CHAR(34) &amp; ",", "")</f>
        <v/>
      </c>
      <c r="DM5" s="44" t="str" cm="1">
        <f t="array" ref="DM5">IF(CG5=3,CHAR(34) &amp; _xlfn.TEXTJOIN("", TRUE, RIGHT(HP5:HX5, 2)) &amp; CHAR(34) &amp; ",", "")</f>
        <v>"LUEDHI",</v>
      </c>
      <c r="DN5" s="44" t="str">
        <f>IF(AND(ISNUMBER(SEARCH("18", O5)), ISERROR(SEARCH("1918", O5)), ISERROR(SEARCH("2018", O5))), CHAR(34) &amp; "year18" &amp; CHAR(34) &amp; ",", "")</f>
        <v/>
      </c>
      <c r="DO5" s="44" t="str">
        <f>IF(AND(ISNUMBER(SEARCH("19", O5)), ISERROR(SEARCH("1819", O5)),  ISERROR(SEARCH("1219", O5)),ISERROR(SEARCH("1119", O5)),ISERROR(SEARCH("1190", O5)),ISERROR(SEARCH("2019", O5))), CHAR(34) &amp; "year19" &amp; CHAR(34) &amp; ",", "")</f>
        <v/>
      </c>
      <c r="DP5" s="5" t="str">
        <f>IF(AND(ISNUMBER(SEARCH("20", O5)), ISERROR(SEARCH("1920", O5))), CHAR(34)&amp;"year00"&amp;CHAR(34)&amp;",", "")</f>
        <v/>
      </c>
      <c r="DQ5" s="5" t="str">
        <f>IF(CC5="y",CHAR(34)&amp;"soviet"&amp;CHAR(34)&amp;",","")</f>
        <v/>
      </c>
      <c r="DR5" s="5" t="str">
        <f>IF(BY5="y",CHAR(34)&amp;"dgband"&amp;CHAR(34)&amp;",","")</f>
        <v/>
      </c>
      <c r="DS5" s="5" t="str">
        <f>IF(W5="y",IF(AND(V5="n",BY5&lt;&gt;"y"),CHAR(34)&amp;"allver"&amp;CHAR(34)&amp;",",""),"")</f>
        <v/>
      </c>
      <c r="DT5" s="5" t="str">
        <f>IF(V5="y",IF(AND(W5="n",BY5&lt;&gt;"y"),CHAR(34)&amp;"allhor"&amp;CHAR(34)&amp;",",""),"")</f>
        <v/>
      </c>
      <c r="DU5" s="5" t="str">
        <f>IF(BY5="y",IF(AND(W5="n",V5="n"),CHAR(34)&amp;"alldia"&amp;CHAR(34)&amp;",",""),"")</f>
        <v/>
      </c>
      <c r="DW5" s="44" t="str">
        <f t="shared" si="1"/>
        <v>"NoBand",</v>
      </c>
      <c r="DX5" s="44" t="str">
        <f t="shared" si="1"/>
        <v/>
      </c>
      <c r="DY5" s="44" t="str">
        <f t="shared" si="1"/>
        <v/>
      </c>
      <c r="DZ5" s="44" t="str">
        <f t="shared" si="1"/>
        <v/>
      </c>
      <c r="EA5" s="44" t="str">
        <f t="shared" si="2"/>
        <v/>
      </c>
      <c r="EB5" s="44" t="str">
        <f t="shared" si="2"/>
        <v>"Crosse",</v>
      </c>
      <c r="EC5" s="44" t="str">
        <f t="shared" si="2"/>
        <v/>
      </c>
      <c r="ED5" s="44" t="str">
        <f t="shared" si="2"/>
        <v/>
      </c>
      <c r="EE5" s="44" t="str">
        <f t="shared" si="2"/>
        <v/>
      </c>
      <c r="EF5" s="44" t="str">
        <f>IF(AND(Y5&lt;&gt;"n",Y5&lt;&gt;""),CHAR(34)&amp;Y$1&amp;CHAR(34)&amp;",","")</f>
        <v/>
      </c>
      <c r="EG5" s="44" t="str">
        <f t="shared" si="3"/>
        <v/>
      </c>
      <c r="EH5" s="44" t="str">
        <f t="shared" si="3"/>
        <v/>
      </c>
      <c r="EI5" s="44" t="str">
        <f t="shared" si="3"/>
        <v/>
      </c>
      <c r="EJ5" s="44" t="str">
        <f t="shared" si="3"/>
        <v/>
      </c>
      <c r="EK5" s="44" t="str">
        <f t="shared" si="3"/>
        <v/>
      </c>
      <c r="EL5" s="44" t="str">
        <f t="shared" si="3"/>
        <v/>
      </c>
      <c r="EM5" s="44" t="str">
        <f t="shared" si="3"/>
        <v/>
      </c>
      <c r="EN5" s="44" t="str">
        <f t="shared" si="3"/>
        <v/>
      </c>
      <c r="EO5" s="44" t="str">
        <f t="shared" si="3"/>
        <v/>
      </c>
      <c r="EP5" s="44" t="str">
        <f t="shared" si="3"/>
        <v>"Canton",</v>
      </c>
      <c r="EQ5" s="44" t="str">
        <f t="shared" si="4"/>
        <v/>
      </c>
      <c r="ER5" s="44" t="str">
        <f t="shared" si="4"/>
        <v/>
      </c>
      <c r="ES5" s="44" t="str">
        <f t="shared" si="4"/>
        <v/>
      </c>
      <c r="ET5" s="44" t="str">
        <f t="shared" si="4"/>
        <v/>
      </c>
      <c r="EU5" s="44" t="str">
        <f t="shared" si="4"/>
        <v/>
      </c>
      <c r="EV5" s="44" t="str">
        <f t="shared" si="4"/>
        <v/>
      </c>
      <c r="EW5" s="44" t="str">
        <f t="shared" si="4"/>
        <v/>
      </c>
      <c r="EX5" s="44" t="str">
        <f t="shared" si="4"/>
        <v/>
      </c>
      <c r="EY5" s="44" t="str">
        <f t="shared" si="4"/>
        <v/>
      </c>
      <c r="EZ5" s="44" t="str">
        <f t="shared" si="4"/>
        <v/>
      </c>
      <c r="FA5" s="44" t="str">
        <f>IF(AT5&gt;0,CHAR(34)&amp;"sta"&amp;AZ5&amp;CHAR(34)&amp;",","")</f>
        <v/>
      </c>
      <c r="FB5" s="44" t="str">
        <f>IF(AND(AT5&gt;0,BA5&lt;&gt;""),CHAR(34)&amp;"sta"&amp;BA5&amp;CHAR(34)&amp;",","")</f>
        <v/>
      </c>
      <c r="FD5" s="44" t="str">
        <f>IF(BV5="n",CHAR(34)&amp;"tcWHYE"&amp;CHAR(34)&amp;",",IF(BV5="y",CHAR(34)&amp;FD$1&amp;CHAR(34)&amp;",",""))</f>
        <v/>
      </c>
      <c r="FE5" s="44" t="str">
        <f>IF(COUNTIF(BL5:BT5,"BLU")=0,CHAR(34)&amp;"NO_BLU"&amp;CHAR(34)&amp;",", "")</f>
        <v/>
      </c>
      <c r="FF5" s="44" t="str">
        <f>IF(COUNTIF(BL5:BT5,"WHI")=0,CHAR(34)&amp;"NO_WHI"&amp;CHAR(34)&amp;",", "")</f>
        <v/>
      </c>
      <c r="FG5" s="44" t="str">
        <f>IF(COUNTIF(BL5:BT5,"RED")=0,CHAR(34)&amp;"NO_RED"&amp;CHAR(34)&amp;",", "")</f>
        <v/>
      </c>
      <c r="FH5" s="44" t="str">
        <f>IF(COUNTIF(BL5:BS5,"GRE")=0,CHAR(34)&amp;"NO_GRE"&amp;CHAR(34)&amp;",", "")</f>
        <v>"NO_GRE",</v>
      </c>
      <c r="FI5" s="44" t="str">
        <f>IF(COUNTIF(BL5:BT5,"YEL")=0,CHAR(34)&amp;"NO_YEL"&amp;CHAR(34)&amp;",", "")</f>
        <v>"NO_YEL",</v>
      </c>
      <c r="FJ5" s="44" t="str">
        <f>IF(COUNTIF(BL5:BT5,"BLA")=0,CHAR(34)&amp;"NO_BLA"&amp;CHAR(34)&amp;",", "")</f>
        <v>"NO_BLA",</v>
      </c>
      <c r="FK5" s="44" t="str">
        <f>IF(AND(FH5&lt;&gt;"",FF5&lt;&gt;""),CHAR(34)&amp;"WHGRNO"&amp;CHAR(34)&amp;",","")</f>
        <v/>
      </c>
      <c r="FL5" s="44" t="str">
        <f>IF(AND(FI5&lt;&gt;"",FF5&lt;&gt;""),CHAR(34)&amp;"WHYENO"&amp;CHAR(34)&amp;",","")</f>
        <v/>
      </c>
      <c r="FM5" s="44" t="str">
        <f>IF(AND(FJ5&lt;&gt;"",FF5&lt;&gt;""),CHAR(34)&amp;"BAWHNO"&amp;CHAR(34)&amp;",","")</f>
        <v/>
      </c>
      <c r="FN5" s="44" t="str">
        <f>IF(AND(FE5&lt;&gt;"",FF5&lt;&gt;""),CHAR(34)&amp;"BLWHNO"&amp;CHAR(34)&amp;",","")</f>
        <v/>
      </c>
      <c r="FO5" s="44" t="str">
        <f>IF(AND(FE5&lt;&gt;"",FG5&lt;&gt;""),CHAR(34)&amp;"BLRENO"&amp;CHAR(34)&amp;",","")</f>
        <v/>
      </c>
      <c r="FP5" s="44" t="str">
        <f>IF(AND(FF5&lt;&gt;"",FF5&lt;&gt;""),CHAR(34)&amp;"WHRENO"&amp;CHAR(34)&amp;",","")</f>
        <v/>
      </c>
      <c r="FQ5" s="44" t="str">
        <f>IF(LEN(BF5)=3,CHAR(34)&amp;"001"&amp;BF5&amp;CHAR(34)&amp;",","")</f>
        <v/>
      </c>
      <c r="FR5" s="44" t="str">
        <f>IF(LEN(BG5)=3,CHAR(34)&amp;"002"&amp;BG5&amp;CHAR(34)&amp;",","")</f>
        <v/>
      </c>
      <c r="FS5" s="44" t="str">
        <f>IF(LEN(BH5)=3,CHAR(34)&amp;"003"&amp;BH5&amp;CHAR(34)&amp;",","")</f>
        <v/>
      </c>
      <c r="FT5" s="44" t="str">
        <f>CHAR(34)&amp;"myr"&amp;BD5&amp;CHAR(34)&amp;","</f>
        <v>"myrRED",</v>
      </c>
      <c r="FU5" s="44" t="str">
        <f>IF(AY5="y",CHAR(34)&amp;"island"&amp;CHAR(34)&amp;",","")</f>
        <v/>
      </c>
      <c r="FV5" s="44" t="str">
        <f>IF(BZ5="y",CHAR(34)&amp;"landlo"&amp;CHAR(34)&amp;",","")</f>
        <v/>
      </c>
      <c r="FW5" s="44" t="str">
        <f>IF(CA5="y",CHAR(34)&amp;"eunion"&amp;CHAR(34)&amp;",","")</f>
        <v/>
      </c>
      <c r="FY5" s="44" t="str">
        <f>IFERROR(IF(SEARCH("Arabic",CB5)&gt;0,CHAR(34)&amp;"arabic"&amp;CHAR(34)&amp;",",""),"")</f>
        <v/>
      </c>
      <c r="FZ5" s="44" t="str">
        <f>IFERROR(IF(SEARCH("English",CB5)&gt;0,CHAR(34)&amp;"englis"&amp;CHAR(34)&amp;",",""),"")</f>
        <v/>
      </c>
      <c r="GA5" s="44" t="str">
        <f>IFERROR(IF(SEARCH("French",CB5)&gt;0,CHAR(34)&amp;"french"&amp;CHAR(34)&amp;",",""),"")</f>
        <v/>
      </c>
      <c r="GB5" s="44" t="str">
        <f>IFERROR(IF(SEARCH("Spanish",CB5)&gt;0,CHAR(34)&amp;"spanis"&amp;CHAR(34)&amp;",",""),"")</f>
        <v/>
      </c>
      <c r="GE5" s="44" t="str">
        <f>IFERROR(IF(SEARCH("Dutch",CB5)&gt;0,CHAR(34)&amp;"dutchs"&amp;CHAR(34)&amp;",",""),"")</f>
        <v/>
      </c>
      <c r="GF5" s="44" t="str">
        <f>IFERROR(IF(SEARCH("Historical",AU5)&gt;0,CHAR(34)&amp;"histor"&amp;CHAR(34)&amp;",",""),"")</f>
        <v/>
      </c>
      <c r="GG5" s="44" t="str">
        <f>IF(BU5="y",CHAR(34)&amp;"unjack"&amp;CHAR(34)&amp;",","")</f>
        <v/>
      </c>
      <c r="GH5" s="44" t="str">
        <f>IF(CD5=1,CHAR(34)&amp;"southc"&amp;CHAR(34)&amp;",","")</f>
        <v/>
      </c>
      <c r="GI5" s="44" t="str">
        <f>IF(CE5=1,CHAR(34)&amp;"hasmap"&amp;CHAR(34)&amp;",","")</f>
        <v/>
      </c>
      <c r="GJ5" s="44" t="str">
        <f>IF(CP5="y",CHAR(34)&amp;CP$1&amp;CHAR(34)&amp;",","")</f>
        <v>"NoStar",</v>
      </c>
      <c r="GK5" s="44" t="str">
        <f>IF(GJ5="",CHAR(34)&amp;"HasSta"&amp;CHAR(34)&amp;",","")</f>
        <v/>
      </c>
      <c r="GL5" s="44" t="str">
        <f t="shared" si="5"/>
        <v/>
      </c>
      <c r="GM5" s="44" t="str">
        <f t="shared" si="5"/>
        <v/>
      </c>
      <c r="GN5" s="44" t="str">
        <f t="shared" si="5"/>
        <v/>
      </c>
      <c r="GP5" s="44" t="str">
        <f>CHAR(34)&amp;AU5&amp;CHAR(34)</f>
        <v>"Chiefdom"</v>
      </c>
      <c r="GS5" s="44" t="str">
        <f>SUBSTITUTE("["&amp;_xlfn.CONCAT(CW5:GN5)&amp;"]",",]","]")</f>
        <v>["3Color","lets04","startU","with_v","with_w","LUEDHI","NoBand","Crosse","Canton","NO_GRE","NO_YEL","NO_BLA","myrRED","NoStar"]</v>
      </c>
      <c r="GT5" s="44" t="str">
        <f t="shared" si="6"/>
        <v>"cl_RED",</v>
      </c>
      <c r="GU5" s="44" t="str">
        <f t="shared" si="6"/>
        <v>"cl_WHI",</v>
      </c>
      <c r="GV5" s="44" t="str">
        <f t="shared" si="6"/>
        <v>"cl_BLU",</v>
      </c>
      <c r="GW5" s="44" t="str">
        <f t="shared" si="6"/>
        <v/>
      </c>
      <c r="GX5" s="44" t="str">
        <f t="shared" si="6"/>
        <v/>
      </c>
      <c r="GY5" s="44" t="str">
        <f t="shared" si="6"/>
        <v/>
      </c>
      <c r="GZ5" s="44" t="str">
        <f t="shared" si="6"/>
        <v/>
      </c>
      <c r="HA5" s="44" t="str">
        <f t="shared" si="6"/>
        <v/>
      </c>
      <c r="HB5" s="44" t="str">
        <f t="shared" si="6"/>
        <v/>
      </c>
      <c r="HC5" s="44" t="str">
        <f>SUBSTITUTE("["&amp;_xlfn.CONCAT(GT5:HB5)&amp;"]",",]","]")</f>
        <v>["cl_RED","cl_WHI","cl_BLU"]</v>
      </c>
      <c r="HE5" s="64"/>
      <c r="HF5" s="65" t="str">
        <f>"{couname:"&amp;CT5&amp;(IF(HK5&lt;&gt;"",",subtype:"&amp;CHAR(34)&amp;HK5&amp;CHAR(34),""))&amp;",year:"&amp;HJ5&amp;",region:"&amp;CU5&amp;",Colors:"&amp;HC5&amp;",Items:"&amp;GS5&amp;",Flag:"&amp;CV5&amp;",HDFlag:"&amp;CHAR(34)&amp;E5&amp;CHAR(34)&amp;",type:"&amp;GP5&amp;", describe: "&amp;HH5&amp;", isnew:"&amp;CHAR(34)&amp;F5&amp;CHAR(34)&amp;", links: "&amp;HL5&amp;"},"</f>
        <v>{couname:"[WLF] Uvea",year:"???",region:"rgn_Oceania",Colors:["cl_RED","cl_WHI","cl_BLU"],Items:["3Color","lets04","startU","with_v","with_w","LUEDHI","NoBand","Crosse","Canton","NO_GRE","NO_YEL","NO_BLA","myrRED","NoStar"],Flag:"https://upload.wikimedia.org/wikipedia/commons/thumb/b/b8/Flag_of_Uvea.svg/640px-Flag_of_Uvea.svg.png",HDFlag:"https://upload.wikimedia.org/wikipedia/commons/thumb/b/b8/Flag_of_Uvea.svg/2560px-Flag_of_Uvea.svg.png",type:"Chiefdom", describe: "\nThe flag of Uvéa was red with a white cross (similar to the cross of Malta, several shapes of it are known), basically the current unofficial flag of the territory. When the French protectorate was established, the tricolour was added to the canton.", isnew:".", links: "https://www.fotw.info/flags/wf-w.html"},</v>
      </c>
      <c r="HG5" s="66" t="str">
        <f>"{couname:"&amp;CT5&amp;(IF(HK5&lt;&gt;"",",subtype:"&amp;CHAR(34)&amp;HK5&amp;CHAR(34),""))&amp;",year:"&amp;HJ5&amp;",region:"&amp;CU5&amp;",Colors:"&amp;HC5&amp;",Items:"&amp;GS5&amp;",Flag:"&amp;CV5&amp;",HDFlag:"&amp;CHAR(34)&amp;E5&amp;CHAR(34)&amp;",type:"&amp;GP5&amp;", describe: "&amp;HI5&amp;", links: "&amp;HL5&amp;"},"</f>
        <v>{couname:"[WLF] Uvea",year:"???",region:"rgn_Oceania",Colors:["cl_RED","cl_WHI","cl_BLU"],Items:["3Color","lets04","startU","with_v","with_w","LUEDHI","NoBand","Crosse","Canton","NO_GRE","NO_YEL","NO_BLA","myrRED","NoStar"],Flag:"https://upload.wikimedia.org/wikipedia/commons/thumb/b/b8/Flag_of_Uvea.svg/640px-Flag_of_Uvea.svg.png",HDFlag:"https://upload.wikimedia.org/wikipedia/commons/thumb/b/b8/Flag_of_Uvea.svg/2560px-Flag_of_Uvea.svg.png",type:"Chiefdom", describe: "\nThe flag of Uvéa was red with a white cross (similar to the cross of Malta, several shapes of it are known), basically the current unofficial flag of the territory. When the French protectorate was established, the tricolour was added to the canton.", links: "https://www.fotw.info/flags/wf-w.html"},</v>
      </c>
      <c r="HH5" s="44" t="str">
        <f>IF(P5&lt;&gt;"",CHAR(34)&amp;"\n"&amp;P5&amp;CHAR(34),CHAR(34)&amp;CHAR(34))</f>
        <v>"\nThe flag of Uvéa was red with a white cross (similar to the cross of Malta, several shapes of it are known), basically the current unofficial flag of the territory. When the French protectorate was established, the tricolour was added to the canton."</v>
      </c>
      <c r="HI5" s="44" t="str">
        <f>IF(J5=0,CHAR(34)&amp;CHAR(34),HH5)</f>
        <v>"\nThe flag of Uvéa was red with a white cross (similar to the cross of Malta, several shapes of it are known), basically the current unofficial flag of the territory. When the French protectorate was established, the tricolour was added to the canton."</v>
      </c>
      <c r="HJ5" s="44" t="str">
        <f>CHAR(34)&amp;O5&amp;CHAR(34)</f>
        <v>"???"</v>
      </c>
      <c r="HL5" s="44" t="str">
        <f>CHAR(34)&amp;I5&amp;CHAR(34)</f>
        <v>"https://www.fotw.info/flags/wf-w.html"</v>
      </c>
      <c r="HM5" s="65" t="str">
        <f>"{"&amp;CHAR(34)&amp;"couname"&amp;CHAR(34)&amp;":"&amp;CT5&amp;(IF(H5&lt;&gt;"",","&amp;CHAR(34)&amp;"subtype"&amp;CHAR(34)&amp;":"&amp;CHAR(34)&amp;H5&amp;CHAR(34),""))&amp;","&amp;CHAR(34)&amp;"year"&amp;CHAR(34)&amp;":"&amp;HJ5&amp;","&amp;CHAR(34)&amp;"region"&amp;CHAR(34)&amp;":"&amp;CU5&amp;","&amp;CHAR(34)&amp;"Colors"&amp;CHAR(34)&amp;":"&amp;HC5&amp;","&amp;CHAR(34)&amp;"Items"&amp;CHAR(34)&amp;":"&amp;GS5&amp;","&amp;CHAR(34)&amp;"Flag"&amp;CHAR(34)&amp;":"&amp;CV5&amp;","&amp;CHAR(34)&amp;"HDFlag"&amp;CHAR(34)&amp;":"&amp;CHAR(34)&amp;E5&amp;CHAR(34)&amp;","&amp;CHAR(34)&amp;"type"&amp;CHAR(34)&amp;":"&amp;GP5&amp;", "&amp;CHAR(34)&amp;"describe"&amp;CHAR(34)&amp;": "&amp;HH5&amp;", "&amp;CHAR(34)&amp;"isnew"&amp;CHAR(34)&amp;": "&amp;CHAR(34)&amp;F5&amp;CHAR(34)&amp;", "&amp;CHAR(34)&amp;"links"&amp;CHAR(34)&amp;": "&amp;HL5&amp;"},"</f>
        <v>{"couname":"[WLF] Uvea","year":"???","region":"rgn_Oceania","Colors":["cl_RED","cl_WHI","cl_BLU"],"Items":["3Color","lets04","startU","with_v","with_w","LUEDHI","NoBand","Crosse","Canton","NO_GRE","NO_YEL","NO_BLA","myrRED","NoStar"],"Flag":"https://upload.wikimedia.org/wikipedia/commons/thumb/b/b8/Flag_of_Uvea.svg/640px-Flag_of_Uvea.svg.png","HDFlag":"https://upload.wikimedia.org/wikipedia/commons/thumb/b/b8/Flag_of_Uvea.svg/2560px-Flag_of_Uvea.svg.png","type":"Chiefdom", "describe": "\nThe flag of Uvéa was red with a white cross (similar to the cross of Malta, several shapes of it are known), basically the current unofficial flag of the territory. When the French protectorate was established, the tricolour was added to the canton.", "isnew": ".", "links": "https://www.fotw.info/flags/wf-w.html"},</v>
      </c>
      <c r="HN5" s="67" t="str">
        <f>"{"&amp;CHAR(34)&amp;"couname"&amp;CHAR(34)&amp;":"&amp;CT5&amp;(IF(H5&lt;&gt;"",","&amp;CHAR(34)&amp;"subtype"&amp;CHAR(34)&amp;":"&amp;CHAR(34)&amp;H5&amp;CHAR(34),""))&amp;","&amp;CHAR(34)&amp;"year"&amp;CHAR(34)&amp;":"&amp;HJ5&amp;","&amp;CHAR(34)&amp;"region"&amp;CHAR(34)&amp;":"&amp;CU5&amp;","&amp;CHAR(34)&amp;"Colors"&amp;CHAR(34)&amp;":"&amp;HC5&amp;","&amp;CHAR(34)&amp;"Items"&amp;CHAR(34)&amp;":"&amp;GS5&amp;","&amp;CHAR(34)&amp;"Flag"&amp;CHAR(34)&amp;":"&amp;CV5&amp;","&amp;CHAR(34)&amp;"HDFlag"&amp;CHAR(34)&amp;":"&amp;CHAR(34)&amp;E5&amp;CHAR(34)&amp;","&amp;CHAR(34)&amp;"type"&amp;CHAR(34)&amp;":"&amp;GP5&amp;", "&amp;CHAR(34)&amp;"describe"&amp;CHAR(34)&amp;": "&amp;HI5&amp;", "&amp;CHAR(34)&amp;"isnew"&amp;CHAR(34)&amp;": "&amp;CHAR(34)&amp;F5&amp;CHAR(34)&amp;", "&amp;CHAR(34)&amp;"links"&amp;CHAR(34)&amp;": "&amp;HL5&amp;"},"</f>
        <v>{"couname":"[WLF] Uvea","year":"???","region":"rgn_Oceania","Colors":["cl_RED","cl_WHI","cl_BLU"],"Items":["3Color","lets04","startU","with_v","with_w","LUEDHI","NoBand","Crosse","Canton","NO_GRE","NO_YEL","NO_BLA","myrRED","NoStar"],"Flag":"https://upload.wikimedia.org/wikipedia/commons/thumb/b/b8/Flag_of_Uvea.svg/640px-Flag_of_Uvea.svg.png","HDFlag":"https://upload.wikimedia.org/wikipedia/commons/thumb/b/b8/Flag_of_Uvea.svg/2560px-Flag_of_Uvea.svg.png","type":"Chiefdom", "describe": "\nThe flag of Uvéa was red with a white cross (similar to the cross of Malta, several shapes of it are known), basically the current unofficial flag of the territory. When the French protectorate was established, the tricolour was added to the canton.", "isnew": ".", "links": "https://www.fotw.info/flags/wf-w.html"},</v>
      </c>
      <c r="HO5" s="71">
        <v>45596</v>
      </c>
      <c r="HP5" s="44" t="str" cm="1">
        <f t="array" ref="HP5">IF(_xlfn.TEXTJOIN(", ", TRUE, IF(ISNUMBER(SEARCH("BLA", BL5:BT5)), COLUMN(BL5:BT5) - COLUMN(BL5) + 1, ""))&lt;&gt;"","BLA","")</f>
        <v/>
      </c>
      <c r="HQ5" s="44" t="str" cm="1">
        <f t="array" ref="HQ5">IF(_xlfn.TEXTJOIN(", ", TRUE, IF(ISNUMBER(SEARCH("BLU", BL5:BT5)), COLUMN(BL5:BT5) - COLUMN(BL5) + 1, ""))&lt;&gt;"","BLU","")</f>
        <v>BLU</v>
      </c>
      <c r="HR5" s="44" t="str" cm="1">
        <f t="array" ref="HR5">IF(_xlfn.TEXTJOIN(", ", TRUE, IF(ISNUMBER(SEARCH("GRE", BL5:BT5)), COLUMN(BL5:BT5) - COLUMN(BL5) + 1, ""))&lt;&gt;"","GRE","")</f>
        <v/>
      </c>
      <c r="HS5" s="44" t="str" cm="1">
        <f t="array" ref="HS5">IF(_xlfn.TEXTJOIN(", ", TRUE, IF(ISNUMBER(SEARCH("RED", BL5:BT5)), COLUMN(BL5:BT5) - COLUMN(BL5) + 1, ""))&lt;&gt;"","RED","")</f>
        <v>RED</v>
      </c>
      <c r="HT5" s="44" t="str" cm="1">
        <f t="array" ref="HT5">IF(_xlfn.TEXTJOIN(", ", TRUE, IF(ISNUMBER(SEARCH("YEL", BL5:BT5)), COLUMN(BL5:BT5) - COLUMN(BL5) + 1, ""))&lt;&gt;"","YEL","")</f>
        <v/>
      </c>
      <c r="HU5" s="44" t="str" cm="1">
        <f t="array" ref="HU5">IF(_xlfn.TEXTJOIN(", ", TRUE, IF(ISNUMBER(SEARCH("ORA", BL5:BT5)), COLUMN(BL5:BT5) - COLUMN(BL5) + 1, ""))&lt;&gt;"","ORA","")</f>
        <v/>
      </c>
      <c r="HV5" s="44" t="str" cm="1">
        <f t="array" ref="HV5">IF(_xlfn.TEXTJOIN(", ", TRUE, IF(ISNUMBER(SEARCH("BRO", BL5:BT5)), COLUMN(BL5:BT5) - COLUMN(BL5) + 1, ""))&lt;&gt;"","BRO","")</f>
        <v/>
      </c>
      <c r="HW5" s="44" t="str" cm="1">
        <f t="array" ref="HW5">IF(_xlfn.TEXTJOIN(", ", TRUE, IF(ISNUMBER(SEARCH("PUR", BL5:BT5)), COLUMN(BL5:BT5) - COLUMN(BL5) + 1, ""))&lt;&gt;"","PUR","")</f>
        <v/>
      </c>
      <c r="HX5" s="44" t="str" cm="1">
        <f t="array" ref="HX5">IF(_xlfn.TEXTJOIN(", ", TRUE, IF(ISNUMBER(SEARCH("WHI", BL5:BT5)), COLUMN(BL5:BT5) - COLUMN(BL5) + 1, ""))&lt;&gt;"","WHI","")</f>
        <v>WHI</v>
      </c>
      <c r="HY5" s="72"/>
      <c r="HZ5" s="72"/>
      <c r="IA5" s="5"/>
      <c r="IB5" s="5"/>
      <c r="IC5" s="68"/>
      <c r="ID5" s="68"/>
      <c r="IE5" s="68"/>
      <c r="IF5" s="68"/>
      <c r="IG5" s="68"/>
      <c r="IH5" s="68"/>
      <c r="II5" s="68"/>
      <c r="IJ5" s="68"/>
      <c r="IK5" s="68"/>
      <c r="IM5" s="42">
        <f>COUNTIF(IC5:IK5,"&gt;0")-CG5</f>
        <v>-3</v>
      </c>
      <c r="IN5" s="69" t="str">
        <f>"http://mkweb.bcgsc.ca/color-summarizer/?url="&amp;D5&amp;"&amp;precision=low&amp;num_clusters="&amp;CG5&amp;"&amp;text=1"</f>
        <v>http://mkweb.bcgsc.ca/color-summarizer/?url=https://upload.wikimedia.org/wikipedia/commons/thumb/b/b8/Flag_of_Uvea.svg/640px-Flag_of_Uvea.svg.png&amp;precision=low&amp;num_clusters=3&amp;text=1</v>
      </c>
      <c r="IO5" s="44" t="str">
        <f>IF(HP5&lt;&gt;"",CHAR(34)&amp;"black"&amp;CHAR(34),"")</f>
        <v/>
      </c>
      <c r="IP5" s="44" t="str">
        <f>IF(HQ5&lt;&gt;"",CHAR(34)&amp;"blue"&amp;CHAR(34),"")</f>
        <v>"blue"</v>
      </c>
      <c r="IQ5" s="44" t="str">
        <f>IF(HR5&lt;&gt;"",CHAR(34)&amp;"green"&amp;CHAR(34),"")</f>
        <v/>
      </c>
      <c r="IR5" s="44" t="str">
        <f>IF(HS5&lt;&gt;"",CHAR(34)&amp;"red"&amp;CHAR(34),"")</f>
        <v>"red"</v>
      </c>
      <c r="IS5" s="44" t="str">
        <f>IF(HT5&lt;&gt;"",CHAR(34)&amp;"yellow"&amp;CHAR(34),"")</f>
        <v/>
      </c>
      <c r="IT5" s="44" t="str">
        <f>IF(HU5&lt;&gt;"",CHAR(34)&amp;"orange"&amp;CHAR(34),"")</f>
        <v/>
      </c>
      <c r="IU5" s="44" t="str">
        <f>IF(HV5&lt;&gt;"",CHAR(34)&amp;"brown"&amp;CHAR(34),"")</f>
        <v/>
      </c>
      <c r="IV5" s="44" t="str">
        <f>IF(HW5&lt;&gt;"",CHAR(34)&amp;"purple"&amp;CHAR(34),"")</f>
        <v/>
      </c>
      <c r="IW5" s="44" t="str">
        <f>IF(HX5&lt;&gt;"",CHAR(34)&amp;"white"&amp;CHAR(34),"")</f>
        <v>"white"</v>
      </c>
      <c r="IX5" s="44" t="str">
        <f>"{"&amp;CHAR(34)&amp;"url"&amp;CHAR(34)&amp;":"&amp;CHAR(34)&amp;IN5&amp;CHAR(34)&amp;","&amp;CHAR(34)&amp;"name"&amp;CHAR(34)&amp;":"&amp;CHAR(34)&amp;A5&amp;CHAR(34)&amp;"},"</f>
        <v>{"url":"http://mkweb.bcgsc.ca/color-summarizer/?url=https://upload.wikimedia.org/wikipedia/commons/thumb/b/b8/Flag_of_Uvea.svg/640px-Flag_of_Uvea.svg.png&amp;precision=low&amp;num_clusters=3&amp;text=1","name":"[WLF] Uvea"},</v>
      </c>
      <c r="IY5" s="44">
        <v>1495</v>
      </c>
    </row>
    <row r="6" spans="1:259" ht="38.4" customHeight="1" x14ac:dyDescent="0.3">
      <c r="C6" s="82"/>
      <c r="D6" s="82"/>
      <c r="E6" s="82"/>
      <c r="F6" s="82"/>
      <c r="K6" s="82"/>
      <c r="L6" s="82"/>
      <c r="M6" s="82"/>
      <c r="N6" s="82"/>
      <c r="O6" s="82"/>
      <c r="P6" s="82"/>
      <c r="Q6" s="82"/>
      <c r="R6" s="82"/>
      <c r="S6" s="82"/>
      <c r="CL6" s="82"/>
      <c r="CM6" s="82"/>
      <c r="CN6" s="82"/>
      <c r="CO6" s="82"/>
      <c r="HE6" s="82"/>
      <c r="IC6" s="82"/>
      <c r="ID6" s="82"/>
      <c r="IE6" s="82"/>
      <c r="IF6" s="82"/>
      <c r="IG6" s="82"/>
      <c r="IH6" s="82"/>
      <c r="II6" s="82"/>
      <c r="IJ6" s="82"/>
      <c r="IK6" s="82"/>
    </row>
    <row r="7" spans="1:259" ht="38.4" customHeight="1" x14ac:dyDescent="0.3">
      <c r="C7" s="82"/>
      <c r="D7" s="82"/>
      <c r="E7" s="82"/>
      <c r="F7" s="82"/>
      <c r="K7" s="82"/>
      <c r="L7" s="82"/>
      <c r="M7" s="82"/>
      <c r="N7" s="82"/>
      <c r="O7" s="82"/>
      <c r="P7" s="82"/>
      <c r="Q7" s="82"/>
      <c r="R7" s="82"/>
      <c r="S7" s="82"/>
      <c r="CL7" s="82"/>
      <c r="CM7" s="82"/>
      <c r="CN7" s="82"/>
      <c r="CO7" s="82"/>
      <c r="HE7" s="82"/>
      <c r="IC7" s="82"/>
      <c r="ID7" s="82"/>
      <c r="IE7" s="82"/>
      <c r="IF7" s="82"/>
      <c r="IG7" s="82"/>
      <c r="IH7" s="82"/>
      <c r="II7" s="82"/>
      <c r="IJ7" s="82"/>
      <c r="IK7" s="82"/>
    </row>
    <row r="8" spans="1:259" ht="38.4" customHeight="1" x14ac:dyDescent="0.3">
      <c r="C8" s="82"/>
      <c r="D8" s="82"/>
      <c r="E8" s="82"/>
      <c r="F8" s="82"/>
      <c r="K8" s="82"/>
      <c r="L8" s="82"/>
      <c r="M8" s="82"/>
      <c r="N8" s="82"/>
      <c r="O8" s="82"/>
      <c r="P8" s="82"/>
      <c r="Q8" s="82"/>
      <c r="R8" s="82"/>
      <c r="S8" s="82"/>
      <c r="CL8" s="82"/>
      <c r="CM8" s="82"/>
      <c r="CN8" s="82"/>
      <c r="CO8" s="82"/>
      <c r="HE8" s="82"/>
      <c r="IC8" s="82"/>
      <c r="ID8" s="82"/>
      <c r="IE8" s="82"/>
      <c r="IF8" s="82"/>
      <c r="IG8" s="82"/>
      <c r="IH8" s="82"/>
      <c r="II8" s="82"/>
      <c r="IJ8" s="82"/>
      <c r="IK8" s="82"/>
    </row>
    <row r="9" spans="1:259" ht="38.4" customHeight="1" x14ac:dyDescent="0.3">
      <c r="C9" s="82"/>
      <c r="D9" s="82"/>
      <c r="E9" s="82"/>
      <c r="F9" s="82"/>
      <c r="K9" s="82"/>
      <c r="L9" s="82"/>
      <c r="M9" s="82"/>
      <c r="N9" s="82"/>
      <c r="O9" s="82"/>
      <c r="P9" s="82"/>
      <c r="Q9" s="82"/>
      <c r="R9" s="82"/>
      <c r="S9" s="82"/>
      <c r="CL9" s="82"/>
      <c r="CM9" s="82"/>
      <c r="CN9" s="82"/>
      <c r="CO9" s="82"/>
      <c r="HE9" s="82"/>
      <c r="IC9" s="82"/>
      <c r="ID9" s="82"/>
      <c r="IE9" s="82"/>
      <c r="IF9" s="82"/>
      <c r="IG9" s="82"/>
      <c r="IH9" s="82"/>
      <c r="II9" s="82"/>
      <c r="IJ9" s="82"/>
      <c r="IK9" s="82"/>
    </row>
    <row r="10" spans="1:259" ht="38.4" customHeight="1" x14ac:dyDescent="0.3">
      <c r="C10" s="82"/>
      <c r="D10" s="82"/>
      <c r="E10" s="82"/>
      <c r="F10" s="82"/>
      <c r="K10" s="82"/>
      <c r="L10" s="82"/>
      <c r="M10" s="82"/>
      <c r="N10" s="82"/>
      <c r="O10" s="82"/>
      <c r="P10" s="82"/>
      <c r="Q10" s="82"/>
      <c r="R10" s="82"/>
      <c r="S10" s="82"/>
      <c r="CL10" s="82"/>
      <c r="CM10" s="82"/>
      <c r="CN10" s="82"/>
      <c r="CO10" s="82"/>
      <c r="HE10" s="82"/>
      <c r="IC10" s="82"/>
      <c r="ID10" s="82"/>
      <c r="IE10" s="82"/>
      <c r="IF10" s="82"/>
      <c r="IG10" s="82"/>
      <c r="IH10" s="82"/>
      <c r="II10" s="82"/>
      <c r="IJ10" s="82"/>
      <c r="IK10" s="82"/>
    </row>
    <row r="11" spans="1:259" ht="38.4" customHeight="1" x14ac:dyDescent="0.3">
      <c r="C11" s="82"/>
      <c r="D11" s="82"/>
      <c r="E11" s="82"/>
      <c r="F11" s="82"/>
      <c r="K11" s="82"/>
      <c r="L11" s="82"/>
      <c r="M11" s="82"/>
      <c r="N11" s="82"/>
      <c r="O11" s="82"/>
      <c r="P11" s="82"/>
      <c r="Q11" s="82"/>
      <c r="R11" s="82"/>
      <c r="S11" s="82"/>
      <c r="CL11" s="82"/>
      <c r="CM11" s="82"/>
      <c r="CN11" s="82"/>
      <c r="CO11" s="82"/>
      <c r="HE11" s="82"/>
      <c r="IC11" s="82"/>
      <c r="ID11" s="82"/>
      <c r="IE11" s="82"/>
      <c r="IF11" s="82"/>
      <c r="IG11" s="82"/>
      <c r="IH11" s="82"/>
      <c r="II11" s="82"/>
      <c r="IJ11" s="82"/>
      <c r="IK11" s="82"/>
    </row>
    <row r="12" spans="1:259" ht="38.4" customHeight="1" x14ac:dyDescent="0.3">
      <c r="C12" s="82"/>
      <c r="D12" s="82"/>
      <c r="E12" s="82"/>
      <c r="F12" s="82"/>
      <c r="K12" s="82"/>
      <c r="L12" s="82"/>
      <c r="M12" s="82"/>
      <c r="N12" s="82"/>
      <c r="O12" s="82"/>
      <c r="P12" s="82"/>
      <c r="Q12" s="82"/>
      <c r="R12" s="82"/>
      <c r="S12" s="82"/>
      <c r="CL12" s="82"/>
      <c r="CM12" s="82"/>
      <c r="CN12" s="82"/>
      <c r="CO12" s="82"/>
      <c r="HE12" s="82"/>
      <c r="IC12" s="82"/>
      <c r="ID12" s="82"/>
      <c r="IE12" s="82"/>
      <c r="IF12" s="82"/>
      <c r="IG12" s="82"/>
      <c r="IH12" s="82"/>
      <c r="II12" s="82"/>
      <c r="IJ12" s="82"/>
      <c r="IK12" s="82"/>
    </row>
    <row r="13" spans="1:259" ht="38.4" customHeight="1" x14ac:dyDescent="0.3">
      <c r="C13" s="82"/>
      <c r="D13" s="82"/>
      <c r="E13" s="82"/>
      <c r="F13" s="82"/>
      <c r="K13" s="82"/>
      <c r="L13" s="82"/>
      <c r="M13" s="82"/>
      <c r="N13" s="82"/>
      <c r="O13" s="82"/>
      <c r="P13" s="82"/>
      <c r="Q13" s="82"/>
      <c r="R13" s="82"/>
      <c r="S13" s="82"/>
      <c r="CL13" s="82"/>
      <c r="CM13" s="82"/>
      <c r="CN13" s="82"/>
      <c r="CO13" s="82"/>
      <c r="HE13" s="82"/>
      <c r="IC13" s="82"/>
      <c r="ID13" s="82"/>
      <c r="IE13" s="82"/>
      <c r="IF13" s="82"/>
      <c r="IG13" s="82"/>
      <c r="IH13" s="82"/>
      <c r="II13" s="82"/>
      <c r="IJ13" s="82"/>
      <c r="IK13" s="82"/>
    </row>
    <row r="14" spans="1:259" ht="38.4" customHeight="1" x14ac:dyDescent="0.3">
      <c r="C14" s="82"/>
      <c r="D14" s="82"/>
      <c r="E14" s="82"/>
      <c r="F14" s="82"/>
      <c r="K14" s="82"/>
      <c r="L14" s="82"/>
      <c r="M14" s="82"/>
      <c r="N14" s="82"/>
      <c r="O14" s="82"/>
      <c r="P14" s="82"/>
      <c r="Q14" s="82"/>
      <c r="R14" s="82"/>
      <c r="S14" s="82"/>
      <c r="CL14" s="82"/>
      <c r="CM14" s="82"/>
      <c r="CN14" s="82"/>
      <c r="CO14" s="82"/>
      <c r="HE14" s="82"/>
      <c r="IC14" s="82"/>
      <c r="ID14" s="82"/>
      <c r="IE14" s="82"/>
      <c r="IF14" s="82"/>
      <c r="IG14" s="82"/>
      <c r="IH14" s="82"/>
      <c r="II14" s="82"/>
      <c r="IJ14" s="82"/>
      <c r="IK14" s="82"/>
    </row>
    <row r="15" spans="1:259" ht="38.4" customHeight="1" x14ac:dyDescent="0.3">
      <c r="C15" s="82"/>
      <c r="D15" s="82"/>
      <c r="E15" s="82"/>
      <c r="F15" s="82"/>
      <c r="K15" s="82"/>
      <c r="L15" s="82"/>
      <c r="M15" s="82"/>
      <c r="N15" s="82"/>
      <c r="O15" s="82"/>
      <c r="P15" s="82"/>
      <c r="Q15" s="82"/>
      <c r="R15" s="82"/>
      <c r="S15" s="82"/>
      <c r="CL15" s="82"/>
      <c r="CM15" s="82"/>
      <c r="CN15" s="82"/>
      <c r="CO15" s="82"/>
      <c r="HE15" s="82"/>
      <c r="IC15" s="82"/>
      <c r="ID15" s="82"/>
      <c r="IE15" s="82"/>
      <c r="IF15" s="82"/>
      <c r="IG15" s="82"/>
      <c r="IH15" s="82"/>
      <c r="II15" s="82"/>
      <c r="IJ15" s="82"/>
      <c r="IK15" s="82"/>
    </row>
    <row r="16" spans="1:259" ht="38.4" customHeight="1" x14ac:dyDescent="0.3">
      <c r="C16" s="82"/>
      <c r="D16" s="82"/>
      <c r="E16" s="82"/>
      <c r="F16" s="82"/>
      <c r="K16" s="82"/>
      <c r="L16" s="82"/>
      <c r="M16" s="82"/>
      <c r="N16" s="82"/>
      <c r="O16" s="82"/>
      <c r="P16" s="82"/>
      <c r="Q16" s="82"/>
      <c r="R16" s="82"/>
      <c r="S16" s="82"/>
      <c r="CL16" s="82"/>
      <c r="CM16" s="82"/>
      <c r="CN16" s="82"/>
      <c r="CO16" s="82"/>
      <c r="HE16" s="82"/>
      <c r="IC16" s="82"/>
      <c r="ID16" s="82"/>
      <c r="IE16" s="82"/>
      <c r="IF16" s="82"/>
      <c r="IG16" s="82"/>
      <c r="IH16" s="82"/>
      <c r="II16" s="82"/>
      <c r="IJ16" s="82"/>
      <c r="IK16" s="82"/>
    </row>
    <row r="17" s="82" customFormat="1" ht="38.4" customHeight="1" x14ac:dyDescent="0.3"/>
    <row r="18" s="82" customFormat="1" ht="38.4" customHeight="1" x14ac:dyDescent="0.3"/>
    <row r="19" s="82" customFormat="1" ht="38.4" customHeight="1" x14ac:dyDescent="0.3"/>
    <row r="20" s="82" customFormat="1" ht="38.4" customHeight="1" x14ac:dyDescent="0.3"/>
    <row r="21" s="82" customFormat="1" ht="38.4" customHeight="1" x14ac:dyDescent="0.3"/>
    <row r="22" s="82" customFormat="1" ht="38.4" customHeight="1" x14ac:dyDescent="0.3"/>
    <row r="23" s="82" customFormat="1" ht="38.4" customHeight="1" x14ac:dyDescent="0.3"/>
    <row r="24" s="82" customFormat="1" ht="38.4" customHeight="1" x14ac:dyDescent="0.3"/>
    <row r="25" s="82" customFormat="1" ht="38.4" customHeight="1" x14ac:dyDescent="0.3"/>
    <row r="26" s="82" customFormat="1" ht="38.4" customHeight="1" x14ac:dyDescent="0.3"/>
    <row r="27" s="82" customFormat="1" ht="38.4" customHeight="1" x14ac:dyDescent="0.3"/>
    <row r="28" s="82" customFormat="1" ht="38.4" customHeight="1" x14ac:dyDescent="0.3"/>
    <row r="29" s="82" customFormat="1" ht="38.4" customHeight="1" x14ac:dyDescent="0.3"/>
    <row r="30" s="82" customFormat="1" ht="38.4" customHeight="1" x14ac:dyDescent="0.3"/>
    <row r="31" s="82" customFormat="1" ht="38.4" customHeight="1" x14ac:dyDescent="0.3"/>
    <row r="32" s="82" customFormat="1" ht="38.4" customHeight="1" x14ac:dyDescent="0.3"/>
    <row r="33" s="82" customFormat="1" ht="38.4" customHeight="1" x14ac:dyDescent="0.3"/>
    <row r="34" s="82" customFormat="1" ht="38.4" customHeight="1" x14ac:dyDescent="0.3"/>
    <row r="35" s="82" customFormat="1" ht="38.4" customHeight="1" x14ac:dyDescent="0.3"/>
    <row r="36" s="82" customFormat="1" ht="38.4" customHeight="1" x14ac:dyDescent="0.3"/>
    <row r="37" s="82" customFormat="1" ht="38.4" customHeight="1" x14ac:dyDescent="0.3"/>
    <row r="38" s="82" customFormat="1" ht="38.4" customHeight="1" x14ac:dyDescent="0.3"/>
    <row r="39" s="82" customFormat="1" ht="38.4" customHeight="1" x14ac:dyDescent="0.3"/>
    <row r="40" s="82" customFormat="1" ht="38.4" customHeight="1" x14ac:dyDescent="0.3"/>
    <row r="41" s="82" customFormat="1" ht="38.4" customHeight="1" x14ac:dyDescent="0.3"/>
    <row r="42" s="82" customFormat="1" ht="38.4" customHeight="1" x14ac:dyDescent="0.3"/>
    <row r="43" s="82" customFormat="1" ht="38.4" customHeight="1" x14ac:dyDescent="0.3"/>
    <row r="44" s="82" customFormat="1" ht="38.4" customHeight="1" x14ac:dyDescent="0.3"/>
    <row r="45" s="82" customFormat="1" ht="38.4" customHeight="1" x14ac:dyDescent="0.3"/>
    <row r="46" s="82" customFormat="1" ht="38.4" customHeight="1" x14ac:dyDescent="0.3"/>
    <row r="47" s="82" customFormat="1" ht="38.4" customHeight="1" x14ac:dyDescent="0.3"/>
    <row r="48" s="82" customFormat="1" ht="38.4" customHeight="1" x14ac:dyDescent="0.3"/>
    <row r="49" s="82" customFormat="1" ht="38.4" customHeight="1" x14ac:dyDescent="0.3"/>
    <row r="50" s="82" customFormat="1" ht="38.4" customHeight="1" x14ac:dyDescent="0.3"/>
    <row r="51" s="82" customFormat="1" ht="38.4" customHeight="1" x14ac:dyDescent="0.3"/>
    <row r="52" s="82" customFormat="1" ht="38.4" customHeight="1" x14ac:dyDescent="0.3"/>
    <row r="53" s="82" customFormat="1" ht="38.4" customHeight="1" x14ac:dyDescent="0.3"/>
    <row r="54" s="82" customFormat="1" ht="38.4" customHeight="1" x14ac:dyDescent="0.3"/>
    <row r="55" s="82" customFormat="1" ht="38.4" customHeight="1" x14ac:dyDescent="0.3"/>
    <row r="56" s="82" customFormat="1" ht="38.4" customHeight="1" x14ac:dyDescent="0.3"/>
    <row r="57" s="82" customFormat="1" ht="38.4" customHeight="1" x14ac:dyDescent="0.3"/>
    <row r="58" s="82" customFormat="1" ht="38.4" customHeight="1" x14ac:dyDescent="0.3"/>
    <row r="59" s="82" customFormat="1" ht="38.4" customHeight="1" x14ac:dyDescent="0.3"/>
    <row r="60" s="82" customFormat="1" ht="38.4" customHeight="1" x14ac:dyDescent="0.3"/>
    <row r="61" s="82" customFormat="1" ht="38.4" customHeight="1" x14ac:dyDescent="0.3"/>
    <row r="62" s="82" customFormat="1" ht="38.4" customHeight="1" x14ac:dyDescent="0.3"/>
    <row r="63" s="82" customFormat="1" ht="38.4" customHeight="1" x14ac:dyDescent="0.3"/>
    <row r="64" s="82" customFormat="1" ht="38.4" customHeight="1" x14ac:dyDescent="0.3"/>
    <row r="65" s="82" customFormat="1" ht="38.4" customHeight="1" x14ac:dyDescent="0.3"/>
    <row r="66" s="82" customFormat="1" ht="38.4" customHeight="1" x14ac:dyDescent="0.3"/>
    <row r="67" s="82" customFormat="1" ht="38.4" customHeight="1" x14ac:dyDescent="0.3"/>
    <row r="68" s="82" customFormat="1" ht="38.4" customHeight="1" x14ac:dyDescent="0.3"/>
    <row r="69" s="82" customFormat="1" ht="38.4" customHeight="1" x14ac:dyDescent="0.3"/>
    <row r="70" s="82" customFormat="1" ht="38.4" customHeight="1" x14ac:dyDescent="0.3"/>
    <row r="71" s="82" customFormat="1" ht="38.4" customHeight="1" x14ac:dyDescent="0.3"/>
    <row r="72" s="82" customFormat="1" ht="38.4" customHeight="1" x14ac:dyDescent="0.3"/>
    <row r="73" s="82" customFormat="1" ht="38.4" customHeight="1" x14ac:dyDescent="0.3"/>
    <row r="74" s="82" customFormat="1" ht="38.4" customHeight="1" x14ac:dyDescent="0.3"/>
  </sheetData>
  <autoFilter ref="A1:IY50" xr:uid="{A1051193-A95B-4CFB-A73C-F0184620C81F}">
    <sortState xmlns:xlrd2="http://schemas.microsoft.com/office/spreadsheetml/2017/richdata2" ref="A2:IY50">
      <sortCondition ref="AW1:AW50"/>
    </sortState>
  </autoFilter>
  <conditionalFormatting sqref="H1 CW1:GS1 IA1:IB1">
    <cfRule type="cellIs" dxfId="68" priority="65" operator="greaterThan">
      <formula>0</formula>
    </cfRule>
  </conditionalFormatting>
  <conditionalFormatting sqref="H1:H1048576">
    <cfRule type="cellIs" dxfId="67" priority="5" stopIfTrue="1" operator="notEqual">
      <formula>""</formula>
    </cfRule>
  </conditionalFormatting>
  <conditionalFormatting sqref="R2:R5 CU2:CU5">
    <cfRule type="cellIs" dxfId="66" priority="7" operator="greaterThan">
      <formula>0</formula>
    </cfRule>
  </conditionalFormatting>
  <conditionalFormatting sqref="T2:AS5 CH2:CS5">
    <cfRule type="cellIs" dxfId="65" priority="2" stopIfTrue="1" operator="equal">
      <formula>"n"</formula>
    </cfRule>
    <cfRule type="cellIs" dxfId="64" priority="3" stopIfTrue="1" operator="equal">
      <formula>"y"</formula>
    </cfRule>
    <cfRule type="cellIs" dxfId="63" priority="4" operator="greaterThan">
      <formula>0</formula>
    </cfRule>
  </conditionalFormatting>
  <conditionalFormatting sqref="T1:BK1">
    <cfRule type="cellIs" dxfId="62" priority="68" operator="greaterThan">
      <formula>0</formula>
    </cfRule>
  </conditionalFormatting>
  <conditionalFormatting sqref="AZ2:BB5">
    <cfRule type="expression" dxfId="61" priority="1">
      <formula>$AT2=0</formula>
    </cfRule>
  </conditionalFormatting>
  <conditionalFormatting sqref="AZ2:BU5">
    <cfRule type="cellIs" dxfId="60" priority="43" operator="equal">
      <formula>"PIN"</formula>
    </cfRule>
    <cfRule type="cellIs" dxfId="59" priority="44" operator="equal">
      <formula>"ORA"</formula>
    </cfRule>
    <cfRule type="cellIs" dxfId="58" priority="45" operator="equal">
      <formula>"GRA"</formula>
    </cfRule>
    <cfRule type="cellIs" dxfId="57" priority="46" operator="equal">
      <formula>"PUR"</formula>
    </cfRule>
    <cfRule type="cellIs" dxfId="56" priority="47" operator="equal">
      <formula>"BRO"</formula>
    </cfRule>
    <cfRule type="cellIs" dxfId="55" priority="48" operator="equal">
      <formula>"YEL"</formula>
    </cfRule>
    <cfRule type="cellIs" dxfId="54" priority="49" operator="equal">
      <formula>"BLU"</formula>
    </cfRule>
    <cfRule type="cellIs" dxfId="53" priority="50" operator="equal">
      <formula>"WHI"</formula>
    </cfRule>
    <cfRule type="cellIs" dxfId="52" priority="51" operator="equal">
      <formula>"GRE"</formula>
    </cfRule>
    <cfRule type="cellIs" dxfId="51" priority="52" operator="equal">
      <formula>"RED"</formula>
    </cfRule>
    <cfRule type="cellIs" dxfId="50" priority="53" operator="equal">
      <formula>"BLA"</formula>
    </cfRule>
  </conditionalFormatting>
  <conditionalFormatting sqref="BV1:BW5 BV51:BW1048576 BV6:BV50">
    <cfRule type="cellIs" dxfId="49" priority="67" operator="equal">
      <formula>"nc"</formula>
    </cfRule>
  </conditionalFormatting>
  <conditionalFormatting sqref="BX2:CA5 CD2:CF5">
    <cfRule type="cellIs" dxfId="48" priority="6" operator="equal">
      <formula>"y"</formula>
    </cfRule>
    <cfRule type="cellIs" dxfId="47" priority="54" operator="equal">
      <formula>"PIN"</formula>
    </cfRule>
    <cfRule type="cellIs" dxfId="46" priority="55" operator="equal">
      <formula>"ORA"</formula>
    </cfRule>
    <cfRule type="cellIs" dxfId="45" priority="56" operator="equal">
      <formula>"GRA"</formula>
    </cfRule>
    <cfRule type="cellIs" dxfId="44" priority="57" operator="equal">
      <formula>"PUR"</formula>
    </cfRule>
    <cfRule type="cellIs" dxfId="43" priority="58" operator="equal">
      <formula>"BRO"</formula>
    </cfRule>
    <cfRule type="cellIs" dxfId="42" priority="59" operator="equal">
      <formula>"YEL"</formula>
    </cfRule>
    <cfRule type="cellIs" dxfId="41" priority="60" operator="equal">
      <formula>"BLU"</formula>
    </cfRule>
    <cfRule type="cellIs" dxfId="40" priority="61" operator="equal">
      <formula>"WHI"</formula>
    </cfRule>
    <cfRule type="cellIs" dxfId="39" priority="62" operator="equal">
      <formula>"GRE"</formula>
    </cfRule>
    <cfRule type="cellIs" dxfId="38" priority="63" operator="equal">
      <formula>"RED"</formula>
    </cfRule>
    <cfRule type="cellIs" dxfId="37" priority="64" operator="equal">
      <formula>"BLA"</formula>
    </cfRule>
  </conditionalFormatting>
  <conditionalFormatting sqref="BZ2:CA5 CD2:CF5">
    <cfRule type="cellIs" dxfId="36" priority="8" operator="greaterThan">
      <formula>0</formula>
    </cfRule>
  </conditionalFormatting>
  <conditionalFormatting sqref="HF1:HG1">
    <cfRule type="cellIs" dxfId="35" priority="69" operator="greaterThan">
      <formula>0</formula>
    </cfRule>
  </conditionalFormatting>
  <conditionalFormatting sqref="HK1">
    <cfRule type="cellIs" dxfId="34" priority="66" operator="greaterThan">
      <formula>0</formula>
    </cfRule>
  </conditionalFormatting>
  <conditionalFormatting sqref="HP1:HX1">
    <cfRule type="cellIs" dxfId="33" priority="20" operator="equal">
      <formula>"PIN"</formula>
    </cfRule>
    <cfRule type="cellIs" dxfId="32" priority="21" operator="equal">
      <formula>"ORA"</formula>
    </cfRule>
    <cfRule type="cellIs" dxfId="31" priority="22" operator="equal">
      <formula>"GRA"</formula>
    </cfRule>
    <cfRule type="cellIs" dxfId="30" priority="23" operator="equal">
      <formula>"PUR"</formula>
    </cfRule>
    <cfRule type="cellIs" dxfId="29" priority="24" operator="equal">
      <formula>"BRO"</formula>
    </cfRule>
    <cfRule type="cellIs" dxfId="28" priority="25" operator="equal">
      <formula>"YEL"</formula>
    </cfRule>
    <cfRule type="cellIs" dxfId="27" priority="26" operator="equal">
      <formula>"BLU"</formula>
    </cfRule>
    <cfRule type="cellIs" dxfId="26" priority="27" operator="equal">
      <formula>"WHI"</formula>
    </cfRule>
    <cfRule type="cellIs" dxfId="25" priority="28" operator="equal">
      <formula>"GRE"</formula>
    </cfRule>
    <cfRule type="cellIs" dxfId="24" priority="29" operator="equal">
      <formula>"RED"</formula>
    </cfRule>
    <cfRule type="cellIs" dxfId="23" priority="30" operator="equal">
      <formula>"BLA"</formula>
    </cfRule>
  </conditionalFormatting>
  <conditionalFormatting sqref="IC1:IK1">
    <cfRule type="cellIs" dxfId="22" priority="32" operator="equal">
      <formula>"PIN"</formula>
    </cfRule>
    <cfRule type="cellIs" dxfId="21" priority="33" operator="equal">
      <formula>"ORA"</formula>
    </cfRule>
    <cfRule type="cellIs" dxfId="20" priority="34" operator="equal">
      <formula>"GRA"</formula>
    </cfRule>
    <cfRule type="cellIs" dxfId="19" priority="35" operator="equal">
      <formula>"PUR"</formula>
    </cfRule>
    <cfRule type="cellIs" dxfId="18" priority="36" operator="equal">
      <formula>"BRO"</formula>
    </cfRule>
    <cfRule type="cellIs" dxfId="17" priority="37" operator="equal">
      <formula>"YEL"</formula>
    </cfRule>
    <cfRule type="cellIs" dxfId="16" priority="38" operator="equal">
      <formula>"BLU"</formula>
    </cfRule>
    <cfRule type="cellIs" dxfId="15" priority="39" operator="equal">
      <formula>"WHI"</formula>
    </cfRule>
    <cfRule type="cellIs" dxfId="14" priority="40" operator="equal">
      <formula>"GRE"</formula>
    </cfRule>
    <cfRule type="cellIs" dxfId="13" priority="41" operator="equal">
      <formula>"RED"</formula>
    </cfRule>
    <cfRule type="cellIs" dxfId="12" priority="42" operator="equal">
      <formula>"BLA"</formula>
    </cfRule>
  </conditionalFormatting>
  <conditionalFormatting sqref="IC2:IK5">
    <cfRule type="expression" dxfId="11" priority="31">
      <formula>$IL2&gt;0</formula>
    </cfRule>
  </conditionalFormatting>
  <conditionalFormatting sqref="IO1:IW1">
    <cfRule type="cellIs" dxfId="10" priority="9" operator="equal">
      <formula>"PIN"</formula>
    </cfRule>
    <cfRule type="cellIs" dxfId="9" priority="10" operator="equal">
      <formula>"ORA"</formula>
    </cfRule>
    <cfRule type="cellIs" dxfId="8" priority="11" operator="equal">
      <formula>"GRA"</formula>
    </cfRule>
    <cfRule type="cellIs" dxfId="7" priority="12" operator="equal">
      <formula>"PUR"</formula>
    </cfRule>
    <cfRule type="cellIs" dxfId="6" priority="13" operator="equal">
      <formula>"BRO"</formula>
    </cfRule>
    <cfRule type="cellIs" dxfId="5" priority="14" operator="equal">
      <formula>"YEL"</formula>
    </cfRule>
    <cfRule type="cellIs" dxfId="4" priority="15" operator="equal">
      <formula>"BLU"</formula>
    </cfRule>
    <cfRule type="cellIs" dxfId="3" priority="16" operator="equal">
      <formula>"WHI"</formula>
    </cfRule>
    <cfRule type="cellIs" dxfId="2" priority="17" operator="equal">
      <formula>"GRE"</formula>
    </cfRule>
    <cfRule type="cellIs" dxfId="1" priority="18" operator="equal">
      <formula>"RED"</formula>
    </cfRule>
    <cfRule type="cellIs" dxfId="0" priority="19" operator="equal">
      <formula>"BLA"</formula>
    </cfRule>
  </conditionalFormatting>
  <conditionalFormatting sqref="J2:J5">
    <cfRule type="colorScale" priority="736">
      <colorScale>
        <cfvo type="min"/>
        <cfvo type="percentile" val="50"/>
        <cfvo type="max"/>
        <color rgb="FFF8696B"/>
        <color rgb="FFFFEB84"/>
        <color rgb="FF63BE7B"/>
      </colorScale>
    </cfRule>
  </conditionalFormatting>
  <conditionalFormatting sqref="S2:S5">
    <cfRule type="colorScale" priority="738">
      <colorScale>
        <cfvo type="min"/>
        <cfvo type="max"/>
        <color rgb="FFFCFCFF"/>
        <color rgb="FF754BFB"/>
      </colorScale>
    </cfRule>
  </conditionalFormatting>
  <conditionalFormatting sqref="AT2:AT5">
    <cfRule type="colorScale" priority="740">
      <colorScale>
        <cfvo type="min"/>
        <cfvo type="max"/>
        <color rgb="FFFCFCFF"/>
        <color theme="8" tint="0.39997558519241921"/>
      </colorScale>
    </cfRule>
  </conditionalFormatting>
  <conditionalFormatting sqref="CG2:CG5">
    <cfRule type="colorScale" priority="742">
      <colorScale>
        <cfvo type="min"/>
        <cfvo type="max"/>
        <color rgb="FFFCFCFF"/>
        <color rgb="FF63BE7B"/>
      </colorScale>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InsertImagesFromSelectedRange">
                <anchor moveWithCells="1" sizeWithCells="1">
                  <from>
                    <xdr:col>1</xdr:col>
                    <xdr:colOff>76200</xdr:colOff>
                    <xdr:row>0</xdr:row>
                    <xdr:rowOff>7620</xdr:rowOff>
                  </from>
                  <to>
                    <xdr:col>2</xdr:col>
                    <xdr:colOff>0</xdr:colOff>
                    <xdr:row>0</xdr:row>
                    <xdr:rowOff>487680</xdr:rowOff>
                  </to>
                </anchor>
              </controlPr>
            </control>
          </mc:Choice>
        </mc:AlternateContent>
        <mc:AlternateContent xmlns:mc="http://schemas.openxmlformats.org/markup-compatibility/2006">
          <mc:Choice Requires="x14">
            <control shapeId="8194" r:id="rId5" name="Button 2">
              <controlPr defaultSize="0" print="0" autoFill="0" autoPict="0" macro="[0]!ReplaceLineBreaksWithNewLineManualRange">
                <anchor moveWithCells="1" sizeWithCells="1">
                  <from>
                    <xdr:col>7</xdr:col>
                    <xdr:colOff>15240</xdr:colOff>
                    <xdr:row>0</xdr:row>
                    <xdr:rowOff>45720</xdr:rowOff>
                  </from>
                  <to>
                    <xdr:col>7</xdr:col>
                    <xdr:colOff>685800</xdr:colOff>
                    <xdr:row>0</xdr:row>
                    <xdr:rowOff>403860</xdr:rowOff>
                  </to>
                </anchor>
              </controlPr>
            </control>
          </mc:Choice>
        </mc:AlternateContent>
        <mc:AlternateContent xmlns:mc="http://schemas.openxmlformats.org/markup-compatibility/2006">
          <mc:Choice Requires="x14">
            <control shapeId="8195" r:id="rId6" name="Button 3">
              <controlPr defaultSize="0" print="0" autoFill="0" autoPict="0" macro="[0]!GoToSheet">
                <anchor moveWithCells="1" sizeWithCells="1">
                  <from>
                    <xdr:col>0</xdr:col>
                    <xdr:colOff>137160</xdr:colOff>
                    <xdr:row>0</xdr:row>
                    <xdr:rowOff>114300</xdr:rowOff>
                  </from>
                  <to>
                    <xdr:col>0</xdr:col>
                    <xdr:colOff>762000</xdr:colOff>
                    <xdr:row>0</xdr:row>
                    <xdr:rowOff>419100</xdr:rowOff>
                  </to>
                </anchor>
              </controlPr>
            </control>
          </mc:Choice>
        </mc:AlternateContent>
      </controls>
    </mc:Choice>
  </mc:AlternateContent>
</worksheet>
</file>

<file path=docMetadata/LabelInfo.xml><?xml version="1.0" encoding="utf-8"?>
<clbl:labelList xmlns:clbl="http://schemas.microsoft.com/office/2020/mipLabelMetadata">
  <clbl:label id="{9d177183-d467-4059-a04d-31bcd56c2a79}" enabled="1" method="Privileged" siteId="{c7b320cf-0acf-483e-836e-e4eb68663817}"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27</vt:i4>
      </vt:variant>
    </vt:vector>
  </HeadingPairs>
  <TitlesOfParts>
    <vt:vector size="27" baseType="lpstr">
      <vt:lpstr>Divs</vt:lpstr>
      <vt:lpstr>ASM</vt:lpstr>
      <vt:lpstr>AUS</vt:lpstr>
      <vt:lpstr>CCK</vt:lpstr>
      <vt:lpstr>CKI</vt:lpstr>
      <vt:lpstr>CXR</vt:lpstr>
      <vt:lpstr>FJI</vt:lpstr>
      <vt:lpstr>GUM</vt:lpstr>
      <vt:lpstr>KIR</vt:lpstr>
      <vt:lpstr>MIC</vt:lpstr>
      <vt:lpstr>MHL</vt:lpstr>
      <vt:lpstr>MNP</vt:lpstr>
      <vt:lpstr>NCL</vt:lpstr>
      <vt:lpstr>NFK</vt:lpstr>
      <vt:lpstr>NIU</vt:lpstr>
      <vt:lpstr>NRU</vt:lpstr>
      <vt:lpstr>NZE</vt:lpstr>
      <vt:lpstr>PAU</vt:lpstr>
      <vt:lpstr>PCN</vt:lpstr>
      <vt:lpstr>PLY</vt:lpstr>
      <vt:lpstr>PNG</vt:lpstr>
      <vt:lpstr>SOL</vt:lpstr>
      <vt:lpstr>SMO</vt:lpstr>
      <vt:lpstr>TON</vt:lpstr>
      <vt:lpstr>TUV</vt:lpstr>
      <vt:lpstr>VUT</vt:lpstr>
      <vt:lpstr>WLF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 J</dc:creator>
  <cp:lastModifiedBy>Juan Castillo</cp:lastModifiedBy>
  <dcterms:created xsi:type="dcterms:W3CDTF">2024-12-30T04:11:53Z</dcterms:created>
  <dcterms:modified xsi:type="dcterms:W3CDTF">2024-12-30T11:07:31Z</dcterms:modified>
</cp:coreProperties>
</file>