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2.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3.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5.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13_ncr:1_{AB979F02-037B-4183-AF6D-A3FF55ACD15C}" xr6:coauthVersionLast="47" xr6:coauthVersionMax="47" xr10:uidLastSave="{00000000-0000-0000-0000-000000000000}"/>
  <bookViews>
    <workbookView xWindow="-108" yWindow="-108" windowWidth="23256" windowHeight="12456" tabRatio="550" activeTab="1" xr2:uid="{254CC1AA-A1FE-4EFE-82FB-F5C062ABC6A9}"/>
  </bookViews>
  <sheets>
    <sheet name="Divs" sheetId="5" r:id="rId1"/>
    <sheet name="ARG" sheetId="3" r:id="rId2"/>
    <sheet name="BOL" sheetId="14" r:id="rId3"/>
    <sheet name="BRA" sheetId="7" r:id="rId4"/>
    <sheet name="CHL" sheetId="13" r:id="rId5"/>
    <sheet name="COL" sheetId="11" r:id="rId6"/>
    <sheet name="ECU" sheetId="8" r:id="rId7"/>
    <sheet name="FLK" sheetId="16" r:id="rId8"/>
    <sheet name="GUF" sheetId="18" r:id="rId9"/>
    <sheet name="GUY" sheetId="19" r:id="rId10"/>
    <sheet name="PER" sheetId="12" r:id="rId11"/>
    <sheet name="PRY" sheetId="15" r:id="rId12"/>
    <sheet name="SUR" sheetId="17" r:id="rId13"/>
    <sheet name="URU" sheetId="10" r:id="rId14"/>
    <sheet name="VEN" sheetId="9" r:id="rId15"/>
  </sheets>
  <definedNames>
    <definedName name="_xlnm._FilterDatabase" localSheetId="1" hidden="1">ARG!$A$1:$IY$20</definedName>
    <definedName name="_xlnm._FilterDatabase" localSheetId="2" hidden="1">BOL!$A$1:$IY$4</definedName>
    <definedName name="_xlnm._FilterDatabase" localSheetId="3" hidden="1">BRA!$A$1:$IY$33</definedName>
    <definedName name="_xlnm._FilterDatabase" localSheetId="4" hidden="1">CHL!$A$1:$IY$15</definedName>
    <definedName name="_xlnm._FilterDatabase" localSheetId="5" hidden="1">COL!$A$1:$IY$5</definedName>
    <definedName name="_xlnm._FilterDatabase" localSheetId="6" hidden="1">ECU!$A$1:$IY$6</definedName>
    <definedName name="_xlnm._FilterDatabase" localSheetId="7" hidden="1">FLK!$A$1:$IY$3</definedName>
    <definedName name="_xlnm._FilterDatabase" localSheetId="8" hidden="1">GUF!$A$1:$IY$3</definedName>
    <definedName name="_xlnm._FilterDatabase" localSheetId="9" hidden="1">GUY!$A$1:$IY$3</definedName>
    <definedName name="_xlnm._FilterDatabase" localSheetId="10" hidden="1">PER!$A$1:$IY$4</definedName>
    <definedName name="_xlnm._FilterDatabase" localSheetId="11" hidden="1">PRY!$A$1:$IY$4</definedName>
    <definedName name="_xlnm._FilterDatabase" localSheetId="12" hidden="1">SUR!$A$1:$IY$3</definedName>
    <definedName name="_xlnm._FilterDatabase" localSheetId="13" hidden="1">URU!$A$1:$IY$9</definedName>
    <definedName name="_xlnm._FilterDatabase" localSheetId="14" hidden="1">VEN!$A$1:$IY$26</definedName>
    <definedName name="_xleta.TRI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L2" i="19" l="1"/>
  <c r="HX2" i="19" a="1"/>
  <c r="HX2" i="19" s="1"/>
  <c r="IW2" i="19" s="1"/>
  <c r="HW2" i="19" a="1"/>
  <c r="HW2" i="19" s="1"/>
  <c r="IV2" i="19" s="1"/>
  <c r="HV2" i="19" a="1"/>
  <c r="HV2" i="19" s="1"/>
  <c r="IU2" i="19" s="1"/>
  <c r="HU2" i="19" a="1"/>
  <c r="HU2" i="19" s="1"/>
  <c r="IT2" i="19" s="1"/>
  <c r="HT2" i="19" a="1"/>
  <c r="HT2" i="19" s="1"/>
  <c r="IS2" i="19" s="1"/>
  <c r="HS2" i="19" a="1"/>
  <c r="HS2" i="19" s="1"/>
  <c r="IR2" i="19" s="1"/>
  <c r="HR2" i="19" a="1"/>
  <c r="HR2" i="19" s="1"/>
  <c r="IQ2" i="19" s="1"/>
  <c r="HQ2" i="19" a="1"/>
  <c r="HQ2" i="19" s="1"/>
  <c r="IP2" i="19" s="1"/>
  <c r="HP2" i="19" a="1"/>
  <c r="HP2" i="19" s="1"/>
  <c r="IO2" i="19" s="1"/>
  <c r="HL2" i="19"/>
  <c r="HJ2" i="19"/>
  <c r="HH2" i="19"/>
  <c r="HB2" i="19"/>
  <c r="HA2" i="19"/>
  <c r="GZ2" i="19"/>
  <c r="GY2" i="19"/>
  <c r="GX2" i="19"/>
  <c r="GW2" i="19"/>
  <c r="GV2" i="19"/>
  <c r="GU2" i="19"/>
  <c r="GT2" i="19"/>
  <c r="GP2" i="19"/>
  <c r="GI2" i="19"/>
  <c r="GH2" i="19"/>
  <c r="GG2" i="19"/>
  <c r="GF2" i="19"/>
  <c r="GE2" i="19"/>
  <c r="GD2" i="19"/>
  <c r="GC2" i="19"/>
  <c r="GB2" i="19"/>
  <c r="GA2" i="19"/>
  <c r="FZ2" i="19"/>
  <c r="FY2" i="19"/>
  <c r="FX2" i="19"/>
  <c r="FW2" i="19"/>
  <c r="FV2" i="19"/>
  <c r="FU2" i="19"/>
  <c r="FT2" i="19"/>
  <c r="FS2" i="19"/>
  <c r="FR2" i="19"/>
  <c r="FQ2" i="19"/>
  <c r="FJ2" i="19"/>
  <c r="FI2" i="19"/>
  <c r="FH2" i="19"/>
  <c r="FG2" i="19"/>
  <c r="FF2" i="19"/>
  <c r="FP2" i="19" s="1"/>
  <c r="FE2" i="19"/>
  <c r="FD2" i="19"/>
  <c r="FC2" i="19"/>
  <c r="FB2" i="19"/>
  <c r="FA2" i="19"/>
  <c r="EZ2" i="19"/>
  <c r="EY2" i="19"/>
  <c r="EX2" i="19"/>
  <c r="EW2" i="19"/>
  <c r="EV2" i="19"/>
  <c r="EU2" i="19"/>
  <c r="ET2" i="19"/>
  <c r="ES2" i="19"/>
  <c r="ER2" i="19"/>
  <c r="EQ2" i="19"/>
  <c r="EP2" i="19"/>
  <c r="EO2" i="19"/>
  <c r="EN2" i="19"/>
  <c r="EM2" i="19"/>
  <c r="EL2" i="19"/>
  <c r="EK2" i="19"/>
  <c r="EJ2" i="19"/>
  <c r="EI2" i="19"/>
  <c r="EH2" i="19"/>
  <c r="EG2" i="19"/>
  <c r="EF2" i="19"/>
  <c r="EE2" i="19"/>
  <c r="ED2" i="19"/>
  <c r="EC2" i="19"/>
  <c r="EB2" i="19"/>
  <c r="EA2" i="19"/>
  <c r="DV2" i="19"/>
  <c r="DU2" i="19"/>
  <c r="DT2" i="19"/>
  <c r="DS2" i="19"/>
  <c r="DR2" i="19"/>
  <c r="DQ2" i="19"/>
  <c r="DP2" i="19"/>
  <c r="DO2" i="19"/>
  <c r="DN2" i="19"/>
  <c r="DK2" i="19"/>
  <c r="DJ2" i="19"/>
  <c r="DI2" i="19"/>
  <c r="DH2" i="19"/>
  <c r="DG2" i="19"/>
  <c r="DF2" i="19"/>
  <c r="DE2" i="19"/>
  <c r="DD2" i="19"/>
  <c r="DC2" i="19"/>
  <c r="DB2" i="19"/>
  <c r="DA2" i="19"/>
  <c r="CV2" i="19"/>
  <c r="CU2" i="19"/>
  <c r="CT2" i="19"/>
  <c r="CS2" i="19"/>
  <c r="GN2" i="19" s="1"/>
  <c r="CR2" i="19"/>
  <c r="GM2" i="19" s="1"/>
  <c r="CQ2" i="19"/>
  <c r="GL2" i="19" s="1"/>
  <c r="CP2" i="19"/>
  <c r="GJ2" i="19" s="1"/>
  <c r="GK2" i="19" s="1"/>
  <c r="CO2" i="19"/>
  <c r="DZ2" i="19" s="1"/>
  <c r="CN2" i="19"/>
  <c r="DY2" i="19" s="1"/>
  <c r="CM2" i="19"/>
  <c r="DX2" i="19" s="1"/>
  <c r="CL2" i="19"/>
  <c r="DW2" i="19" s="1"/>
  <c r="CG2" i="19" a="1"/>
  <c r="CG2" i="19" s="1"/>
  <c r="DM2" i="19" s="1" a="1"/>
  <c r="DM2" i="19" s="1"/>
  <c r="AW2" i="19"/>
  <c r="AV2" i="19"/>
  <c r="J2" i="19"/>
  <c r="G2" i="19"/>
  <c r="HX3" i="19" a="1"/>
  <c r="HX3" i="19" s="1"/>
  <c r="IW3" i="19" s="1"/>
  <c r="HW3" i="19" a="1"/>
  <c r="HW3" i="19" s="1"/>
  <c r="IV3" i="19" s="1"/>
  <c r="HV3" i="19" a="1"/>
  <c r="HV3" i="19" s="1"/>
  <c r="IU3" i="19" s="1"/>
  <c r="HU3" i="19" a="1"/>
  <c r="HU3" i="19" s="1"/>
  <c r="IT3" i="19" s="1"/>
  <c r="HT3" i="19" a="1"/>
  <c r="HT3" i="19" s="1"/>
  <c r="IS3" i="19" s="1"/>
  <c r="HS3" i="19" a="1"/>
  <c r="HS3" i="19" s="1"/>
  <c r="IR3" i="19" s="1"/>
  <c r="HR3" i="19" a="1"/>
  <c r="HR3" i="19" s="1"/>
  <c r="IQ3" i="19" s="1"/>
  <c r="HQ3" i="19" a="1"/>
  <c r="HQ3" i="19" s="1"/>
  <c r="HP3" i="19" a="1"/>
  <c r="HP3" i="19" s="1"/>
  <c r="IO3" i="19" s="1"/>
  <c r="HL3" i="19"/>
  <c r="HJ3" i="19"/>
  <c r="HH3" i="19"/>
  <c r="HB3" i="19"/>
  <c r="HA3" i="19"/>
  <c r="GZ3" i="19"/>
  <c r="GY3" i="19"/>
  <c r="GX3" i="19"/>
  <c r="GW3" i="19"/>
  <c r="GV3" i="19"/>
  <c r="GU3" i="19"/>
  <c r="GT3" i="19"/>
  <c r="GP3" i="19"/>
  <c r="GI3" i="19"/>
  <c r="GH3" i="19"/>
  <c r="GG3" i="19"/>
  <c r="GF3" i="19"/>
  <c r="GE3" i="19"/>
  <c r="GB3" i="19"/>
  <c r="GA3" i="19"/>
  <c r="FZ3" i="19"/>
  <c r="FY3" i="19"/>
  <c r="FW3" i="19"/>
  <c r="FV3" i="19"/>
  <c r="FU3" i="19"/>
  <c r="FT3" i="19"/>
  <c r="FS3" i="19"/>
  <c r="FR3" i="19"/>
  <c r="FQ3" i="19"/>
  <c r="FJ3" i="19"/>
  <c r="FI3" i="19"/>
  <c r="FH3" i="19"/>
  <c r="FG3" i="19"/>
  <c r="FF3" i="19"/>
  <c r="FP3" i="19" s="1"/>
  <c r="FE3" i="19"/>
  <c r="FD3" i="19"/>
  <c r="FB3" i="19"/>
  <c r="FA3" i="19"/>
  <c r="EZ3" i="19"/>
  <c r="EY3" i="19"/>
  <c r="EX3" i="19"/>
  <c r="EW3" i="19"/>
  <c r="EV3" i="19"/>
  <c r="EU3" i="19"/>
  <c r="ET3" i="19"/>
  <c r="ES3" i="19"/>
  <c r="ER3" i="19"/>
  <c r="EQ3" i="19"/>
  <c r="EP3" i="19"/>
  <c r="EO3" i="19"/>
  <c r="EN3" i="19"/>
  <c r="EM3" i="19"/>
  <c r="EL3" i="19"/>
  <c r="EK3" i="19"/>
  <c r="EJ3" i="19"/>
  <c r="EI3" i="19"/>
  <c r="EH3" i="19"/>
  <c r="EG3" i="19"/>
  <c r="EF3" i="19"/>
  <c r="EE3" i="19"/>
  <c r="ED3" i="19"/>
  <c r="EC3" i="19"/>
  <c r="EB3" i="19"/>
  <c r="EA3" i="19"/>
  <c r="DU3" i="19"/>
  <c r="DT3" i="19"/>
  <c r="DS3" i="19"/>
  <c r="DR3" i="19"/>
  <c r="DQ3" i="19"/>
  <c r="DP3" i="19"/>
  <c r="DO3" i="19"/>
  <c r="DN3" i="19"/>
  <c r="DK3" i="19"/>
  <c r="DJ3" i="19"/>
  <c r="DI3" i="19"/>
  <c r="DH3" i="19"/>
  <c r="DG3" i="19"/>
  <c r="DF3" i="19"/>
  <c r="DE3" i="19"/>
  <c r="DD3" i="19"/>
  <c r="DB3" i="19"/>
  <c r="DA3" i="19"/>
  <c r="CV3" i="19"/>
  <c r="CU3" i="19"/>
  <c r="CT3" i="19"/>
  <c r="CS3" i="19"/>
  <c r="GN3" i="19" s="1"/>
  <c r="CR3" i="19"/>
  <c r="GM3" i="19" s="1"/>
  <c r="CQ3" i="19"/>
  <c r="GL3" i="19" s="1"/>
  <c r="CP3" i="19"/>
  <c r="GJ3" i="19" s="1"/>
  <c r="GK3" i="19" s="1"/>
  <c r="CO3" i="19"/>
  <c r="DZ3" i="19" s="1"/>
  <c r="CN3" i="19"/>
  <c r="DY3" i="19" s="1"/>
  <c r="CM3" i="19"/>
  <c r="DX3" i="19" s="1"/>
  <c r="CL3" i="19"/>
  <c r="DW3" i="19" s="1"/>
  <c r="CG3" i="19" a="1"/>
  <c r="CG3" i="19" s="1"/>
  <c r="IN3" i="19" s="1"/>
  <c r="IX3" i="19" s="1"/>
  <c r="AW3" i="19"/>
  <c r="AV3" i="19"/>
  <c r="J3" i="19"/>
  <c r="G3" i="19"/>
  <c r="IL2" i="18"/>
  <c r="HX2" i="18" a="1"/>
  <c r="HX2" i="18" s="1"/>
  <c r="IW2" i="18" s="1"/>
  <c r="HW2" i="18" a="1"/>
  <c r="HW2" i="18" s="1"/>
  <c r="IV2" i="18" s="1"/>
  <c r="HV2" i="18" a="1"/>
  <c r="HV2" i="18" s="1"/>
  <c r="IU2" i="18" s="1"/>
  <c r="HU2" i="18" a="1"/>
  <c r="HU2" i="18" s="1"/>
  <c r="IT2" i="18" s="1"/>
  <c r="HT2" i="18" a="1"/>
  <c r="HT2" i="18" s="1"/>
  <c r="IS2" i="18" s="1"/>
  <c r="HS2" i="18" a="1"/>
  <c r="HS2" i="18" s="1"/>
  <c r="IR2" i="18" s="1"/>
  <c r="HR2" i="18" a="1"/>
  <c r="HR2" i="18" s="1"/>
  <c r="IQ2" i="18" s="1"/>
  <c r="HQ2" i="18" a="1"/>
  <c r="HQ2" i="18" s="1"/>
  <c r="IP2" i="18" s="1"/>
  <c r="HP2" i="18" a="1"/>
  <c r="HP2" i="18" s="1"/>
  <c r="IO2" i="18" s="1"/>
  <c r="HL2" i="18"/>
  <c r="HJ2" i="18"/>
  <c r="HH2" i="18"/>
  <c r="HB2" i="18"/>
  <c r="HA2" i="18"/>
  <c r="GZ2" i="18"/>
  <c r="GY2" i="18"/>
  <c r="GX2" i="18"/>
  <c r="GW2" i="18"/>
  <c r="GV2" i="18"/>
  <c r="GU2" i="18"/>
  <c r="GT2" i="18"/>
  <c r="GP2" i="18"/>
  <c r="GI2" i="18"/>
  <c r="GH2" i="18"/>
  <c r="GG2" i="18"/>
  <c r="GF2" i="18"/>
  <c r="GE2" i="18"/>
  <c r="GD2" i="18"/>
  <c r="GC2" i="18"/>
  <c r="GB2" i="18"/>
  <c r="GA2" i="18"/>
  <c r="FZ2" i="18"/>
  <c r="FY2" i="18"/>
  <c r="FX2" i="18"/>
  <c r="FW2" i="18"/>
  <c r="FV2" i="18"/>
  <c r="FU2" i="18"/>
  <c r="FT2" i="18"/>
  <c r="FS2" i="18"/>
  <c r="FR2" i="18"/>
  <c r="FQ2" i="18"/>
  <c r="FJ2" i="18"/>
  <c r="FI2" i="18"/>
  <c r="FH2" i="18"/>
  <c r="FG2" i="18"/>
  <c r="FF2" i="18"/>
  <c r="FP2" i="18" s="1"/>
  <c r="FE2" i="18"/>
  <c r="FD2" i="18"/>
  <c r="FC2" i="18"/>
  <c r="FB2" i="18"/>
  <c r="FA2" i="18"/>
  <c r="EZ2" i="18"/>
  <c r="EY2" i="18"/>
  <c r="EX2" i="18"/>
  <c r="EW2" i="18"/>
  <c r="EV2" i="18"/>
  <c r="EU2" i="18"/>
  <c r="ET2" i="18"/>
  <c r="ES2" i="18"/>
  <c r="ER2" i="18"/>
  <c r="EQ2" i="18"/>
  <c r="EP2" i="18"/>
  <c r="EO2" i="18"/>
  <c r="EN2" i="18"/>
  <c r="EM2" i="18"/>
  <c r="EL2" i="18"/>
  <c r="EK2" i="18"/>
  <c r="EJ2" i="18"/>
  <c r="EI2" i="18"/>
  <c r="EH2" i="18"/>
  <c r="EG2" i="18"/>
  <c r="EF2" i="18"/>
  <c r="EE2" i="18"/>
  <c r="ED2" i="18"/>
  <c r="EC2" i="18"/>
  <c r="EB2" i="18"/>
  <c r="EA2" i="18"/>
  <c r="DV2" i="18"/>
  <c r="DU2" i="18"/>
  <c r="DT2" i="18"/>
  <c r="DS2" i="18"/>
  <c r="DR2" i="18"/>
  <c r="DQ2" i="18"/>
  <c r="DP2" i="18"/>
  <c r="DO2" i="18"/>
  <c r="DN2" i="18"/>
  <c r="DK2" i="18"/>
  <c r="DJ2" i="18"/>
  <c r="DI2" i="18"/>
  <c r="DH2" i="18"/>
  <c r="DG2" i="18"/>
  <c r="DF2" i="18"/>
  <c r="DE2" i="18"/>
  <c r="DD2" i="18"/>
  <c r="DC2" i="18"/>
  <c r="DB2" i="18"/>
  <c r="DA2" i="18"/>
  <c r="CV2" i="18"/>
  <c r="CU2" i="18"/>
  <c r="CT2" i="18"/>
  <c r="CS2" i="18"/>
  <c r="GN2" i="18" s="1"/>
  <c r="CR2" i="18"/>
  <c r="GM2" i="18" s="1"/>
  <c r="CQ2" i="18"/>
  <c r="GL2" i="18" s="1"/>
  <c r="CP2" i="18"/>
  <c r="GJ2" i="18" s="1"/>
  <c r="GK2" i="18" s="1"/>
  <c r="CO2" i="18"/>
  <c r="DZ2" i="18" s="1"/>
  <c r="CN2" i="18"/>
  <c r="DY2" i="18" s="1"/>
  <c r="CM2" i="18"/>
  <c r="DX2" i="18" s="1"/>
  <c r="CL2" i="18"/>
  <c r="DW2" i="18" s="1"/>
  <c r="CG2" i="18" a="1"/>
  <c r="CG2" i="18" s="1"/>
  <c r="CI2" i="18" s="1"/>
  <c r="CX2" i="18" s="1"/>
  <c r="AW2" i="18"/>
  <c r="AV2" i="18"/>
  <c r="J2" i="18"/>
  <c r="G2" i="18"/>
  <c r="HX3" i="18" a="1"/>
  <c r="HX3" i="18" s="1"/>
  <c r="IW3" i="18" s="1"/>
  <c r="HW3" i="18" a="1"/>
  <c r="HW3" i="18" s="1"/>
  <c r="IV3" i="18" s="1"/>
  <c r="HV3" i="18" a="1"/>
  <c r="HV3" i="18" s="1"/>
  <c r="IU3" i="18" s="1"/>
  <c r="HU3" i="18" a="1"/>
  <c r="HU3" i="18" s="1"/>
  <c r="IT3" i="18" s="1"/>
  <c r="HT3" i="18" a="1"/>
  <c r="HT3" i="18" s="1"/>
  <c r="IS3" i="18" s="1"/>
  <c r="HS3" i="18" a="1"/>
  <c r="HS3" i="18" s="1"/>
  <c r="IR3" i="18" s="1"/>
  <c r="HR3" i="18" a="1"/>
  <c r="HR3" i="18" s="1"/>
  <c r="IQ3" i="18" s="1"/>
  <c r="HQ3" i="18" a="1"/>
  <c r="HQ3" i="18" s="1"/>
  <c r="IP3" i="18" s="1"/>
  <c r="HP3" i="18" a="1"/>
  <c r="HP3" i="18" s="1"/>
  <c r="IO3" i="18" s="1"/>
  <c r="HL3" i="18"/>
  <c r="HJ3" i="18"/>
  <c r="HH3" i="18"/>
  <c r="HB3" i="18"/>
  <c r="HA3" i="18"/>
  <c r="GZ3" i="18"/>
  <c r="GY3" i="18"/>
  <c r="GX3" i="18"/>
  <c r="GW3" i="18"/>
  <c r="GV3" i="18"/>
  <c r="GU3" i="18"/>
  <c r="GT3" i="18"/>
  <c r="GP3" i="18"/>
  <c r="GI3" i="18"/>
  <c r="GH3" i="18"/>
  <c r="GG3" i="18"/>
  <c r="GF3" i="18"/>
  <c r="GE3" i="18"/>
  <c r="GB3" i="18"/>
  <c r="GA3" i="18"/>
  <c r="FZ3" i="18"/>
  <c r="FY3" i="18"/>
  <c r="FW3" i="18"/>
  <c r="FV3" i="18"/>
  <c r="FU3" i="18"/>
  <c r="FT3" i="18"/>
  <c r="FS3" i="18"/>
  <c r="FR3" i="18"/>
  <c r="FQ3" i="18"/>
  <c r="FJ3" i="18"/>
  <c r="FI3" i="18"/>
  <c r="FH3" i="18"/>
  <c r="FG3" i="18"/>
  <c r="FF3" i="18"/>
  <c r="FP3" i="18" s="1"/>
  <c r="FE3" i="18"/>
  <c r="FD3" i="18"/>
  <c r="FB3" i="18"/>
  <c r="FA3" i="18"/>
  <c r="EZ3" i="18"/>
  <c r="EY3" i="18"/>
  <c r="EX3" i="18"/>
  <c r="EW3" i="18"/>
  <c r="EV3" i="18"/>
  <c r="EU3" i="18"/>
  <c r="ET3" i="18"/>
  <c r="ES3" i="18"/>
  <c r="ER3" i="18"/>
  <c r="EQ3" i="18"/>
  <c r="EP3" i="18"/>
  <c r="EO3" i="18"/>
  <c r="EN3" i="18"/>
  <c r="EM3" i="18"/>
  <c r="EL3" i="18"/>
  <c r="EK3" i="18"/>
  <c r="EJ3" i="18"/>
  <c r="EI3" i="18"/>
  <c r="EH3" i="18"/>
  <c r="EG3" i="18"/>
  <c r="EF3" i="18"/>
  <c r="EE3" i="18"/>
  <c r="ED3" i="18"/>
  <c r="EC3" i="18"/>
  <c r="EB3" i="18"/>
  <c r="EA3" i="18"/>
  <c r="DU3" i="18"/>
  <c r="DT3" i="18"/>
  <c r="DS3" i="18"/>
  <c r="DR3" i="18"/>
  <c r="DQ3" i="18"/>
  <c r="DP3" i="18"/>
  <c r="DO3" i="18"/>
  <c r="DN3" i="18"/>
  <c r="DK3" i="18"/>
  <c r="DJ3" i="18"/>
  <c r="DI3" i="18"/>
  <c r="DH3" i="18"/>
  <c r="DG3" i="18"/>
  <c r="DF3" i="18"/>
  <c r="DE3" i="18"/>
  <c r="DD3" i="18"/>
  <c r="DB3" i="18"/>
  <c r="DA3" i="18"/>
  <c r="CV3" i="18"/>
  <c r="CU3" i="18"/>
  <c r="CT3" i="18"/>
  <c r="CS3" i="18"/>
  <c r="GN3" i="18" s="1"/>
  <c r="CR3" i="18"/>
  <c r="GM3" i="18" s="1"/>
  <c r="CQ3" i="18"/>
  <c r="GL3" i="18" s="1"/>
  <c r="CP3" i="18"/>
  <c r="GJ3" i="18" s="1"/>
  <c r="GK3" i="18" s="1"/>
  <c r="CO3" i="18"/>
  <c r="DZ3" i="18" s="1"/>
  <c r="CN3" i="18"/>
  <c r="DY3" i="18" s="1"/>
  <c r="CM3" i="18"/>
  <c r="DX3" i="18" s="1"/>
  <c r="CL3" i="18"/>
  <c r="DW3" i="18" s="1"/>
  <c r="CG3" i="18" a="1"/>
  <c r="CG3" i="18" s="1"/>
  <c r="IN3" i="18" s="1"/>
  <c r="IX3" i="18" s="1"/>
  <c r="AW3" i="18"/>
  <c r="AV3" i="18"/>
  <c r="J3" i="18"/>
  <c r="G3" i="18"/>
  <c r="IL2" i="17"/>
  <c r="HX2" i="17" a="1"/>
  <c r="HX2" i="17" s="1"/>
  <c r="IW2" i="17" s="1"/>
  <c r="HW2" i="17" a="1"/>
  <c r="HW2" i="17" s="1"/>
  <c r="IV2" i="17" s="1"/>
  <c r="HV2" i="17" a="1"/>
  <c r="HV2" i="17" s="1"/>
  <c r="IU2" i="17" s="1"/>
  <c r="HU2" i="17" a="1"/>
  <c r="HU2" i="17" s="1"/>
  <c r="IT2" i="17" s="1"/>
  <c r="HT2" i="17" a="1"/>
  <c r="HT2" i="17" s="1"/>
  <c r="IS2" i="17" s="1"/>
  <c r="HS2" i="17" a="1"/>
  <c r="HS2" i="17" s="1"/>
  <c r="IR2" i="17" s="1"/>
  <c r="HR2" i="17" a="1"/>
  <c r="HR2" i="17" s="1"/>
  <c r="IQ2" i="17" s="1"/>
  <c r="HQ2" i="17" a="1"/>
  <c r="HQ2" i="17" s="1"/>
  <c r="IP2" i="17" s="1"/>
  <c r="HP2" i="17" a="1"/>
  <c r="HP2" i="17" s="1"/>
  <c r="IO2" i="17" s="1"/>
  <c r="HL2" i="17"/>
  <c r="HJ2" i="17"/>
  <c r="HH2" i="17"/>
  <c r="HB2" i="17"/>
  <c r="HA2" i="17"/>
  <c r="GZ2" i="17"/>
  <c r="GY2" i="17"/>
  <c r="GX2" i="17"/>
  <c r="GW2" i="17"/>
  <c r="GV2" i="17"/>
  <c r="GU2" i="17"/>
  <c r="GT2" i="17"/>
  <c r="GP2" i="17"/>
  <c r="GI2" i="17"/>
  <c r="GH2" i="17"/>
  <c r="GG2" i="17"/>
  <c r="GF2" i="17"/>
  <c r="GE2" i="17"/>
  <c r="GD2" i="17"/>
  <c r="GC2" i="17"/>
  <c r="GB2" i="17"/>
  <c r="GA2" i="17"/>
  <c r="FZ2" i="17"/>
  <c r="FY2" i="17"/>
  <c r="FX2" i="17"/>
  <c r="FW2" i="17"/>
  <c r="FV2" i="17"/>
  <c r="FU2" i="17"/>
  <c r="FT2" i="17"/>
  <c r="FS2" i="17"/>
  <c r="FR2" i="17"/>
  <c r="FQ2" i="17"/>
  <c r="FJ2" i="17"/>
  <c r="FI2" i="17"/>
  <c r="FH2" i="17"/>
  <c r="FG2" i="17"/>
  <c r="FF2" i="17"/>
  <c r="FE2" i="17"/>
  <c r="FD2" i="17"/>
  <c r="FC2" i="17"/>
  <c r="FB2" i="17"/>
  <c r="FA2" i="17"/>
  <c r="EZ2" i="17"/>
  <c r="EY2" i="17"/>
  <c r="EX2" i="17"/>
  <c r="EW2" i="17"/>
  <c r="EV2" i="17"/>
  <c r="EU2" i="17"/>
  <c r="ET2" i="17"/>
  <c r="ES2" i="17"/>
  <c r="ER2" i="17"/>
  <c r="EQ2" i="17"/>
  <c r="EP2" i="17"/>
  <c r="EO2" i="17"/>
  <c r="EN2" i="17"/>
  <c r="EM2" i="17"/>
  <c r="EL2" i="17"/>
  <c r="EK2" i="17"/>
  <c r="EJ2" i="17"/>
  <c r="EI2" i="17"/>
  <c r="EH2" i="17"/>
  <c r="EG2" i="17"/>
  <c r="EF2" i="17"/>
  <c r="EE2" i="17"/>
  <c r="ED2" i="17"/>
  <c r="EC2" i="17"/>
  <c r="EB2" i="17"/>
  <c r="EA2" i="17"/>
  <c r="DV2" i="17"/>
  <c r="DU2" i="17"/>
  <c r="DT2" i="17"/>
  <c r="DS2" i="17"/>
  <c r="DR2" i="17"/>
  <c r="DQ2" i="17"/>
  <c r="DP2" i="17"/>
  <c r="DO2" i="17"/>
  <c r="DN2" i="17"/>
  <c r="DK2" i="17"/>
  <c r="DJ2" i="17"/>
  <c r="DI2" i="17"/>
  <c r="DH2" i="17"/>
  <c r="DG2" i="17"/>
  <c r="DF2" i="17"/>
  <c r="DE2" i="17"/>
  <c r="DD2" i="17"/>
  <c r="DC2" i="17"/>
  <c r="DB2" i="17"/>
  <c r="DA2" i="17"/>
  <c r="CV2" i="17"/>
  <c r="CU2" i="17"/>
  <c r="CT2" i="17"/>
  <c r="CS2" i="17"/>
  <c r="GN2" i="17" s="1"/>
  <c r="CR2" i="17"/>
  <c r="GM2" i="17" s="1"/>
  <c r="CQ2" i="17"/>
  <c r="GL2" i="17" s="1"/>
  <c r="CP2" i="17"/>
  <c r="GJ2" i="17" s="1"/>
  <c r="GK2" i="17" s="1"/>
  <c r="CO2" i="17"/>
  <c r="DZ2" i="17" s="1"/>
  <c r="CN2" i="17"/>
  <c r="DY2" i="17" s="1"/>
  <c r="CM2" i="17"/>
  <c r="DX2" i="17" s="1"/>
  <c r="CL2" i="17"/>
  <c r="DW2" i="17" s="1"/>
  <c r="CG2" i="17" a="1"/>
  <c r="CG2" i="17" s="1"/>
  <c r="AW2" i="17"/>
  <c r="AV2" i="17"/>
  <c r="J2" i="17"/>
  <c r="G2" i="17"/>
  <c r="HX3" i="17" a="1"/>
  <c r="HX3" i="17" s="1"/>
  <c r="IW3" i="17" s="1"/>
  <c r="HW3" i="17" a="1"/>
  <c r="HW3" i="17" s="1"/>
  <c r="IV3" i="17" s="1"/>
  <c r="HV3" i="17" a="1"/>
  <c r="HV3" i="17" s="1"/>
  <c r="IU3" i="17" s="1"/>
  <c r="HU3" i="17" a="1"/>
  <c r="HU3" i="17" s="1"/>
  <c r="IT3" i="17" s="1"/>
  <c r="HT3" i="17" a="1"/>
  <c r="HT3" i="17" s="1"/>
  <c r="IS3" i="17" s="1"/>
  <c r="HS3" i="17" a="1"/>
  <c r="HS3" i="17" s="1"/>
  <c r="IR3" i="17" s="1"/>
  <c r="HR3" i="17" a="1"/>
  <c r="HR3" i="17" s="1"/>
  <c r="IQ3" i="17" s="1"/>
  <c r="HQ3" i="17" a="1"/>
  <c r="HQ3" i="17" s="1"/>
  <c r="IP3" i="17" s="1"/>
  <c r="HP3" i="17" a="1"/>
  <c r="HP3" i="17" s="1"/>
  <c r="HL3" i="17"/>
  <c r="HJ3" i="17"/>
  <c r="HH3" i="17"/>
  <c r="HB3" i="17"/>
  <c r="HA3" i="17"/>
  <c r="GZ3" i="17"/>
  <c r="GY3" i="17"/>
  <c r="GX3" i="17"/>
  <c r="GW3" i="17"/>
  <c r="GV3" i="17"/>
  <c r="GU3" i="17"/>
  <c r="GT3" i="17"/>
  <c r="GP3" i="17"/>
  <c r="GI3" i="17"/>
  <c r="GH3" i="17"/>
  <c r="GG3" i="17"/>
  <c r="GF3" i="17"/>
  <c r="GE3" i="17"/>
  <c r="GB3" i="17"/>
  <c r="GA3" i="17"/>
  <c r="FZ3" i="17"/>
  <c r="FY3" i="17"/>
  <c r="FW3" i="17"/>
  <c r="FV3" i="17"/>
  <c r="FU3" i="17"/>
  <c r="FT3" i="17"/>
  <c r="FS3" i="17"/>
  <c r="FR3" i="17"/>
  <c r="FQ3" i="17"/>
  <c r="FJ3" i="17"/>
  <c r="FI3" i="17"/>
  <c r="FH3" i="17"/>
  <c r="FK3" i="17" s="1"/>
  <c r="FG3" i="17"/>
  <c r="FF3" i="17"/>
  <c r="FP3" i="17" s="1"/>
  <c r="FE3" i="17"/>
  <c r="FD3" i="17"/>
  <c r="FB3" i="17"/>
  <c r="FA3" i="17"/>
  <c r="EZ3" i="17"/>
  <c r="EY3" i="17"/>
  <c r="EX3" i="17"/>
  <c r="EW3" i="17"/>
  <c r="EV3" i="17"/>
  <c r="EU3" i="17"/>
  <c r="ET3" i="17"/>
  <c r="ES3" i="17"/>
  <c r="ER3" i="17"/>
  <c r="EQ3" i="17"/>
  <c r="EP3" i="17"/>
  <c r="EO3" i="17"/>
  <c r="EN3" i="17"/>
  <c r="EM3" i="17"/>
  <c r="EL3" i="17"/>
  <c r="EK3" i="17"/>
  <c r="EJ3" i="17"/>
  <c r="EI3" i="17"/>
  <c r="EH3" i="17"/>
  <c r="EG3" i="17"/>
  <c r="EF3" i="17"/>
  <c r="EE3" i="17"/>
  <c r="ED3" i="17"/>
  <c r="EC3" i="17"/>
  <c r="EB3" i="17"/>
  <c r="EA3" i="17"/>
  <c r="DU3" i="17"/>
  <c r="DT3" i="17"/>
  <c r="DS3" i="17"/>
  <c r="DR3" i="17"/>
  <c r="DQ3" i="17"/>
  <c r="DP3" i="17"/>
  <c r="DO3" i="17"/>
  <c r="DN3" i="17"/>
  <c r="DK3" i="17"/>
  <c r="DJ3" i="17"/>
  <c r="DI3" i="17"/>
  <c r="DH3" i="17"/>
  <c r="DG3" i="17"/>
  <c r="DF3" i="17"/>
  <c r="DE3" i="17"/>
  <c r="DD3" i="17"/>
  <c r="DB3" i="17"/>
  <c r="DA3" i="17"/>
  <c r="CV3" i="17"/>
  <c r="CU3" i="17"/>
  <c r="CT3" i="17"/>
  <c r="CS3" i="17"/>
  <c r="GN3" i="17" s="1"/>
  <c r="CR3" i="17"/>
  <c r="GM3" i="17" s="1"/>
  <c r="CQ3" i="17"/>
  <c r="GL3" i="17" s="1"/>
  <c r="CP3" i="17"/>
  <c r="GJ3" i="17" s="1"/>
  <c r="GK3" i="17" s="1"/>
  <c r="CO3" i="17"/>
  <c r="DZ3" i="17" s="1"/>
  <c r="CN3" i="17"/>
  <c r="DY3" i="17" s="1"/>
  <c r="CM3" i="17"/>
  <c r="DX3" i="17" s="1"/>
  <c r="CL3" i="17"/>
  <c r="DW3" i="17" s="1"/>
  <c r="CG3" i="17" a="1"/>
  <c r="CG3" i="17" s="1"/>
  <c r="AW3" i="17"/>
  <c r="AV3" i="17"/>
  <c r="J3" i="17"/>
  <c r="G3" i="17"/>
  <c r="IL2" i="16"/>
  <c r="HX2" i="16" a="1"/>
  <c r="HX2" i="16" s="1"/>
  <c r="IW2" i="16" s="1"/>
  <c r="HW2" i="16" a="1"/>
  <c r="HW2" i="16" s="1"/>
  <c r="IV2" i="16" s="1"/>
  <c r="HV2" i="16" a="1"/>
  <c r="HV2" i="16" s="1"/>
  <c r="IU2" i="16" s="1"/>
  <c r="HU2" i="16" a="1"/>
  <c r="HU2" i="16" s="1"/>
  <c r="IT2" i="16" s="1"/>
  <c r="HT2" i="16" a="1"/>
  <c r="HT2" i="16" s="1"/>
  <c r="IS2" i="16" s="1"/>
  <c r="HS2" i="16" a="1"/>
  <c r="HS2" i="16" s="1"/>
  <c r="IR2" i="16" s="1"/>
  <c r="HR2" i="16" a="1"/>
  <c r="HR2" i="16" s="1"/>
  <c r="IQ2" i="16" s="1"/>
  <c r="HQ2" i="16" a="1"/>
  <c r="HQ2" i="16" s="1"/>
  <c r="IP2" i="16" s="1"/>
  <c r="HP2" i="16" a="1"/>
  <c r="HP2" i="16" s="1"/>
  <c r="IO2" i="16" s="1"/>
  <c r="HL2" i="16"/>
  <c r="HJ2" i="16"/>
  <c r="HH2" i="16"/>
  <c r="HB2" i="16"/>
  <c r="HA2" i="16"/>
  <c r="GZ2" i="16"/>
  <c r="GY2" i="16"/>
  <c r="GX2" i="16"/>
  <c r="GW2" i="16"/>
  <c r="GV2" i="16"/>
  <c r="GU2" i="16"/>
  <c r="GT2" i="16"/>
  <c r="GP2" i="16"/>
  <c r="GI2" i="16"/>
  <c r="GH2" i="16"/>
  <c r="GG2" i="16"/>
  <c r="GF2" i="16"/>
  <c r="GE2" i="16"/>
  <c r="GD2" i="16"/>
  <c r="GC2" i="16"/>
  <c r="GB2" i="16"/>
  <c r="GA2" i="16"/>
  <c r="FZ2" i="16"/>
  <c r="FY2" i="16"/>
  <c r="FX2" i="16"/>
  <c r="FW2" i="16"/>
  <c r="FV2" i="16"/>
  <c r="FU2" i="16"/>
  <c r="FT2" i="16"/>
  <c r="FS2" i="16"/>
  <c r="FR2" i="16"/>
  <c r="FQ2" i="16"/>
  <c r="FJ2" i="16"/>
  <c r="FI2" i="16"/>
  <c r="FH2" i="16"/>
  <c r="FG2" i="16"/>
  <c r="FF2" i="16"/>
  <c r="FP2" i="16" s="1"/>
  <c r="FE2" i="16"/>
  <c r="FD2" i="16"/>
  <c r="FC2" i="16"/>
  <c r="FB2" i="16"/>
  <c r="FA2" i="16"/>
  <c r="EZ2" i="16"/>
  <c r="EY2" i="16"/>
  <c r="EX2" i="16"/>
  <c r="EW2" i="16"/>
  <c r="EV2" i="16"/>
  <c r="EU2" i="16"/>
  <c r="ET2" i="16"/>
  <c r="ES2" i="16"/>
  <c r="ER2" i="16"/>
  <c r="EQ2" i="16"/>
  <c r="EP2" i="16"/>
  <c r="EO2" i="16"/>
  <c r="EN2" i="16"/>
  <c r="EM2" i="16"/>
  <c r="EL2" i="16"/>
  <c r="EK2" i="16"/>
  <c r="EJ2" i="16"/>
  <c r="EI2" i="16"/>
  <c r="EH2" i="16"/>
  <c r="EG2" i="16"/>
  <c r="EF2" i="16"/>
  <c r="EE2" i="16"/>
  <c r="ED2" i="16"/>
  <c r="EC2" i="16"/>
  <c r="EB2" i="16"/>
  <c r="EA2" i="16"/>
  <c r="DV2" i="16"/>
  <c r="DU2" i="16"/>
  <c r="DT2" i="16"/>
  <c r="DS2" i="16"/>
  <c r="DR2" i="16"/>
  <c r="DQ2" i="16"/>
  <c r="DP2" i="16"/>
  <c r="DO2" i="16"/>
  <c r="DN2" i="16"/>
  <c r="DK2" i="16"/>
  <c r="DJ2" i="16"/>
  <c r="DI2" i="16"/>
  <c r="DH2" i="16"/>
  <c r="DG2" i="16"/>
  <c r="DF2" i="16"/>
  <c r="DE2" i="16"/>
  <c r="DD2" i="16"/>
  <c r="DC2" i="16"/>
  <c r="DB2" i="16"/>
  <c r="DA2" i="16"/>
  <c r="CV2" i="16"/>
  <c r="CU2" i="16"/>
  <c r="CT2" i="16"/>
  <c r="CS2" i="16"/>
  <c r="GN2" i="16" s="1"/>
  <c r="CR2" i="16"/>
  <c r="GM2" i="16" s="1"/>
  <c r="CQ2" i="16"/>
  <c r="GL2" i="16" s="1"/>
  <c r="CP2" i="16"/>
  <c r="GJ2" i="16" s="1"/>
  <c r="GK2" i="16" s="1"/>
  <c r="CO2" i="16"/>
  <c r="DZ2" i="16" s="1"/>
  <c r="CN2" i="16"/>
  <c r="DY2" i="16" s="1"/>
  <c r="CM2" i="16"/>
  <c r="DX2" i="16" s="1"/>
  <c r="CL2" i="16"/>
  <c r="DW2" i="16" s="1"/>
  <c r="CG2" i="16" a="1"/>
  <c r="CG2" i="16" s="1"/>
  <c r="AW2" i="16"/>
  <c r="AV2" i="16"/>
  <c r="J2" i="16"/>
  <c r="G2" i="16"/>
  <c r="HX3" i="16" a="1"/>
  <c r="HX3" i="16" s="1"/>
  <c r="IW3" i="16" s="1"/>
  <c r="HW3" i="16" a="1"/>
  <c r="HW3" i="16" s="1"/>
  <c r="IV3" i="16" s="1"/>
  <c r="HV3" i="16" a="1"/>
  <c r="HV3" i="16" s="1"/>
  <c r="IU3" i="16" s="1"/>
  <c r="HU3" i="16" a="1"/>
  <c r="HU3" i="16" s="1"/>
  <c r="IT3" i="16" s="1"/>
  <c r="HT3" i="16" a="1"/>
  <c r="HT3" i="16" s="1"/>
  <c r="IS3" i="16" s="1"/>
  <c r="HS3" i="16" a="1"/>
  <c r="HS3" i="16" s="1"/>
  <c r="IR3" i="16" s="1"/>
  <c r="HR3" i="16" a="1"/>
  <c r="HR3" i="16" s="1"/>
  <c r="IQ3" i="16" s="1"/>
  <c r="HQ3" i="16" a="1"/>
  <c r="HQ3" i="16" s="1"/>
  <c r="IP3" i="16" s="1"/>
  <c r="HP3" i="16" a="1"/>
  <c r="HP3" i="16" s="1"/>
  <c r="IO3" i="16" s="1"/>
  <c r="HL3" i="16"/>
  <c r="HJ3" i="16"/>
  <c r="HH3" i="16"/>
  <c r="HB3" i="16"/>
  <c r="HA3" i="16"/>
  <c r="GZ3" i="16"/>
  <c r="GY3" i="16"/>
  <c r="GX3" i="16"/>
  <c r="GW3" i="16"/>
  <c r="GV3" i="16"/>
  <c r="GU3" i="16"/>
  <c r="GT3" i="16"/>
  <c r="GP3" i="16"/>
  <c r="GL3" i="16"/>
  <c r="GI3" i="16"/>
  <c r="GH3" i="16"/>
  <c r="GG3" i="16"/>
  <c r="GF3" i="16"/>
  <c r="GE3" i="16"/>
  <c r="GB3" i="16"/>
  <c r="GA3" i="16"/>
  <c r="FZ3" i="16"/>
  <c r="FY3" i="16"/>
  <c r="FW3" i="16"/>
  <c r="FV3" i="16"/>
  <c r="FU3" i="16"/>
  <c r="FT3" i="16"/>
  <c r="FS3" i="16"/>
  <c r="FR3" i="16"/>
  <c r="FQ3" i="16"/>
  <c r="FJ3" i="16"/>
  <c r="FI3" i="16"/>
  <c r="FH3" i="16"/>
  <c r="FG3" i="16"/>
  <c r="FF3" i="16"/>
  <c r="FP3" i="16" s="1"/>
  <c r="FE3" i="16"/>
  <c r="FD3" i="16"/>
  <c r="FB3" i="16"/>
  <c r="FA3" i="16"/>
  <c r="EZ3" i="16"/>
  <c r="EY3" i="16"/>
  <c r="EX3" i="16"/>
  <c r="EW3" i="16"/>
  <c r="EV3" i="16"/>
  <c r="EU3" i="16"/>
  <c r="ET3" i="16"/>
  <c r="ES3" i="16"/>
  <c r="ER3" i="16"/>
  <c r="EQ3" i="16"/>
  <c r="EP3" i="16"/>
  <c r="EO3" i="16"/>
  <c r="EN3" i="16"/>
  <c r="EM3" i="16"/>
  <c r="EL3" i="16"/>
  <c r="EK3" i="16"/>
  <c r="EJ3" i="16"/>
  <c r="EI3" i="16"/>
  <c r="EH3" i="16"/>
  <c r="EG3" i="16"/>
  <c r="EF3" i="16"/>
  <c r="EE3" i="16"/>
  <c r="ED3" i="16"/>
  <c r="EC3" i="16"/>
  <c r="EB3" i="16"/>
  <c r="EA3" i="16"/>
  <c r="DU3" i="16"/>
  <c r="DT3" i="16"/>
  <c r="DS3" i="16"/>
  <c r="DR3" i="16"/>
  <c r="DQ3" i="16"/>
  <c r="DP3" i="16"/>
  <c r="DO3" i="16"/>
  <c r="DN3" i="16"/>
  <c r="DK3" i="16"/>
  <c r="DJ3" i="16"/>
  <c r="DI3" i="16"/>
  <c r="DH3" i="16"/>
  <c r="DG3" i="16"/>
  <c r="DF3" i="16"/>
  <c r="DE3" i="16"/>
  <c r="DD3" i="16"/>
  <c r="DB3" i="16"/>
  <c r="DA3" i="16"/>
  <c r="CV3" i="16"/>
  <c r="CU3" i="16"/>
  <c r="CT3" i="16"/>
  <c r="CS3" i="16"/>
  <c r="GN3" i="16" s="1"/>
  <c r="CR3" i="16"/>
  <c r="GM3" i="16" s="1"/>
  <c r="CQ3" i="16"/>
  <c r="CP3" i="16"/>
  <c r="GJ3" i="16" s="1"/>
  <c r="GK3" i="16" s="1"/>
  <c r="CO3" i="16"/>
  <c r="DZ3" i="16" s="1"/>
  <c r="CN3" i="16"/>
  <c r="DY3" i="16" s="1"/>
  <c r="CM3" i="16"/>
  <c r="DX3" i="16" s="1"/>
  <c r="CL3" i="16"/>
  <c r="DW3" i="16" s="1"/>
  <c r="CG3" i="16" a="1"/>
  <c r="CG3" i="16" s="1"/>
  <c r="CI3" i="16" s="1"/>
  <c r="CX3" i="16" s="1"/>
  <c r="AW3" i="16"/>
  <c r="AV3" i="16"/>
  <c r="J3" i="16"/>
  <c r="G3" i="16"/>
  <c r="IL2" i="15"/>
  <c r="HX2" i="15" a="1"/>
  <c r="HX2" i="15" s="1"/>
  <c r="IW2" i="15" s="1"/>
  <c r="HW2" i="15" a="1"/>
  <c r="HW2" i="15" s="1"/>
  <c r="IV2" i="15" s="1"/>
  <c r="HV2" i="15" a="1"/>
  <c r="HV2" i="15" s="1"/>
  <c r="IU2" i="15" s="1"/>
  <c r="HU2" i="15" a="1"/>
  <c r="HU2" i="15" s="1"/>
  <c r="IT2" i="15" s="1"/>
  <c r="HT2" i="15" a="1"/>
  <c r="HT2" i="15" s="1"/>
  <c r="IS2" i="15" s="1"/>
  <c r="HS2" i="15" a="1"/>
  <c r="HS2" i="15" s="1"/>
  <c r="IR2" i="15" s="1"/>
  <c r="HR2" i="15" a="1"/>
  <c r="HR2" i="15" s="1"/>
  <c r="IQ2" i="15" s="1"/>
  <c r="HQ2" i="15" a="1"/>
  <c r="HQ2" i="15" s="1"/>
  <c r="IP2" i="15" s="1"/>
  <c r="HP2" i="15" a="1"/>
  <c r="HP2" i="15" s="1"/>
  <c r="IO2" i="15" s="1"/>
  <c r="HL2" i="15"/>
  <c r="HJ2" i="15"/>
  <c r="HH2" i="15"/>
  <c r="HB2" i="15"/>
  <c r="HA2" i="15"/>
  <c r="GZ2" i="15"/>
  <c r="GY2" i="15"/>
  <c r="GX2" i="15"/>
  <c r="GW2" i="15"/>
  <c r="GV2" i="15"/>
  <c r="GU2" i="15"/>
  <c r="GT2" i="15"/>
  <c r="GP2" i="15"/>
  <c r="GI2" i="15"/>
  <c r="GH2" i="15"/>
  <c r="GG2" i="15"/>
  <c r="GF2" i="15"/>
  <c r="GE2" i="15"/>
  <c r="GD2" i="15"/>
  <c r="GC2" i="15"/>
  <c r="GB2" i="15"/>
  <c r="GA2" i="15"/>
  <c r="FZ2" i="15"/>
  <c r="FY2" i="15"/>
  <c r="FX2" i="15"/>
  <c r="FW2" i="15"/>
  <c r="FV2" i="15"/>
  <c r="FU2" i="15"/>
  <c r="FT2" i="15"/>
  <c r="FS2" i="15"/>
  <c r="FR2" i="15"/>
  <c r="FQ2" i="15"/>
  <c r="FJ2" i="15"/>
  <c r="FI2" i="15"/>
  <c r="FH2" i="15"/>
  <c r="FG2" i="15"/>
  <c r="FF2" i="15"/>
  <c r="FE2" i="15"/>
  <c r="FD2" i="15"/>
  <c r="FC2" i="15"/>
  <c r="FB2" i="15"/>
  <c r="FA2" i="15"/>
  <c r="EZ2" i="15"/>
  <c r="EY2" i="15"/>
  <c r="EX2" i="15"/>
  <c r="EW2" i="15"/>
  <c r="EV2" i="15"/>
  <c r="EU2" i="15"/>
  <c r="ET2" i="15"/>
  <c r="ES2" i="15"/>
  <c r="ER2" i="15"/>
  <c r="EQ2" i="15"/>
  <c r="EP2" i="15"/>
  <c r="EO2" i="15"/>
  <c r="EN2" i="15"/>
  <c r="EM2" i="15"/>
  <c r="EL2" i="15"/>
  <c r="EK2" i="15"/>
  <c r="EJ2" i="15"/>
  <c r="EI2" i="15"/>
  <c r="EH2" i="15"/>
  <c r="EG2" i="15"/>
  <c r="EF2" i="15"/>
  <c r="EE2" i="15"/>
  <c r="ED2" i="15"/>
  <c r="EC2" i="15"/>
  <c r="EB2" i="15"/>
  <c r="EA2" i="15"/>
  <c r="DW2" i="15"/>
  <c r="DV2" i="15"/>
  <c r="DU2" i="15"/>
  <c r="DT2" i="15"/>
  <c r="DS2" i="15"/>
  <c r="DR2" i="15"/>
  <c r="DQ2" i="15"/>
  <c r="DP2" i="15"/>
  <c r="DO2" i="15"/>
  <c r="DN2" i="15"/>
  <c r="DK2" i="15"/>
  <c r="DJ2" i="15"/>
  <c r="DI2" i="15"/>
  <c r="DH2" i="15"/>
  <c r="DG2" i="15"/>
  <c r="DF2" i="15"/>
  <c r="DE2" i="15"/>
  <c r="DD2" i="15"/>
  <c r="DC2" i="15"/>
  <c r="DB2" i="15"/>
  <c r="DA2" i="15"/>
  <c r="CV2" i="15"/>
  <c r="CU2" i="15"/>
  <c r="CT2" i="15"/>
  <c r="CS2" i="15"/>
  <c r="GN2" i="15" s="1"/>
  <c r="CR2" i="15"/>
  <c r="GM2" i="15" s="1"/>
  <c r="CQ2" i="15"/>
  <c r="GL2" i="15" s="1"/>
  <c r="CP2" i="15"/>
  <c r="GJ2" i="15" s="1"/>
  <c r="GK2" i="15" s="1"/>
  <c r="CO2" i="15"/>
  <c r="DZ2" i="15" s="1"/>
  <c r="CN2" i="15"/>
  <c r="DY2" i="15" s="1"/>
  <c r="CM2" i="15"/>
  <c r="DX2" i="15" s="1"/>
  <c r="CL2" i="15"/>
  <c r="CG2" i="15" a="1"/>
  <c r="CG2" i="15" s="1"/>
  <c r="AW2" i="15"/>
  <c r="AV2" i="15"/>
  <c r="AX2" i="15" s="1"/>
  <c r="J2" i="15"/>
  <c r="G2" i="15"/>
  <c r="HX4" i="15" a="1"/>
  <c r="HX4" i="15" s="1"/>
  <c r="IW4" i="15" s="1"/>
  <c r="HW4" i="15" a="1"/>
  <c r="HW4" i="15" s="1"/>
  <c r="IV4" i="15" s="1"/>
  <c r="HV4" i="15" a="1"/>
  <c r="HV4" i="15" s="1"/>
  <c r="IU4" i="15" s="1"/>
  <c r="HU4" i="15" a="1"/>
  <c r="HU4" i="15" s="1"/>
  <c r="IT4" i="15" s="1"/>
  <c r="HT4" i="15" a="1"/>
  <c r="HT4" i="15" s="1"/>
  <c r="IS4" i="15" s="1"/>
  <c r="HS4" i="15" a="1"/>
  <c r="HS4" i="15" s="1"/>
  <c r="IR4" i="15" s="1"/>
  <c r="HR4" i="15" a="1"/>
  <c r="HR4" i="15" s="1"/>
  <c r="IQ4" i="15" s="1"/>
  <c r="HQ4" i="15" a="1"/>
  <c r="HQ4" i="15" s="1"/>
  <c r="IP4" i="15" s="1"/>
  <c r="HP4" i="15" a="1"/>
  <c r="HP4" i="15" s="1"/>
  <c r="IO4" i="15" s="1"/>
  <c r="HL4" i="15"/>
  <c r="HJ4" i="15"/>
  <c r="HH4" i="15"/>
  <c r="HB4" i="15"/>
  <c r="HA4" i="15"/>
  <c r="GZ4" i="15"/>
  <c r="GY4" i="15"/>
  <c r="GX4" i="15"/>
  <c r="GW4" i="15"/>
  <c r="GV4" i="15"/>
  <c r="GU4" i="15"/>
  <c r="GT4" i="15"/>
  <c r="GP4" i="15"/>
  <c r="GI4" i="15"/>
  <c r="GH4" i="15"/>
  <c r="GG4" i="15"/>
  <c r="GF4" i="15"/>
  <c r="GE4" i="15"/>
  <c r="GB4" i="15"/>
  <c r="GA4" i="15"/>
  <c r="FZ4" i="15"/>
  <c r="FY4" i="15"/>
  <c r="FW4" i="15"/>
  <c r="FV4" i="15"/>
  <c r="FU4" i="15"/>
  <c r="FT4" i="15"/>
  <c r="FS4" i="15"/>
  <c r="FR4" i="15"/>
  <c r="FQ4" i="15"/>
  <c r="FJ4" i="15"/>
  <c r="FI4" i="15"/>
  <c r="FH4" i="15"/>
  <c r="FG4" i="15"/>
  <c r="FF4" i="15"/>
  <c r="FE4" i="15"/>
  <c r="FD4" i="15"/>
  <c r="FB4" i="15"/>
  <c r="FA4" i="15"/>
  <c r="EZ4" i="15"/>
  <c r="EY4" i="15"/>
  <c r="EX4" i="15"/>
  <c r="EW4" i="15"/>
  <c r="EV4" i="15"/>
  <c r="EU4" i="15"/>
  <c r="ET4" i="15"/>
  <c r="ES4" i="15"/>
  <c r="ER4" i="15"/>
  <c r="EQ4" i="15"/>
  <c r="EP4" i="15"/>
  <c r="EO4" i="15"/>
  <c r="EN4" i="15"/>
  <c r="EM4" i="15"/>
  <c r="EL4" i="15"/>
  <c r="EK4" i="15"/>
  <c r="EJ4" i="15"/>
  <c r="EI4" i="15"/>
  <c r="EH4" i="15"/>
  <c r="EG4" i="15"/>
  <c r="EF4" i="15"/>
  <c r="EE4" i="15"/>
  <c r="ED4" i="15"/>
  <c r="EC4" i="15"/>
  <c r="EB4" i="15"/>
  <c r="EA4" i="15"/>
  <c r="DU4" i="15"/>
  <c r="DT4" i="15"/>
  <c r="DS4" i="15"/>
  <c r="DR4" i="15"/>
  <c r="DQ4" i="15"/>
  <c r="DP4" i="15"/>
  <c r="DO4" i="15"/>
  <c r="DN4" i="15"/>
  <c r="DK4" i="15"/>
  <c r="DJ4" i="15"/>
  <c r="DI4" i="15"/>
  <c r="DH4" i="15"/>
  <c r="DG4" i="15"/>
  <c r="DF4" i="15"/>
  <c r="DE4" i="15"/>
  <c r="DD4" i="15"/>
  <c r="DB4" i="15"/>
  <c r="DA4" i="15"/>
  <c r="CV4" i="15"/>
  <c r="CU4" i="15"/>
  <c r="CT4" i="15"/>
  <c r="CS4" i="15"/>
  <c r="GN4" i="15" s="1"/>
  <c r="CR4" i="15"/>
  <c r="GM4" i="15" s="1"/>
  <c r="CQ4" i="15"/>
  <c r="GL4" i="15" s="1"/>
  <c r="CP4" i="15"/>
  <c r="GJ4" i="15" s="1"/>
  <c r="GK4" i="15" s="1"/>
  <c r="CO4" i="15"/>
  <c r="DZ4" i="15" s="1"/>
  <c r="CN4" i="15"/>
  <c r="DY4" i="15" s="1"/>
  <c r="CM4" i="15"/>
  <c r="DX4" i="15" s="1"/>
  <c r="CL4" i="15"/>
  <c r="DW4" i="15" s="1"/>
  <c r="CG4" i="15" a="1"/>
  <c r="CG4" i="15" s="1"/>
  <c r="IN4" i="15" s="1"/>
  <c r="IX4" i="15" s="1"/>
  <c r="AW4" i="15"/>
  <c r="AV4" i="15"/>
  <c r="J4" i="15"/>
  <c r="G4" i="15"/>
  <c r="HX3" i="15" a="1"/>
  <c r="HX3" i="15" s="1"/>
  <c r="IW3" i="15" s="1"/>
  <c r="HW3" i="15" a="1"/>
  <c r="HW3" i="15" s="1"/>
  <c r="IV3" i="15" s="1"/>
  <c r="HV3" i="15" a="1"/>
  <c r="HV3" i="15" s="1"/>
  <c r="IU3" i="15" s="1"/>
  <c r="HU3" i="15" a="1"/>
  <c r="HU3" i="15" s="1"/>
  <c r="IT3" i="15" s="1"/>
  <c r="HT3" i="15" a="1"/>
  <c r="HT3" i="15" s="1"/>
  <c r="IS3" i="15" s="1"/>
  <c r="HS3" i="15" a="1"/>
  <c r="HS3" i="15" s="1"/>
  <c r="IR3" i="15" s="1"/>
  <c r="HR3" i="15" a="1"/>
  <c r="HR3" i="15" s="1"/>
  <c r="IQ3" i="15" s="1"/>
  <c r="HQ3" i="15" a="1"/>
  <c r="HQ3" i="15" s="1"/>
  <c r="IP3" i="15" s="1"/>
  <c r="HP3" i="15" a="1"/>
  <c r="HP3" i="15" s="1"/>
  <c r="IO3" i="15" s="1"/>
  <c r="HL3" i="15"/>
  <c r="HJ3" i="15"/>
  <c r="HH3" i="15"/>
  <c r="HB3" i="15"/>
  <c r="HA3" i="15"/>
  <c r="GZ3" i="15"/>
  <c r="GY3" i="15"/>
  <c r="GX3" i="15"/>
  <c r="GW3" i="15"/>
  <c r="GV3" i="15"/>
  <c r="GU3" i="15"/>
  <c r="GT3" i="15"/>
  <c r="GP3" i="15"/>
  <c r="GI3" i="15"/>
  <c r="GH3" i="15"/>
  <c r="GG3" i="15"/>
  <c r="GF3" i="15"/>
  <c r="GE3" i="15"/>
  <c r="GB3" i="15"/>
  <c r="GA3" i="15"/>
  <c r="FZ3" i="15"/>
  <c r="FY3" i="15"/>
  <c r="FW3" i="15"/>
  <c r="FV3" i="15"/>
  <c r="FU3" i="15"/>
  <c r="FT3" i="15"/>
  <c r="FS3" i="15"/>
  <c r="FR3" i="15"/>
  <c r="FQ3" i="15"/>
  <c r="FJ3" i="15"/>
  <c r="FI3" i="15"/>
  <c r="FH3" i="15"/>
  <c r="FG3" i="15"/>
  <c r="FF3" i="15"/>
  <c r="FE3" i="15"/>
  <c r="FD3" i="15"/>
  <c r="FB3" i="15"/>
  <c r="FA3" i="15"/>
  <c r="EZ3" i="15"/>
  <c r="EY3" i="15"/>
  <c r="EX3" i="15"/>
  <c r="EW3" i="15"/>
  <c r="EV3" i="15"/>
  <c r="EU3" i="15"/>
  <c r="ET3" i="15"/>
  <c r="ES3" i="15"/>
  <c r="ER3" i="15"/>
  <c r="EQ3" i="15"/>
  <c r="EP3" i="15"/>
  <c r="EO3" i="15"/>
  <c r="EN3" i="15"/>
  <c r="EM3" i="15"/>
  <c r="EL3" i="15"/>
  <c r="EK3" i="15"/>
  <c r="EJ3" i="15"/>
  <c r="EI3" i="15"/>
  <c r="EH3" i="15"/>
  <c r="EG3" i="15"/>
  <c r="EF3" i="15"/>
  <c r="EE3" i="15"/>
  <c r="ED3" i="15"/>
  <c r="EC3" i="15"/>
  <c r="EB3" i="15"/>
  <c r="EA3" i="15"/>
  <c r="DU3" i="15"/>
  <c r="DT3" i="15"/>
  <c r="DS3" i="15"/>
  <c r="DR3" i="15"/>
  <c r="DQ3" i="15"/>
  <c r="DP3" i="15"/>
  <c r="DO3" i="15"/>
  <c r="DN3" i="15"/>
  <c r="DK3" i="15"/>
  <c r="DJ3" i="15"/>
  <c r="DI3" i="15"/>
  <c r="DH3" i="15"/>
  <c r="DG3" i="15"/>
  <c r="DF3" i="15"/>
  <c r="DE3" i="15"/>
  <c r="DD3" i="15"/>
  <c r="DB3" i="15"/>
  <c r="DA3" i="15"/>
  <c r="CV3" i="15"/>
  <c r="CT3" i="15"/>
  <c r="CS3" i="15"/>
  <c r="GN3" i="15" s="1"/>
  <c r="CR3" i="15"/>
  <c r="GM3" i="15" s="1"/>
  <c r="CQ3" i="15"/>
  <c r="GL3" i="15" s="1"/>
  <c r="CP3" i="15"/>
  <c r="GJ3" i="15" s="1"/>
  <c r="GK3" i="15" s="1"/>
  <c r="CO3" i="15"/>
  <c r="DZ3" i="15" s="1"/>
  <c r="CN3" i="15"/>
  <c r="DY3" i="15" s="1"/>
  <c r="CM3" i="15"/>
  <c r="DX3" i="15" s="1"/>
  <c r="CL3" i="15"/>
  <c r="DW3" i="15" s="1"/>
  <c r="CG3" i="15" a="1"/>
  <c r="CG3" i="15" s="1"/>
  <c r="IN3" i="15" s="1"/>
  <c r="IX3" i="15" s="1"/>
  <c r="AW3" i="15"/>
  <c r="AV3" i="15"/>
  <c r="CU3" i="15"/>
  <c r="J3" i="15"/>
  <c r="G3" i="15"/>
  <c r="IL2" i="14"/>
  <c r="HX2" i="14" a="1"/>
  <c r="HX2" i="14" s="1"/>
  <c r="IW2" i="14" s="1"/>
  <c r="HW2" i="14" a="1"/>
  <c r="HW2" i="14" s="1"/>
  <c r="IV2" i="14" s="1"/>
  <c r="HV2" i="14" a="1"/>
  <c r="HV2" i="14" s="1"/>
  <c r="IU2" i="14" s="1"/>
  <c r="HU2" i="14" a="1"/>
  <c r="HU2" i="14" s="1"/>
  <c r="IT2" i="14" s="1"/>
  <c r="HT2" i="14" a="1"/>
  <c r="HT2" i="14" s="1"/>
  <c r="IS2" i="14" s="1"/>
  <c r="HS2" i="14" a="1"/>
  <c r="HS2" i="14" s="1"/>
  <c r="IR2" i="14" s="1"/>
  <c r="HR2" i="14" a="1"/>
  <c r="HR2" i="14" s="1"/>
  <c r="IQ2" i="14" s="1"/>
  <c r="HQ2" i="14" a="1"/>
  <c r="HQ2" i="14" s="1"/>
  <c r="IP2" i="14" s="1"/>
  <c r="HP2" i="14" a="1"/>
  <c r="HP2" i="14" s="1"/>
  <c r="IO2" i="14" s="1"/>
  <c r="HL2" i="14"/>
  <c r="HJ2" i="14"/>
  <c r="HH2" i="14"/>
  <c r="HB2" i="14"/>
  <c r="HA2" i="14"/>
  <c r="GZ2" i="14"/>
  <c r="GY2" i="14"/>
  <c r="GX2" i="14"/>
  <c r="GW2" i="14"/>
  <c r="GV2" i="14"/>
  <c r="GU2" i="14"/>
  <c r="GT2" i="14"/>
  <c r="GP2" i="14"/>
  <c r="GI2" i="14"/>
  <c r="GH2" i="14"/>
  <c r="GG2" i="14"/>
  <c r="GF2" i="14"/>
  <c r="GE2" i="14"/>
  <c r="GD2" i="14"/>
  <c r="GC2" i="14"/>
  <c r="GB2" i="14"/>
  <c r="GA2" i="14"/>
  <c r="FZ2" i="14"/>
  <c r="FY2" i="14"/>
  <c r="FX2" i="14"/>
  <c r="FW2" i="14"/>
  <c r="FV2" i="14"/>
  <c r="FU2" i="14"/>
  <c r="FT2" i="14"/>
  <c r="FS2" i="14"/>
  <c r="FR2" i="14"/>
  <c r="FQ2" i="14"/>
  <c r="FJ2" i="14"/>
  <c r="FI2" i="14"/>
  <c r="FH2" i="14"/>
  <c r="FG2" i="14"/>
  <c r="FF2" i="14"/>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V2" i="14"/>
  <c r="DU2" i="14"/>
  <c r="DT2" i="14"/>
  <c r="DS2" i="14"/>
  <c r="DR2" i="14"/>
  <c r="DQ2" i="14"/>
  <c r="DP2" i="14"/>
  <c r="DO2" i="14"/>
  <c r="DN2" i="14"/>
  <c r="DK2" i="14"/>
  <c r="DJ2" i="14"/>
  <c r="DI2" i="14"/>
  <c r="DH2" i="14"/>
  <c r="DG2" i="14"/>
  <c r="DF2" i="14"/>
  <c r="DE2" i="14"/>
  <c r="DD2" i="14"/>
  <c r="DC2" i="14"/>
  <c r="DB2" i="14"/>
  <c r="DA2" i="14"/>
  <c r="CV2" i="14"/>
  <c r="CU2" i="14"/>
  <c r="CT2" i="14"/>
  <c r="CS2" i="14"/>
  <c r="GN2" i="14" s="1"/>
  <c r="CR2" i="14"/>
  <c r="GM2" i="14" s="1"/>
  <c r="CQ2" i="14"/>
  <c r="GL2" i="14" s="1"/>
  <c r="CP2" i="14"/>
  <c r="GJ2" i="14" s="1"/>
  <c r="GK2" i="14" s="1"/>
  <c r="CO2" i="14"/>
  <c r="DZ2" i="14" s="1"/>
  <c r="CN2" i="14"/>
  <c r="DY2" i="14" s="1"/>
  <c r="CM2" i="14"/>
  <c r="DX2" i="14" s="1"/>
  <c r="CL2" i="14"/>
  <c r="DW2" i="14" s="1"/>
  <c r="CG2" i="14" a="1"/>
  <c r="CG2" i="14" s="1"/>
  <c r="IN2" i="14" s="1"/>
  <c r="IX2" i="14" s="1"/>
  <c r="AW2" i="14"/>
  <c r="AV2" i="14"/>
  <c r="J2" i="14"/>
  <c r="G2" i="14"/>
  <c r="HX4" i="14" a="1"/>
  <c r="HX4" i="14" s="1"/>
  <c r="IW4" i="14" s="1"/>
  <c r="HW4" i="14" a="1"/>
  <c r="HW4" i="14" s="1"/>
  <c r="IV4" i="14" s="1"/>
  <c r="HV4" i="14" a="1"/>
  <c r="HV4" i="14" s="1"/>
  <c r="IU4" i="14" s="1"/>
  <c r="HU4" i="14" a="1"/>
  <c r="HU4" i="14" s="1"/>
  <c r="IT4" i="14" s="1"/>
  <c r="HT4" i="14" a="1"/>
  <c r="HT4" i="14" s="1"/>
  <c r="IS4" i="14" s="1"/>
  <c r="HS4" i="14" a="1"/>
  <c r="HS4" i="14" s="1"/>
  <c r="IR4" i="14" s="1"/>
  <c r="HR4" i="14" a="1"/>
  <c r="HR4" i="14" s="1"/>
  <c r="IQ4" i="14" s="1"/>
  <c r="HQ4" i="14" a="1"/>
  <c r="HQ4" i="14" s="1"/>
  <c r="IP4" i="14" s="1"/>
  <c r="HP4" i="14" a="1"/>
  <c r="HP4" i="14" s="1"/>
  <c r="IO4" i="14" s="1"/>
  <c r="HL4" i="14"/>
  <c r="HJ4" i="14"/>
  <c r="HH4" i="14"/>
  <c r="HB4" i="14"/>
  <c r="HA4" i="14"/>
  <c r="GZ4" i="14"/>
  <c r="GY4" i="14"/>
  <c r="GX4" i="14"/>
  <c r="GW4" i="14"/>
  <c r="GV4" i="14"/>
  <c r="GU4" i="14"/>
  <c r="GT4" i="14"/>
  <c r="GP4" i="14"/>
  <c r="GI4" i="14"/>
  <c r="GH4" i="14"/>
  <c r="GG4" i="14"/>
  <c r="GF4" i="14"/>
  <c r="GE4" i="14"/>
  <c r="GB4" i="14"/>
  <c r="GA4" i="14"/>
  <c r="FZ4" i="14"/>
  <c r="FY4" i="14"/>
  <c r="FW4" i="14"/>
  <c r="FV4" i="14"/>
  <c r="FU4" i="14"/>
  <c r="FT4" i="14"/>
  <c r="FS4" i="14"/>
  <c r="FR4" i="14"/>
  <c r="FQ4" i="14"/>
  <c r="FJ4" i="14"/>
  <c r="FI4" i="14"/>
  <c r="FH4" i="14"/>
  <c r="FG4" i="14"/>
  <c r="FF4" i="14"/>
  <c r="FE4" i="14"/>
  <c r="FO4" i="14" s="1"/>
  <c r="FD4" i="14"/>
  <c r="FB4" i="14"/>
  <c r="FA4" i="14"/>
  <c r="EZ4" i="14"/>
  <c r="EY4" i="14"/>
  <c r="EX4" i="14"/>
  <c r="EW4" i="14"/>
  <c r="EV4" i="14"/>
  <c r="EU4" i="14"/>
  <c r="ET4" i="14"/>
  <c r="ES4" i="14"/>
  <c r="ER4" i="14"/>
  <c r="EQ4" i="14"/>
  <c r="EP4" i="14"/>
  <c r="EO4" i="14"/>
  <c r="EN4" i="14"/>
  <c r="EM4" i="14"/>
  <c r="EL4" i="14"/>
  <c r="EK4" i="14"/>
  <c r="EJ4" i="14"/>
  <c r="EI4" i="14"/>
  <c r="EH4" i="14"/>
  <c r="EG4" i="14"/>
  <c r="EF4" i="14"/>
  <c r="EE4" i="14"/>
  <c r="ED4" i="14"/>
  <c r="EC4" i="14"/>
  <c r="EB4" i="14"/>
  <c r="EA4" i="14"/>
  <c r="DU4" i="14"/>
  <c r="DT4" i="14"/>
  <c r="DS4" i="14"/>
  <c r="DR4" i="14"/>
  <c r="DQ4" i="14"/>
  <c r="DP4" i="14"/>
  <c r="DO4" i="14"/>
  <c r="DN4" i="14"/>
  <c r="DK4" i="14"/>
  <c r="DJ4" i="14"/>
  <c r="DI4" i="14"/>
  <c r="DH4" i="14"/>
  <c r="DG4" i="14"/>
  <c r="DF4" i="14"/>
  <c r="DE4" i="14"/>
  <c r="DD4" i="14"/>
  <c r="DB4" i="14"/>
  <c r="DA4" i="14"/>
  <c r="CV4" i="14"/>
  <c r="CU4" i="14"/>
  <c r="CT4" i="14"/>
  <c r="CS4" i="14"/>
  <c r="GN4" i="14" s="1"/>
  <c r="CR4" i="14"/>
  <c r="GM4" i="14" s="1"/>
  <c r="CQ4" i="14"/>
  <c r="GL4" i="14" s="1"/>
  <c r="CP4" i="14"/>
  <c r="GJ4" i="14" s="1"/>
  <c r="GK4" i="14" s="1"/>
  <c r="CO4" i="14"/>
  <c r="DZ4" i="14" s="1"/>
  <c r="CN4" i="14"/>
  <c r="DY4" i="14" s="1"/>
  <c r="CM4" i="14"/>
  <c r="DX4" i="14" s="1"/>
  <c r="CL4" i="14"/>
  <c r="DW4" i="14" s="1"/>
  <c r="CG4" i="14" a="1"/>
  <c r="CG4" i="14" s="1"/>
  <c r="IM4" i="14" s="1"/>
  <c r="AW4" i="14"/>
  <c r="AV4" i="14"/>
  <c r="J4" i="14"/>
  <c r="G4" i="14"/>
  <c r="HX3" i="14" a="1"/>
  <c r="HX3" i="14" s="1"/>
  <c r="IW3" i="14" s="1"/>
  <c r="HW3" i="14" a="1"/>
  <c r="HW3" i="14" s="1"/>
  <c r="IV3" i="14" s="1"/>
  <c r="HV3" i="14" a="1"/>
  <c r="HV3" i="14" s="1"/>
  <c r="IU3" i="14" s="1"/>
  <c r="HU3" i="14" a="1"/>
  <c r="HU3" i="14" s="1"/>
  <c r="IT3" i="14" s="1"/>
  <c r="HT3" i="14" a="1"/>
  <c r="HT3" i="14" s="1"/>
  <c r="IS3" i="14" s="1"/>
  <c r="HS3" i="14" a="1"/>
  <c r="HS3" i="14" s="1"/>
  <c r="IR3" i="14" s="1"/>
  <c r="HR3" i="14" a="1"/>
  <c r="HR3" i="14" s="1"/>
  <c r="IQ3" i="14" s="1"/>
  <c r="HQ3" i="14" a="1"/>
  <c r="HQ3" i="14" s="1"/>
  <c r="IP3" i="14" s="1"/>
  <c r="HP3" i="14" a="1"/>
  <c r="HP3" i="14" s="1"/>
  <c r="IO3" i="14" s="1"/>
  <c r="HL3" i="14"/>
  <c r="HJ3" i="14"/>
  <c r="HH3" i="14"/>
  <c r="HB3" i="14"/>
  <c r="HA3" i="14"/>
  <c r="GZ3" i="14"/>
  <c r="GY3" i="14"/>
  <c r="GX3" i="14"/>
  <c r="GW3" i="14"/>
  <c r="GV3" i="14"/>
  <c r="GU3" i="14"/>
  <c r="GT3" i="14"/>
  <c r="GP3" i="14"/>
  <c r="GI3" i="14"/>
  <c r="GH3" i="14"/>
  <c r="GG3" i="14"/>
  <c r="GF3" i="14"/>
  <c r="GE3" i="14"/>
  <c r="GB3" i="14"/>
  <c r="GA3" i="14"/>
  <c r="FZ3" i="14"/>
  <c r="FY3" i="14"/>
  <c r="FW3" i="14"/>
  <c r="FV3" i="14"/>
  <c r="FU3" i="14"/>
  <c r="FT3" i="14"/>
  <c r="FS3" i="14"/>
  <c r="FR3" i="14"/>
  <c r="FQ3" i="14"/>
  <c r="FJ3" i="14"/>
  <c r="FI3" i="14"/>
  <c r="FH3" i="14"/>
  <c r="FG3" i="14"/>
  <c r="FF3" i="14"/>
  <c r="FP3" i="14" s="1"/>
  <c r="FE3" i="14"/>
  <c r="FD3" i="14"/>
  <c r="FB3" i="14"/>
  <c r="FA3" i="14"/>
  <c r="EZ3" i="14"/>
  <c r="EY3" i="14"/>
  <c r="EX3" i="14"/>
  <c r="EW3" i="14"/>
  <c r="EV3" i="14"/>
  <c r="EU3" i="14"/>
  <c r="ET3" i="14"/>
  <c r="ES3" i="14"/>
  <c r="ER3" i="14"/>
  <c r="EQ3" i="14"/>
  <c r="EP3" i="14"/>
  <c r="EO3" i="14"/>
  <c r="EN3" i="14"/>
  <c r="EM3" i="14"/>
  <c r="EL3" i="14"/>
  <c r="EK3" i="14"/>
  <c r="EJ3" i="14"/>
  <c r="EI3" i="14"/>
  <c r="EH3" i="14"/>
  <c r="EG3" i="14"/>
  <c r="EF3" i="14"/>
  <c r="EE3" i="14"/>
  <c r="ED3" i="14"/>
  <c r="EC3" i="14"/>
  <c r="EB3" i="14"/>
  <c r="EA3" i="14"/>
  <c r="DU3" i="14"/>
  <c r="DT3" i="14"/>
  <c r="DS3" i="14"/>
  <c r="DR3" i="14"/>
  <c r="DQ3" i="14"/>
  <c r="DP3" i="14"/>
  <c r="DO3" i="14"/>
  <c r="DN3" i="14"/>
  <c r="DK3" i="14"/>
  <c r="DJ3" i="14"/>
  <c r="DI3" i="14"/>
  <c r="DH3" i="14"/>
  <c r="DG3" i="14"/>
  <c r="DF3" i="14"/>
  <c r="DE3" i="14"/>
  <c r="DD3" i="14"/>
  <c r="DB3" i="14"/>
  <c r="DA3" i="14"/>
  <c r="CV3" i="14"/>
  <c r="CU3" i="14"/>
  <c r="CT3" i="14"/>
  <c r="CS3" i="14"/>
  <c r="GN3" i="14" s="1"/>
  <c r="CR3" i="14"/>
  <c r="GM3" i="14" s="1"/>
  <c r="CQ3" i="14"/>
  <c r="GL3" i="14" s="1"/>
  <c r="CP3" i="14"/>
  <c r="GJ3" i="14" s="1"/>
  <c r="GK3" i="14" s="1"/>
  <c r="CO3" i="14"/>
  <c r="DZ3" i="14" s="1"/>
  <c r="CN3" i="14"/>
  <c r="DY3" i="14" s="1"/>
  <c r="CM3" i="14"/>
  <c r="DX3" i="14" s="1"/>
  <c r="CL3" i="14"/>
  <c r="DW3" i="14" s="1"/>
  <c r="CG3" i="14" a="1"/>
  <c r="CG3" i="14" s="1"/>
  <c r="AW3" i="14"/>
  <c r="AV3" i="14"/>
  <c r="J3" i="14"/>
  <c r="G3" i="14"/>
  <c r="IL2" i="13"/>
  <c r="HX2" i="13" a="1"/>
  <c r="HX2" i="13" s="1"/>
  <c r="IW2" i="13" s="1"/>
  <c r="HW2" i="13" a="1"/>
  <c r="HW2" i="13" s="1"/>
  <c r="IV2" i="13" s="1"/>
  <c r="HV2" i="13" a="1"/>
  <c r="HV2" i="13" s="1"/>
  <c r="IU2" i="13" s="1"/>
  <c r="HU2" i="13" a="1"/>
  <c r="HU2" i="13" s="1"/>
  <c r="IT2" i="13" s="1"/>
  <c r="HT2" i="13" a="1"/>
  <c r="HT2" i="13" s="1"/>
  <c r="IS2" i="13" s="1"/>
  <c r="HS2" i="13" a="1"/>
  <c r="HS2" i="13" s="1"/>
  <c r="IR2" i="13" s="1"/>
  <c r="HR2" i="13" a="1"/>
  <c r="HR2" i="13" s="1"/>
  <c r="IQ2" i="13" s="1"/>
  <c r="HQ2" i="13" a="1"/>
  <c r="HQ2" i="13" s="1"/>
  <c r="IP2" i="13" s="1"/>
  <c r="HP2" i="13" a="1"/>
  <c r="HP2" i="13" s="1"/>
  <c r="IO2" i="13" s="1"/>
  <c r="HL2" i="13"/>
  <c r="HJ2" i="13"/>
  <c r="HH2" i="13"/>
  <c r="HB2" i="13"/>
  <c r="HA2" i="13"/>
  <c r="GZ2" i="13"/>
  <c r="GY2" i="13"/>
  <c r="GX2" i="13"/>
  <c r="GW2" i="13"/>
  <c r="GV2" i="13"/>
  <c r="GU2" i="13"/>
  <c r="GT2" i="13"/>
  <c r="GP2" i="13"/>
  <c r="GI2" i="13"/>
  <c r="GH2" i="13"/>
  <c r="GG2" i="13"/>
  <c r="GF2" i="13"/>
  <c r="GE2" i="13"/>
  <c r="GD2" i="13"/>
  <c r="GC2" i="13"/>
  <c r="GB2" i="13"/>
  <c r="GA2" i="13"/>
  <c r="FZ2" i="13"/>
  <c r="FY2" i="13"/>
  <c r="FX2" i="13"/>
  <c r="FW2" i="13"/>
  <c r="FV2" i="13"/>
  <c r="FU2" i="13"/>
  <c r="FT2" i="13"/>
  <c r="FS2" i="13"/>
  <c r="FR2" i="13"/>
  <c r="FQ2" i="13"/>
  <c r="FJ2" i="13"/>
  <c r="FI2" i="13"/>
  <c r="FH2" i="13"/>
  <c r="FG2" i="13"/>
  <c r="FF2" i="13"/>
  <c r="FE2" i="13"/>
  <c r="FD2" i="13"/>
  <c r="FC2" i="13"/>
  <c r="FB2" i="13"/>
  <c r="FA2" i="13"/>
  <c r="EZ2" i="13"/>
  <c r="EY2" i="13"/>
  <c r="EX2" i="13"/>
  <c r="EW2" i="13"/>
  <c r="EV2" i="13"/>
  <c r="EU2" i="13"/>
  <c r="ET2" i="13"/>
  <c r="ES2" i="13"/>
  <c r="ER2" i="13"/>
  <c r="EQ2" i="13"/>
  <c r="EP2" i="13"/>
  <c r="EO2" i="13"/>
  <c r="EN2" i="13"/>
  <c r="EM2" i="13"/>
  <c r="EL2" i="13"/>
  <c r="EK2" i="13"/>
  <c r="EJ2" i="13"/>
  <c r="EI2" i="13"/>
  <c r="EH2" i="13"/>
  <c r="EG2" i="13"/>
  <c r="EF2" i="13"/>
  <c r="EE2" i="13"/>
  <c r="ED2" i="13"/>
  <c r="EC2" i="13"/>
  <c r="EB2" i="13"/>
  <c r="EA2" i="13"/>
  <c r="DV2" i="13"/>
  <c r="DU2" i="13"/>
  <c r="DT2" i="13"/>
  <c r="DS2" i="13"/>
  <c r="DR2" i="13"/>
  <c r="DQ2" i="13"/>
  <c r="DP2" i="13"/>
  <c r="DO2" i="13"/>
  <c r="DN2" i="13"/>
  <c r="DK2" i="13"/>
  <c r="DJ2" i="13"/>
  <c r="DI2" i="13"/>
  <c r="DH2" i="13"/>
  <c r="DG2" i="13"/>
  <c r="DF2" i="13"/>
  <c r="DE2" i="13"/>
  <c r="DD2" i="13"/>
  <c r="DC2" i="13"/>
  <c r="DB2" i="13"/>
  <c r="DA2" i="13"/>
  <c r="CV2" i="13"/>
  <c r="CU2" i="13"/>
  <c r="CT2" i="13"/>
  <c r="CS2" i="13"/>
  <c r="GN2" i="13" s="1"/>
  <c r="CR2" i="13"/>
  <c r="GM2" i="13" s="1"/>
  <c r="CQ2" i="13"/>
  <c r="GL2" i="13" s="1"/>
  <c r="CP2" i="13"/>
  <c r="GJ2" i="13" s="1"/>
  <c r="GK2" i="13" s="1"/>
  <c r="CO2" i="13"/>
  <c r="DZ2" i="13" s="1"/>
  <c r="CN2" i="13"/>
  <c r="DY2" i="13" s="1"/>
  <c r="CM2" i="13"/>
  <c r="DX2" i="13" s="1"/>
  <c r="CL2" i="13"/>
  <c r="DW2" i="13" s="1"/>
  <c r="CG2" i="13" a="1"/>
  <c r="CG2" i="13" s="1"/>
  <c r="AW2" i="13"/>
  <c r="AV2" i="13"/>
  <c r="J2" i="13"/>
  <c r="HI2" i="13" s="1"/>
  <c r="G2" i="13"/>
  <c r="IL15" i="13"/>
  <c r="HX15" i="13" a="1"/>
  <c r="HX15" i="13" s="1"/>
  <c r="IW15" i="13" s="1"/>
  <c r="HW15" i="13" a="1"/>
  <c r="HW15" i="13" s="1"/>
  <c r="IV15" i="13" s="1"/>
  <c r="HV15" i="13" a="1"/>
  <c r="HV15" i="13" s="1"/>
  <c r="IU15" i="13" s="1"/>
  <c r="HU15" i="13" a="1"/>
  <c r="HU15" i="13" s="1"/>
  <c r="IT15" i="13" s="1"/>
  <c r="HT15" i="13" a="1"/>
  <c r="HT15" i="13" s="1"/>
  <c r="IS15" i="13" s="1"/>
  <c r="HS15" i="13" a="1"/>
  <c r="HS15" i="13" s="1"/>
  <c r="IR15" i="13" s="1"/>
  <c r="HR15" i="13" a="1"/>
  <c r="HR15" i="13" s="1"/>
  <c r="IQ15" i="13" s="1"/>
  <c r="HQ15" i="13" a="1"/>
  <c r="HQ15" i="13" s="1"/>
  <c r="IP15" i="13" s="1"/>
  <c r="HP15" i="13" a="1"/>
  <c r="HP15" i="13" s="1"/>
  <c r="IO15" i="13" s="1"/>
  <c r="HL15" i="13"/>
  <c r="HJ15" i="13"/>
  <c r="HH15" i="13"/>
  <c r="HB15" i="13"/>
  <c r="HA15" i="13"/>
  <c r="GZ15" i="13"/>
  <c r="GY15" i="13"/>
  <c r="GX15" i="13"/>
  <c r="GW15" i="13"/>
  <c r="GV15" i="13"/>
  <c r="GU15" i="13"/>
  <c r="GT15" i="13"/>
  <c r="GP15" i="13"/>
  <c r="GI15" i="13"/>
  <c r="GH15" i="13"/>
  <c r="GG15" i="13"/>
  <c r="GF15" i="13"/>
  <c r="GE15" i="13"/>
  <c r="GD15" i="13"/>
  <c r="GC15" i="13"/>
  <c r="GB15" i="13"/>
  <c r="GA15" i="13"/>
  <c r="FZ15" i="13"/>
  <c r="FY15" i="13"/>
  <c r="FX15" i="13"/>
  <c r="FW15" i="13"/>
  <c r="FV15" i="13"/>
  <c r="FU15" i="13"/>
  <c r="FT15" i="13"/>
  <c r="FS15" i="13"/>
  <c r="FR15" i="13"/>
  <c r="FQ15" i="13"/>
  <c r="FJ15" i="13"/>
  <c r="FI15" i="13"/>
  <c r="FH15" i="13"/>
  <c r="FG15" i="13"/>
  <c r="FF15" i="13"/>
  <c r="FE15" i="13"/>
  <c r="FD15" i="13"/>
  <c r="FC15" i="13"/>
  <c r="FB15" i="13"/>
  <c r="FA15" i="13"/>
  <c r="EZ15" i="13"/>
  <c r="EY15" i="13"/>
  <c r="EX15" i="13"/>
  <c r="EW15" i="13"/>
  <c r="EV15" i="13"/>
  <c r="EU15" i="13"/>
  <c r="ET15" i="13"/>
  <c r="ES15" i="13"/>
  <c r="ER15" i="13"/>
  <c r="EQ15" i="13"/>
  <c r="EP15" i="13"/>
  <c r="EO15" i="13"/>
  <c r="EN15" i="13"/>
  <c r="EM15" i="13"/>
  <c r="EL15" i="13"/>
  <c r="EK15" i="13"/>
  <c r="EJ15" i="13"/>
  <c r="EI15" i="13"/>
  <c r="EH15" i="13"/>
  <c r="EG15" i="13"/>
  <c r="EF15" i="13"/>
  <c r="EE15" i="13"/>
  <c r="ED15" i="13"/>
  <c r="EC15" i="13"/>
  <c r="EB15" i="13"/>
  <c r="EA15" i="13"/>
  <c r="DV15" i="13"/>
  <c r="DU15" i="13"/>
  <c r="DT15" i="13"/>
  <c r="DS15" i="13"/>
  <c r="DR15" i="13"/>
  <c r="DQ15" i="13"/>
  <c r="DP15" i="13"/>
  <c r="DO15" i="13"/>
  <c r="DN15" i="13"/>
  <c r="DK15" i="13"/>
  <c r="DJ15" i="13"/>
  <c r="DI15" i="13"/>
  <c r="DH15" i="13"/>
  <c r="DG15" i="13"/>
  <c r="DF15" i="13"/>
  <c r="DE15" i="13"/>
  <c r="DD15" i="13"/>
  <c r="DC15" i="13"/>
  <c r="DB15" i="13"/>
  <c r="DA15" i="13"/>
  <c r="CV15" i="13"/>
  <c r="CU15" i="13"/>
  <c r="CT15" i="13"/>
  <c r="CS15" i="13"/>
  <c r="GN15" i="13" s="1"/>
  <c r="CR15" i="13"/>
  <c r="GM15" i="13" s="1"/>
  <c r="CQ15" i="13"/>
  <c r="GL15" i="13" s="1"/>
  <c r="CP15" i="13"/>
  <c r="GJ15" i="13" s="1"/>
  <c r="GK15" i="13" s="1"/>
  <c r="CO15" i="13"/>
  <c r="DZ15" i="13" s="1"/>
  <c r="CN15" i="13"/>
  <c r="DY15" i="13" s="1"/>
  <c r="CM15" i="13"/>
  <c r="DX15" i="13" s="1"/>
  <c r="CL15" i="13"/>
  <c r="DW15" i="13" s="1"/>
  <c r="CG15" i="13" a="1"/>
  <c r="CG15" i="13" s="1"/>
  <c r="IM15" i="13" s="1"/>
  <c r="AW15" i="13"/>
  <c r="AV15" i="13"/>
  <c r="J15" i="13"/>
  <c r="G15" i="13"/>
  <c r="HX13" i="13" a="1"/>
  <c r="HX13" i="13" s="1"/>
  <c r="IW13" i="13" s="1"/>
  <c r="HW13" i="13" a="1"/>
  <c r="HW13" i="13" s="1"/>
  <c r="IV13" i="13" s="1"/>
  <c r="HV13" i="13" a="1"/>
  <c r="HV13" i="13" s="1"/>
  <c r="IU13" i="13" s="1"/>
  <c r="HU13" i="13" a="1"/>
  <c r="HU13" i="13" s="1"/>
  <c r="IT13" i="13" s="1"/>
  <c r="HT13" i="13" a="1"/>
  <c r="HT13" i="13" s="1"/>
  <c r="IS13" i="13" s="1"/>
  <c r="HS13" i="13" a="1"/>
  <c r="HS13" i="13" s="1"/>
  <c r="IR13" i="13" s="1"/>
  <c r="HR13" i="13" a="1"/>
  <c r="HR13" i="13" s="1"/>
  <c r="IQ13" i="13" s="1"/>
  <c r="HQ13" i="13" a="1"/>
  <c r="HQ13" i="13" s="1"/>
  <c r="IP13" i="13" s="1"/>
  <c r="HP13" i="13" a="1"/>
  <c r="HP13" i="13" s="1"/>
  <c r="IO13" i="13" s="1"/>
  <c r="HL13" i="13"/>
  <c r="HJ13" i="13"/>
  <c r="HH13" i="13"/>
  <c r="HB13" i="13"/>
  <c r="HA13" i="13"/>
  <c r="GZ13" i="13"/>
  <c r="GY13" i="13"/>
  <c r="GX13" i="13"/>
  <c r="GW13" i="13"/>
  <c r="GV13" i="13"/>
  <c r="GU13" i="13"/>
  <c r="GT13" i="13"/>
  <c r="GP13" i="13"/>
  <c r="GI13" i="13"/>
  <c r="GH13" i="13"/>
  <c r="GG13" i="13"/>
  <c r="GF13" i="13"/>
  <c r="GE13" i="13"/>
  <c r="GB13" i="13"/>
  <c r="GA13" i="13"/>
  <c r="FZ13" i="13"/>
  <c r="FY13" i="13"/>
  <c r="FW13" i="13"/>
  <c r="FV13" i="13"/>
  <c r="FU13" i="13"/>
  <c r="FT13" i="13"/>
  <c r="FS13" i="13"/>
  <c r="FR13" i="13"/>
  <c r="FQ13" i="13"/>
  <c r="FJ13" i="13"/>
  <c r="FI13" i="13"/>
  <c r="FH13" i="13"/>
  <c r="FG13" i="13"/>
  <c r="FF13" i="13"/>
  <c r="FE13" i="13"/>
  <c r="FD13" i="13"/>
  <c r="FB13" i="13"/>
  <c r="FA13" i="13"/>
  <c r="EZ13" i="13"/>
  <c r="EY13" i="13"/>
  <c r="EX13" i="13"/>
  <c r="EW13" i="13"/>
  <c r="EV13" i="13"/>
  <c r="EU13" i="13"/>
  <c r="ET13" i="13"/>
  <c r="ES13" i="13"/>
  <c r="ER13" i="13"/>
  <c r="EQ13" i="13"/>
  <c r="EP13" i="13"/>
  <c r="EO13" i="13"/>
  <c r="EN13" i="13"/>
  <c r="EM13" i="13"/>
  <c r="EL13" i="13"/>
  <c r="EK13" i="13"/>
  <c r="EJ13" i="13"/>
  <c r="EI13" i="13"/>
  <c r="EH13" i="13"/>
  <c r="EG13" i="13"/>
  <c r="EF13" i="13"/>
  <c r="EE13" i="13"/>
  <c r="ED13" i="13"/>
  <c r="EC13" i="13"/>
  <c r="EB13" i="13"/>
  <c r="EA13" i="13"/>
  <c r="DU13" i="13"/>
  <c r="DT13" i="13"/>
  <c r="DS13" i="13"/>
  <c r="DR13" i="13"/>
  <c r="DQ13" i="13"/>
  <c r="DP13" i="13"/>
  <c r="DO13" i="13"/>
  <c r="DN13" i="13"/>
  <c r="DK13" i="13"/>
  <c r="DJ13" i="13"/>
  <c r="DI13" i="13"/>
  <c r="DH13" i="13"/>
  <c r="DG13" i="13"/>
  <c r="DF13" i="13"/>
  <c r="DE13" i="13"/>
  <c r="DD13" i="13"/>
  <c r="DB13" i="13"/>
  <c r="DA13" i="13"/>
  <c r="CV13" i="13"/>
  <c r="CU13" i="13"/>
  <c r="CT13" i="13"/>
  <c r="CS13" i="13"/>
  <c r="GN13" i="13" s="1"/>
  <c r="CR13" i="13"/>
  <c r="GM13" i="13" s="1"/>
  <c r="CQ13" i="13"/>
  <c r="GL13" i="13" s="1"/>
  <c r="CP13" i="13"/>
  <c r="GJ13" i="13" s="1"/>
  <c r="GK13" i="13" s="1"/>
  <c r="CO13" i="13"/>
  <c r="DZ13" i="13" s="1"/>
  <c r="CN13" i="13"/>
  <c r="DY13" i="13" s="1"/>
  <c r="CM13" i="13"/>
  <c r="DX13" i="13" s="1"/>
  <c r="CL13" i="13"/>
  <c r="DW13" i="13" s="1"/>
  <c r="CG13" i="13" a="1"/>
  <c r="CG13" i="13" s="1"/>
  <c r="AW13" i="13"/>
  <c r="AV13" i="13"/>
  <c r="J13" i="13"/>
  <c r="G13" i="13"/>
  <c r="HX12" i="13" a="1"/>
  <c r="HX12" i="13" s="1"/>
  <c r="IW12" i="13" s="1"/>
  <c r="HW12" i="13" a="1"/>
  <c r="HW12" i="13" s="1"/>
  <c r="IV12" i="13" s="1"/>
  <c r="HV12" i="13" a="1"/>
  <c r="HV12" i="13" s="1"/>
  <c r="IU12" i="13" s="1"/>
  <c r="HU12" i="13" a="1"/>
  <c r="HU12" i="13" s="1"/>
  <c r="IT12" i="13" s="1"/>
  <c r="HT12" i="13" a="1"/>
  <c r="HT12" i="13" s="1"/>
  <c r="IS12" i="13" s="1"/>
  <c r="HS12" i="13" a="1"/>
  <c r="HS12" i="13" s="1"/>
  <c r="IR12" i="13" s="1"/>
  <c r="HR12" i="13" a="1"/>
  <c r="HR12" i="13" s="1"/>
  <c r="IQ12" i="13" s="1"/>
  <c r="HQ12" i="13" a="1"/>
  <c r="HQ12" i="13" s="1"/>
  <c r="IP12" i="13" s="1"/>
  <c r="HP12" i="13" a="1"/>
  <c r="HP12" i="13" s="1"/>
  <c r="IO12" i="13" s="1"/>
  <c r="HL12" i="13"/>
  <c r="HJ12" i="13"/>
  <c r="HH12" i="13"/>
  <c r="HB12" i="13"/>
  <c r="HA12" i="13"/>
  <c r="GZ12" i="13"/>
  <c r="GY12" i="13"/>
  <c r="GX12" i="13"/>
  <c r="GW12" i="13"/>
  <c r="GV12" i="13"/>
  <c r="GU12" i="13"/>
  <c r="GT12" i="13"/>
  <c r="GP12" i="13"/>
  <c r="GI12" i="13"/>
  <c r="GH12" i="13"/>
  <c r="GG12" i="13"/>
  <c r="GF12" i="13"/>
  <c r="GE12" i="13"/>
  <c r="GB12" i="13"/>
  <c r="GA12" i="13"/>
  <c r="FZ12" i="13"/>
  <c r="FY12" i="13"/>
  <c r="FW12" i="13"/>
  <c r="FV12" i="13"/>
  <c r="FU12" i="13"/>
  <c r="FT12" i="13"/>
  <c r="FS12" i="13"/>
  <c r="FR12" i="13"/>
  <c r="FQ12" i="13"/>
  <c r="FJ12" i="13"/>
  <c r="FI12" i="13"/>
  <c r="FH12" i="13"/>
  <c r="FG12" i="13"/>
  <c r="FF12" i="13"/>
  <c r="FE12" i="13"/>
  <c r="FD12" i="13"/>
  <c r="FB12" i="13"/>
  <c r="FA12" i="13"/>
  <c r="EZ12" i="13"/>
  <c r="EY12" i="13"/>
  <c r="EX12" i="13"/>
  <c r="EW12" i="13"/>
  <c r="EV12" i="13"/>
  <c r="EU12" i="13"/>
  <c r="ET12" i="13"/>
  <c r="ES12" i="13"/>
  <c r="ER12" i="13"/>
  <c r="EQ12" i="13"/>
  <c r="EP12" i="13"/>
  <c r="EO12" i="13"/>
  <c r="EN12" i="13"/>
  <c r="EM12" i="13"/>
  <c r="EL12" i="13"/>
  <c r="EK12" i="13"/>
  <c r="EJ12" i="13"/>
  <c r="EI12" i="13"/>
  <c r="EH12" i="13"/>
  <c r="EG12" i="13"/>
  <c r="EF12" i="13"/>
  <c r="EE12" i="13"/>
  <c r="ED12" i="13"/>
  <c r="EC12" i="13"/>
  <c r="EB12" i="13"/>
  <c r="EA12" i="13"/>
  <c r="DU12" i="13"/>
  <c r="DT12" i="13"/>
  <c r="DS12" i="13"/>
  <c r="DR12" i="13"/>
  <c r="DQ12" i="13"/>
  <c r="DP12" i="13"/>
  <c r="DO12" i="13"/>
  <c r="DN12" i="13"/>
  <c r="DK12" i="13"/>
  <c r="DJ12" i="13"/>
  <c r="DI12" i="13"/>
  <c r="DH12" i="13"/>
  <c r="DG12" i="13"/>
  <c r="DF12" i="13"/>
  <c r="DE12" i="13"/>
  <c r="DD12" i="13"/>
  <c r="DB12" i="13"/>
  <c r="DA12" i="13"/>
  <c r="CV12" i="13"/>
  <c r="CU12" i="13"/>
  <c r="CT12" i="13"/>
  <c r="CS12" i="13"/>
  <c r="GN12" i="13" s="1"/>
  <c r="CR12" i="13"/>
  <c r="GM12" i="13" s="1"/>
  <c r="CQ12" i="13"/>
  <c r="GL12" i="13" s="1"/>
  <c r="CP12" i="13"/>
  <c r="GJ12" i="13" s="1"/>
  <c r="GK12" i="13" s="1"/>
  <c r="CO12" i="13"/>
  <c r="DZ12" i="13" s="1"/>
  <c r="CN12" i="13"/>
  <c r="DY12" i="13" s="1"/>
  <c r="CM12" i="13"/>
  <c r="DX12" i="13" s="1"/>
  <c r="CL12" i="13"/>
  <c r="DW12" i="13" s="1"/>
  <c r="CG12" i="13" a="1"/>
  <c r="CG12" i="13" s="1"/>
  <c r="AW12" i="13"/>
  <c r="AV12" i="13"/>
  <c r="J12" i="13"/>
  <c r="G12" i="13"/>
  <c r="HX11" i="13" a="1"/>
  <c r="HX11" i="13" s="1"/>
  <c r="IW11" i="13" s="1"/>
  <c r="HW11" i="13" a="1"/>
  <c r="HW11" i="13" s="1"/>
  <c r="IV11" i="13" s="1"/>
  <c r="HV11" i="13" a="1"/>
  <c r="HV11" i="13" s="1"/>
  <c r="IU11" i="13" s="1"/>
  <c r="HU11" i="13" a="1"/>
  <c r="HU11" i="13" s="1"/>
  <c r="IT11" i="13" s="1"/>
  <c r="HT11" i="13" a="1"/>
  <c r="HT11" i="13" s="1"/>
  <c r="IS11" i="13" s="1"/>
  <c r="HS11" i="13" a="1"/>
  <c r="HS11" i="13" s="1"/>
  <c r="IR11" i="13" s="1"/>
  <c r="HR11" i="13" a="1"/>
  <c r="HR11" i="13" s="1"/>
  <c r="IQ11" i="13" s="1"/>
  <c r="HQ11" i="13" a="1"/>
  <c r="HQ11" i="13" s="1"/>
  <c r="IP11" i="13" s="1"/>
  <c r="HP11" i="13" a="1"/>
  <c r="HP11" i="13" s="1"/>
  <c r="IO11" i="13" s="1"/>
  <c r="HL11" i="13"/>
  <c r="HJ11" i="13"/>
  <c r="HH11" i="13"/>
  <c r="HB11" i="13"/>
  <c r="HA11" i="13"/>
  <c r="GZ11" i="13"/>
  <c r="GY11" i="13"/>
  <c r="GX11" i="13"/>
  <c r="GW11" i="13"/>
  <c r="GV11" i="13"/>
  <c r="GU11" i="13"/>
  <c r="GT11" i="13"/>
  <c r="GP11" i="13"/>
  <c r="GI11" i="13"/>
  <c r="GH11" i="13"/>
  <c r="GG11" i="13"/>
  <c r="GF11" i="13"/>
  <c r="GE11" i="13"/>
  <c r="GB11" i="13"/>
  <c r="GA11" i="13"/>
  <c r="FZ11" i="13"/>
  <c r="FY11" i="13"/>
  <c r="FW11" i="13"/>
  <c r="FV11" i="13"/>
  <c r="FU11" i="13"/>
  <c r="FT11" i="13"/>
  <c r="FS11" i="13"/>
  <c r="FR11" i="13"/>
  <c r="FQ11" i="13"/>
  <c r="FJ11" i="13"/>
  <c r="FI11" i="13"/>
  <c r="FH11" i="13"/>
  <c r="FG11" i="13"/>
  <c r="FF11" i="13"/>
  <c r="FE11" i="13"/>
  <c r="FD11" i="13"/>
  <c r="FB11" i="13"/>
  <c r="FA11" i="13"/>
  <c r="EZ11" i="13"/>
  <c r="EY11" i="13"/>
  <c r="EX11" i="13"/>
  <c r="EW11" i="13"/>
  <c r="EV11" i="13"/>
  <c r="EU11" i="13"/>
  <c r="ET11" i="13"/>
  <c r="ES11" i="13"/>
  <c r="ER11" i="13"/>
  <c r="EQ11" i="13"/>
  <c r="EP11" i="13"/>
  <c r="EO11" i="13"/>
  <c r="EN11" i="13"/>
  <c r="EM11" i="13"/>
  <c r="EL11" i="13"/>
  <c r="EK11" i="13"/>
  <c r="EJ11" i="13"/>
  <c r="EI11" i="13"/>
  <c r="EH11" i="13"/>
  <c r="EG11" i="13"/>
  <c r="EF11" i="13"/>
  <c r="EE11" i="13"/>
  <c r="ED11" i="13"/>
  <c r="EC11" i="13"/>
  <c r="EB11" i="13"/>
  <c r="EA11" i="13"/>
  <c r="DU11" i="13"/>
  <c r="DT11" i="13"/>
  <c r="DS11" i="13"/>
  <c r="DR11" i="13"/>
  <c r="DQ11" i="13"/>
  <c r="DP11" i="13"/>
  <c r="DO11" i="13"/>
  <c r="DN11" i="13"/>
  <c r="DK11" i="13"/>
  <c r="DJ11" i="13"/>
  <c r="DI11" i="13"/>
  <c r="DH11" i="13"/>
  <c r="DG11" i="13"/>
  <c r="DF11" i="13"/>
  <c r="DE11" i="13"/>
  <c r="DD11" i="13"/>
  <c r="DB11" i="13"/>
  <c r="DA11" i="13"/>
  <c r="CV11" i="13"/>
  <c r="CU11" i="13"/>
  <c r="CT11" i="13"/>
  <c r="CS11" i="13"/>
  <c r="GN11" i="13" s="1"/>
  <c r="CR11" i="13"/>
  <c r="GM11" i="13" s="1"/>
  <c r="CQ11" i="13"/>
  <c r="GL11" i="13" s="1"/>
  <c r="CP11" i="13"/>
  <c r="GJ11" i="13" s="1"/>
  <c r="GK11" i="13" s="1"/>
  <c r="CO11" i="13"/>
  <c r="DZ11" i="13" s="1"/>
  <c r="CN11" i="13"/>
  <c r="DY11" i="13" s="1"/>
  <c r="CM11" i="13"/>
  <c r="DX11" i="13" s="1"/>
  <c r="CL11" i="13"/>
  <c r="DW11" i="13" s="1"/>
  <c r="CG11" i="13" a="1"/>
  <c r="CG11" i="13" s="1"/>
  <c r="AW11" i="13"/>
  <c r="AV11" i="13"/>
  <c r="J11" i="13"/>
  <c r="G11" i="13"/>
  <c r="HX10" i="13" a="1"/>
  <c r="HX10" i="13" s="1"/>
  <c r="IW10" i="13" s="1"/>
  <c r="HW10" i="13" a="1"/>
  <c r="HW10" i="13" s="1"/>
  <c r="IV10" i="13" s="1"/>
  <c r="HV10" i="13" a="1"/>
  <c r="HV10" i="13" s="1"/>
  <c r="IU10" i="13" s="1"/>
  <c r="HU10" i="13" a="1"/>
  <c r="HU10" i="13" s="1"/>
  <c r="IT10" i="13" s="1"/>
  <c r="HT10" i="13" a="1"/>
  <c r="HT10" i="13" s="1"/>
  <c r="IS10" i="13" s="1"/>
  <c r="HS10" i="13" a="1"/>
  <c r="HS10" i="13" s="1"/>
  <c r="IR10" i="13" s="1"/>
  <c r="HR10" i="13" a="1"/>
  <c r="HR10" i="13" s="1"/>
  <c r="IQ10" i="13" s="1"/>
  <c r="HQ10" i="13" a="1"/>
  <c r="HQ10" i="13" s="1"/>
  <c r="IP10" i="13" s="1"/>
  <c r="HP10" i="13" a="1"/>
  <c r="HP10" i="13" s="1"/>
  <c r="IO10" i="13" s="1"/>
  <c r="HL10" i="13"/>
  <c r="HJ10" i="13"/>
  <c r="HH10" i="13"/>
  <c r="HB10" i="13"/>
  <c r="HA10" i="13"/>
  <c r="GZ10" i="13"/>
  <c r="GY10" i="13"/>
  <c r="GX10" i="13"/>
  <c r="GW10" i="13"/>
  <c r="GV10" i="13"/>
  <c r="GU10" i="13"/>
  <c r="GT10" i="13"/>
  <c r="GP10" i="13"/>
  <c r="GI10" i="13"/>
  <c r="GH10" i="13"/>
  <c r="GG10" i="13"/>
  <c r="GF10" i="13"/>
  <c r="GE10" i="13"/>
  <c r="GB10" i="13"/>
  <c r="GA10" i="13"/>
  <c r="FZ10" i="13"/>
  <c r="FY10" i="13"/>
  <c r="FW10" i="13"/>
  <c r="FV10" i="13"/>
  <c r="FU10" i="13"/>
  <c r="FT10" i="13"/>
  <c r="FS10" i="13"/>
  <c r="FR10" i="13"/>
  <c r="FQ10" i="13"/>
  <c r="FJ10" i="13"/>
  <c r="FI10" i="13"/>
  <c r="FH10" i="13"/>
  <c r="FG10" i="13"/>
  <c r="FF10" i="13"/>
  <c r="FP10" i="13" s="1"/>
  <c r="FE10" i="13"/>
  <c r="FD10" i="13"/>
  <c r="FB10" i="13"/>
  <c r="FA10" i="13"/>
  <c r="EZ10" i="13"/>
  <c r="EY10" i="13"/>
  <c r="EX10" i="13"/>
  <c r="EW10" i="13"/>
  <c r="EV10" i="13"/>
  <c r="EU10" i="13"/>
  <c r="ET10" i="13"/>
  <c r="ES10" i="13"/>
  <c r="ER10" i="13"/>
  <c r="EQ10" i="13"/>
  <c r="EP10" i="13"/>
  <c r="EO10" i="13"/>
  <c r="EN10" i="13"/>
  <c r="EM10" i="13"/>
  <c r="EL10" i="13"/>
  <c r="EK10" i="13"/>
  <c r="EJ10" i="13"/>
  <c r="EI10" i="13"/>
  <c r="EH10" i="13"/>
  <c r="EG10" i="13"/>
  <c r="EF10" i="13"/>
  <c r="EE10" i="13"/>
  <c r="ED10" i="13"/>
  <c r="EC10" i="13"/>
  <c r="EB10" i="13"/>
  <c r="EA10" i="13"/>
  <c r="DU10" i="13"/>
  <c r="DT10" i="13"/>
  <c r="DS10" i="13"/>
  <c r="DR10" i="13"/>
  <c r="DQ10" i="13"/>
  <c r="DP10" i="13"/>
  <c r="DO10" i="13"/>
  <c r="DN10" i="13"/>
  <c r="DK10" i="13"/>
  <c r="DJ10" i="13"/>
  <c r="DI10" i="13"/>
  <c r="DH10" i="13"/>
  <c r="DG10" i="13"/>
  <c r="DF10" i="13"/>
  <c r="DE10" i="13"/>
  <c r="DD10" i="13"/>
  <c r="DB10" i="13"/>
  <c r="DA10" i="13"/>
  <c r="CV10" i="13"/>
  <c r="CU10" i="13"/>
  <c r="CT10" i="13"/>
  <c r="CS10" i="13"/>
  <c r="GN10" i="13" s="1"/>
  <c r="CR10" i="13"/>
  <c r="GM10" i="13" s="1"/>
  <c r="CQ10" i="13"/>
  <c r="GL10" i="13" s="1"/>
  <c r="CP10" i="13"/>
  <c r="GJ10" i="13" s="1"/>
  <c r="GK10" i="13" s="1"/>
  <c r="CO10" i="13"/>
  <c r="DZ10" i="13" s="1"/>
  <c r="CN10" i="13"/>
  <c r="DY10" i="13" s="1"/>
  <c r="CM10" i="13"/>
  <c r="DX10" i="13" s="1"/>
  <c r="CL10" i="13"/>
  <c r="DW10" i="13" s="1"/>
  <c r="CG10" i="13" a="1"/>
  <c r="CG10" i="13" s="1"/>
  <c r="AW10" i="13"/>
  <c r="AV10" i="13"/>
  <c r="J10" i="13"/>
  <c r="G10" i="13"/>
  <c r="HX9" i="13" a="1"/>
  <c r="HX9" i="13" s="1"/>
  <c r="IW9" i="13" s="1"/>
  <c r="HW9" i="13" a="1"/>
  <c r="HW9" i="13" s="1"/>
  <c r="IV9" i="13" s="1"/>
  <c r="HV9" i="13" a="1"/>
  <c r="HV9" i="13" s="1"/>
  <c r="IU9" i="13" s="1"/>
  <c r="HU9" i="13" a="1"/>
  <c r="HU9" i="13" s="1"/>
  <c r="IT9" i="13" s="1"/>
  <c r="HT9" i="13" a="1"/>
  <c r="HT9" i="13" s="1"/>
  <c r="IS9" i="13" s="1"/>
  <c r="HS9" i="13" a="1"/>
  <c r="HS9" i="13" s="1"/>
  <c r="IR9" i="13" s="1"/>
  <c r="HR9" i="13" a="1"/>
  <c r="HR9" i="13" s="1"/>
  <c r="IQ9" i="13" s="1"/>
  <c r="HQ9" i="13" a="1"/>
  <c r="HQ9" i="13" s="1"/>
  <c r="IP9" i="13" s="1"/>
  <c r="HP9" i="13" a="1"/>
  <c r="HP9" i="13" s="1"/>
  <c r="IO9" i="13" s="1"/>
  <c r="HL9" i="13"/>
  <c r="HJ9" i="13"/>
  <c r="HH9" i="13"/>
  <c r="HB9" i="13"/>
  <c r="HA9" i="13"/>
  <c r="GZ9" i="13"/>
  <c r="GY9" i="13"/>
  <c r="GX9" i="13"/>
  <c r="GW9" i="13"/>
  <c r="GV9" i="13"/>
  <c r="GU9" i="13"/>
  <c r="GT9" i="13"/>
  <c r="GP9" i="13"/>
  <c r="GI9" i="13"/>
  <c r="GH9" i="13"/>
  <c r="GG9" i="13"/>
  <c r="GF9" i="13"/>
  <c r="GE9" i="13"/>
  <c r="GB9" i="13"/>
  <c r="GA9" i="13"/>
  <c r="FZ9" i="13"/>
  <c r="FY9" i="13"/>
  <c r="FW9" i="13"/>
  <c r="FV9" i="13"/>
  <c r="FU9" i="13"/>
  <c r="FT9" i="13"/>
  <c r="FS9" i="13"/>
  <c r="FR9" i="13"/>
  <c r="FQ9" i="13"/>
  <c r="FJ9" i="13"/>
  <c r="FI9" i="13"/>
  <c r="FH9" i="13"/>
  <c r="FG9" i="13"/>
  <c r="FF9" i="13"/>
  <c r="FE9" i="13"/>
  <c r="FD9" i="13"/>
  <c r="FB9" i="13"/>
  <c r="FA9" i="13"/>
  <c r="EZ9" i="13"/>
  <c r="EY9" i="13"/>
  <c r="EX9" i="13"/>
  <c r="EW9" i="13"/>
  <c r="EV9" i="13"/>
  <c r="EU9" i="13"/>
  <c r="ET9" i="13"/>
  <c r="ES9" i="13"/>
  <c r="ER9" i="13"/>
  <c r="EQ9" i="13"/>
  <c r="EP9" i="13"/>
  <c r="EO9" i="13"/>
  <c r="EN9" i="13"/>
  <c r="EM9" i="13"/>
  <c r="EL9" i="13"/>
  <c r="EK9" i="13"/>
  <c r="EJ9" i="13"/>
  <c r="EI9" i="13"/>
  <c r="EH9" i="13"/>
  <c r="EG9" i="13"/>
  <c r="EF9" i="13"/>
  <c r="EE9" i="13"/>
  <c r="ED9" i="13"/>
  <c r="EC9" i="13"/>
  <c r="EB9" i="13"/>
  <c r="EA9" i="13"/>
  <c r="DU9" i="13"/>
  <c r="DT9" i="13"/>
  <c r="DS9" i="13"/>
  <c r="DR9" i="13"/>
  <c r="DQ9" i="13"/>
  <c r="DP9" i="13"/>
  <c r="DO9" i="13"/>
  <c r="DN9" i="13"/>
  <c r="DK9" i="13"/>
  <c r="DJ9" i="13"/>
  <c r="DI9" i="13"/>
  <c r="DH9" i="13"/>
  <c r="DG9" i="13"/>
  <c r="DF9" i="13"/>
  <c r="DE9" i="13"/>
  <c r="DD9" i="13"/>
  <c r="DB9" i="13"/>
  <c r="DA9" i="13"/>
  <c r="CV9" i="13"/>
  <c r="CU9" i="13"/>
  <c r="CT9" i="13"/>
  <c r="CS9" i="13"/>
  <c r="GN9" i="13" s="1"/>
  <c r="CR9" i="13"/>
  <c r="GM9" i="13" s="1"/>
  <c r="CQ9" i="13"/>
  <c r="GL9" i="13" s="1"/>
  <c r="CP9" i="13"/>
  <c r="GJ9" i="13" s="1"/>
  <c r="GK9" i="13" s="1"/>
  <c r="CO9" i="13"/>
  <c r="DZ9" i="13" s="1"/>
  <c r="CN9" i="13"/>
  <c r="DY9" i="13" s="1"/>
  <c r="CM9" i="13"/>
  <c r="DX9" i="13" s="1"/>
  <c r="CL9" i="13"/>
  <c r="DW9" i="13" s="1"/>
  <c r="CG9" i="13" a="1"/>
  <c r="CG9" i="13" s="1"/>
  <c r="AW9" i="13"/>
  <c r="AV9" i="13"/>
  <c r="J9" i="13"/>
  <c r="G9" i="13"/>
  <c r="HX8" i="13" a="1"/>
  <c r="HX8" i="13" s="1"/>
  <c r="IW8" i="13" s="1"/>
  <c r="HW8" i="13" a="1"/>
  <c r="HW8" i="13" s="1"/>
  <c r="IV8" i="13" s="1"/>
  <c r="HV8" i="13" a="1"/>
  <c r="HV8" i="13" s="1"/>
  <c r="IU8" i="13" s="1"/>
  <c r="HU8" i="13" a="1"/>
  <c r="HU8" i="13" s="1"/>
  <c r="IT8" i="13" s="1"/>
  <c r="HT8" i="13" a="1"/>
  <c r="HT8" i="13" s="1"/>
  <c r="IS8" i="13" s="1"/>
  <c r="HS8" i="13" a="1"/>
  <c r="HS8" i="13" s="1"/>
  <c r="IR8" i="13" s="1"/>
  <c r="HR8" i="13" a="1"/>
  <c r="HR8" i="13" s="1"/>
  <c r="IQ8" i="13" s="1"/>
  <c r="HQ8" i="13" a="1"/>
  <c r="HQ8" i="13" s="1"/>
  <c r="IP8" i="13" s="1"/>
  <c r="HP8" i="13" a="1"/>
  <c r="HP8" i="13" s="1"/>
  <c r="IO8" i="13" s="1"/>
  <c r="HL8" i="13"/>
  <c r="HJ8" i="13"/>
  <c r="HH8" i="13"/>
  <c r="HB8" i="13"/>
  <c r="HA8" i="13"/>
  <c r="GZ8" i="13"/>
  <c r="GY8" i="13"/>
  <c r="GX8" i="13"/>
  <c r="GW8" i="13"/>
  <c r="GV8" i="13"/>
  <c r="GU8" i="13"/>
  <c r="GT8" i="13"/>
  <c r="GP8" i="13"/>
  <c r="GI8" i="13"/>
  <c r="GH8" i="13"/>
  <c r="GG8" i="13"/>
  <c r="GF8" i="13"/>
  <c r="GE8" i="13"/>
  <c r="GB8" i="13"/>
  <c r="GA8" i="13"/>
  <c r="FZ8" i="13"/>
  <c r="FY8" i="13"/>
  <c r="FW8" i="13"/>
  <c r="FV8" i="13"/>
  <c r="FU8" i="13"/>
  <c r="FT8" i="13"/>
  <c r="FS8" i="13"/>
  <c r="FR8" i="13"/>
  <c r="FQ8" i="13"/>
  <c r="FJ8" i="13"/>
  <c r="FI8" i="13"/>
  <c r="FH8" i="13"/>
  <c r="FG8" i="13"/>
  <c r="FF8" i="13"/>
  <c r="FP8" i="13" s="1"/>
  <c r="FE8" i="13"/>
  <c r="FD8" i="13"/>
  <c r="FB8" i="13"/>
  <c r="FA8" i="13"/>
  <c r="EZ8" i="13"/>
  <c r="EY8" i="13"/>
  <c r="EX8" i="13"/>
  <c r="EW8" i="13"/>
  <c r="EV8" i="13"/>
  <c r="EU8" i="13"/>
  <c r="ET8" i="13"/>
  <c r="ES8" i="13"/>
  <c r="ER8" i="13"/>
  <c r="EQ8" i="13"/>
  <c r="EP8" i="13"/>
  <c r="EO8" i="13"/>
  <c r="EN8" i="13"/>
  <c r="EM8" i="13"/>
  <c r="EL8" i="13"/>
  <c r="EK8" i="13"/>
  <c r="EJ8" i="13"/>
  <c r="EI8" i="13"/>
  <c r="EH8" i="13"/>
  <c r="EG8" i="13"/>
  <c r="EF8" i="13"/>
  <c r="EE8" i="13"/>
  <c r="ED8" i="13"/>
  <c r="EC8" i="13"/>
  <c r="EB8" i="13"/>
  <c r="EA8" i="13"/>
  <c r="DU8" i="13"/>
  <c r="DT8" i="13"/>
  <c r="DS8" i="13"/>
  <c r="DR8" i="13"/>
  <c r="DQ8" i="13"/>
  <c r="DP8" i="13"/>
  <c r="DO8" i="13"/>
  <c r="DN8" i="13"/>
  <c r="DK8" i="13"/>
  <c r="DJ8" i="13"/>
  <c r="DI8" i="13"/>
  <c r="DH8" i="13"/>
  <c r="DG8" i="13"/>
  <c r="DF8" i="13"/>
  <c r="DE8" i="13"/>
  <c r="DD8" i="13"/>
  <c r="DB8" i="13"/>
  <c r="DA8" i="13"/>
  <c r="CV8" i="13"/>
  <c r="CU8" i="13"/>
  <c r="CT8" i="13"/>
  <c r="CS8" i="13"/>
  <c r="GN8" i="13" s="1"/>
  <c r="CR8" i="13"/>
  <c r="GM8" i="13" s="1"/>
  <c r="CQ8" i="13"/>
  <c r="GL8" i="13" s="1"/>
  <c r="CP8" i="13"/>
  <c r="GJ8" i="13" s="1"/>
  <c r="GK8" i="13" s="1"/>
  <c r="CO8" i="13"/>
  <c r="DZ8" i="13" s="1"/>
  <c r="CN8" i="13"/>
  <c r="DY8" i="13" s="1"/>
  <c r="CM8" i="13"/>
  <c r="DX8" i="13" s="1"/>
  <c r="CL8" i="13"/>
  <c r="DW8" i="13" s="1"/>
  <c r="CG8" i="13" a="1"/>
  <c r="CG8" i="13" s="1"/>
  <c r="AW8" i="13"/>
  <c r="AV8" i="13"/>
  <c r="J8" i="13"/>
  <c r="G8" i="13"/>
  <c r="IL7" i="13"/>
  <c r="HX7" i="13" a="1"/>
  <c r="HX7" i="13" s="1"/>
  <c r="IW7" i="13" s="1"/>
  <c r="HW7" i="13" a="1"/>
  <c r="HW7" i="13" s="1"/>
  <c r="IV7" i="13" s="1"/>
  <c r="HV7" i="13" a="1"/>
  <c r="HV7" i="13" s="1"/>
  <c r="IU7" i="13" s="1"/>
  <c r="HU7" i="13" a="1"/>
  <c r="HU7" i="13" s="1"/>
  <c r="IT7" i="13" s="1"/>
  <c r="HT7" i="13" a="1"/>
  <c r="HT7" i="13" s="1"/>
  <c r="IS7" i="13" s="1"/>
  <c r="HS7" i="13" a="1"/>
  <c r="HS7" i="13" s="1"/>
  <c r="IR7" i="13" s="1"/>
  <c r="HR7" i="13" a="1"/>
  <c r="HR7" i="13" s="1"/>
  <c r="IQ7" i="13" s="1"/>
  <c r="HQ7" i="13" a="1"/>
  <c r="HQ7" i="13" s="1"/>
  <c r="IP7" i="13" s="1"/>
  <c r="HP7" i="13" a="1"/>
  <c r="HP7" i="13" s="1"/>
  <c r="IO7" i="13" s="1"/>
  <c r="HL7" i="13"/>
  <c r="HJ7" i="13"/>
  <c r="HH7" i="13"/>
  <c r="HB7" i="13"/>
  <c r="HA7" i="13"/>
  <c r="GZ7" i="13"/>
  <c r="GY7" i="13"/>
  <c r="GX7" i="13"/>
  <c r="GW7" i="13"/>
  <c r="GV7" i="13"/>
  <c r="GU7" i="13"/>
  <c r="GT7" i="13"/>
  <c r="GP7" i="13"/>
  <c r="GI7" i="13"/>
  <c r="GH7" i="13"/>
  <c r="GG7" i="13"/>
  <c r="GF7" i="13"/>
  <c r="GE7" i="13"/>
  <c r="GD7" i="13"/>
  <c r="GC7" i="13"/>
  <c r="GB7" i="13"/>
  <c r="GA7" i="13"/>
  <c r="FZ7" i="13"/>
  <c r="FY7" i="13"/>
  <c r="FX7" i="13"/>
  <c r="FW7" i="13"/>
  <c r="FV7" i="13"/>
  <c r="FU7" i="13"/>
  <c r="FT7" i="13"/>
  <c r="FS7" i="13"/>
  <c r="FR7" i="13"/>
  <c r="FQ7" i="13"/>
  <c r="FJ7" i="13"/>
  <c r="FI7" i="13"/>
  <c r="FH7" i="13"/>
  <c r="FG7" i="13"/>
  <c r="FF7" i="13"/>
  <c r="FP7" i="13" s="1"/>
  <c r="FE7" i="13"/>
  <c r="FO7" i="13" s="1"/>
  <c r="FD7" i="13"/>
  <c r="FC7" i="13"/>
  <c r="FB7" i="13"/>
  <c r="FA7" i="13"/>
  <c r="EZ7" i="13"/>
  <c r="EY7" i="13"/>
  <c r="EX7" i="13"/>
  <c r="EW7" i="13"/>
  <c r="EV7" i="13"/>
  <c r="EU7" i="13"/>
  <c r="ET7" i="13"/>
  <c r="ES7" i="13"/>
  <c r="ER7" i="13"/>
  <c r="EQ7" i="13"/>
  <c r="EP7" i="13"/>
  <c r="EO7" i="13"/>
  <c r="EN7" i="13"/>
  <c r="EM7" i="13"/>
  <c r="EL7" i="13"/>
  <c r="EK7" i="13"/>
  <c r="EJ7" i="13"/>
  <c r="EI7" i="13"/>
  <c r="EH7" i="13"/>
  <c r="EG7" i="13"/>
  <c r="EF7" i="13"/>
  <c r="EE7" i="13"/>
  <c r="ED7" i="13"/>
  <c r="EC7" i="13"/>
  <c r="EB7" i="13"/>
  <c r="EA7" i="13"/>
  <c r="DV7" i="13"/>
  <c r="DU7" i="13"/>
  <c r="DT7" i="13"/>
  <c r="DS7" i="13"/>
  <c r="DR7" i="13"/>
  <c r="DQ7" i="13"/>
  <c r="DP7" i="13"/>
  <c r="DO7" i="13"/>
  <c r="DN7" i="13"/>
  <c r="DK7" i="13"/>
  <c r="DJ7" i="13"/>
  <c r="DI7" i="13"/>
  <c r="DH7" i="13"/>
  <c r="DG7" i="13"/>
  <c r="DF7" i="13"/>
  <c r="DE7" i="13"/>
  <c r="DD7" i="13"/>
  <c r="DC7" i="13"/>
  <c r="DB7" i="13"/>
  <c r="DA7" i="13"/>
  <c r="CV7" i="13"/>
  <c r="CU7" i="13"/>
  <c r="CT7" i="13"/>
  <c r="CS7" i="13"/>
  <c r="GN7" i="13" s="1"/>
  <c r="CR7" i="13"/>
  <c r="GM7" i="13" s="1"/>
  <c r="CQ7" i="13"/>
  <c r="GL7" i="13" s="1"/>
  <c r="CP7" i="13"/>
  <c r="GJ7" i="13" s="1"/>
  <c r="GK7" i="13" s="1"/>
  <c r="CO7" i="13"/>
  <c r="DZ7" i="13" s="1"/>
  <c r="CN7" i="13"/>
  <c r="DY7" i="13" s="1"/>
  <c r="CM7" i="13"/>
  <c r="DX7" i="13" s="1"/>
  <c r="CL7" i="13"/>
  <c r="DW7" i="13" s="1"/>
  <c r="CG7" i="13" a="1"/>
  <c r="CG7" i="13" s="1"/>
  <c r="AW7" i="13"/>
  <c r="AV7" i="13"/>
  <c r="AX7" i="13" s="1"/>
  <c r="J7" i="13"/>
  <c r="G7" i="13"/>
  <c r="HX6" i="13" a="1"/>
  <c r="HX6" i="13" s="1"/>
  <c r="IW6" i="13" s="1"/>
  <c r="HW6" i="13" a="1"/>
  <c r="HW6" i="13" s="1"/>
  <c r="IV6" i="13" s="1"/>
  <c r="HV6" i="13" a="1"/>
  <c r="HV6" i="13" s="1"/>
  <c r="IU6" i="13" s="1"/>
  <c r="HU6" i="13" a="1"/>
  <c r="HU6" i="13" s="1"/>
  <c r="IT6" i="13" s="1"/>
  <c r="HT6" i="13" a="1"/>
  <c r="HT6" i="13" s="1"/>
  <c r="IS6" i="13" s="1"/>
  <c r="HS6" i="13" a="1"/>
  <c r="HS6" i="13" s="1"/>
  <c r="IR6" i="13" s="1"/>
  <c r="HR6" i="13" a="1"/>
  <c r="HR6" i="13" s="1"/>
  <c r="IQ6" i="13" s="1"/>
  <c r="HQ6" i="13" a="1"/>
  <c r="HQ6" i="13" s="1"/>
  <c r="IP6" i="13" s="1"/>
  <c r="HP6" i="13" a="1"/>
  <c r="HP6" i="13" s="1"/>
  <c r="IO6" i="13" s="1"/>
  <c r="HL6" i="13"/>
  <c r="HJ6" i="13"/>
  <c r="HH6" i="13"/>
  <c r="HB6" i="13"/>
  <c r="HA6" i="13"/>
  <c r="GZ6" i="13"/>
  <c r="GY6" i="13"/>
  <c r="GX6" i="13"/>
  <c r="GW6" i="13"/>
  <c r="GV6" i="13"/>
  <c r="GU6" i="13"/>
  <c r="GT6" i="13"/>
  <c r="GP6" i="13"/>
  <c r="GI6" i="13"/>
  <c r="GH6" i="13"/>
  <c r="GG6" i="13"/>
  <c r="GF6" i="13"/>
  <c r="GE6" i="13"/>
  <c r="GB6" i="13"/>
  <c r="GA6" i="13"/>
  <c r="FZ6" i="13"/>
  <c r="FY6" i="13"/>
  <c r="FW6" i="13"/>
  <c r="FV6" i="13"/>
  <c r="FU6" i="13"/>
  <c r="FT6" i="13"/>
  <c r="FS6" i="13"/>
  <c r="FR6" i="13"/>
  <c r="FQ6" i="13"/>
  <c r="FJ6" i="13"/>
  <c r="FI6" i="13"/>
  <c r="FH6" i="13"/>
  <c r="FG6" i="13"/>
  <c r="FF6" i="13"/>
  <c r="FE6" i="13"/>
  <c r="FD6" i="13"/>
  <c r="FB6" i="13"/>
  <c r="FA6" i="13"/>
  <c r="EZ6" i="13"/>
  <c r="EY6" i="13"/>
  <c r="EX6" i="13"/>
  <c r="EW6" i="13"/>
  <c r="EV6" i="13"/>
  <c r="EU6" i="13"/>
  <c r="ET6" i="13"/>
  <c r="ES6" i="13"/>
  <c r="ER6" i="13"/>
  <c r="EQ6" i="13"/>
  <c r="EP6" i="13"/>
  <c r="EO6" i="13"/>
  <c r="EN6" i="13"/>
  <c r="EM6" i="13"/>
  <c r="EL6" i="13"/>
  <c r="EK6" i="13"/>
  <c r="EJ6" i="13"/>
  <c r="EI6" i="13"/>
  <c r="EH6" i="13"/>
  <c r="EG6" i="13"/>
  <c r="EF6" i="13"/>
  <c r="EE6" i="13"/>
  <c r="ED6" i="13"/>
  <c r="EC6" i="13"/>
  <c r="EB6" i="13"/>
  <c r="EA6" i="13"/>
  <c r="DU6" i="13"/>
  <c r="DT6" i="13"/>
  <c r="DS6" i="13"/>
  <c r="DR6" i="13"/>
  <c r="DQ6" i="13"/>
  <c r="DP6" i="13"/>
  <c r="DO6" i="13"/>
  <c r="DN6" i="13"/>
  <c r="DK6" i="13"/>
  <c r="DJ6" i="13"/>
  <c r="DI6" i="13"/>
  <c r="DH6" i="13"/>
  <c r="DG6" i="13"/>
  <c r="DF6" i="13"/>
  <c r="DE6" i="13"/>
  <c r="DD6" i="13"/>
  <c r="DB6" i="13"/>
  <c r="DA6" i="13"/>
  <c r="CV6" i="13"/>
  <c r="CU6" i="13"/>
  <c r="CT6" i="13"/>
  <c r="CS6" i="13"/>
  <c r="GN6" i="13" s="1"/>
  <c r="CR6" i="13"/>
  <c r="GM6" i="13" s="1"/>
  <c r="CQ6" i="13"/>
  <c r="GL6" i="13" s="1"/>
  <c r="CP6" i="13"/>
  <c r="GJ6" i="13" s="1"/>
  <c r="GK6" i="13" s="1"/>
  <c r="CO6" i="13"/>
  <c r="DZ6" i="13" s="1"/>
  <c r="CN6" i="13"/>
  <c r="DY6" i="13" s="1"/>
  <c r="CM6" i="13"/>
  <c r="DX6" i="13" s="1"/>
  <c r="CL6" i="13"/>
  <c r="DW6" i="13" s="1"/>
  <c r="CG6" i="13" a="1"/>
  <c r="CG6" i="13" s="1"/>
  <c r="AW6" i="13"/>
  <c r="AV6" i="13"/>
  <c r="J6" i="13"/>
  <c r="G6" i="13"/>
  <c r="HX14" i="13" a="1"/>
  <c r="HX14" i="13" s="1"/>
  <c r="IW14" i="13" s="1"/>
  <c r="HW14" i="13" a="1"/>
  <c r="HW14" i="13" s="1"/>
  <c r="IV14" i="13" s="1"/>
  <c r="HV14" i="13" a="1"/>
  <c r="HV14" i="13" s="1"/>
  <c r="IU14" i="13" s="1"/>
  <c r="HU14" i="13" a="1"/>
  <c r="HU14" i="13" s="1"/>
  <c r="IT14" i="13" s="1"/>
  <c r="HT14" i="13" a="1"/>
  <c r="HT14" i="13" s="1"/>
  <c r="IS14" i="13" s="1"/>
  <c r="HS14" i="13" a="1"/>
  <c r="HS14" i="13" s="1"/>
  <c r="IR14" i="13" s="1"/>
  <c r="HR14" i="13" a="1"/>
  <c r="HR14" i="13" s="1"/>
  <c r="IQ14" i="13" s="1"/>
  <c r="HQ14" i="13" a="1"/>
  <c r="HQ14" i="13" s="1"/>
  <c r="IP14" i="13" s="1"/>
  <c r="HP14" i="13" a="1"/>
  <c r="HP14" i="13" s="1"/>
  <c r="IO14" i="13" s="1"/>
  <c r="HL14" i="13"/>
  <c r="HJ14" i="13"/>
  <c r="HH14" i="13"/>
  <c r="HB14" i="13"/>
  <c r="HA14" i="13"/>
  <c r="GZ14" i="13"/>
  <c r="GY14" i="13"/>
  <c r="GX14" i="13"/>
  <c r="GW14" i="13"/>
  <c r="GV14" i="13"/>
  <c r="GU14" i="13"/>
  <c r="GT14" i="13"/>
  <c r="GP14" i="13"/>
  <c r="GI14" i="13"/>
  <c r="GH14" i="13"/>
  <c r="GG14" i="13"/>
  <c r="GF14" i="13"/>
  <c r="GE14" i="13"/>
  <c r="GB14" i="13"/>
  <c r="GA14" i="13"/>
  <c r="FZ14" i="13"/>
  <c r="FY14" i="13"/>
  <c r="FW14" i="13"/>
  <c r="FV14" i="13"/>
  <c r="FU14" i="13"/>
  <c r="FT14" i="13"/>
  <c r="FS14" i="13"/>
  <c r="FR14" i="13"/>
  <c r="FQ14" i="13"/>
  <c r="FJ14" i="13"/>
  <c r="FI14" i="13"/>
  <c r="FH14" i="13"/>
  <c r="FG14" i="13"/>
  <c r="FF14" i="13"/>
  <c r="FP14" i="13" s="1"/>
  <c r="FE14" i="13"/>
  <c r="FD14" i="13"/>
  <c r="FB14" i="13"/>
  <c r="FA14" i="13"/>
  <c r="EZ14" i="13"/>
  <c r="EY14" i="13"/>
  <c r="EX14" i="13"/>
  <c r="EW14" i="13"/>
  <c r="EV14" i="13"/>
  <c r="EU14" i="13"/>
  <c r="ET14" i="13"/>
  <c r="ES14" i="13"/>
  <c r="ER14" i="13"/>
  <c r="EQ14" i="13"/>
  <c r="EP14" i="13"/>
  <c r="EO14" i="13"/>
  <c r="EN14" i="13"/>
  <c r="EM14" i="13"/>
  <c r="EL14" i="13"/>
  <c r="EK14" i="13"/>
  <c r="EJ14" i="13"/>
  <c r="EI14" i="13"/>
  <c r="EH14" i="13"/>
  <c r="EG14" i="13"/>
  <c r="EF14" i="13"/>
  <c r="EE14" i="13"/>
  <c r="ED14" i="13"/>
  <c r="EC14" i="13"/>
  <c r="EB14" i="13"/>
  <c r="EA14" i="13"/>
  <c r="DU14" i="13"/>
  <c r="DT14" i="13"/>
  <c r="DS14" i="13"/>
  <c r="DR14" i="13"/>
  <c r="DQ14" i="13"/>
  <c r="DP14" i="13"/>
  <c r="DO14" i="13"/>
  <c r="DN14" i="13"/>
  <c r="DK14" i="13"/>
  <c r="DJ14" i="13"/>
  <c r="DI14" i="13"/>
  <c r="DH14" i="13"/>
  <c r="DG14" i="13"/>
  <c r="DF14" i="13"/>
  <c r="DE14" i="13"/>
  <c r="DD14" i="13"/>
  <c r="DB14" i="13"/>
  <c r="DA14" i="13"/>
  <c r="CV14" i="13"/>
  <c r="CU14" i="13"/>
  <c r="CT14" i="13"/>
  <c r="CS14" i="13"/>
  <c r="GN14" i="13" s="1"/>
  <c r="CR14" i="13"/>
  <c r="GM14" i="13" s="1"/>
  <c r="CQ14" i="13"/>
  <c r="GL14" i="13" s="1"/>
  <c r="CP14" i="13"/>
  <c r="GJ14" i="13" s="1"/>
  <c r="GK14" i="13" s="1"/>
  <c r="CO14" i="13"/>
  <c r="DZ14" i="13" s="1"/>
  <c r="CN14" i="13"/>
  <c r="DY14" i="13" s="1"/>
  <c r="CM14" i="13"/>
  <c r="DX14" i="13" s="1"/>
  <c r="CL14" i="13"/>
  <c r="DW14" i="13" s="1"/>
  <c r="CG14" i="13" a="1"/>
  <c r="CG14" i="13" s="1"/>
  <c r="AW14" i="13"/>
  <c r="AV14" i="13"/>
  <c r="J14" i="13"/>
  <c r="G14" i="13"/>
  <c r="HX5" i="13" a="1"/>
  <c r="HX5" i="13" s="1"/>
  <c r="IW5" i="13" s="1"/>
  <c r="HW5" i="13" a="1"/>
  <c r="HW5" i="13" s="1"/>
  <c r="IV5" i="13" s="1"/>
  <c r="HV5" i="13" a="1"/>
  <c r="HV5" i="13" s="1"/>
  <c r="IU5" i="13" s="1"/>
  <c r="HU5" i="13" a="1"/>
  <c r="HU5" i="13" s="1"/>
  <c r="IT5" i="13" s="1"/>
  <c r="HT5" i="13" a="1"/>
  <c r="HT5" i="13" s="1"/>
  <c r="IS5" i="13" s="1"/>
  <c r="HS5" i="13" a="1"/>
  <c r="HS5" i="13" s="1"/>
  <c r="IR5" i="13" s="1"/>
  <c r="HR5" i="13" a="1"/>
  <c r="HR5" i="13" s="1"/>
  <c r="IQ5" i="13" s="1"/>
  <c r="HQ5" i="13" a="1"/>
  <c r="HQ5" i="13" s="1"/>
  <c r="IP5" i="13" s="1"/>
  <c r="HP5" i="13" a="1"/>
  <c r="HP5" i="13" s="1"/>
  <c r="IO5" i="13" s="1"/>
  <c r="HL5" i="13"/>
  <c r="HJ5" i="13"/>
  <c r="HH5" i="13"/>
  <c r="HB5" i="13"/>
  <c r="HA5" i="13"/>
  <c r="GZ5" i="13"/>
  <c r="GY5" i="13"/>
  <c r="GX5" i="13"/>
  <c r="GW5" i="13"/>
  <c r="GV5" i="13"/>
  <c r="GU5" i="13"/>
  <c r="GT5" i="13"/>
  <c r="GP5" i="13"/>
  <c r="GI5" i="13"/>
  <c r="GH5" i="13"/>
  <c r="GG5" i="13"/>
  <c r="GF5" i="13"/>
  <c r="GE5" i="13"/>
  <c r="GB5" i="13"/>
  <c r="GA5" i="13"/>
  <c r="FZ5" i="13"/>
  <c r="FY5" i="13"/>
  <c r="FW5" i="13"/>
  <c r="FV5" i="13"/>
  <c r="FU5" i="13"/>
  <c r="FT5" i="13"/>
  <c r="FS5" i="13"/>
  <c r="FR5" i="13"/>
  <c r="FQ5" i="13"/>
  <c r="FJ5" i="13"/>
  <c r="FI5" i="13"/>
  <c r="FH5" i="13"/>
  <c r="FG5" i="13"/>
  <c r="FF5" i="13"/>
  <c r="FP5" i="13" s="1"/>
  <c r="FE5" i="13"/>
  <c r="FD5" i="13"/>
  <c r="FB5" i="13"/>
  <c r="FA5" i="13"/>
  <c r="EZ5" i="13"/>
  <c r="EY5" i="13"/>
  <c r="EX5" i="13"/>
  <c r="EW5" i="13"/>
  <c r="EV5" i="13"/>
  <c r="EU5" i="13"/>
  <c r="ET5" i="13"/>
  <c r="ES5" i="13"/>
  <c r="ER5" i="13"/>
  <c r="EQ5" i="13"/>
  <c r="EP5" i="13"/>
  <c r="EO5" i="13"/>
  <c r="EN5" i="13"/>
  <c r="EM5" i="13"/>
  <c r="EL5" i="13"/>
  <c r="EK5" i="13"/>
  <c r="EJ5" i="13"/>
  <c r="EI5" i="13"/>
  <c r="EH5" i="13"/>
  <c r="EG5" i="13"/>
  <c r="EF5" i="13"/>
  <c r="EE5" i="13"/>
  <c r="ED5" i="13"/>
  <c r="EC5" i="13"/>
  <c r="EB5" i="13"/>
  <c r="EA5" i="13"/>
  <c r="DU5" i="13"/>
  <c r="DT5" i="13"/>
  <c r="DS5" i="13"/>
  <c r="DR5" i="13"/>
  <c r="DQ5" i="13"/>
  <c r="DP5" i="13"/>
  <c r="DO5" i="13"/>
  <c r="DN5" i="13"/>
  <c r="DK5" i="13"/>
  <c r="DJ5" i="13"/>
  <c r="DI5" i="13"/>
  <c r="DH5" i="13"/>
  <c r="DG5" i="13"/>
  <c r="DF5" i="13"/>
  <c r="DE5" i="13"/>
  <c r="DD5" i="13"/>
  <c r="DB5" i="13"/>
  <c r="DA5" i="13"/>
  <c r="CV5" i="13"/>
  <c r="CU5" i="13"/>
  <c r="CT5" i="13"/>
  <c r="CS5" i="13"/>
  <c r="GN5" i="13" s="1"/>
  <c r="CR5" i="13"/>
  <c r="GM5" i="13" s="1"/>
  <c r="CQ5" i="13"/>
  <c r="GL5" i="13" s="1"/>
  <c r="CP5" i="13"/>
  <c r="GJ5" i="13" s="1"/>
  <c r="GK5" i="13" s="1"/>
  <c r="CO5" i="13"/>
  <c r="DZ5" i="13" s="1"/>
  <c r="CN5" i="13"/>
  <c r="DY5" i="13" s="1"/>
  <c r="CM5" i="13"/>
  <c r="DX5" i="13" s="1"/>
  <c r="CL5" i="13"/>
  <c r="DW5" i="13" s="1"/>
  <c r="CG5" i="13" a="1"/>
  <c r="CG5" i="13" s="1"/>
  <c r="IN5" i="13" s="1"/>
  <c r="IX5" i="13" s="1"/>
  <c r="AW5" i="13"/>
  <c r="AV5" i="13"/>
  <c r="J5" i="13"/>
  <c r="G5" i="13"/>
  <c r="HX4" i="13" a="1"/>
  <c r="HX4" i="13" s="1"/>
  <c r="IW4" i="13" s="1"/>
  <c r="HW4" i="13" a="1"/>
  <c r="HW4" i="13" s="1"/>
  <c r="IV4" i="13" s="1"/>
  <c r="HV4" i="13" a="1"/>
  <c r="HV4" i="13" s="1"/>
  <c r="IU4" i="13" s="1"/>
  <c r="HU4" i="13" a="1"/>
  <c r="HU4" i="13" s="1"/>
  <c r="IT4" i="13" s="1"/>
  <c r="HT4" i="13" a="1"/>
  <c r="HT4" i="13" s="1"/>
  <c r="IS4" i="13" s="1"/>
  <c r="HS4" i="13" a="1"/>
  <c r="HS4" i="13" s="1"/>
  <c r="IR4" i="13" s="1"/>
  <c r="HR4" i="13" a="1"/>
  <c r="HR4" i="13" s="1"/>
  <c r="IQ4" i="13" s="1"/>
  <c r="HQ4" i="13" a="1"/>
  <c r="HQ4" i="13" s="1"/>
  <c r="IP4" i="13" s="1"/>
  <c r="HP4" i="13" a="1"/>
  <c r="HP4" i="13" s="1"/>
  <c r="IO4" i="13" s="1"/>
  <c r="HL4" i="13"/>
  <c r="HJ4" i="13"/>
  <c r="HH4" i="13"/>
  <c r="HB4" i="13"/>
  <c r="HA4" i="13"/>
  <c r="GZ4" i="13"/>
  <c r="GY4" i="13"/>
  <c r="GX4" i="13"/>
  <c r="GW4" i="13"/>
  <c r="GV4" i="13"/>
  <c r="GU4" i="13"/>
  <c r="GT4" i="13"/>
  <c r="GP4" i="13"/>
  <c r="GI4" i="13"/>
  <c r="GH4" i="13"/>
  <c r="GG4" i="13"/>
  <c r="GF4" i="13"/>
  <c r="GE4" i="13"/>
  <c r="GB4" i="13"/>
  <c r="GA4" i="13"/>
  <c r="FZ4" i="13"/>
  <c r="FY4" i="13"/>
  <c r="FW4" i="13"/>
  <c r="FV4" i="13"/>
  <c r="FU4" i="13"/>
  <c r="FT4" i="13"/>
  <c r="FS4" i="13"/>
  <c r="FR4" i="13"/>
  <c r="FQ4" i="13"/>
  <c r="FJ4" i="13"/>
  <c r="FI4" i="13"/>
  <c r="FH4" i="13"/>
  <c r="FG4" i="13"/>
  <c r="FF4" i="13"/>
  <c r="FP4" i="13" s="1"/>
  <c r="FE4" i="13"/>
  <c r="FD4" i="13"/>
  <c r="FB4" i="13"/>
  <c r="FA4" i="13"/>
  <c r="EZ4" i="13"/>
  <c r="EY4" i="13"/>
  <c r="EX4" i="13"/>
  <c r="EW4" i="13"/>
  <c r="EV4" i="13"/>
  <c r="EU4" i="13"/>
  <c r="ET4" i="13"/>
  <c r="ES4" i="13"/>
  <c r="ER4" i="13"/>
  <c r="EQ4" i="13"/>
  <c r="EP4" i="13"/>
  <c r="EO4" i="13"/>
  <c r="EN4" i="13"/>
  <c r="EM4" i="13"/>
  <c r="EL4" i="13"/>
  <c r="EK4" i="13"/>
  <c r="EJ4" i="13"/>
  <c r="EI4" i="13"/>
  <c r="EH4" i="13"/>
  <c r="EG4" i="13"/>
  <c r="EF4" i="13"/>
  <c r="EE4" i="13"/>
  <c r="ED4" i="13"/>
  <c r="EC4" i="13"/>
  <c r="EB4" i="13"/>
  <c r="EA4" i="13"/>
  <c r="DU4" i="13"/>
  <c r="DT4" i="13"/>
  <c r="DS4" i="13"/>
  <c r="DR4" i="13"/>
  <c r="DQ4" i="13"/>
  <c r="DP4" i="13"/>
  <c r="DO4" i="13"/>
  <c r="DN4" i="13"/>
  <c r="DK4" i="13"/>
  <c r="DJ4" i="13"/>
  <c r="DI4" i="13"/>
  <c r="DH4" i="13"/>
  <c r="DG4" i="13"/>
  <c r="DF4" i="13"/>
  <c r="DE4" i="13"/>
  <c r="DD4" i="13"/>
  <c r="DB4" i="13"/>
  <c r="DA4" i="13"/>
  <c r="CV4" i="13"/>
  <c r="CU4" i="13"/>
  <c r="CT4" i="13"/>
  <c r="CS4" i="13"/>
  <c r="GN4" i="13" s="1"/>
  <c r="CR4" i="13"/>
  <c r="GM4" i="13" s="1"/>
  <c r="CQ4" i="13"/>
  <c r="GL4" i="13" s="1"/>
  <c r="CP4" i="13"/>
  <c r="GJ4" i="13" s="1"/>
  <c r="GK4" i="13" s="1"/>
  <c r="CO4" i="13"/>
  <c r="DZ4" i="13" s="1"/>
  <c r="CN4" i="13"/>
  <c r="DY4" i="13" s="1"/>
  <c r="CM4" i="13"/>
  <c r="DX4" i="13" s="1"/>
  <c r="CL4" i="13"/>
  <c r="DW4" i="13" s="1"/>
  <c r="CG4" i="13" a="1"/>
  <c r="CG4" i="13" s="1"/>
  <c r="AW4" i="13"/>
  <c r="AV4" i="13"/>
  <c r="J4" i="13"/>
  <c r="G4" i="13"/>
  <c r="HX3" i="13" a="1"/>
  <c r="HX3" i="13" s="1"/>
  <c r="IW3" i="13" s="1"/>
  <c r="HW3" i="13" a="1"/>
  <c r="HW3" i="13" s="1"/>
  <c r="IV3" i="13" s="1"/>
  <c r="HV3" i="13" a="1"/>
  <c r="HV3" i="13" s="1"/>
  <c r="IU3" i="13" s="1"/>
  <c r="HU3" i="13" a="1"/>
  <c r="HU3" i="13" s="1"/>
  <c r="IT3" i="13" s="1"/>
  <c r="HT3" i="13" a="1"/>
  <c r="HT3" i="13" s="1"/>
  <c r="IS3" i="13" s="1"/>
  <c r="HS3" i="13" a="1"/>
  <c r="HS3" i="13" s="1"/>
  <c r="IR3" i="13" s="1"/>
  <c r="HR3" i="13" a="1"/>
  <c r="HR3" i="13" s="1"/>
  <c r="IQ3" i="13" s="1"/>
  <c r="HQ3" i="13" a="1"/>
  <c r="HQ3" i="13" s="1"/>
  <c r="IP3" i="13" s="1"/>
  <c r="HP3" i="13" a="1"/>
  <c r="HP3" i="13" s="1"/>
  <c r="IO3" i="13" s="1"/>
  <c r="HL3" i="13"/>
  <c r="HJ3" i="13"/>
  <c r="HH3" i="13"/>
  <c r="HB3" i="13"/>
  <c r="HA3" i="13"/>
  <c r="GZ3" i="13"/>
  <c r="GY3" i="13"/>
  <c r="GX3" i="13"/>
  <c r="GW3" i="13"/>
  <c r="GV3" i="13"/>
  <c r="GU3" i="13"/>
  <c r="GT3" i="13"/>
  <c r="GP3" i="13"/>
  <c r="GI3" i="13"/>
  <c r="GH3" i="13"/>
  <c r="GG3" i="13"/>
  <c r="GF3" i="13"/>
  <c r="GE3" i="13"/>
  <c r="GB3" i="13"/>
  <c r="GA3" i="13"/>
  <c r="FZ3" i="13"/>
  <c r="FY3" i="13"/>
  <c r="FW3" i="13"/>
  <c r="FV3" i="13"/>
  <c r="FU3" i="13"/>
  <c r="FT3" i="13"/>
  <c r="FS3" i="13"/>
  <c r="FR3" i="13"/>
  <c r="FQ3" i="13"/>
  <c r="FJ3" i="13"/>
  <c r="FI3" i="13"/>
  <c r="FH3" i="13"/>
  <c r="FG3" i="13"/>
  <c r="FF3" i="13"/>
  <c r="FP3" i="13" s="1"/>
  <c r="FE3" i="13"/>
  <c r="FD3" i="13"/>
  <c r="FB3" i="13"/>
  <c r="FA3" i="13"/>
  <c r="EZ3" i="13"/>
  <c r="EY3" i="13"/>
  <c r="EX3" i="13"/>
  <c r="EW3" i="13"/>
  <c r="EV3" i="13"/>
  <c r="EU3" i="13"/>
  <c r="ET3" i="13"/>
  <c r="ES3" i="13"/>
  <c r="ER3" i="13"/>
  <c r="EQ3" i="13"/>
  <c r="EP3" i="13"/>
  <c r="EO3" i="13"/>
  <c r="EN3" i="13"/>
  <c r="EM3" i="13"/>
  <c r="EL3" i="13"/>
  <c r="EK3" i="13"/>
  <c r="EJ3" i="13"/>
  <c r="EI3" i="13"/>
  <c r="EH3" i="13"/>
  <c r="EG3" i="13"/>
  <c r="EF3" i="13"/>
  <c r="EE3" i="13"/>
  <c r="ED3" i="13"/>
  <c r="EC3" i="13"/>
  <c r="EB3" i="13"/>
  <c r="EA3" i="13"/>
  <c r="DU3" i="13"/>
  <c r="DT3" i="13"/>
  <c r="DS3" i="13"/>
  <c r="DR3" i="13"/>
  <c r="DQ3" i="13"/>
  <c r="DP3" i="13"/>
  <c r="DO3" i="13"/>
  <c r="DN3" i="13"/>
  <c r="DK3" i="13"/>
  <c r="DJ3" i="13"/>
  <c r="DI3" i="13"/>
  <c r="DH3" i="13"/>
  <c r="DG3" i="13"/>
  <c r="DF3" i="13"/>
  <c r="DE3" i="13"/>
  <c r="DD3" i="13"/>
  <c r="DB3" i="13"/>
  <c r="DA3" i="13"/>
  <c r="CV3" i="13"/>
  <c r="CU3" i="13"/>
  <c r="CT3" i="13"/>
  <c r="CS3" i="13"/>
  <c r="GN3" i="13" s="1"/>
  <c r="CR3" i="13"/>
  <c r="GM3" i="13" s="1"/>
  <c r="CQ3" i="13"/>
  <c r="GL3" i="13" s="1"/>
  <c r="CP3" i="13"/>
  <c r="GJ3" i="13" s="1"/>
  <c r="GK3" i="13" s="1"/>
  <c r="CO3" i="13"/>
  <c r="DZ3" i="13" s="1"/>
  <c r="CN3" i="13"/>
  <c r="DY3" i="13" s="1"/>
  <c r="CM3" i="13"/>
  <c r="DX3" i="13" s="1"/>
  <c r="CL3" i="13"/>
  <c r="DW3" i="13" s="1"/>
  <c r="CG3" i="13" a="1"/>
  <c r="CG3" i="13" s="1"/>
  <c r="AW3" i="13"/>
  <c r="AV3" i="13"/>
  <c r="J3" i="13"/>
  <c r="G3" i="13"/>
  <c r="IL2" i="12"/>
  <c r="HX2" i="12" a="1"/>
  <c r="HX2" i="12" s="1"/>
  <c r="IW2" i="12" s="1"/>
  <c r="HW2" i="12" a="1"/>
  <c r="HW2" i="12" s="1"/>
  <c r="IV2" i="12" s="1"/>
  <c r="HV2" i="12" a="1"/>
  <c r="HV2" i="12" s="1"/>
  <c r="IU2" i="12" s="1"/>
  <c r="HU2" i="12" a="1"/>
  <c r="HU2" i="12" s="1"/>
  <c r="IT2" i="12" s="1"/>
  <c r="HT2" i="12" a="1"/>
  <c r="HT2" i="12" s="1"/>
  <c r="IS2" i="12" s="1"/>
  <c r="HS2" i="12" a="1"/>
  <c r="HS2" i="12" s="1"/>
  <c r="IR2" i="12" s="1"/>
  <c r="HR2" i="12" a="1"/>
  <c r="HR2" i="12" s="1"/>
  <c r="IQ2" i="12" s="1"/>
  <c r="HQ2" i="12" a="1"/>
  <c r="HQ2" i="12" s="1"/>
  <c r="IP2" i="12" s="1"/>
  <c r="HP2" i="12" a="1"/>
  <c r="HP2" i="12" s="1"/>
  <c r="IO2" i="12" s="1"/>
  <c r="HL2" i="12"/>
  <c r="HJ2" i="12"/>
  <c r="HH2" i="12"/>
  <c r="HB2" i="12"/>
  <c r="HA2" i="12"/>
  <c r="GZ2" i="12"/>
  <c r="GY2" i="12"/>
  <c r="GX2" i="12"/>
  <c r="GW2" i="12"/>
  <c r="GV2" i="12"/>
  <c r="GU2" i="12"/>
  <c r="GT2" i="12"/>
  <c r="GP2" i="12"/>
  <c r="GI2" i="12"/>
  <c r="GH2" i="12"/>
  <c r="GG2" i="12"/>
  <c r="GF2" i="12"/>
  <c r="GE2" i="12"/>
  <c r="GD2" i="12"/>
  <c r="GC2" i="12"/>
  <c r="GB2" i="12"/>
  <c r="GA2" i="12"/>
  <c r="FZ2" i="12"/>
  <c r="FY2" i="12"/>
  <c r="FX2" i="12"/>
  <c r="FW2" i="12"/>
  <c r="FV2" i="12"/>
  <c r="FU2" i="12"/>
  <c r="FT2" i="12"/>
  <c r="FS2" i="12"/>
  <c r="FR2" i="12"/>
  <c r="FQ2" i="12"/>
  <c r="FJ2" i="12"/>
  <c r="FI2" i="12"/>
  <c r="FH2" i="12"/>
  <c r="FG2" i="12"/>
  <c r="FF2" i="12"/>
  <c r="FP2" i="12" s="1"/>
  <c r="FE2" i="12"/>
  <c r="FD2" i="12"/>
  <c r="FC2" i="12"/>
  <c r="FB2" i="12"/>
  <c r="FA2" i="12"/>
  <c r="EZ2" i="12"/>
  <c r="EY2" i="12"/>
  <c r="EX2" i="12"/>
  <c r="EW2" i="12"/>
  <c r="EV2" i="12"/>
  <c r="EU2" i="12"/>
  <c r="ET2" i="12"/>
  <c r="ES2" i="12"/>
  <c r="ER2" i="12"/>
  <c r="EQ2" i="12"/>
  <c r="EP2" i="12"/>
  <c r="EO2" i="12"/>
  <c r="EN2" i="12"/>
  <c r="EM2" i="12"/>
  <c r="EL2" i="12"/>
  <c r="EK2" i="12"/>
  <c r="EJ2" i="12"/>
  <c r="EI2" i="12"/>
  <c r="EH2" i="12"/>
  <c r="EG2" i="12"/>
  <c r="EF2" i="12"/>
  <c r="EE2" i="12"/>
  <c r="ED2" i="12"/>
  <c r="EC2" i="12"/>
  <c r="EB2" i="12"/>
  <c r="EA2" i="12"/>
  <c r="DV2" i="12"/>
  <c r="DU2" i="12"/>
  <c r="DT2" i="12"/>
  <c r="DS2" i="12"/>
  <c r="DR2" i="12"/>
  <c r="DQ2" i="12"/>
  <c r="DP2" i="12"/>
  <c r="DO2" i="12"/>
  <c r="DN2" i="12"/>
  <c r="DK2" i="12"/>
  <c r="DJ2" i="12"/>
  <c r="DI2" i="12"/>
  <c r="DH2" i="12"/>
  <c r="DG2" i="12"/>
  <c r="DF2" i="12"/>
  <c r="DE2" i="12"/>
  <c r="DD2" i="12"/>
  <c r="DC2" i="12"/>
  <c r="DB2" i="12"/>
  <c r="DA2" i="12"/>
  <c r="CV2" i="12"/>
  <c r="CU2" i="12"/>
  <c r="CT2" i="12"/>
  <c r="CS2" i="12"/>
  <c r="GN2" i="12" s="1"/>
  <c r="CR2" i="12"/>
  <c r="GM2" i="12" s="1"/>
  <c r="CQ2" i="12"/>
  <c r="GL2" i="12" s="1"/>
  <c r="CP2" i="12"/>
  <c r="GJ2" i="12" s="1"/>
  <c r="GK2" i="12" s="1"/>
  <c r="CO2" i="12"/>
  <c r="DZ2" i="12" s="1"/>
  <c r="CN2" i="12"/>
  <c r="DY2" i="12" s="1"/>
  <c r="CM2" i="12"/>
  <c r="DX2" i="12" s="1"/>
  <c r="CL2" i="12"/>
  <c r="DW2" i="12" s="1"/>
  <c r="CG2" i="12" a="1"/>
  <c r="CG2" i="12" s="1"/>
  <c r="AW2" i="12"/>
  <c r="AV2" i="12"/>
  <c r="J2" i="12"/>
  <c r="G2" i="12"/>
  <c r="IL4" i="12"/>
  <c r="HX4" i="12" a="1"/>
  <c r="HX4" i="12" s="1"/>
  <c r="IW4" i="12" s="1"/>
  <c r="HW4" i="12" a="1"/>
  <c r="HW4" i="12" s="1"/>
  <c r="IV4" i="12" s="1"/>
  <c r="HV4" i="12" a="1"/>
  <c r="HV4" i="12" s="1"/>
  <c r="IU4" i="12" s="1"/>
  <c r="HU4" i="12" a="1"/>
  <c r="HU4" i="12" s="1"/>
  <c r="IT4" i="12" s="1"/>
  <c r="HT4" i="12" a="1"/>
  <c r="HT4" i="12" s="1"/>
  <c r="IS4" i="12" s="1"/>
  <c r="HS4" i="12" a="1"/>
  <c r="HS4" i="12" s="1"/>
  <c r="IR4" i="12" s="1"/>
  <c r="HR4" i="12" a="1"/>
  <c r="HR4" i="12" s="1"/>
  <c r="IQ4" i="12" s="1"/>
  <c r="HQ4" i="12" a="1"/>
  <c r="HQ4" i="12" s="1"/>
  <c r="IP4" i="12" s="1"/>
  <c r="HP4" i="12" a="1"/>
  <c r="HP4" i="12" s="1"/>
  <c r="IO4" i="12" s="1"/>
  <c r="HL4" i="12"/>
  <c r="HJ4" i="12"/>
  <c r="HH4" i="12"/>
  <c r="HB4" i="12"/>
  <c r="HA4" i="12"/>
  <c r="GZ4" i="12"/>
  <c r="GY4" i="12"/>
  <c r="GX4" i="12"/>
  <c r="GW4" i="12"/>
  <c r="GV4" i="12"/>
  <c r="GU4" i="12"/>
  <c r="GT4" i="12"/>
  <c r="GP4" i="12"/>
  <c r="GI4" i="12"/>
  <c r="GH4" i="12"/>
  <c r="GG4" i="12"/>
  <c r="GF4" i="12"/>
  <c r="GE4" i="12"/>
  <c r="GD4" i="12"/>
  <c r="GC4" i="12"/>
  <c r="GB4" i="12"/>
  <c r="GA4" i="12"/>
  <c r="FZ4" i="12"/>
  <c r="FY4" i="12"/>
  <c r="FX4" i="12"/>
  <c r="FW4" i="12"/>
  <c r="FV4" i="12"/>
  <c r="FU4" i="12"/>
  <c r="FT4" i="12"/>
  <c r="FS4" i="12"/>
  <c r="FR4" i="12"/>
  <c r="FQ4" i="12"/>
  <c r="FJ4" i="12"/>
  <c r="FI4" i="12"/>
  <c r="FH4" i="12"/>
  <c r="FG4" i="12"/>
  <c r="FF4" i="12"/>
  <c r="FP4" i="12" s="1"/>
  <c r="FE4" i="12"/>
  <c r="FD4" i="12"/>
  <c r="FC4" i="12"/>
  <c r="FB4" i="12"/>
  <c r="FA4" i="12"/>
  <c r="EZ4" i="12"/>
  <c r="EY4" i="12"/>
  <c r="EX4" i="12"/>
  <c r="EW4" i="12"/>
  <c r="EV4" i="12"/>
  <c r="EU4" i="12"/>
  <c r="ET4" i="12"/>
  <c r="ES4" i="12"/>
  <c r="ER4" i="12"/>
  <c r="EQ4" i="12"/>
  <c r="EP4" i="12"/>
  <c r="EO4" i="12"/>
  <c r="EN4" i="12"/>
  <c r="EM4" i="12"/>
  <c r="EL4" i="12"/>
  <c r="EK4" i="12"/>
  <c r="EJ4" i="12"/>
  <c r="EI4" i="12"/>
  <c r="EH4" i="12"/>
  <c r="EG4" i="12"/>
  <c r="EF4" i="12"/>
  <c r="EE4" i="12"/>
  <c r="ED4" i="12"/>
  <c r="EC4" i="12"/>
  <c r="EB4" i="12"/>
  <c r="EA4" i="12"/>
  <c r="DV4" i="12"/>
  <c r="DU4" i="12"/>
  <c r="DT4" i="12"/>
  <c r="DS4" i="12"/>
  <c r="DR4" i="12"/>
  <c r="DQ4" i="12"/>
  <c r="DP4" i="12"/>
  <c r="DO4" i="12"/>
  <c r="DN4" i="12"/>
  <c r="DK4" i="12"/>
  <c r="DJ4" i="12"/>
  <c r="DI4" i="12"/>
  <c r="DH4" i="12"/>
  <c r="DG4" i="12"/>
  <c r="DF4" i="12"/>
  <c r="DE4" i="12"/>
  <c r="DD4" i="12"/>
  <c r="DC4" i="12"/>
  <c r="DB4" i="12"/>
  <c r="DA4" i="12"/>
  <c r="CV4" i="12"/>
  <c r="CU4" i="12"/>
  <c r="CT4" i="12"/>
  <c r="CS4" i="12"/>
  <c r="GN4" i="12" s="1"/>
  <c r="CR4" i="12"/>
  <c r="GM4" i="12" s="1"/>
  <c r="CQ4" i="12"/>
  <c r="GL4" i="12" s="1"/>
  <c r="CP4" i="12"/>
  <c r="GJ4" i="12" s="1"/>
  <c r="GK4" i="12" s="1"/>
  <c r="CO4" i="12"/>
  <c r="DZ4" i="12" s="1"/>
  <c r="CN4" i="12"/>
  <c r="DY4" i="12" s="1"/>
  <c r="CM4" i="12"/>
  <c r="DX4" i="12" s="1"/>
  <c r="CL4" i="12"/>
  <c r="DW4" i="12" s="1"/>
  <c r="CG4" i="12" a="1"/>
  <c r="CG4" i="12" s="1"/>
  <c r="AW4" i="12"/>
  <c r="AV4" i="12"/>
  <c r="J4" i="12"/>
  <c r="G4" i="12"/>
  <c r="IL3" i="12"/>
  <c r="HX3" i="12" a="1"/>
  <c r="HX3" i="12" s="1"/>
  <c r="IW3" i="12" s="1"/>
  <c r="HW3" i="12" a="1"/>
  <c r="HW3" i="12" s="1"/>
  <c r="IV3" i="12" s="1"/>
  <c r="HV3" i="12" a="1"/>
  <c r="HV3" i="12" s="1"/>
  <c r="IU3" i="12" s="1"/>
  <c r="HU3" i="12" a="1"/>
  <c r="HU3" i="12" s="1"/>
  <c r="IT3" i="12" s="1"/>
  <c r="HT3" i="12" a="1"/>
  <c r="HT3" i="12" s="1"/>
  <c r="IS3" i="12" s="1"/>
  <c r="HS3" i="12" a="1"/>
  <c r="HS3" i="12" s="1"/>
  <c r="IR3" i="12" s="1"/>
  <c r="HR3" i="12" a="1"/>
  <c r="HR3" i="12" s="1"/>
  <c r="IQ3" i="12" s="1"/>
  <c r="HQ3" i="12" a="1"/>
  <c r="HQ3" i="12" s="1"/>
  <c r="IP3" i="12" s="1"/>
  <c r="HP3" i="12" a="1"/>
  <c r="HP3" i="12" s="1"/>
  <c r="IO3" i="12" s="1"/>
  <c r="HL3" i="12"/>
  <c r="HJ3" i="12"/>
  <c r="HH3" i="12"/>
  <c r="HB3" i="12"/>
  <c r="HA3" i="12"/>
  <c r="GZ3" i="12"/>
  <c r="GY3" i="12"/>
  <c r="GX3" i="12"/>
  <c r="GW3" i="12"/>
  <c r="GV3" i="12"/>
  <c r="GU3" i="12"/>
  <c r="GT3" i="12"/>
  <c r="GP3" i="12"/>
  <c r="GI3" i="12"/>
  <c r="GH3" i="12"/>
  <c r="GG3" i="12"/>
  <c r="GF3" i="12"/>
  <c r="GE3" i="12"/>
  <c r="GD3" i="12"/>
  <c r="GC3" i="12"/>
  <c r="GB3" i="12"/>
  <c r="GA3" i="12"/>
  <c r="FZ3" i="12"/>
  <c r="FY3" i="12"/>
  <c r="FX3" i="12"/>
  <c r="FW3" i="12"/>
  <c r="FV3" i="12"/>
  <c r="FU3" i="12"/>
  <c r="FT3" i="12"/>
  <c r="FS3" i="12"/>
  <c r="FR3" i="12"/>
  <c r="FQ3" i="12"/>
  <c r="FJ3" i="12"/>
  <c r="FI3" i="12"/>
  <c r="FH3" i="12"/>
  <c r="FG3" i="12"/>
  <c r="FF3" i="12"/>
  <c r="FP3" i="12" s="1"/>
  <c r="FE3" i="12"/>
  <c r="FD3" i="12"/>
  <c r="FC3" i="12"/>
  <c r="FB3" i="12"/>
  <c r="FA3" i="12"/>
  <c r="EZ3" i="12"/>
  <c r="EY3" i="12"/>
  <c r="EX3" i="12"/>
  <c r="EW3" i="12"/>
  <c r="EV3" i="12"/>
  <c r="EU3" i="12"/>
  <c r="ET3" i="12"/>
  <c r="ES3" i="12"/>
  <c r="ER3" i="12"/>
  <c r="EQ3" i="12"/>
  <c r="EP3" i="12"/>
  <c r="EO3" i="12"/>
  <c r="EN3" i="12"/>
  <c r="EM3" i="12"/>
  <c r="EL3" i="12"/>
  <c r="EK3" i="12"/>
  <c r="EJ3" i="12"/>
  <c r="EI3" i="12"/>
  <c r="EH3" i="12"/>
  <c r="EG3" i="12"/>
  <c r="EF3" i="12"/>
  <c r="EE3" i="12"/>
  <c r="ED3" i="12"/>
  <c r="EC3" i="12"/>
  <c r="EB3" i="12"/>
  <c r="EA3" i="12"/>
  <c r="DV3" i="12"/>
  <c r="DU3" i="12"/>
  <c r="DT3" i="12"/>
  <c r="DS3" i="12"/>
  <c r="DR3" i="12"/>
  <c r="DQ3" i="12"/>
  <c r="DP3" i="12"/>
  <c r="DO3" i="12"/>
  <c r="DN3" i="12"/>
  <c r="DK3" i="12"/>
  <c r="DJ3" i="12"/>
  <c r="DI3" i="12"/>
  <c r="DH3" i="12"/>
  <c r="DG3" i="12"/>
  <c r="DF3" i="12"/>
  <c r="DE3" i="12"/>
  <c r="DD3" i="12"/>
  <c r="DC3" i="12"/>
  <c r="DB3" i="12"/>
  <c r="DA3" i="12"/>
  <c r="CV3" i="12"/>
  <c r="CU3" i="12"/>
  <c r="CT3" i="12"/>
  <c r="CS3" i="12"/>
  <c r="GN3" i="12" s="1"/>
  <c r="CR3" i="12"/>
  <c r="GM3" i="12" s="1"/>
  <c r="CQ3" i="12"/>
  <c r="GL3" i="12" s="1"/>
  <c r="CP3" i="12"/>
  <c r="GJ3" i="12" s="1"/>
  <c r="GK3" i="12" s="1"/>
  <c r="CO3" i="12"/>
  <c r="DZ3" i="12" s="1"/>
  <c r="CN3" i="12"/>
  <c r="DY3" i="12" s="1"/>
  <c r="CM3" i="12"/>
  <c r="DX3" i="12" s="1"/>
  <c r="CL3" i="12"/>
  <c r="DW3" i="12" s="1"/>
  <c r="CG3" i="12" a="1"/>
  <c r="CG3" i="12" s="1"/>
  <c r="AW3" i="12"/>
  <c r="AV3" i="12"/>
  <c r="J3" i="12"/>
  <c r="G3" i="12"/>
  <c r="IL2" i="11"/>
  <c r="HX2" i="11" a="1"/>
  <c r="HX2" i="11" s="1"/>
  <c r="IW2" i="11" s="1"/>
  <c r="HW2" i="11" a="1"/>
  <c r="HW2" i="11" s="1"/>
  <c r="IV2" i="11" s="1"/>
  <c r="HV2" i="11" a="1"/>
  <c r="HV2" i="11" s="1"/>
  <c r="IU2" i="11" s="1"/>
  <c r="HU2" i="11" a="1"/>
  <c r="HU2" i="11" s="1"/>
  <c r="IT2" i="11" s="1"/>
  <c r="HT2" i="11" a="1"/>
  <c r="HT2" i="11" s="1"/>
  <c r="IS2" i="11" s="1"/>
  <c r="HS2" i="11" a="1"/>
  <c r="HS2" i="11" s="1"/>
  <c r="IR2" i="11" s="1"/>
  <c r="HR2" i="11" a="1"/>
  <c r="HR2" i="11" s="1"/>
  <c r="IQ2" i="11" s="1"/>
  <c r="HQ2" i="11" a="1"/>
  <c r="HQ2" i="11" s="1"/>
  <c r="IP2" i="11" s="1"/>
  <c r="HP2" i="11" a="1"/>
  <c r="HP2" i="11" s="1"/>
  <c r="HL2" i="11"/>
  <c r="HJ2" i="11"/>
  <c r="HH2" i="11"/>
  <c r="HB2" i="11"/>
  <c r="HA2" i="11"/>
  <c r="GZ2" i="11"/>
  <c r="GY2" i="11"/>
  <c r="GX2" i="11"/>
  <c r="GW2" i="11"/>
  <c r="GV2" i="11"/>
  <c r="GU2" i="11"/>
  <c r="GT2" i="11"/>
  <c r="GP2" i="11"/>
  <c r="GI2" i="11"/>
  <c r="GH2" i="11"/>
  <c r="GG2" i="11"/>
  <c r="GF2" i="11"/>
  <c r="GE2" i="11"/>
  <c r="GD2" i="11"/>
  <c r="GC2" i="11"/>
  <c r="GB2" i="11"/>
  <c r="GA2" i="11"/>
  <c r="FZ2" i="11"/>
  <c r="FY2" i="11"/>
  <c r="FX2" i="11"/>
  <c r="FW2" i="11"/>
  <c r="FV2" i="11"/>
  <c r="FU2" i="11"/>
  <c r="FT2" i="11"/>
  <c r="FS2" i="11"/>
  <c r="FR2" i="11"/>
  <c r="FQ2" i="11"/>
  <c r="FJ2" i="11"/>
  <c r="FI2" i="11"/>
  <c r="FH2" i="11"/>
  <c r="FG2" i="11"/>
  <c r="FF2" i="11"/>
  <c r="FP2" i="11" s="1"/>
  <c r="FE2" i="11"/>
  <c r="FD2" i="11"/>
  <c r="FC2" i="11"/>
  <c r="FB2" i="11"/>
  <c r="FA2" i="11"/>
  <c r="EZ2" i="11"/>
  <c r="EY2" i="11"/>
  <c r="EX2" i="11"/>
  <c r="EW2" i="11"/>
  <c r="EV2" i="11"/>
  <c r="EU2" i="11"/>
  <c r="ET2" i="11"/>
  <c r="ES2" i="11"/>
  <c r="ER2" i="11"/>
  <c r="EQ2" i="11"/>
  <c r="EP2" i="11"/>
  <c r="EO2" i="11"/>
  <c r="EN2" i="11"/>
  <c r="EM2" i="11"/>
  <c r="EL2" i="11"/>
  <c r="EK2" i="11"/>
  <c r="EJ2" i="11"/>
  <c r="EI2" i="11"/>
  <c r="EH2" i="11"/>
  <c r="EG2" i="11"/>
  <c r="EF2" i="11"/>
  <c r="EE2" i="11"/>
  <c r="ED2" i="11"/>
  <c r="EC2" i="11"/>
  <c r="EB2" i="11"/>
  <c r="EA2" i="11"/>
  <c r="DV2" i="11"/>
  <c r="DU2" i="11"/>
  <c r="DT2" i="11"/>
  <c r="DS2" i="11"/>
  <c r="DR2" i="11"/>
  <c r="DQ2" i="11"/>
  <c r="DP2" i="11"/>
  <c r="DO2" i="11"/>
  <c r="DN2" i="11"/>
  <c r="DK2" i="11"/>
  <c r="DJ2" i="11"/>
  <c r="DI2" i="11"/>
  <c r="DH2" i="11"/>
  <c r="DG2" i="11"/>
  <c r="DF2" i="11"/>
  <c r="DE2" i="11"/>
  <c r="DD2" i="11"/>
  <c r="DC2" i="11"/>
  <c r="DB2" i="11"/>
  <c r="DA2" i="11"/>
  <c r="CV2" i="11"/>
  <c r="CU2" i="11"/>
  <c r="CT2" i="11"/>
  <c r="CS2" i="11"/>
  <c r="GN2" i="11" s="1"/>
  <c r="CR2" i="11"/>
  <c r="GM2" i="11" s="1"/>
  <c r="CQ2" i="11"/>
  <c r="GL2" i="11" s="1"/>
  <c r="CP2" i="11"/>
  <c r="GJ2" i="11" s="1"/>
  <c r="GK2" i="11" s="1"/>
  <c r="CO2" i="11"/>
  <c r="DZ2" i="11" s="1"/>
  <c r="CN2" i="11"/>
  <c r="DY2" i="11" s="1"/>
  <c r="CM2" i="11"/>
  <c r="DX2" i="11" s="1"/>
  <c r="CL2" i="11"/>
  <c r="DW2" i="11" s="1"/>
  <c r="CG2" i="11" a="1"/>
  <c r="CG2" i="11" s="1"/>
  <c r="CJ2" i="11" s="1"/>
  <c r="CY2" i="11" s="1"/>
  <c r="AW2" i="11"/>
  <c r="AV2" i="11"/>
  <c r="J2" i="11"/>
  <c r="G2" i="11"/>
  <c r="IL4" i="11"/>
  <c r="HX4" i="11" a="1"/>
  <c r="HX4" i="11" s="1"/>
  <c r="IW4" i="11" s="1"/>
  <c r="HW4" i="11" a="1"/>
  <c r="HW4" i="11" s="1"/>
  <c r="IV4" i="11" s="1"/>
  <c r="HV4" i="11" a="1"/>
  <c r="HV4" i="11" s="1"/>
  <c r="IU4" i="11" s="1"/>
  <c r="HU4" i="11" a="1"/>
  <c r="HU4" i="11" s="1"/>
  <c r="IT4" i="11" s="1"/>
  <c r="HT4" i="11" a="1"/>
  <c r="HT4" i="11" s="1"/>
  <c r="IS4" i="11" s="1"/>
  <c r="HS4" i="11" a="1"/>
  <c r="HS4" i="11" s="1"/>
  <c r="IR4" i="11" s="1"/>
  <c r="HR4" i="11" a="1"/>
  <c r="HR4" i="11" s="1"/>
  <c r="IQ4" i="11" s="1"/>
  <c r="HQ4" i="11" a="1"/>
  <c r="HQ4" i="11" s="1"/>
  <c r="IP4" i="11" s="1"/>
  <c r="HP4" i="11" a="1"/>
  <c r="HP4" i="11" s="1"/>
  <c r="IO4" i="11" s="1"/>
  <c r="HL4" i="11"/>
  <c r="HJ4" i="11"/>
  <c r="HH4" i="11"/>
  <c r="HB4" i="11"/>
  <c r="HA4" i="11"/>
  <c r="GZ4" i="11"/>
  <c r="GY4" i="11"/>
  <c r="GX4" i="11"/>
  <c r="GW4" i="11"/>
  <c r="GV4" i="11"/>
  <c r="GU4" i="11"/>
  <c r="GT4" i="11"/>
  <c r="GP4" i="11"/>
  <c r="GI4" i="11"/>
  <c r="GH4" i="11"/>
  <c r="GG4" i="11"/>
  <c r="GF4" i="11"/>
  <c r="GE4" i="11"/>
  <c r="GD4" i="11"/>
  <c r="GC4" i="11"/>
  <c r="GB4" i="11"/>
  <c r="GA4" i="11"/>
  <c r="FZ4" i="11"/>
  <c r="FY4" i="11"/>
  <c r="FX4" i="11"/>
  <c r="FW4" i="11"/>
  <c r="FV4" i="11"/>
  <c r="FU4" i="11"/>
  <c r="FT4" i="11"/>
  <c r="FS4" i="11"/>
  <c r="FR4" i="11"/>
  <c r="FQ4" i="11"/>
  <c r="FJ4" i="11"/>
  <c r="FI4" i="11"/>
  <c r="FH4" i="11"/>
  <c r="FG4" i="11"/>
  <c r="FF4" i="11"/>
  <c r="FE4" i="11"/>
  <c r="FD4" i="11"/>
  <c r="FC4" i="11"/>
  <c r="FB4" i="11"/>
  <c r="FA4" i="11"/>
  <c r="EZ4" i="11"/>
  <c r="EY4" i="11"/>
  <c r="EX4" i="11"/>
  <c r="EW4" i="11"/>
  <c r="EV4" i="11"/>
  <c r="EU4" i="11"/>
  <c r="ET4" i="11"/>
  <c r="ES4" i="11"/>
  <c r="ER4" i="11"/>
  <c r="EQ4" i="11"/>
  <c r="EP4" i="11"/>
  <c r="EO4" i="11"/>
  <c r="EN4" i="11"/>
  <c r="EM4" i="11"/>
  <c r="EL4" i="11"/>
  <c r="EK4" i="11"/>
  <c r="EJ4" i="11"/>
  <c r="EI4" i="11"/>
  <c r="EH4" i="11"/>
  <c r="EG4" i="11"/>
  <c r="EF4" i="11"/>
  <c r="EE4" i="11"/>
  <c r="ED4" i="11"/>
  <c r="EC4" i="11"/>
  <c r="EB4" i="11"/>
  <c r="EA4" i="11"/>
  <c r="DV4" i="11"/>
  <c r="DU4" i="11"/>
  <c r="DT4" i="11"/>
  <c r="DS4" i="11"/>
  <c r="DR4" i="11"/>
  <c r="DQ4" i="11"/>
  <c r="DP4" i="11"/>
  <c r="DO4" i="11"/>
  <c r="DN4" i="11"/>
  <c r="DK4" i="11"/>
  <c r="DJ4" i="11"/>
  <c r="DI4" i="11"/>
  <c r="DH4" i="11"/>
  <c r="DG4" i="11"/>
  <c r="DF4" i="11"/>
  <c r="DE4" i="11"/>
  <c r="DD4" i="11"/>
  <c r="DC4" i="11"/>
  <c r="DB4" i="11"/>
  <c r="DA4" i="11"/>
  <c r="CV4" i="11"/>
  <c r="CU4" i="11"/>
  <c r="CT4" i="11"/>
  <c r="CS4" i="11"/>
  <c r="GN4" i="11" s="1"/>
  <c r="CR4" i="11"/>
  <c r="GM4" i="11" s="1"/>
  <c r="CQ4" i="11"/>
  <c r="GL4" i="11" s="1"/>
  <c r="CP4" i="11"/>
  <c r="GJ4" i="11" s="1"/>
  <c r="GK4" i="11" s="1"/>
  <c r="CO4" i="11"/>
  <c r="DZ4" i="11" s="1"/>
  <c r="CN4" i="11"/>
  <c r="DY4" i="11" s="1"/>
  <c r="CM4" i="11"/>
  <c r="DX4" i="11" s="1"/>
  <c r="CL4" i="11"/>
  <c r="DW4" i="11" s="1"/>
  <c r="CG4" i="11" a="1"/>
  <c r="CG4" i="11" s="1"/>
  <c r="IN4" i="11" s="1"/>
  <c r="IX4" i="11" s="1"/>
  <c r="AW4" i="11"/>
  <c r="AV4" i="11"/>
  <c r="J4" i="11"/>
  <c r="G4" i="11"/>
  <c r="HX3" i="11" a="1"/>
  <c r="HX3" i="11" s="1"/>
  <c r="IW3" i="11" s="1"/>
  <c r="HW3" i="11" a="1"/>
  <c r="HW3" i="11" s="1"/>
  <c r="IV3" i="11" s="1"/>
  <c r="HV3" i="11" a="1"/>
  <c r="HV3" i="11" s="1"/>
  <c r="IU3" i="11" s="1"/>
  <c r="HU3" i="11" a="1"/>
  <c r="HU3" i="11" s="1"/>
  <c r="IT3" i="11" s="1"/>
  <c r="HT3" i="11" a="1"/>
  <c r="HT3" i="11" s="1"/>
  <c r="IS3" i="11" s="1"/>
  <c r="HS3" i="11" a="1"/>
  <c r="HS3" i="11" s="1"/>
  <c r="IR3" i="11" s="1"/>
  <c r="HR3" i="11" a="1"/>
  <c r="HR3" i="11" s="1"/>
  <c r="IQ3" i="11" s="1"/>
  <c r="HQ3" i="11" a="1"/>
  <c r="HQ3" i="11" s="1"/>
  <c r="IP3" i="11" s="1"/>
  <c r="HP3" i="11" a="1"/>
  <c r="HP3" i="11" s="1"/>
  <c r="IO3" i="11" s="1"/>
  <c r="HL3" i="11"/>
  <c r="HJ3" i="11"/>
  <c r="HH3" i="11"/>
  <c r="HB3" i="11"/>
  <c r="HA3" i="11"/>
  <c r="GZ3" i="11"/>
  <c r="GY3" i="11"/>
  <c r="GX3" i="11"/>
  <c r="GW3" i="11"/>
  <c r="GV3" i="11"/>
  <c r="GU3" i="11"/>
  <c r="GT3" i="11"/>
  <c r="GP3" i="11"/>
  <c r="GI3" i="11"/>
  <c r="GH3" i="11"/>
  <c r="GG3" i="11"/>
  <c r="GF3" i="11"/>
  <c r="GE3" i="11"/>
  <c r="GB3" i="11"/>
  <c r="GA3" i="11"/>
  <c r="FZ3" i="11"/>
  <c r="FY3" i="11"/>
  <c r="FW3" i="11"/>
  <c r="FV3" i="11"/>
  <c r="FU3" i="11"/>
  <c r="FT3" i="11"/>
  <c r="FS3" i="11"/>
  <c r="FR3" i="11"/>
  <c r="FQ3" i="11"/>
  <c r="FJ3" i="11"/>
  <c r="FI3" i="11"/>
  <c r="FH3" i="11"/>
  <c r="FG3" i="11"/>
  <c r="FF3" i="11"/>
  <c r="FP3" i="11" s="1"/>
  <c r="FE3" i="11"/>
  <c r="FD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U3" i="11"/>
  <c r="DT3" i="11"/>
  <c r="DS3" i="11"/>
  <c r="DR3" i="11"/>
  <c r="DQ3" i="11"/>
  <c r="DP3" i="11"/>
  <c r="DO3" i="11"/>
  <c r="DN3" i="11"/>
  <c r="DK3" i="11"/>
  <c r="DJ3" i="11"/>
  <c r="DI3" i="11"/>
  <c r="DH3" i="11"/>
  <c r="DG3" i="11"/>
  <c r="DF3" i="11"/>
  <c r="DE3" i="11"/>
  <c r="DD3" i="11"/>
  <c r="DB3" i="11"/>
  <c r="DA3" i="11"/>
  <c r="CV3" i="11"/>
  <c r="CT3" i="11"/>
  <c r="CS3" i="11"/>
  <c r="GN3" i="11" s="1"/>
  <c r="CR3" i="11"/>
  <c r="GM3" i="11" s="1"/>
  <c r="CQ3" i="11"/>
  <c r="GL3" i="11" s="1"/>
  <c r="CP3" i="11"/>
  <c r="GJ3" i="11" s="1"/>
  <c r="GK3" i="11" s="1"/>
  <c r="CO3" i="11"/>
  <c r="DZ3" i="11" s="1"/>
  <c r="CN3" i="11"/>
  <c r="DY3" i="11" s="1"/>
  <c r="CM3" i="11"/>
  <c r="DX3" i="11" s="1"/>
  <c r="CL3" i="11"/>
  <c r="DW3" i="11" s="1"/>
  <c r="CG3" i="11" a="1"/>
  <c r="CG3" i="11" s="1"/>
  <c r="IN3" i="11" s="1"/>
  <c r="IX3" i="11" s="1"/>
  <c r="AW3" i="11"/>
  <c r="AV3" i="11"/>
  <c r="CU3" i="11"/>
  <c r="J3" i="11"/>
  <c r="G3" i="11"/>
  <c r="IL5" i="11"/>
  <c r="HX5" i="11" a="1"/>
  <c r="HX5" i="11" s="1"/>
  <c r="IW5" i="11" s="1"/>
  <c r="HW5" i="11" a="1"/>
  <c r="HW5" i="11" s="1"/>
  <c r="IV5" i="11" s="1"/>
  <c r="HV5" i="11" a="1"/>
  <c r="HV5" i="11" s="1"/>
  <c r="IU5" i="11" s="1"/>
  <c r="HU5" i="11" a="1"/>
  <c r="HU5" i="11" s="1"/>
  <c r="IT5" i="11" s="1"/>
  <c r="HT5" i="11" a="1"/>
  <c r="HT5" i="11" s="1"/>
  <c r="IS5" i="11" s="1"/>
  <c r="HS5" i="11" a="1"/>
  <c r="HS5" i="11" s="1"/>
  <c r="IR5" i="11" s="1"/>
  <c r="HR5" i="11" a="1"/>
  <c r="HR5" i="11" s="1"/>
  <c r="IQ5" i="11" s="1"/>
  <c r="HQ5" i="11" a="1"/>
  <c r="HQ5" i="11" s="1"/>
  <c r="IP5" i="11" s="1"/>
  <c r="HP5" i="11" a="1"/>
  <c r="HP5" i="11" s="1"/>
  <c r="IO5" i="11" s="1"/>
  <c r="HL5" i="11"/>
  <c r="HJ5" i="11"/>
  <c r="HH5" i="11"/>
  <c r="HB5" i="11"/>
  <c r="HA5" i="11"/>
  <c r="GZ5" i="11"/>
  <c r="GY5" i="11"/>
  <c r="GX5" i="11"/>
  <c r="GW5" i="11"/>
  <c r="GV5" i="11"/>
  <c r="GU5" i="11"/>
  <c r="GT5" i="11"/>
  <c r="GP5" i="11"/>
  <c r="GI5" i="11"/>
  <c r="GH5" i="11"/>
  <c r="GG5" i="11"/>
  <c r="GF5" i="11"/>
  <c r="GE5" i="11"/>
  <c r="GD5" i="11"/>
  <c r="GC5" i="11"/>
  <c r="GB5" i="11"/>
  <c r="GA5" i="11"/>
  <c r="FZ5" i="11"/>
  <c r="FY5" i="11"/>
  <c r="FX5" i="11"/>
  <c r="FW5" i="11"/>
  <c r="FV5" i="11"/>
  <c r="FU5" i="11"/>
  <c r="FT5" i="11"/>
  <c r="FS5" i="11"/>
  <c r="FR5" i="11"/>
  <c r="FQ5" i="11"/>
  <c r="FJ5" i="11"/>
  <c r="FI5" i="11"/>
  <c r="FH5" i="11"/>
  <c r="FG5" i="11"/>
  <c r="FF5" i="11"/>
  <c r="FP5" i="11" s="1"/>
  <c r="FE5" i="11"/>
  <c r="FD5" i="11"/>
  <c r="FC5" i="11"/>
  <c r="FB5" i="11"/>
  <c r="FA5" i="11"/>
  <c r="EZ5" i="11"/>
  <c r="EY5" i="11"/>
  <c r="EX5" i="11"/>
  <c r="EW5" i="11"/>
  <c r="EV5" i="11"/>
  <c r="EU5" i="11"/>
  <c r="ET5" i="11"/>
  <c r="ES5" i="11"/>
  <c r="ER5" i="11"/>
  <c r="EQ5" i="11"/>
  <c r="EP5" i="11"/>
  <c r="EO5" i="11"/>
  <c r="EN5" i="11"/>
  <c r="EM5" i="11"/>
  <c r="EL5" i="11"/>
  <c r="EK5" i="11"/>
  <c r="EJ5" i="11"/>
  <c r="EI5" i="11"/>
  <c r="EH5" i="11"/>
  <c r="EG5" i="11"/>
  <c r="EF5" i="11"/>
  <c r="EE5" i="11"/>
  <c r="ED5" i="11"/>
  <c r="EC5" i="11"/>
  <c r="EB5" i="11"/>
  <c r="EA5" i="11"/>
  <c r="DV5" i="11"/>
  <c r="DU5" i="11"/>
  <c r="DT5" i="11"/>
  <c r="DS5" i="11"/>
  <c r="DR5" i="11"/>
  <c r="DQ5" i="11"/>
  <c r="DP5" i="11"/>
  <c r="DO5" i="11"/>
  <c r="DN5" i="11"/>
  <c r="DK5" i="11"/>
  <c r="DJ5" i="11"/>
  <c r="DI5" i="11"/>
  <c r="DH5" i="11"/>
  <c r="DG5" i="11"/>
  <c r="DF5" i="11"/>
  <c r="DE5" i="11"/>
  <c r="DD5" i="11"/>
  <c r="DC5" i="11"/>
  <c r="DB5" i="11"/>
  <c r="DA5" i="11"/>
  <c r="CV5" i="11"/>
  <c r="CU5" i="11"/>
  <c r="CT5" i="11"/>
  <c r="CS5" i="11"/>
  <c r="GN5" i="11" s="1"/>
  <c r="CR5" i="11"/>
  <c r="GM5" i="11" s="1"/>
  <c r="CQ5" i="11"/>
  <c r="GL5" i="11" s="1"/>
  <c r="CP5" i="11"/>
  <c r="GJ5" i="11" s="1"/>
  <c r="GK5" i="11" s="1"/>
  <c r="CO5" i="11"/>
  <c r="DZ5" i="11" s="1"/>
  <c r="CN5" i="11"/>
  <c r="DY5" i="11" s="1"/>
  <c r="CM5" i="11"/>
  <c r="DX5" i="11" s="1"/>
  <c r="CL5" i="11"/>
  <c r="DW5" i="11" s="1"/>
  <c r="CG5" i="11" a="1"/>
  <c r="CG5" i="11" s="1"/>
  <c r="CK5" i="11" s="1"/>
  <c r="CZ5" i="11" s="1"/>
  <c r="AW5" i="11"/>
  <c r="AV5" i="11"/>
  <c r="J5" i="11"/>
  <c r="G5" i="11"/>
  <c r="IL8" i="10"/>
  <c r="HX8" i="10" a="1"/>
  <c r="HX8" i="10" s="1"/>
  <c r="IW8" i="10" s="1"/>
  <c r="HW8" i="10" a="1"/>
  <c r="HW8" i="10" s="1"/>
  <c r="IV8" i="10" s="1"/>
  <c r="HV8" i="10" a="1"/>
  <c r="HV8" i="10" s="1"/>
  <c r="IU8" i="10" s="1"/>
  <c r="HU8" i="10" a="1"/>
  <c r="HU8" i="10" s="1"/>
  <c r="IT8" i="10" s="1"/>
  <c r="HT8" i="10" a="1"/>
  <c r="HT8" i="10" s="1"/>
  <c r="IS8" i="10" s="1"/>
  <c r="HS8" i="10" a="1"/>
  <c r="HS8" i="10" s="1"/>
  <c r="IR8" i="10" s="1"/>
  <c r="HR8" i="10" a="1"/>
  <c r="HR8" i="10" s="1"/>
  <c r="IQ8" i="10" s="1"/>
  <c r="HQ8" i="10" a="1"/>
  <c r="HQ8" i="10" s="1"/>
  <c r="IP8" i="10" s="1"/>
  <c r="HP8" i="10" a="1"/>
  <c r="HP8" i="10" s="1"/>
  <c r="IO8" i="10" s="1"/>
  <c r="HL8" i="10"/>
  <c r="HJ8" i="10"/>
  <c r="HH8" i="10"/>
  <c r="HB8" i="10"/>
  <c r="HA8" i="10"/>
  <c r="GZ8" i="10"/>
  <c r="GY8" i="10"/>
  <c r="GX8" i="10"/>
  <c r="GW8" i="10"/>
  <c r="GV8" i="10"/>
  <c r="GU8" i="10"/>
  <c r="GT8" i="10"/>
  <c r="GP8" i="10"/>
  <c r="GI8" i="10"/>
  <c r="GH8" i="10"/>
  <c r="GG8" i="10"/>
  <c r="GF8" i="10"/>
  <c r="GE8" i="10"/>
  <c r="GD8" i="10"/>
  <c r="GC8" i="10"/>
  <c r="GB8" i="10"/>
  <c r="GA8" i="10"/>
  <c r="FZ8" i="10"/>
  <c r="FY8" i="10"/>
  <c r="FX8" i="10"/>
  <c r="FW8" i="10"/>
  <c r="FV8" i="10"/>
  <c r="FU8" i="10"/>
  <c r="FT8" i="10"/>
  <c r="FS8" i="10"/>
  <c r="FR8" i="10"/>
  <c r="FQ8" i="10"/>
  <c r="FJ8" i="10"/>
  <c r="FI8" i="10"/>
  <c r="FH8" i="10"/>
  <c r="FG8" i="10"/>
  <c r="FF8" i="10"/>
  <c r="FP8" i="10" s="1"/>
  <c r="FE8" i="10"/>
  <c r="FD8" i="10"/>
  <c r="FC8" i="10"/>
  <c r="FB8" i="10"/>
  <c r="FA8" i="10"/>
  <c r="EZ8" i="10"/>
  <c r="EY8" i="10"/>
  <c r="EX8" i="10"/>
  <c r="EW8" i="10"/>
  <c r="EV8" i="10"/>
  <c r="EU8" i="10"/>
  <c r="ET8" i="10"/>
  <c r="ES8" i="10"/>
  <c r="ER8" i="10"/>
  <c r="EQ8" i="10"/>
  <c r="EP8" i="10"/>
  <c r="EO8" i="10"/>
  <c r="EN8" i="10"/>
  <c r="EM8" i="10"/>
  <c r="EL8" i="10"/>
  <c r="EK8" i="10"/>
  <c r="EJ8" i="10"/>
  <c r="EI8" i="10"/>
  <c r="EH8" i="10"/>
  <c r="EG8" i="10"/>
  <c r="EF8" i="10"/>
  <c r="EE8" i="10"/>
  <c r="ED8" i="10"/>
  <c r="EC8" i="10"/>
  <c r="EB8" i="10"/>
  <c r="EA8" i="10"/>
  <c r="DV8" i="10"/>
  <c r="DU8" i="10"/>
  <c r="DT8" i="10"/>
  <c r="DS8" i="10"/>
  <c r="DR8" i="10"/>
  <c r="DQ8" i="10"/>
  <c r="DP8" i="10"/>
  <c r="DO8" i="10"/>
  <c r="DN8" i="10"/>
  <c r="DK8" i="10"/>
  <c r="DJ8" i="10"/>
  <c r="DI8" i="10"/>
  <c r="DH8" i="10"/>
  <c r="DG8" i="10"/>
  <c r="DF8" i="10"/>
  <c r="DE8" i="10"/>
  <c r="DD8" i="10"/>
  <c r="DC8" i="10"/>
  <c r="DB8" i="10"/>
  <c r="DA8" i="10"/>
  <c r="CV8" i="10"/>
  <c r="CU8" i="10"/>
  <c r="CT8" i="10"/>
  <c r="CS8" i="10"/>
  <c r="GN8" i="10" s="1"/>
  <c r="CR8" i="10"/>
  <c r="GM8" i="10" s="1"/>
  <c r="CQ8" i="10"/>
  <c r="GL8" i="10" s="1"/>
  <c r="CP8" i="10"/>
  <c r="GJ8" i="10" s="1"/>
  <c r="GK8" i="10" s="1"/>
  <c r="CO8" i="10"/>
  <c r="DZ8" i="10" s="1"/>
  <c r="CN8" i="10"/>
  <c r="DY8" i="10" s="1"/>
  <c r="CM8" i="10"/>
  <c r="DX8" i="10" s="1"/>
  <c r="CL8" i="10"/>
  <c r="DW8" i="10" s="1"/>
  <c r="CG8" i="10" a="1"/>
  <c r="CG8" i="10" s="1"/>
  <c r="CK8" i="10" s="1"/>
  <c r="CZ8" i="10" s="1"/>
  <c r="AW8" i="10"/>
  <c r="AV8" i="10"/>
  <c r="J8" i="10"/>
  <c r="G8" i="10"/>
  <c r="IL7" i="10"/>
  <c r="HX7" i="10" a="1"/>
  <c r="HX7" i="10" s="1"/>
  <c r="IW7" i="10" s="1"/>
  <c r="HW7" i="10" a="1"/>
  <c r="HW7" i="10" s="1"/>
  <c r="IV7" i="10" s="1"/>
  <c r="HV7" i="10" a="1"/>
  <c r="HV7" i="10" s="1"/>
  <c r="IU7" i="10" s="1"/>
  <c r="HU7" i="10" a="1"/>
  <c r="HU7" i="10" s="1"/>
  <c r="IT7" i="10" s="1"/>
  <c r="HT7" i="10" a="1"/>
  <c r="HT7" i="10" s="1"/>
  <c r="IS7" i="10" s="1"/>
  <c r="HS7" i="10" a="1"/>
  <c r="HS7" i="10" s="1"/>
  <c r="IR7" i="10" s="1"/>
  <c r="HR7" i="10" a="1"/>
  <c r="HR7" i="10" s="1"/>
  <c r="IQ7" i="10" s="1"/>
  <c r="HQ7" i="10" a="1"/>
  <c r="HQ7" i="10" s="1"/>
  <c r="IP7" i="10" s="1"/>
  <c r="HP7" i="10" a="1"/>
  <c r="HP7" i="10" s="1"/>
  <c r="IO7" i="10" s="1"/>
  <c r="HL7" i="10"/>
  <c r="HJ7" i="10"/>
  <c r="HH7" i="10"/>
  <c r="HB7" i="10"/>
  <c r="HA7" i="10"/>
  <c r="GZ7" i="10"/>
  <c r="GY7" i="10"/>
  <c r="GX7" i="10"/>
  <c r="GW7" i="10"/>
  <c r="GV7" i="10"/>
  <c r="GU7" i="10"/>
  <c r="GT7" i="10"/>
  <c r="GP7" i="10"/>
  <c r="GI7" i="10"/>
  <c r="GH7" i="10"/>
  <c r="GG7" i="10"/>
  <c r="GF7" i="10"/>
  <c r="GE7" i="10"/>
  <c r="GD7" i="10"/>
  <c r="GC7" i="10"/>
  <c r="GB7" i="10"/>
  <c r="GA7" i="10"/>
  <c r="FZ7" i="10"/>
  <c r="FY7" i="10"/>
  <c r="FX7" i="10"/>
  <c r="FW7" i="10"/>
  <c r="FV7" i="10"/>
  <c r="FU7" i="10"/>
  <c r="FT7" i="10"/>
  <c r="FS7" i="10"/>
  <c r="FR7" i="10"/>
  <c r="FQ7" i="10"/>
  <c r="FJ7" i="10"/>
  <c r="FI7" i="10"/>
  <c r="FH7" i="10"/>
  <c r="FG7" i="10"/>
  <c r="FF7" i="10"/>
  <c r="FE7" i="10"/>
  <c r="FD7" i="10"/>
  <c r="FC7" i="10"/>
  <c r="FB7" i="10"/>
  <c r="FA7" i="10"/>
  <c r="EZ7" i="10"/>
  <c r="EY7" i="10"/>
  <c r="EX7" i="10"/>
  <c r="EW7" i="10"/>
  <c r="EV7" i="10"/>
  <c r="EU7" i="10"/>
  <c r="ET7" i="10"/>
  <c r="ES7" i="10"/>
  <c r="ER7" i="10"/>
  <c r="EQ7" i="10"/>
  <c r="EP7" i="10"/>
  <c r="EO7" i="10"/>
  <c r="EN7" i="10"/>
  <c r="EM7" i="10"/>
  <c r="EL7" i="10"/>
  <c r="EK7" i="10"/>
  <c r="EJ7" i="10"/>
  <c r="EI7" i="10"/>
  <c r="EH7" i="10"/>
  <c r="EG7" i="10"/>
  <c r="EF7" i="10"/>
  <c r="EE7" i="10"/>
  <c r="ED7" i="10"/>
  <c r="EC7" i="10"/>
  <c r="EB7" i="10"/>
  <c r="EA7" i="10"/>
  <c r="DV7" i="10"/>
  <c r="DU7" i="10"/>
  <c r="DT7" i="10"/>
  <c r="DS7" i="10"/>
  <c r="DR7" i="10"/>
  <c r="DQ7" i="10"/>
  <c r="DP7" i="10"/>
  <c r="DO7" i="10"/>
  <c r="DN7" i="10"/>
  <c r="DK7" i="10"/>
  <c r="DJ7" i="10"/>
  <c r="DI7" i="10"/>
  <c r="DH7" i="10"/>
  <c r="DG7" i="10"/>
  <c r="DF7" i="10"/>
  <c r="DE7" i="10"/>
  <c r="DD7" i="10"/>
  <c r="DC7" i="10"/>
  <c r="DB7" i="10"/>
  <c r="DA7" i="10"/>
  <c r="CV7" i="10"/>
  <c r="CU7" i="10"/>
  <c r="CT7" i="10"/>
  <c r="CS7" i="10"/>
  <c r="GN7" i="10" s="1"/>
  <c r="CR7" i="10"/>
  <c r="GM7" i="10" s="1"/>
  <c r="CQ7" i="10"/>
  <c r="GL7" i="10" s="1"/>
  <c r="CP7" i="10"/>
  <c r="GJ7" i="10" s="1"/>
  <c r="GK7" i="10" s="1"/>
  <c r="CO7" i="10"/>
  <c r="DZ7" i="10" s="1"/>
  <c r="CN7" i="10"/>
  <c r="DY7" i="10" s="1"/>
  <c r="CM7" i="10"/>
  <c r="DX7" i="10" s="1"/>
  <c r="CL7" i="10"/>
  <c r="DW7" i="10" s="1"/>
  <c r="CG7" i="10" a="1"/>
  <c r="CG7" i="10" s="1"/>
  <c r="AW7" i="10"/>
  <c r="AV7" i="10"/>
  <c r="J7" i="10"/>
  <c r="G7" i="10"/>
  <c r="IL6" i="10"/>
  <c r="HX6" i="10" a="1"/>
  <c r="HX6" i="10" s="1"/>
  <c r="IW6" i="10" s="1"/>
  <c r="HW6" i="10" a="1"/>
  <c r="HW6" i="10" s="1"/>
  <c r="IV6" i="10" s="1"/>
  <c r="HV6" i="10" a="1"/>
  <c r="HV6" i="10" s="1"/>
  <c r="IU6" i="10" s="1"/>
  <c r="HU6" i="10" a="1"/>
  <c r="HU6" i="10" s="1"/>
  <c r="IT6" i="10" s="1"/>
  <c r="HT6" i="10" a="1"/>
  <c r="HT6" i="10" s="1"/>
  <c r="IS6" i="10" s="1"/>
  <c r="HS6" i="10" a="1"/>
  <c r="HS6" i="10" s="1"/>
  <c r="IR6" i="10" s="1"/>
  <c r="HR6" i="10" a="1"/>
  <c r="HR6" i="10" s="1"/>
  <c r="IQ6" i="10" s="1"/>
  <c r="HQ6" i="10" a="1"/>
  <c r="HQ6" i="10" s="1"/>
  <c r="IP6" i="10" s="1"/>
  <c r="HP6" i="10" a="1"/>
  <c r="HP6" i="10" s="1"/>
  <c r="IO6" i="10" s="1"/>
  <c r="HL6" i="10"/>
  <c r="HJ6" i="10"/>
  <c r="HH6" i="10"/>
  <c r="HB6" i="10"/>
  <c r="HA6" i="10"/>
  <c r="GZ6" i="10"/>
  <c r="GY6" i="10"/>
  <c r="GX6" i="10"/>
  <c r="GW6" i="10"/>
  <c r="GV6" i="10"/>
  <c r="GU6" i="10"/>
  <c r="GT6" i="10"/>
  <c r="GP6" i="10"/>
  <c r="GI6" i="10"/>
  <c r="GH6" i="10"/>
  <c r="GG6" i="10"/>
  <c r="GF6" i="10"/>
  <c r="GE6" i="10"/>
  <c r="GD6" i="10"/>
  <c r="GC6" i="10"/>
  <c r="GB6" i="10"/>
  <c r="GA6" i="10"/>
  <c r="FZ6" i="10"/>
  <c r="FY6" i="10"/>
  <c r="FX6" i="10"/>
  <c r="FW6" i="10"/>
  <c r="FV6" i="10"/>
  <c r="FU6" i="10"/>
  <c r="FT6" i="10"/>
  <c r="FS6" i="10"/>
  <c r="FR6" i="10"/>
  <c r="FQ6" i="10"/>
  <c r="FJ6" i="10"/>
  <c r="FI6" i="10"/>
  <c r="FH6" i="10"/>
  <c r="FG6" i="10"/>
  <c r="FF6" i="10"/>
  <c r="FE6" i="10"/>
  <c r="FD6" i="10"/>
  <c r="FC6" i="10"/>
  <c r="FB6" i="10"/>
  <c r="FA6" i="10"/>
  <c r="EZ6" i="10"/>
  <c r="EY6" i="10"/>
  <c r="EX6" i="10"/>
  <c r="EW6" i="10"/>
  <c r="EV6" i="10"/>
  <c r="EU6" i="10"/>
  <c r="ET6" i="10"/>
  <c r="ES6" i="10"/>
  <c r="ER6" i="10"/>
  <c r="EQ6" i="10"/>
  <c r="EP6" i="10"/>
  <c r="EO6" i="10"/>
  <c r="EN6" i="10"/>
  <c r="EM6" i="10"/>
  <c r="EL6" i="10"/>
  <c r="EK6" i="10"/>
  <c r="EJ6" i="10"/>
  <c r="EI6" i="10"/>
  <c r="EH6" i="10"/>
  <c r="EG6" i="10"/>
  <c r="EF6" i="10"/>
  <c r="EE6" i="10"/>
  <c r="ED6" i="10"/>
  <c r="EC6" i="10"/>
  <c r="EB6" i="10"/>
  <c r="EA6" i="10"/>
  <c r="DV6" i="10"/>
  <c r="DU6" i="10"/>
  <c r="DT6" i="10"/>
  <c r="DS6" i="10"/>
  <c r="DR6" i="10"/>
  <c r="DQ6" i="10"/>
  <c r="DP6" i="10"/>
  <c r="DO6" i="10"/>
  <c r="DN6" i="10"/>
  <c r="DK6" i="10"/>
  <c r="DJ6" i="10"/>
  <c r="DI6" i="10"/>
  <c r="DH6" i="10"/>
  <c r="DG6" i="10"/>
  <c r="DF6" i="10"/>
  <c r="DE6" i="10"/>
  <c r="DD6" i="10"/>
  <c r="DC6" i="10"/>
  <c r="DB6" i="10"/>
  <c r="DA6" i="10"/>
  <c r="CV6" i="10"/>
  <c r="CU6" i="10"/>
  <c r="CT6" i="10"/>
  <c r="CS6" i="10"/>
  <c r="GN6" i="10" s="1"/>
  <c r="CR6" i="10"/>
  <c r="GM6" i="10" s="1"/>
  <c r="CQ6" i="10"/>
  <c r="GL6" i="10" s="1"/>
  <c r="CP6" i="10"/>
  <c r="GJ6" i="10" s="1"/>
  <c r="GK6" i="10" s="1"/>
  <c r="CO6" i="10"/>
  <c r="DZ6" i="10" s="1"/>
  <c r="CN6" i="10"/>
  <c r="DY6" i="10" s="1"/>
  <c r="CM6" i="10"/>
  <c r="DX6" i="10" s="1"/>
  <c r="CL6" i="10"/>
  <c r="DW6" i="10" s="1"/>
  <c r="CG6" i="10" a="1"/>
  <c r="CG6" i="10" s="1"/>
  <c r="AW6" i="10"/>
  <c r="AV6" i="10"/>
  <c r="J6" i="10"/>
  <c r="G6" i="10"/>
  <c r="IL5" i="10"/>
  <c r="HX5" i="10" a="1"/>
  <c r="HX5" i="10" s="1"/>
  <c r="IW5" i="10" s="1"/>
  <c r="HW5" i="10" a="1"/>
  <c r="HW5" i="10" s="1"/>
  <c r="IV5" i="10" s="1"/>
  <c r="HV5" i="10" a="1"/>
  <c r="HV5" i="10" s="1"/>
  <c r="IU5" i="10" s="1"/>
  <c r="HU5" i="10" a="1"/>
  <c r="HU5" i="10" s="1"/>
  <c r="IT5" i="10" s="1"/>
  <c r="HT5" i="10" a="1"/>
  <c r="HT5" i="10" s="1"/>
  <c r="IS5" i="10" s="1"/>
  <c r="HS5" i="10" a="1"/>
  <c r="HS5" i="10" s="1"/>
  <c r="IR5" i="10" s="1"/>
  <c r="HR5" i="10" a="1"/>
  <c r="HR5" i="10" s="1"/>
  <c r="IQ5" i="10" s="1"/>
  <c r="HQ5" i="10" a="1"/>
  <c r="HQ5" i="10" s="1"/>
  <c r="IP5" i="10" s="1"/>
  <c r="HP5" i="10" a="1"/>
  <c r="HP5" i="10" s="1"/>
  <c r="IO5" i="10" s="1"/>
  <c r="HL5" i="10"/>
  <c r="HJ5" i="10"/>
  <c r="HH5" i="10"/>
  <c r="HB5" i="10"/>
  <c r="HA5" i="10"/>
  <c r="GZ5" i="10"/>
  <c r="GY5" i="10"/>
  <c r="GX5" i="10"/>
  <c r="GW5" i="10"/>
  <c r="GV5" i="10"/>
  <c r="GU5" i="10"/>
  <c r="GT5" i="10"/>
  <c r="GP5" i="10"/>
  <c r="GI5" i="10"/>
  <c r="GH5" i="10"/>
  <c r="GG5" i="10"/>
  <c r="GF5" i="10"/>
  <c r="GE5" i="10"/>
  <c r="GD5" i="10"/>
  <c r="GC5" i="10"/>
  <c r="GB5" i="10"/>
  <c r="GA5" i="10"/>
  <c r="FZ5" i="10"/>
  <c r="FY5" i="10"/>
  <c r="FX5" i="10"/>
  <c r="FW5" i="10"/>
  <c r="FV5" i="10"/>
  <c r="FU5" i="10"/>
  <c r="FT5" i="10"/>
  <c r="FS5" i="10"/>
  <c r="FR5" i="10"/>
  <c r="FQ5" i="10"/>
  <c r="FJ5" i="10"/>
  <c r="FI5" i="10"/>
  <c r="FH5" i="10"/>
  <c r="FG5" i="10"/>
  <c r="FF5" i="10"/>
  <c r="FP5" i="10" s="1"/>
  <c r="FE5" i="10"/>
  <c r="FN5" i="10" s="1"/>
  <c r="FD5" i="10"/>
  <c r="FC5" i="10"/>
  <c r="FB5" i="10"/>
  <c r="FA5" i="10"/>
  <c r="EZ5" i="10"/>
  <c r="EY5" i="10"/>
  <c r="EX5" i="10"/>
  <c r="EW5" i="10"/>
  <c r="EV5" i="10"/>
  <c r="EU5" i="10"/>
  <c r="ET5" i="10"/>
  <c r="ES5" i="10"/>
  <c r="ER5" i="10"/>
  <c r="EQ5" i="10"/>
  <c r="EP5" i="10"/>
  <c r="EO5" i="10"/>
  <c r="EN5" i="10"/>
  <c r="EM5" i="10"/>
  <c r="EL5" i="10"/>
  <c r="EK5" i="10"/>
  <c r="EJ5" i="10"/>
  <c r="EI5" i="10"/>
  <c r="EH5" i="10"/>
  <c r="EG5" i="10"/>
  <c r="EF5" i="10"/>
  <c r="EE5" i="10"/>
  <c r="ED5" i="10"/>
  <c r="EC5" i="10"/>
  <c r="EB5" i="10"/>
  <c r="EA5" i="10"/>
  <c r="DV5" i="10"/>
  <c r="DU5" i="10"/>
  <c r="DT5" i="10"/>
  <c r="DS5" i="10"/>
  <c r="DR5" i="10"/>
  <c r="DQ5" i="10"/>
  <c r="DP5" i="10"/>
  <c r="DO5" i="10"/>
  <c r="DN5" i="10"/>
  <c r="DK5" i="10"/>
  <c r="DJ5" i="10"/>
  <c r="DI5" i="10"/>
  <c r="DH5" i="10"/>
  <c r="DG5" i="10"/>
  <c r="DF5" i="10"/>
  <c r="DE5" i="10"/>
  <c r="DD5" i="10"/>
  <c r="DC5" i="10"/>
  <c r="DB5" i="10"/>
  <c r="DA5" i="10"/>
  <c r="CV5" i="10"/>
  <c r="CU5" i="10"/>
  <c r="CT5" i="10"/>
  <c r="CS5" i="10"/>
  <c r="GN5" i="10" s="1"/>
  <c r="CR5" i="10"/>
  <c r="GM5" i="10" s="1"/>
  <c r="CQ5" i="10"/>
  <c r="GL5" i="10" s="1"/>
  <c r="CP5" i="10"/>
  <c r="GJ5" i="10" s="1"/>
  <c r="GK5" i="10" s="1"/>
  <c r="CO5" i="10"/>
  <c r="DZ5" i="10" s="1"/>
  <c r="CN5" i="10"/>
  <c r="DY5" i="10" s="1"/>
  <c r="CM5" i="10"/>
  <c r="DX5" i="10" s="1"/>
  <c r="CL5" i="10"/>
  <c r="DW5" i="10" s="1"/>
  <c r="CG5" i="10" a="1"/>
  <c r="CG5" i="10" s="1"/>
  <c r="IM5" i="10" s="1"/>
  <c r="AW5" i="10"/>
  <c r="AV5" i="10"/>
  <c r="J5" i="10"/>
  <c r="G5" i="10"/>
  <c r="IL4" i="10"/>
  <c r="HX4" i="10" a="1"/>
  <c r="HX4" i="10" s="1"/>
  <c r="IW4" i="10" s="1"/>
  <c r="HW4" i="10" a="1"/>
  <c r="HW4" i="10" s="1"/>
  <c r="IV4" i="10" s="1"/>
  <c r="HV4" i="10" a="1"/>
  <c r="HV4" i="10" s="1"/>
  <c r="IU4" i="10" s="1"/>
  <c r="HU4" i="10" a="1"/>
  <c r="HU4" i="10" s="1"/>
  <c r="IT4" i="10" s="1"/>
  <c r="HT4" i="10" a="1"/>
  <c r="HT4" i="10" s="1"/>
  <c r="IS4" i="10" s="1"/>
  <c r="HS4" i="10" a="1"/>
  <c r="HS4" i="10" s="1"/>
  <c r="IR4" i="10" s="1"/>
  <c r="HR4" i="10" a="1"/>
  <c r="HR4" i="10" s="1"/>
  <c r="IQ4" i="10" s="1"/>
  <c r="HQ4" i="10" a="1"/>
  <c r="HQ4" i="10" s="1"/>
  <c r="IP4" i="10" s="1"/>
  <c r="HP4" i="10" a="1"/>
  <c r="HP4" i="10" s="1"/>
  <c r="IO4" i="10" s="1"/>
  <c r="HL4" i="10"/>
  <c r="HJ4" i="10"/>
  <c r="HH4" i="10"/>
  <c r="HB4" i="10"/>
  <c r="HA4" i="10"/>
  <c r="GZ4" i="10"/>
  <c r="GY4" i="10"/>
  <c r="GX4" i="10"/>
  <c r="GW4" i="10"/>
  <c r="GV4" i="10"/>
  <c r="GU4" i="10"/>
  <c r="GT4" i="10"/>
  <c r="GP4" i="10"/>
  <c r="GI4" i="10"/>
  <c r="GH4" i="10"/>
  <c r="GG4" i="10"/>
  <c r="GF4" i="10"/>
  <c r="GE4" i="10"/>
  <c r="GD4" i="10"/>
  <c r="GC4" i="10"/>
  <c r="GB4" i="10"/>
  <c r="GA4" i="10"/>
  <c r="FZ4" i="10"/>
  <c r="FY4" i="10"/>
  <c r="FX4" i="10"/>
  <c r="FW4" i="10"/>
  <c r="FV4" i="10"/>
  <c r="FU4" i="10"/>
  <c r="FT4" i="10"/>
  <c r="FS4" i="10"/>
  <c r="FR4" i="10"/>
  <c r="FQ4" i="10"/>
  <c r="FJ4" i="10"/>
  <c r="FI4" i="10"/>
  <c r="FH4" i="10"/>
  <c r="FG4" i="10"/>
  <c r="FF4" i="10"/>
  <c r="FP4" i="10" s="1"/>
  <c r="FE4" i="10"/>
  <c r="FD4" i="10"/>
  <c r="FC4" i="10"/>
  <c r="FB4" i="10"/>
  <c r="FA4" i="10"/>
  <c r="EZ4" i="10"/>
  <c r="EY4" i="10"/>
  <c r="EX4" i="10"/>
  <c r="EW4" i="10"/>
  <c r="EV4" i="10"/>
  <c r="EU4" i="10"/>
  <c r="ET4" i="10"/>
  <c r="ES4" i="10"/>
  <c r="ER4" i="10"/>
  <c r="EQ4" i="10"/>
  <c r="EP4" i="10"/>
  <c r="EO4" i="10"/>
  <c r="EN4" i="10"/>
  <c r="EM4" i="10"/>
  <c r="EL4" i="10"/>
  <c r="EK4" i="10"/>
  <c r="EJ4" i="10"/>
  <c r="EI4" i="10"/>
  <c r="EH4" i="10"/>
  <c r="EG4" i="10"/>
  <c r="EF4" i="10"/>
  <c r="EE4" i="10"/>
  <c r="ED4" i="10"/>
  <c r="EC4" i="10"/>
  <c r="EB4" i="10"/>
  <c r="EA4" i="10"/>
  <c r="DV4" i="10"/>
  <c r="DU4" i="10"/>
  <c r="DT4" i="10"/>
  <c r="DS4" i="10"/>
  <c r="DR4" i="10"/>
  <c r="DQ4" i="10"/>
  <c r="DP4" i="10"/>
  <c r="DO4" i="10"/>
  <c r="DN4" i="10"/>
  <c r="DK4" i="10"/>
  <c r="DJ4" i="10"/>
  <c r="DI4" i="10"/>
  <c r="DH4" i="10"/>
  <c r="DG4" i="10"/>
  <c r="DF4" i="10"/>
  <c r="DE4" i="10"/>
  <c r="DD4" i="10"/>
  <c r="DC4" i="10"/>
  <c r="DB4" i="10"/>
  <c r="DA4" i="10"/>
  <c r="CV4" i="10"/>
  <c r="CU4" i="10"/>
  <c r="CT4" i="10"/>
  <c r="CS4" i="10"/>
  <c r="GN4" i="10" s="1"/>
  <c r="CR4" i="10"/>
  <c r="GM4" i="10" s="1"/>
  <c r="CQ4" i="10"/>
  <c r="GL4" i="10" s="1"/>
  <c r="CP4" i="10"/>
  <c r="GJ4" i="10" s="1"/>
  <c r="GK4" i="10" s="1"/>
  <c r="CO4" i="10"/>
  <c r="DZ4" i="10" s="1"/>
  <c r="CN4" i="10"/>
  <c r="DY4" i="10" s="1"/>
  <c r="CM4" i="10"/>
  <c r="DX4" i="10" s="1"/>
  <c r="CL4" i="10"/>
  <c r="DW4" i="10" s="1"/>
  <c r="CG4" i="10" a="1"/>
  <c r="CG4" i="10" s="1"/>
  <c r="CI4" i="10" s="1"/>
  <c r="CX4" i="10" s="1"/>
  <c r="AW4" i="10"/>
  <c r="AV4" i="10"/>
  <c r="J4" i="10"/>
  <c r="G4" i="10"/>
  <c r="IL3" i="10"/>
  <c r="HX3" i="10" a="1"/>
  <c r="HX3" i="10" s="1"/>
  <c r="IW3" i="10" s="1"/>
  <c r="HW3" i="10" a="1"/>
  <c r="HW3" i="10" s="1"/>
  <c r="IV3" i="10" s="1"/>
  <c r="HV3" i="10" a="1"/>
  <c r="HV3" i="10" s="1"/>
  <c r="IU3" i="10" s="1"/>
  <c r="HU3" i="10" a="1"/>
  <c r="HU3" i="10" s="1"/>
  <c r="IT3" i="10" s="1"/>
  <c r="HT3" i="10" a="1"/>
  <c r="HT3" i="10" s="1"/>
  <c r="IS3" i="10" s="1"/>
  <c r="HS3" i="10" a="1"/>
  <c r="HS3" i="10" s="1"/>
  <c r="IR3" i="10" s="1"/>
  <c r="HR3" i="10" a="1"/>
  <c r="HR3" i="10" s="1"/>
  <c r="IQ3" i="10" s="1"/>
  <c r="HQ3" i="10" a="1"/>
  <c r="HQ3" i="10" s="1"/>
  <c r="IP3" i="10" s="1"/>
  <c r="HP3" i="10" a="1"/>
  <c r="HP3" i="10" s="1"/>
  <c r="IO3" i="10" s="1"/>
  <c r="HL3" i="10"/>
  <c r="HJ3" i="10"/>
  <c r="HH3" i="10"/>
  <c r="HB3" i="10"/>
  <c r="HA3" i="10"/>
  <c r="GZ3" i="10"/>
  <c r="GY3" i="10"/>
  <c r="GX3" i="10"/>
  <c r="GW3" i="10"/>
  <c r="GV3" i="10"/>
  <c r="GU3" i="10"/>
  <c r="GT3" i="10"/>
  <c r="GP3" i="10"/>
  <c r="GI3" i="10"/>
  <c r="GH3" i="10"/>
  <c r="GG3" i="10"/>
  <c r="GF3" i="10"/>
  <c r="GE3" i="10"/>
  <c r="GD3" i="10"/>
  <c r="GC3" i="10"/>
  <c r="GB3" i="10"/>
  <c r="GA3" i="10"/>
  <c r="FZ3" i="10"/>
  <c r="FY3" i="10"/>
  <c r="FX3" i="10"/>
  <c r="FW3" i="10"/>
  <c r="FV3" i="10"/>
  <c r="FU3" i="10"/>
  <c r="FT3" i="10"/>
  <c r="FS3" i="10"/>
  <c r="FR3" i="10"/>
  <c r="FQ3" i="10"/>
  <c r="FJ3" i="10"/>
  <c r="FI3" i="10"/>
  <c r="FH3" i="10"/>
  <c r="FG3" i="10"/>
  <c r="FF3" i="10"/>
  <c r="FE3" i="10"/>
  <c r="FD3" i="10"/>
  <c r="FC3" i="10"/>
  <c r="FB3" i="10"/>
  <c r="FA3" i="10"/>
  <c r="EZ3" i="10"/>
  <c r="EY3" i="10"/>
  <c r="EX3" i="10"/>
  <c r="EW3" i="10"/>
  <c r="EV3" i="10"/>
  <c r="EU3" i="10"/>
  <c r="ET3" i="10"/>
  <c r="ES3" i="10"/>
  <c r="ER3" i="10"/>
  <c r="EQ3" i="10"/>
  <c r="EP3" i="10"/>
  <c r="EO3" i="10"/>
  <c r="EN3" i="10"/>
  <c r="EM3" i="10"/>
  <c r="EL3" i="10"/>
  <c r="EK3" i="10"/>
  <c r="EJ3" i="10"/>
  <c r="EI3" i="10"/>
  <c r="EH3" i="10"/>
  <c r="EG3" i="10"/>
  <c r="EF3" i="10"/>
  <c r="EE3" i="10"/>
  <c r="ED3" i="10"/>
  <c r="EC3" i="10"/>
  <c r="EB3" i="10"/>
  <c r="EA3" i="10"/>
  <c r="DV3" i="10"/>
  <c r="DU3" i="10"/>
  <c r="DT3" i="10"/>
  <c r="DS3" i="10"/>
  <c r="DR3" i="10"/>
  <c r="DQ3" i="10"/>
  <c r="DP3" i="10"/>
  <c r="DO3" i="10"/>
  <c r="DN3" i="10"/>
  <c r="DK3" i="10"/>
  <c r="DJ3" i="10"/>
  <c r="DI3" i="10"/>
  <c r="DH3" i="10"/>
  <c r="DG3" i="10"/>
  <c r="DF3" i="10"/>
  <c r="DE3" i="10"/>
  <c r="DD3" i="10"/>
  <c r="DC3" i="10"/>
  <c r="DB3" i="10"/>
  <c r="DA3" i="10"/>
  <c r="CV3" i="10"/>
  <c r="CU3" i="10"/>
  <c r="CT3" i="10"/>
  <c r="CS3" i="10"/>
  <c r="GN3" i="10" s="1"/>
  <c r="CR3" i="10"/>
  <c r="GM3" i="10" s="1"/>
  <c r="CQ3" i="10"/>
  <c r="GL3" i="10" s="1"/>
  <c r="CP3" i="10"/>
  <c r="GJ3" i="10" s="1"/>
  <c r="GK3" i="10" s="1"/>
  <c r="CO3" i="10"/>
  <c r="DZ3" i="10" s="1"/>
  <c r="CN3" i="10"/>
  <c r="DY3" i="10" s="1"/>
  <c r="CM3" i="10"/>
  <c r="DX3" i="10" s="1"/>
  <c r="CL3" i="10"/>
  <c r="DW3" i="10" s="1"/>
  <c r="CG3" i="10" a="1"/>
  <c r="CG3" i="10" s="1"/>
  <c r="AW3" i="10"/>
  <c r="AV3" i="10"/>
  <c r="J3" i="10"/>
  <c r="G3" i="10"/>
  <c r="IL2" i="10"/>
  <c r="HX2" i="10" a="1"/>
  <c r="HX2" i="10" s="1"/>
  <c r="IW2" i="10" s="1"/>
  <c r="HW2" i="10" a="1"/>
  <c r="HW2" i="10" s="1"/>
  <c r="IV2" i="10" s="1"/>
  <c r="HV2" i="10" a="1"/>
  <c r="HV2" i="10" s="1"/>
  <c r="IU2" i="10" s="1"/>
  <c r="HU2" i="10" a="1"/>
  <c r="HU2" i="10" s="1"/>
  <c r="IT2" i="10" s="1"/>
  <c r="HT2" i="10" a="1"/>
  <c r="HT2" i="10" s="1"/>
  <c r="IS2" i="10" s="1"/>
  <c r="HS2" i="10" a="1"/>
  <c r="HS2" i="10" s="1"/>
  <c r="IR2" i="10" s="1"/>
  <c r="HR2" i="10" a="1"/>
  <c r="HR2" i="10" s="1"/>
  <c r="IQ2" i="10" s="1"/>
  <c r="HQ2" i="10" a="1"/>
  <c r="HQ2" i="10" s="1"/>
  <c r="IP2" i="10" s="1"/>
  <c r="HP2" i="10" a="1"/>
  <c r="HP2" i="10" s="1"/>
  <c r="IO2" i="10" s="1"/>
  <c r="HL2" i="10"/>
  <c r="HJ2" i="10"/>
  <c r="HH2" i="10"/>
  <c r="HB2" i="10"/>
  <c r="HA2" i="10"/>
  <c r="GZ2" i="10"/>
  <c r="GY2" i="10"/>
  <c r="GX2" i="10"/>
  <c r="GW2" i="10"/>
  <c r="GV2" i="10"/>
  <c r="GU2" i="10"/>
  <c r="GT2" i="10"/>
  <c r="GP2" i="10"/>
  <c r="GI2" i="10"/>
  <c r="GH2" i="10"/>
  <c r="GG2" i="10"/>
  <c r="GF2" i="10"/>
  <c r="GE2" i="10"/>
  <c r="GD2" i="10"/>
  <c r="GC2" i="10"/>
  <c r="GB2" i="10"/>
  <c r="GA2" i="10"/>
  <c r="FZ2" i="10"/>
  <c r="FY2" i="10"/>
  <c r="FX2" i="10"/>
  <c r="FW2" i="10"/>
  <c r="FV2" i="10"/>
  <c r="FU2" i="10"/>
  <c r="FT2" i="10"/>
  <c r="FS2" i="10"/>
  <c r="FR2" i="10"/>
  <c r="FQ2" i="10"/>
  <c r="FJ2" i="10"/>
  <c r="FI2" i="10"/>
  <c r="FH2" i="10"/>
  <c r="FG2" i="10"/>
  <c r="FF2" i="10"/>
  <c r="FE2" i="10"/>
  <c r="FD2" i="10"/>
  <c r="FC2" i="10"/>
  <c r="FB2" i="10"/>
  <c r="FA2" i="10"/>
  <c r="EZ2" i="10"/>
  <c r="EY2" i="10"/>
  <c r="EX2" i="10"/>
  <c r="EW2" i="10"/>
  <c r="EV2" i="10"/>
  <c r="EU2" i="10"/>
  <c r="ET2" i="10"/>
  <c r="ES2" i="10"/>
  <c r="ER2" i="10"/>
  <c r="EQ2" i="10"/>
  <c r="EP2" i="10"/>
  <c r="EO2" i="10"/>
  <c r="EN2" i="10"/>
  <c r="EM2" i="10"/>
  <c r="EL2" i="10"/>
  <c r="EK2" i="10"/>
  <c r="EJ2" i="10"/>
  <c r="EI2" i="10"/>
  <c r="EH2" i="10"/>
  <c r="EG2" i="10"/>
  <c r="EF2" i="10"/>
  <c r="EE2" i="10"/>
  <c r="ED2" i="10"/>
  <c r="EC2" i="10"/>
  <c r="EB2" i="10"/>
  <c r="EA2" i="10"/>
  <c r="DV2" i="10"/>
  <c r="DU2" i="10"/>
  <c r="DT2" i="10"/>
  <c r="DS2" i="10"/>
  <c r="DR2" i="10"/>
  <c r="DQ2" i="10"/>
  <c r="DP2" i="10"/>
  <c r="DO2" i="10"/>
  <c r="DN2" i="10"/>
  <c r="DK2" i="10"/>
  <c r="DJ2" i="10"/>
  <c r="DI2" i="10"/>
  <c r="DH2" i="10"/>
  <c r="DG2" i="10"/>
  <c r="DF2" i="10"/>
  <c r="DE2" i="10"/>
  <c r="DD2" i="10"/>
  <c r="DC2" i="10"/>
  <c r="DB2" i="10"/>
  <c r="DA2" i="10"/>
  <c r="CV2" i="10"/>
  <c r="CU2" i="10"/>
  <c r="CT2" i="10"/>
  <c r="CS2" i="10"/>
  <c r="GN2" i="10" s="1"/>
  <c r="CR2" i="10"/>
  <c r="GM2" i="10" s="1"/>
  <c r="CQ2" i="10"/>
  <c r="GL2" i="10" s="1"/>
  <c r="CP2" i="10"/>
  <c r="GJ2" i="10" s="1"/>
  <c r="GK2" i="10" s="1"/>
  <c r="CO2" i="10"/>
  <c r="DZ2" i="10" s="1"/>
  <c r="CN2" i="10"/>
  <c r="DY2" i="10" s="1"/>
  <c r="CM2" i="10"/>
  <c r="DX2" i="10" s="1"/>
  <c r="CL2" i="10"/>
  <c r="DW2" i="10" s="1"/>
  <c r="CG2" i="10" a="1"/>
  <c r="CG2" i="10" s="1"/>
  <c r="IM2" i="10" s="1"/>
  <c r="AW2" i="10"/>
  <c r="AV2" i="10"/>
  <c r="J2" i="10"/>
  <c r="G2" i="10"/>
  <c r="HX9" i="10" a="1"/>
  <c r="HX9" i="10" s="1"/>
  <c r="IW9" i="10" s="1"/>
  <c r="HW9" i="10" a="1"/>
  <c r="HW9" i="10" s="1"/>
  <c r="IV9" i="10" s="1"/>
  <c r="HV9" i="10" a="1"/>
  <c r="HV9" i="10" s="1"/>
  <c r="IU9" i="10" s="1"/>
  <c r="HU9" i="10" a="1"/>
  <c r="HU9" i="10" s="1"/>
  <c r="IT9" i="10" s="1"/>
  <c r="HT9" i="10" a="1"/>
  <c r="HT9" i="10" s="1"/>
  <c r="IS9" i="10" s="1"/>
  <c r="HS9" i="10" a="1"/>
  <c r="HS9" i="10" s="1"/>
  <c r="IR9" i="10" s="1"/>
  <c r="HR9" i="10" a="1"/>
  <c r="HR9" i="10" s="1"/>
  <c r="IQ9" i="10" s="1"/>
  <c r="HQ9" i="10" a="1"/>
  <c r="HQ9" i="10" s="1"/>
  <c r="IP9" i="10" s="1"/>
  <c r="HP9" i="10" a="1"/>
  <c r="HP9" i="10" s="1"/>
  <c r="IO9" i="10" s="1"/>
  <c r="HL9" i="10"/>
  <c r="HJ9" i="10"/>
  <c r="HH9" i="10"/>
  <c r="HB9" i="10"/>
  <c r="HA9" i="10"/>
  <c r="GZ9" i="10"/>
  <c r="GY9" i="10"/>
  <c r="GX9" i="10"/>
  <c r="GW9" i="10"/>
  <c r="GV9" i="10"/>
  <c r="GU9" i="10"/>
  <c r="GT9" i="10"/>
  <c r="GP9" i="10"/>
  <c r="GI9" i="10"/>
  <c r="GH9" i="10"/>
  <c r="GG9" i="10"/>
  <c r="GF9" i="10"/>
  <c r="GE9" i="10"/>
  <c r="GB9" i="10"/>
  <c r="GA9" i="10"/>
  <c r="FZ9" i="10"/>
  <c r="FY9" i="10"/>
  <c r="FW9" i="10"/>
  <c r="FV9" i="10"/>
  <c r="FU9" i="10"/>
  <c r="FT9" i="10"/>
  <c r="FS9" i="10"/>
  <c r="FR9" i="10"/>
  <c r="FQ9" i="10"/>
  <c r="FJ9" i="10"/>
  <c r="FI9" i="10"/>
  <c r="FH9" i="10"/>
  <c r="FG9" i="10"/>
  <c r="FF9" i="10"/>
  <c r="FP9" i="10" s="1"/>
  <c r="FE9" i="10"/>
  <c r="FN9" i="10" s="1"/>
  <c r="FD9" i="10"/>
  <c r="FB9" i="10"/>
  <c r="FA9" i="10"/>
  <c r="EZ9" i="10"/>
  <c r="EY9" i="10"/>
  <c r="EX9" i="10"/>
  <c r="EW9" i="10"/>
  <c r="EV9" i="10"/>
  <c r="EU9" i="10"/>
  <c r="ET9" i="10"/>
  <c r="ES9" i="10"/>
  <c r="ER9" i="10"/>
  <c r="EQ9" i="10"/>
  <c r="EP9" i="10"/>
  <c r="EO9" i="10"/>
  <c r="EN9" i="10"/>
  <c r="EM9" i="10"/>
  <c r="EL9" i="10"/>
  <c r="EK9" i="10"/>
  <c r="EJ9" i="10"/>
  <c r="EI9" i="10"/>
  <c r="EH9" i="10"/>
  <c r="EG9" i="10"/>
  <c r="EF9" i="10"/>
  <c r="EE9" i="10"/>
  <c r="ED9" i="10"/>
  <c r="EC9" i="10"/>
  <c r="EB9" i="10"/>
  <c r="EA9" i="10"/>
  <c r="DU9" i="10"/>
  <c r="DT9" i="10"/>
  <c r="DS9" i="10"/>
  <c r="DR9" i="10"/>
  <c r="DQ9" i="10"/>
  <c r="DP9" i="10"/>
  <c r="DO9" i="10"/>
  <c r="DN9" i="10"/>
  <c r="DK9" i="10"/>
  <c r="DJ9" i="10"/>
  <c r="DI9" i="10"/>
  <c r="DH9" i="10"/>
  <c r="DG9" i="10"/>
  <c r="DF9" i="10"/>
  <c r="DE9" i="10"/>
  <c r="DD9" i="10"/>
  <c r="DB9" i="10"/>
  <c r="DA9" i="10"/>
  <c r="CV9" i="10"/>
  <c r="CU9" i="10"/>
  <c r="CT9" i="10"/>
  <c r="CS9" i="10"/>
  <c r="GN9" i="10" s="1"/>
  <c r="CR9" i="10"/>
  <c r="GM9" i="10" s="1"/>
  <c r="CQ9" i="10"/>
  <c r="GL9" i="10" s="1"/>
  <c r="CP9" i="10"/>
  <c r="GJ9" i="10" s="1"/>
  <c r="GK9" i="10" s="1"/>
  <c r="CO9" i="10"/>
  <c r="DZ9" i="10" s="1"/>
  <c r="CN9" i="10"/>
  <c r="DY9" i="10" s="1"/>
  <c r="CM9" i="10"/>
  <c r="DX9" i="10" s="1"/>
  <c r="CL9" i="10"/>
  <c r="DW9" i="10" s="1"/>
  <c r="CG9" i="10" a="1"/>
  <c r="CG9" i="10" s="1"/>
  <c r="DM9" i="10" s="1" a="1"/>
  <c r="DM9" i="10" s="1"/>
  <c r="AW9" i="10"/>
  <c r="AV9" i="10"/>
  <c r="J9" i="10"/>
  <c r="G9" i="10"/>
  <c r="IL2" i="9"/>
  <c r="HX2" i="9" a="1"/>
  <c r="HX2" i="9" s="1"/>
  <c r="IW2" i="9" s="1"/>
  <c r="HW2" i="9" a="1"/>
  <c r="HW2" i="9" s="1"/>
  <c r="IV2" i="9" s="1"/>
  <c r="HV2" i="9" a="1"/>
  <c r="HV2" i="9" s="1"/>
  <c r="IU2" i="9" s="1"/>
  <c r="HU2" i="9" a="1"/>
  <c r="HU2" i="9" s="1"/>
  <c r="IT2" i="9" s="1"/>
  <c r="HT2" i="9" a="1"/>
  <c r="HT2" i="9" s="1"/>
  <c r="IS2" i="9" s="1"/>
  <c r="HS2" i="9" a="1"/>
  <c r="HS2" i="9" s="1"/>
  <c r="IR2" i="9" s="1"/>
  <c r="HR2" i="9" a="1"/>
  <c r="HR2" i="9" s="1"/>
  <c r="IQ2" i="9" s="1"/>
  <c r="HQ2" i="9" a="1"/>
  <c r="HQ2" i="9" s="1"/>
  <c r="IP2" i="9" s="1"/>
  <c r="HP2" i="9" a="1"/>
  <c r="HP2" i="9" s="1"/>
  <c r="IO2" i="9" s="1"/>
  <c r="HL2" i="9"/>
  <c r="HJ2" i="9"/>
  <c r="HH2" i="9"/>
  <c r="HB2" i="9"/>
  <c r="HA2" i="9"/>
  <c r="GZ2" i="9"/>
  <c r="GY2" i="9"/>
  <c r="GX2" i="9"/>
  <c r="GW2" i="9"/>
  <c r="GV2" i="9"/>
  <c r="GU2" i="9"/>
  <c r="GT2" i="9"/>
  <c r="GP2" i="9"/>
  <c r="GI2" i="9"/>
  <c r="GH2" i="9"/>
  <c r="GG2" i="9"/>
  <c r="GF2" i="9"/>
  <c r="GE2" i="9"/>
  <c r="GD2" i="9"/>
  <c r="GC2" i="9"/>
  <c r="GB2" i="9"/>
  <c r="GA2" i="9"/>
  <c r="FZ2" i="9"/>
  <c r="FY2" i="9"/>
  <c r="FX2" i="9"/>
  <c r="FW2" i="9"/>
  <c r="FV2" i="9"/>
  <c r="FU2" i="9"/>
  <c r="FT2" i="9"/>
  <c r="FS2" i="9"/>
  <c r="FR2" i="9"/>
  <c r="FQ2" i="9"/>
  <c r="FJ2" i="9"/>
  <c r="FI2" i="9"/>
  <c r="FH2" i="9"/>
  <c r="FG2" i="9"/>
  <c r="FF2" i="9"/>
  <c r="FE2" i="9"/>
  <c r="FD2" i="9"/>
  <c r="FC2" i="9"/>
  <c r="FB2" i="9"/>
  <c r="FA2" i="9"/>
  <c r="EZ2" i="9"/>
  <c r="EY2" i="9"/>
  <c r="EX2" i="9"/>
  <c r="EW2" i="9"/>
  <c r="EV2" i="9"/>
  <c r="EU2" i="9"/>
  <c r="ET2" i="9"/>
  <c r="ES2" i="9"/>
  <c r="ER2" i="9"/>
  <c r="EQ2" i="9"/>
  <c r="EP2" i="9"/>
  <c r="EO2" i="9"/>
  <c r="EN2" i="9"/>
  <c r="EM2" i="9"/>
  <c r="EL2" i="9"/>
  <c r="EK2" i="9"/>
  <c r="EJ2" i="9"/>
  <c r="EI2" i="9"/>
  <c r="EH2" i="9"/>
  <c r="EG2" i="9"/>
  <c r="EF2" i="9"/>
  <c r="EE2" i="9"/>
  <c r="ED2" i="9"/>
  <c r="EC2" i="9"/>
  <c r="EB2" i="9"/>
  <c r="EA2" i="9"/>
  <c r="DV2" i="9"/>
  <c r="DU2" i="9"/>
  <c r="DT2" i="9"/>
  <c r="DS2" i="9"/>
  <c r="DR2" i="9"/>
  <c r="DQ2" i="9"/>
  <c r="DP2" i="9"/>
  <c r="DO2" i="9"/>
  <c r="DN2" i="9"/>
  <c r="DK2" i="9"/>
  <c r="DJ2" i="9"/>
  <c r="DI2" i="9"/>
  <c r="DH2" i="9"/>
  <c r="DG2" i="9"/>
  <c r="DF2" i="9"/>
  <c r="DE2" i="9"/>
  <c r="DD2" i="9"/>
  <c r="DC2" i="9"/>
  <c r="DB2" i="9"/>
  <c r="DA2" i="9"/>
  <c r="CV2" i="9"/>
  <c r="CU2" i="9"/>
  <c r="CT2" i="9"/>
  <c r="CS2" i="9"/>
  <c r="GN2" i="9" s="1"/>
  <c r="CR2" i="9"/>
  <c r="GM2" i="9" s="1"/>
  <c r="CQ2" i="9"/>
  <c r="GL2" i="9" s="1"/>
  <c r="CP2" i="9"/>
  <c r="GJ2" i="9" s="1"/>
  <c r="GK2" i="9" s="1"/>
  <c r="CO2" i="9"/>
  <c r="DZ2" i="9" s="1"/>
  <c r="CN2" i="9"/>
  <c r="DY2" i="9" s="1"/>
  <c r="CM2" i="9"/>
  <c r="DX2" i="9" s="1"/>
  <c r="CL2" i="9"/>
  <c r="DW2" i="9" s="1"/>
  <c r="CG2" i="9" a="1"/>
  <c r="CG2" i="9" s="1"/>
  <c r="IN2" i="9" s="1"/>
  <c r="IX2" i="9" s="1"/>
  <c r="AW2" i="9"/>
  <c r="AV2" i="9"/>
  <c r="J2" i="9"/>
  <c r="G2" i="9"/>
  <c r="HX26" i="9" a="1"/>
  <c r="HX26" i="9" s="1"/>
  <c r="IW26" i="9" s="1"/>
  <c r="HW26" i="9" a="1"/>
  <c r="HW26" i="9" s="1"/>
  <c r="IV26" i="9" s="1"/>
  <c r="HV26" i="9" a="1"/>
  <c r="HV26" i="9" s="1"/>
  <c r="IU26" i="9" s="1"/>
  <c r="HU26" i="9" a="1"/>
  <c r="HU26" i="9" s="1"/>
  <c r="IT26" i="9" s="1"/>
  <c r="HT26" i="9" a="1"/>
  <c r="HT26" i="9" s="1"/>
  <c r="IS26" i="9" s="1"/>
  <c r="HS26" i="9" a="1"/>
  <c r="HS26" i="9" s="1"/>
  <c r="IR26" i="9" s="1"/>
  <c r="HR26" i="9" a="1"/>
  <c r="HR26" i="9" s="1"/>
  <c r="IQ26" i="9" s="1"/>
  <c r="HQ26" i="9" a="1"/>
  <c r="HQ26" i="9" s="1"/>
  <c r="IP26" i="9" s="1"/>
  <c r="HP26" i="9" a="1"/>
  <c r="HP26" i="9" s="1"/>
  <c r="IO26" i="9" s="1"/>
  <c r="HL26" i="9"/>
  <c r="HJ26" i="9"/>
  <c r="HH26" i="9"/>
  <c r="HB26" i="9"/>
  <c r="HA26" i="9"/>
  <c r="GZ26" i="9"/>
  <c r="GY26" i="9"/>
  <c r="GX26" i="9"/>
  <c r="GW26" i="9"/>
  <c r="GV26" i="9"/>
  <c r="GU26" i="9"/>
  <c r="GT26" i="9"/>
  <c r="GP26" i="9"/>
  <c r="GI26" i="9"/>
  <c r="GH26" i="9"/>
  <c r="GG26" i="9"/>
  <c r="GF26" i="9"/>
  <c r="GE26" i="9"/>
  <c r="GB26" i="9"/>
  <c r="GA26" i="9"/>
  <c r="FZ26" i="9"/>
  <c r="FY26" i="9"/>
  <c r="FW26" i="9"/>
  <c r="FV26" i="9"/>
  <c r="FU26" i="9"/>
  <c r="FT26" i="9"/>
  <c r="FS26" i="9"/>
  <c r="FR26" i="9"/>
  <c r="FQ26" i="9"/>
  <c r="FJ26" i="9"/>
  <c r="FI26" i="9"/>
  <c r="FH26" i="9"/>
  <c r="FG26" i="9"/>
  <c r="FF26" i="9"/>
  <c r="FE26" i="9"/>
  <c r="FD26" i="9"/>
  <c r="FB26" i="9"/>
  <c r="FA26" i="9"/>
  <c r="EZ26" i="9"/>
  <c r="EY26" i="9"/>
  <c r="EX26" i="9"/>
  <c r="EW26" i="9"/>
  <c r="EV26" i="9"/>
  <c r="EU26" i="9"/>
  <c r="ET26" i="9"/>
  <c r="ES26" i="9"/>
  <c r="ER26" i="9"/>
  <c r="EQ26" i="9"/>
  <c r="EP26" i="9"/>
  <c r="EO26" i="9"/>
  <c r="EN26" i="9"/>
  <c r="EM26" i="9"/>
  <c r="EL26" i="9"/>
  <c r="EK26" i="9"/>
  <c r="EJ26" i="9"/>
  <c r="EI26" i="9"/>
  <c r="EH26" i="9"/>
  <c r="EG26" i="9"/>
  <c r="EF26" i="9"/>
  <c r="EE26" i="9"/>
  <c r="ED26" i="9"/>
  <c r="EC26" i="9"/>
  <c r="EB26" i="9"/>
  <c r="EA26" i="9"/>
  <c r="DU26" i="9"/>
  <c r="DT26" i="9"/>
  <c r="DS26" i="9"/>
  <c r="DR26" i="9"/>
  <c r="DQ26" i="9"/>
  <c r="DP26" i="9"/>
  <c r="DO26" i="9"/>
  <c r="DN26" i="9"/>
  <c r="DK26" i="9"/>
  <c r="DJ26" i="9"/>
  <c r="DI26" i="9"/>
  <c r="DH26" i="9"/>
  <c r="DG26" i="9"/>
  <c r="DF26" i="9"/>
  <c r="DE26" i="9"/>
  <c r="DD26" i="9"/>
  <c r="DB26" i="9"/>
  <c r="DA26" i="9"/>
  <c r="CV26" i="9"/>
  <c r="CT26" i="9"/>
  <c r="CS26" i="9"/>
  <c r="GN26" i="9" s="1"/>
  <c r="CR26" i="9"/>
  <c r="GM26" i="9" s="1"/>
  <c r="CQ26" i="9"/>
  <c r="GL26" i="9" s="1"/>
  <c r="CP26" i="9"/>
  <c r="GJ26" i="9" s="1"/>
  <c r="GK26" i="9" s="1"/>
  <c r="CO26" i="9"/>
  <c r="DZ26" i="9" s="1"/>
  <c r="CN26" i="9"/>
  <c r="DY26" i="9" s="1"/>
  <c r="CM26" i="9"/>
  <c r="DX26" i="9" s="1"/>
  <c r="CL26" i="9"/>
  <c r="DW26" i="9" s="1"/>
  <c r="CG26" i="9" a="1"/>
  <c r="CG26" i="9" s="1"/>
  <c r="CH26" i="9" s="1"/>
  <c r="CW26" i="9" s="1"/>
  <c r="AW26" i="9"/>
  <c r="AV26" i="9"/>
  <c r="CU26" i="9"/>
  <c r="J26" i="9"/>
  <c r="G26" i="9"/>
  <c r="HX25" i="9" a="1"/>
  <c r="HX25" i="9" s="1"/>
  <c r="IW25" i="9" s="1"/>
  <c r="HW25" i="9" a="1"/>
  <c r="HW25" i="9" s="1"/>
  <c r="IV25" i="9" s="1"/>
  <c r="HV25" i="9" a="1"/>
  <c r="HV25" i="9" s="1"/>
  <c r="IU25" i="9" s="1"/>
  <c r="HU25" i="9" a="1"/>
  <c r="HU25" i="9" s="1"/>
  <c r="IT25" i="9" s="1"/>
  <c r="HT25" i="9" a="1"/>
  <c r="HT25" i="9" s="1"/>
  <c r="IS25" i="9" s="1"/>
  <c r="HS25" i="9" a="1"/>
  <c r="HS25" i="9" s="1"/>
  <c r="IR25" i="9" s="1"/>
  <c r="HR25" i="9" a="1"/>
  <c r="HR25" i="9" s="1"/>
  <c r="IQ25" i="9" s="1"/>
  <c r="HQ25" i="9" a="1"/>
  <c r="HQ25" i="9" s="1"/>
  <c r="IP25" i="9" s="1"/>
  <c r="HP25" i="9" a="1"/>
  <c r="HP25" i="9" s="1"/>
  <c r="IO25" i="9" s="1"/>
  <c r="HL25" i="9"/>
  <c r="HJ25" i="9"/>
  <c r="HH25" i="9"/>
  <c r="HB25" i="9"/>
  <c r="HA25" i="9"/>
  <c r="GZ25" i="9"/>
  <c r="GY25" i="9"/>
  <c r="GX25" i="9"/>
  <c r="GW25" i="9"/>
  <c r="GV25" i="9"/>
  <c r="GU25" i="9"/>
  <c r="GT25" i="9"/>
  <c r="GP25" i="9"/>
  <c r="GI25" i="9"/>
  <c r="GH25" i="9"/>
  <c r="GG25" i="9"/>
  <c r="GF25" i="9"/>
  <c r="GE25" i="9"/>
  <c r="GB25" i="9"/>
  <c r="GA25" i="9"/>
  <c r="FZ25" i="9"/>
  <c r="FY25" i="9"/>
  <c r="FW25" i="9"/>
  <c r="FV25" i="9"/>
  <c r="FU25" i="9"/>
  <c r="FT25" i="9"/>
  <c r="FS25" i="9"/>
  <c r="FR25" i="9"/>
  <c r="FQ25" i="9"/>
  <c r="FJ25" i="9"/>
  <c r="FI25" i="9"/>
  <c r="FH25" i="9"/>
  <c r="FG25" i="9"/>
  <c r="FF25" i="9"/>
  <c r="FP25" i="9" s="1"/>
  <c r="FE25" i="9"/>
  <c r="FD25" i="9"/>
  <c r="FB25" i="9"/>
  <c r="FA25" i="9"/>
  <c r="EZ25" i="9"/>
  <c r="EY25" i="9"/>
  <c r="EX25" i="9"/>
  <c r="EW25" i="9"/>
  <c r="EV25" i="9"/>
  <c r="EU25" i="9"/>
  <c r="ET25" i="9"/>
  <c r="ES25" i="9"/>
  <c r="ER25" i="9"/>
  <c r="EQ25" i="9"/>
  <c r="EP25" i="9"/>
  <c r="EO25" i="9"/>
  <c r="EN25" i="9"/>
  <c r="EM25" i="9"/>
  <c r="EL25" i="9"/>
  <c r="EK25" i="9"/>
  <c r="EJ25" i="9"/>
  <c r="EI25" i="9"/>
  <c r="EH25" i="9"/>
  <c r="EG25" i="9"/>
  <c r="EF25" i="9"/>
  <c r="EE25" i="9"/>
  <c r="ED25" i="9"/>
  <c r="EC25" i="9"/>
  <c r="EB25" i="9"/>
  <c r="EA25" i="9"/>
  <c r="DU25" i="9"/>
  <c r="DT25" i="9"/>
  <c r="DS25" i="9"/>
  <c r="DR25" i="9"/>
  <c r="DQ25" i="9"/>
  <c r="DP25" i="9"/>
  <c r="DO25" i="9"/>
  <c r="DN25" i="9"/>
  <c r="DK25" i="9"/>
  <c r="DJ25" i="9"/>
  <c r="DI25" i="9"/>
  <c r="DH25" i="9"/>
  <c r="DG25" i="9"/>
  <c r="DF25" i="9"/>
  <c r="DE25" i="9"/>
  <c r="DD25" i="9"/>
  <c r="DB25" i="9"/>
  <c r="DA25" i="9"/>
  <c r="CV25" i="9"/>
  <c r="CU25" i="9"/>
  <c r="CT25" i="9"/>
  <c r="CS25" i="9"/>
  <c r="GN25" i="9" s="1"/>
  <c r="CR25" i="9"/>
  <c r="GM25" i="9" s="1"/>
  <c r="CQ25" i="9"/>
  <c r="GL25" i="9" s="1"/>
  <c r="CP25" i="9"/>
  <c r="GJ25" i="9" s="1"/>
  <c r="GK25" i="9" s="1"/>
  <c r="CO25" i="9"/>
  <c r="DZ25" i="9" s="1"/>
  <c r="CN25" i="9"/>
  <c r="DY25" i="9" s="1"/>
  <c r="CM25" i="9"/>
  <c r="DX25" i="9" s="1"/>
  <c r="CL25" i="9"/>
  <c r="DW25" i="9" s="1"/>
  <c r="CG25" i="9" a="1"/>
  <c r="CG25" i="9" s="1"/>
  <c r="DM25" i="9" s="1" a="1"/>
  <c r="DM25" i="9" s="1"/>
  <c r="AW25" i="9"/>
  <c r="AV25" i="9"/>
  <c r="J25" i="9"/>
  <c r="G25" i="9"/>
  <c r="HX24" i="9" a="1"/>
  <c r="HX24" i="9" s="1"/>
  <c r="IW24" i="9" s="1"/>
  <c r="HW24" i="9" a="1"/>
  <c r="HW24" i="9" s="1"/>
  <c r="IV24" i="9" s="1"/>
  <c r="HV24" i="9" a="1"/>
  <c r="HV24" i="9" s="1"/>
  <c r="IU24" i="9" s="1"/>
  <c r="HU24" i="9" a="1"/>
  <c r="HU24" i="9" s="1"/>
  <c r="IT24" i="9" s="1"/>
  <c r="HT24" i="9" a="1"/>
  <c r="HT24" i="9" s="1"/>
  <c r="IS24" i="9" s="1"/>
  <c r="HS24" i="9" a="1"/>
  <c r="HS24" i="9" s="1"/>
  <c r="IR24" i="9" s="1"/>
  <c r="HR24" i="9" a="1"/>
  <c r="HR24" i="9" s="1"/>
  <c r="IQ24" i="9" s="1"/>
  <c r="HQ24" i="9" a="1"/>
  <c r="HQ24" i="9" s="1"/>
  <c r="IP24" i="9" s="1"/>
  <c r="HP24" i="9" a="1"/>
  <c r="HP24" i="9" s="1"/>
  <c r="IO24" i="9" s="1"/>
  <c r="HL24" i="9"/>
  <c r="HJ24" i="9"/>
  <c r="HH24" i="9"/>
  <c r="HB24" i="9"/>
  <c r="HA24" i="9"/>
  <c r="GZ24" i="9"/>
  <c r="GY24" i="9"/>
  <c r="GX24" i="9"/>
  <c r="GW24" i="9"/>
  <c r="GV24" i="9"/>
  <c r="GU24" i="9"/>
  <c r="GT24" i="9"/>
  <c r="GP24" i="9"/>
  <c r="GI24" i="9"/>
  <c r="GH24" i="9"/>
  <c r="GG24" i="9"/>
  <c r="GF24" i="9"/>
  <c r="GE24" i="9"/>
  <c r="GB24" i="9"/>
  <c r="GA24" i="9"/>
  <c r="FZ24" i="9"/>
  <c r="FY24" i="9"/>
  <c r="FW24" i="9"/>
  <c r="FV24" i="9"/>
  <c r="FU24" i="9"/>
  <c r="FT24" i="9"/>
  <c r="FS24" i="9"/>
  <c r="FR24" i="9"/>
  <c r="FQ24" i="9"/>
  <c r="FJ24" i="9"/>
  <c r="FI24" i="9"/>
  <c r="FH24" i="9"/>
  <c r="FG24" i="9"/>
  <c r="FF24" i="9"/>
  <c r="FP24" i="9" s="1"/>
  <c r="FE24" i="9"/>
  <c r="FD24" i="9"/>
  <c r="FB24" i="9"/>
  <c r="FA24" i="9"/>
  <c r="EZ24" i="9"/>
  <c r="EY24" i="9"/>
  <c r="EX24" i="9"/>
  <c r="EW24" i="9"/>
  <c r="EV24" i="9"/>
  <c r="EU24" i="9"/>
  <c r="ET24" i="9"/>
  <c r="ES24" i="9"/>
  <c r="ER24" i="9"/>
  <c r="EQ24" i="9"/>
  <c r="EP24" i="9"/>
  <c r="EO24" i="9"/>
  <c r="EN24" i="9"/>
  <c r="EM24" i="9"/>
  <c r="EL24" i="9"/>
  <c r="EK24" i="9"/>
  <c r="EJ24" i="9"/>
  <c r="EI24" i="9"/>
  <c r="EH24" i="9"/>
  <c r="EG24" i="9"/>
  <c r="EF24" i="9"/>
  <c r="EE24" i="9"/>
  <c r="ED24" i="9"/>
  <c r="EC24" i="9"/>
  <c r="EB24" i="9"/>
  <c r="EA24" i="9"/>
  <c r="DU24" i="9"/>
  <c r="DT24" i="9"/>
  <c r="DS24" i="9"/>
  <c r="DR24" i="9"/>
  <c r="DQ24" i="9"/>
  <c r="DP24" i="9"/>
  <c r="DO24" i="9"/>
  <c r="DN24" i="9"/>
  <c r="DK24" i="9"/>
  <c r="DJ24" i="9"/>
  <c r="DI24" i="9"/>
  <c r="DH24" i="9"/>
  <c r="DG24" i="9"/>
  <c r="DF24" i="9"/>
  <c r="DE24" i="9"/>
  <c r="DD24" i="9"/>
  <c r="DB24" i="9"/>
  <c r="DA24" i="9"/>
  <c r="CV24" i="9"/>
  <c r="CU24" i="9"/>
  <c r="CT24" i="9"/>
  <c r="CS24" i="9"/>
  <c r="GN24" i="9" s="1"/>
  <c r="CR24" i="9"/>
  <c r="GM24" i="9" s="1"/>
  <c r="CQ24" i="9"/>
  <c r="GL24" i="9" s="1"/>
  <c r="CP24" i="9"/>
  <c r="GJ24" i="9" s="1"/>
  <c r="GK24" i="9" s="1"/>
  <c r="CO24" i="9"/>
  <c r="DZ24" i="9" s="1"/>
  <c r="CN24" i="9"/>
  <c r="DY24" i="9" s="1"/>
  <c r="CM24" i="9"/>
  <c r="DX24" i="9" s="1"/>
  <c r="CL24" i="9"/>
  <c r="DW24" i="9" s="1"/>
  <c r="CG24" i="9" a="1"/>
  <c r="CG24" i="9" s="1"/>
  <c r="IM24" i="9" s="1"/>
  <c r="AW24" i="9"/>
  <c r="AV24" i="9"/>
  <c r="J24" i="9"/>
  <c r="G24" i="9"/>
  <c r="HX23" i="9" a="1"/>
  <c r="HX23" i="9" s="1"/>
  <c r="IW23" i="9" s="1"/>
  <c r="HW23" i="9" a="1"/>
  <c r="HW23" i="9" s="1"/>
  <c r="IV23" i="9" s="1"/>
  <c r="HV23" i="9" a="1"/>
  <c r="HV23" i="9" s="1"/>
  <c r="IU23" i="9" s="1"/>
  <c r="HU23" i="9" a="1"/>
  <c r="HU23" i="9" s="1"/>
  <c r="IT23" i="9" s="1"/>
  <c r="HT23" i="9" a="1"/>
  <c r="HT23" i="9" s="1"/>
  <c r="IS23" i="9" s="1"/>
  <c r="HS23" i="9" a="1"/>
  <c r="HS23" i="9" s="1"/>
  <c r="IR23" i="9" s="1"/>
  <c r="HR23" i="9" a="1"/>
  <c r="HR23" i="9" s="1"/>
  <c r="IQ23" i="9" s="1"/>
  <c r="HQ23" i="9" a="1"/>
  <c r="HQ23" i="9" s="1"/>
  <c r="IP23" i="9" s="1"/>
  <c r="HP23" i="9" a="1"/>
  <c r="HP23" i="9" s="1"/>
  <c r="IO23" i="9" s="1"/>
  <c r="HL23" i="9"/>
  <c r="HJ23" i="9"/>
  <c r="HH23" i="9"/>
  <c r="HB23" i="9"/>
  <c r="HA23" i="9"/>
  <c r="GZ23" i="9"/>
  <c r="GY23" i="9"/>
  <c r="GX23" i="9"/>
  <c r="GW23" i="9"/>
  <c r="GV23" i="9"/>
  <c r="GU23" i="9"/>
  <c r="GT23" i="9"/>
  <c r="GP23" i="9"/>
  <c r="GI23" i="9"/>
  <c r="GH23" i="9"/>
  <c r="GG23" i="9"/>
  <c r="GF23" i="9"/>
  <c r="GE23" i="9"/>
  <c r="GB23" i="9"/>
  <c r="GA23" i="9"/>
  <c r="FZ23" i="9"/>
  <c r="FY23" i="9"/>
  <c r="FW23" i="9"/>
  <c r="FV23" i="9"/>
  <c r="FU23" i="9"/>
  <c r="FT23" i="9"/>
  <c r="FS23" i="9"/>
  <c r="FR23" i="9"/>
  <c r="FQ23" i="9"/>
  <c r="FJ23" i="9"/>
  <c r="FI23" i="9"/>
  <c r="FH23" i="9"/>
  <c r="FG23" i="9"/>
  <c r="FF23" i="9"/>
  <c r="FP23" i="9" s="1"/>
  <c r="FE23" i="9"/>
  <c r="FD23" i="9"/>
  <c r="FB23" i="9"/>
  <c r="FA23" i="9"/>
  <c r="EZ23" i="9"/>
  <c r="EY23" i="9"/>
  <c r="EX23" i="9"/>
  <c r="EW23" i="9"/>
  <c r="EV23" i="9"/>
  <c r="EU23" i="9"/>
  <c r="ET23" i="9"/>
  <c r="ES23" i="9"/>
  <c r="ER23" i="9"/>
  <c r="EQ23" i="9"/>
  <c r="EP23" i="9"/>
  <c r="EO23" i="9"/>
  <c r="EN23" i="9"/>
  <c r="EM23" i="9"/>
  <c r="EL23" i="9"/>
  <c r="EK23" i="9"/>
  <c r="EJ23" i="9"/>
  <c r="EI23" i="9"/>
  <c r="EH23" i="9"/>
  <c r="EG23" i="9"/>
  <c r="EF23" i="9"/>
  <c r="EE23" i="9"/>
  <c r="ED23" i="9"/>
  <c r="EC23" i="9"/>
  <c r="EB23" i="9"/>
  <c r="EA23" i="9"/>
  <c r="DU23" i="9"/>
  <c r="DT23" i="9"/>
  <c r="DS23" i="9"/>
  <c r="DR23" i="9"/>
  <c r="DQ23" i="9"/>
  <c r="DP23" i="9"/>
  <c r="DO23" i="9"/>
  <c r="DN23" i="9"/>
  <c r="DK23" i="9"/>
  <c r="DJ23" i="9"/>
  <c r="DI23" i="9"/>
  <c r="DH23" i="9"/>
  <c r="DG23" i="9"/>
  <c r="DF23" i="9"/>
  <c r="DE23" i="9"/>
  <c r="DD23" i="9"/>
  <c r="DB23" i="9"/>
  <c r="DA23" i="9"/>
  <c r="CV23" i="9"/>
  <c r="CU23" i="9"/>
  <c r="CT23" i="9"/>
  <c r="CS23" i="9"/>
  <c r="GN23" i="9" s="1"/>
  <c r="CR23" i="9"/>
  <c r="GM23" i="9" s="1"/>
  <c r="CQ23" i="9"/>
  <c r="GL23" i="9" s="1"/>
  <c r="CP23" i="9"/>
  <c r="GJ23" i="9" s="1"/>
  <c r="GK23" i="9" s="1"/>
  <c r="CO23" i="9"/>
  <c r="DZ23" i="9" s="1"/>
  <c r="CN23" i="9"/>
  <c r="DY23" i="9" s="1"/>
  <c r="CM23" i="9"/>
  <c r="DX23" i="9" s="1"/>
  <c r="CL23" i="9"/>
  <c r="DW23" i="9" s="1"/>
  <c r="CG23" i="9" a="1"/>
  <c r="CG23" i="9" s="1"/>
  <c r="CI23" i="9" s="1"/>
  <c r="CX23" i="9" s="1"/>
  <c r="AW23" i="9"/>
  <c r="AV23" i="9"/>
  <c r="J23" i="9"/>
  <c r="G23" i="9"/>
  <c r="HX22" i="9" a="1"/>
  <c r="HX22" i="9" s="1"/>
  <c r="IW22" i="9" s="1"/>
  <c r="HW22" i="9" a="1"/>
  <c r="HW22" i="9" s="1"/>
  <c r="IV22" i="9" s="1"/>
  <c r="HV22" i="9" a="1"/>
  <c r="HV22" i="9" s="1"/>
  <c r="IU22" i="9" s="1"/>
  <c r="HU22" i="9" a="1"/>
  <c r="HU22" i="9" s="1"/>
  <c r="IT22" i="9" s="1"/>
  <c r="HT22" i="9" a="1"/>
  <c r="HT22" i="9" s="1"/>
  <c r="IS22" i="9" s="1"/>
  <c r="HS22" i="9" a="1"/>
  <c r="HS22" i="9" s="1"/>
  <c r="IR22" i="9" s="1"/>
  <c r="HR22" i="9" a="1"/>
  <c r="HR22" i="9" s="1"/>
  <c r="IQ22" i="9" s="1"/>
  <c r="HQ22" i="9" a="1"/>
  <c r="HQ22" i="9" s="1"/>
  <c r="IP22" i="9" s="1"/>
  <c r="HP22" i="9" a="1"/>
  <c r="HP22" i="9" s="1"/>
  <c r="IO22" i="9" s="1"/>
  <c r="HL22" i="9"/>
  <c r="HJ22" i="9"/>
  <c r="HH22" i="9"/>
  <c r="HB22" i="9"/>
  <c r="HA22" i="9"/>
  <c r="GZ22" i="9"/>
  <c r="GY22" i="9"/>
  <c r="GX22" i="9"/>
  <c r="GW22" i="9"/>
  <c r="GV22" i="9"/>
  <c r="GU22" i="9"/>
  <c r="GT22" i="9"/>
  <c r="GP22" i="9"/>
  <c r="GI22" i="9"/>
  <c r="GH22" i="9"/>
  <c r="GG22" i="9"/>
  <c r="GF22" i="9"/>
  <c r="GE22" i="9"/>
  <c r="GB22" i="9"/>
  <c r="GA22" i="9"/>
  <c r="FZ22" i="9"/>
  <c r="FY22" i="9"/>
  <c r="FW22" i="9"/>
  <c r="FV22" i="9"/>
  <c r="FU22" i="9"/>
  <c r="FT22" i="9"/>
  <c r="FS22" i="9"/>
  <c r="FR22" i="9"/>
  <c r="FQ22" i="9"/>
  <c r="FJ22" i="9"/>
  <c r="FI22" i="9"/>
  <c r="FH22" i="9"/>
  <c r="FG22" i="9"/>
  <c r="FF22" i="9"/>
  <c r="FP22" i="9" s="1"/>
  <c r="FE22" i="9"/>
  <c r="FD22" i="9"/>
  <c r="FB22" i="9"/>
  <c r="FA22" i="9"/>
  <c r="EZ22" i="9"/>
  <c r="EY22" i="9"/>
  <c r="EX22" i="9"/>
  <c r="EW22" i="9"/>
  <c r="EV22" i="9"/>
  <c r="EU22" i="9"/>
  <c r="ET22" i="9"/>
  <c r="ES22" i="9"/>
  <c r="ER22" i="9"/>
  <c r="EQ22" i="9"/>
  <c r="EP22" i="9"/>
  <c r="EO22" i="9"/>
  <c r="EN22" i="9"/>
  <c r="EM22" i="9"/>
  <c r="EL22" i="9"/>
  <c r="EK22" i="9"/>
  <c r="EJ22" i="9"/>
  <c r="EI22" i="9"/>
  <c r="EH22" i="9"/>
  <c r="EG22" i="9"/>
  <c r="EF22" i="9"/>
  <c r="EE22" i="9"/>
  <c r="ED22" i="9"/>
  <c r="EC22" i="9"/>
  <c r="EB22" i="9"/>
  <c r="EA22" i="9"/>
  <c r="DU22" i="9"/>
  <c r="DT22" i="9"/>
  <c r="DS22" i="9"/>
  <c r="DR22" i="9"/>
  <c r="DQ22" i="9"/>
  <c r="DP22" i="9"/>
  <c r="DO22" i="9"/>
  <c r="DN22" i="9"/>
  <c r="DK22" i="9"/>
  <c r="DJ22" i="9"/>
  <c r="DI22" i="9"/>
  <c r="DH22" i="9"/>
  <c r="DG22" i="9"/>
  <c r="DF22" i="9"/>
  <c r="DE22" i="9"/>
  <c r="DD22" i="9"/>
  <c r="DB22" i="9"/>
  <c r="DA22" i="9"/>
  <c r="CV22" i="9"/>
  <c r="CU22" i="9"/>
  <c r="CT22" i="9"/>
  <c r="CS22" i="9"/>
  <c r="GN22" i="9" s="1"/>
  <c r="CR22" i="9"/>
  <c r="GM22" i="9" s="1"/>
  <c r="CQ22" i="9"/>
  <c r="GL22" i="9" s="1"/>
  <c r="CP22" i="9"/>
  <c r="GJ22" i="9" s="1"/>
  <c r="GK22" i="9" s="1"/>
  <c r="CO22" i="9"/>
  <c r="DZ22" i="9" s="1"/>
  <c r="CN22" i="9"/>
  <c r="DY22" i="9" s="1"/>
  <c r="CM22" i="9"/>
  <c r="DX22" i="9" s="1"/>
  <c r="CL22" i="9"/>
  <c r="DW22" i="9" s="1"/>
  <c r="CG22" i="9" a="1"/>
  <c r="CG22" i="9" s="1"/>
  <c r="CK22" i="9" s="1"/>
  <c r="CZ22" i="9" s="1"/>
  <c r="AW22" i="9"/>
  <c r="AV22" i="9"/>
  <c r="J22" i="9"/>
  <c r="G22" i="9"/>
  <c r="HX21" i="9" a="1"/>
  <c r="HX21" i="9" s="1"/>
  <c r="IW21" i="9" s="1"/>
  <c r="HW21" i="9" a="1"/>
  <c r="HW21" i="9" s="1"/>
  <c r="IV21" i="9" s="1"/>
  <c r="HV21" i="9" a="1"/>
  <c r="HV21" i="9" s="1"/>
  <c r="IU21" i="9" s="1"/>
  <c r="HU21" i="9" a="1"/>
  <c r="HU21" i="9" s="1"/>
  <c r="IT21" i="9" s="1"/>
  <c r="HT21" i="9" a="1"/>
  <c r="HT21" i="9" s="1"/>
  <c r="IS21" i="9" s="1"/>
  <c r="HS21" i="9" a="1"/>
  <c r="HS21" i="9" s="1"/>
  <c r="IR21" i="9" s="1"/>
  <c r="HR21" i="9" a="1"/>
  <c r="HR21" i="9" s="1"/>
  <c r="IQ21" i="9" s="1"/>
  <c r="HQ21" i="9" a="1"/>
  <c r="HQ21" i="9" s="1"/>
  <c r="IP21" i="9" s="1"/>
  <c r="HP21" i="9" a="1"/>
  <c r="HP21" i="9" s="1"/>
  <c r="IO21" i="9" s="1"/>
  <c r="HL21" i="9"/>
  <c r="HJ21" i="9"/>
  <c r="HH21" i="9"/>
  <c r="HB21" i="9"/>
  <c r="HA21" i="9"/>
  <c r="GZ21" i="9"/>
  <c r="GY21" i="9"/>
  <c r="GX21" i="9"/>
  <c r="GW21" i="9"/>
  <c r="GV21" i="9"/>
  <c r="GU21" i="9"/>
  <c r="GT21" i="9"/>
  <c r="GP21" i="9"/>
  <c r="GI21" i="9"/>
  <c r="GH21" i="9"/>
  <c r="GG21" i="9"/>
  <c r="GF21" i="9"/>
  <c r="GE21" i="9"/>
  <c r="GB21" i="9"/>
  <c r="GA21" i="9"/>
  <c r="FZ21" i="9"/>
  <c r="FY21" i="9"/>
  <c r="FW21" i="9"/>
  <c r="FV21" i="9"/>
  <c r="FU21" i="9"/>
  <c r="FT21" i="9"/>
  <c r="FS21" i="9"/>
  <c r="FR21" i="9"/>
  <c r="FQ21" i="9"/>
  <c r="FJ21" i="9"/>
  <c r="FI21" i="9"/>
  <c r="FH21" i="9"/>
  <c r="FG21" i="9"/>
  <c r="FF21" i="9"/>
  <c r="FE21" i="9"/>
  <c r="FD21" i="9"/>
  <c r="FB21" i="9"/>
  <c r="FA21" i="9"/>
  <c r="EZ21" i="9"/>
  <c r="EY21" i="9"/>
  <c r="EX21" i="9"/>
  <c r="EW21" i="9"/>
  <c r="EV21" i="9"/>
  <c r="EU21" i="9"/>
  <c r="ET21" i="9"/>
  <c r="ES21" i="9"/>
  <c r="ER21" i="9"/>
  <c r="EQ21" i="9"/>
  <c r="EP21" i="9"/>
  <c r="EO21" i="9"/>
  <c r="EN21" i="9"/>
  <c r="EM21" i="9"/>
  <c r="EL21" i="9"/>
  <c r="EK21" i="9"/>
  <c r="EJ21" i="9"/>
  <c r="EI21" i="9"/>
  <c r="EH21" i="9"/>
  <c r="EG21" i="9"/>
  <c r="EF21" i="9"/>
  <c r="EE21" i="9"/>
  <c r="ED21" i="9"/>
  <c r="EC21" i="9"/>
  <c r="EB21" i="9"/>
  <c r="EA21" i="9"/>
  <c r="DU21" i="9"/>
  <c r="DT21" i="9"/>
  <c r="DS21" i="9"/>
  <c r="DR21" i="9"/>
  <c r="DQ21" i="9"/>
  <c r="DP21" i="9"/>
  <c r="DO21" i="9"/>
  <c r="DN21" i="9"/>
  <c r="DK21" i="9"/>
  <c r="DJ21" i="9"/>
  <c r="DI21" i="9"/>
  <c r="DH21" i="9"/>
  <c r="DG21" i="9"/>
  <c r="DF21" i="9"/>
  <c r="DE21" i="9"/>
  <c r="DD21" i="9"/>
  <c r="DB21" i="9"/>
  <c r="DA21" i="9"/>
  <c r="CV21" i="9"/>
  <c r="CT21" i="9"/>
  <c r="CS21" i="9"/>
  <c r="GN21" i="9" s="1"/>
  <c r="CR21" i="9"/>
  <c r="GM21" i="9" s="1"/>
  <c r="CQ21" i="9"/>
  <c r="GL21" i="9" s="1"/>
  <c r="CP21" i="9"/>
  <c r="GJ21" i="9" s="1"/>
  <c r="GK21" i="9" s="1"/>
  <c r="CO21" i="9"/>
  <c r="DZ21" i="9" s="1"/>
  <c r="CN21" i="9"/>
  <c r="DY21" i="9" s="1"/>
  <c r="CM21" i="9"/>
  <c r="DX21" i="9" s="1"/>
  <c r="CL21" i="9"/>
  <c r="DW21" i="9" s="1"/>
  <c r="CG21" i="9" a="1"/>
  <c r="CG21" i="9" s="1"/>
  <c r="AW21" i="9"/>
  <c r="AV21" i="9"/>
  <c r="CU21" i="9"/>
  <c r="J21" i="9"/>
  <c r="G21" i="9"/>
  <c r="HX20" i="9" a="1"/>
  <c r="HX20" i="9" s="1"/>
  <c r="IW20" i="9" s="1"/>
  <c r="HW20" i="9" a="1"/>
  <c r="HW20" i="9" s="1"/>
  <c r="IV20" i="9" s="1"/>
  <c r="HV20" i="9" a="1"/>
  <c r="HV20" i="9" s="1"/>
  <c r="IU20" i="9" s="1"/>
  <c r="HU20" i="9" a="1"/>
  <c r="HU20" i="9" s="1"/>
  <c r="IT20" i="9" s="1"/>
  <c r="HT20" i="9" a="1"/>
  <c r="HT20" i="9" s="1"/>
  <c r="IS20" i="9" s="1"/>
  <c r="HS20" i="9" a="1"/>
  <c r="HS20" i="9" s="1"/>
  <c r="IR20" i="9" s="1"/>
  <c r="HR20" i="9" a="1"/>
  <c r="HR20" i="9" s="1"/>
  <c r="IQ20" i="9" s="1"/>
  <c r="HQ20" i="9" a="1"/>
  <c r="HQ20" i="9" s="1"/>
  <c r="IP20" i="9" s="1"/>
  <c r="HP20" i="9" a="1"/>
  <c r="HP20" i="9" s="1"/>
  <c r="IO20" i="9" s="1"/>
  <c r="HL20" i="9"/>
  <c r="HJ20" i="9"/>
  <c r="HH20" i="9"/>
  <c r="HB20" i="9"/>
  <c r="HA20" i="9"/>
  <c r="GZ20" i="9"/>
  <c r="GY20" i="9"/>
  <c r="GX20" i="9"/>
  <c r="GW20" i="9"/>
  <c r="GV20" i="9"/>
  <c r="GU20" i="9"/>
  <c r="GT20" i="9"/>
  <c r="GP20" i="9"/>
  <c r="GI20" i="9"/>
  <c r="GH20" i="9"/>
  <c r="GG20" i="9"/>
  <c r="GF20" i="9"/>
  <c r="GE20" i="9"/>
  <c r="GB20" i="9"/>
  <c r="GA20" i="9"/>
  <c r="FZ20" i="9"/>
  <c r="FY20" i="9"/>
  <c r="FW20" i="9"/>
  <c r="FV20" i="9"/>
  <c r="FU20" i="9"/>
  <c r="FT20" i="9"/>
  <c r="FS20" i="9"/>
  <c r="FR20" i="9"/>
  <c r="FQ20" i="9"/>
  <c r="FJ20" i="9"/>
  <c r="FI20" i="9"/>
  <c r="FH20" i="9"/>
  <c r="FG20" i="9"/>
  <c r="FF20" i="9"/>
  <c r="FP20" i="9" s="1"/>
  <c r="FE20" i="9"/>
  <c r="FD20" i="9"/>
  <c r="FB20" i="9"/>
  <c r="FA20" i="9"/>
  <c r="EZ20" i="9"/>
  <c r="EY20" i="9"/>
  <c r="EX20" i="9"/>
  <c r="EW20" i="9"/>
  <c r="EV20" i="9"/>
  <c r="EU20" i="9"/>
  <c r="ET20" i="9"/>
  <c r="ES20" i="9"/>
  <c r="ER20" i="9"/>
  <c r="EQ20" i="9"/>
  <c r="EP20" i="9"/>
  <c r="EO20" i="9"/>
  <c r="EN20" i="9"/>
  <c r="EM20" i="9"/>
  <c r="EL20" i="9"/>
  <c r="EK20" i="9"/>
  <c r="EJ20" i="9"/>
  <c r="EI20" i="9"/>
  <c r="EH20" i="9"/>
  <c r="EG20" i="9"/>
  <c r="EF20" i="9"/>
  <c r="EE20" i="9"/>
  <c r="ED20" i="9"/>
  <c r="EC20" i="9"/>
  <c r="EB20" i="9"/>
  <c r="EA20" i="9"/>
  <c r="DU20" i="9"/>
  <c r="DT20" i="9"/>
  <c r="DS20" i="9"/>
  <c r="DR20" i="9"/>
  <c r="DQ20" i="9"/>
  <c r="DP20" i="9"/>
  <c r="DO20" i="9"/>
  <c r="DN20" i="9"/>
  <c r="DK20" i="9"/>
  <c r="DJ20" i="9"/>
  <c r="DI20" i="9"/>
  <c r="DH20" i="9"/>
  <c r="DG20" i="9"/>
  <c r="DF20" i="9"/>
  <c r="DE20" i="9"/>
  <c r="DD20" i="9"/>
  <c r="DB20" i="9"/>
  <c r="DA20" i="9"/>
  <c r="CV20" i="9"/>
  <c r="CT20" i="9"/>
  <c r="CS20" i="9"/>
  <c r="GN20" i="9" s="1"/>
  <c r="CR20" i="9"/>
  <c r="GM20" i="9" s="1"/>
  <c r="CQ20" i="9"/>
  <c r="GL20" i="9" s="1"/>
  <c r="CP20" i="9"/>
  <c r="GJ20" i="9" s="1"/>
  <c r="GK20" i="9" s="1"/>
  <c r="CO20" i="9"/>
  <c r="DZ20" i="9" s="1"/>
  <c r="CN20" i="9"/>
  <c r="DY20" i="9" s="1"/>
  <c r="CM20" i="9"/>
  <c r="DX20" i="9" s="1"/>
  <c r="CL20" i="9"/>
  <c r="DW20" i="9" s="1"/>
  <c r="CG20" i="9" a="1"/>
  <c r="CG20" i="9" s="1"/>
  <c r="DM20" i="9" s="1" a="1"/>
  <c r="DM20" i="9" s="1"/>
  <c r="AW20" i="9"/>
  <c r="AV20" i="9"/>
  <c r="CU20" i="9"/>
  <c r="J20" i="9"/>
  <c r="G20" i="9"/>
  <c r="HX19" i="9" a="1"/>
  <c r="HX19" i="9" s="1"/>
  <c r="IW19" i="9" s="1"/>
  <c r="HW19" i="9" a="1"/>
  <c r="HW19" i="9" s="1"/>
  <c r="IV19" i="9" s="1"/>
  <c r="HV19" i="9" a="1"/>
  <c r="HV19" i="9" s="1"/>
  <c r="IU19" i="9" s="1"/>
  <c r="HU19" i="9" a="1"/>
  <c r="HU19" i="9" s="1"/>
  <c r="IT19" i="9" s="1"/>
  <c r="HT19" i="9" a="1"/>
  <c r="HT19" i="9" s="1"/>
  <c r="IS19" i="9" s="1"/>
  <c r="HS19" i="9" a="1"/>
  <c r="HS19" i="9" s="1"/>
  <c r="IR19" i="9" s="1"/>
  <c r="HR19" i="9" a="1"/>
  <c r="HR19" i="9" s="1"/>
  <c r="IQ19" i="9" s="1"/>
  <c r="HQ19" i="9" a="1"/>
  <c r="HQ19" i="9" s="1"/>
  <c r="IP19" i="9" s="1"/>
  <c r="HP19" i="9" a="1"/>
  <c r="HP19" i="9" s="1"/>
  <c r="IO19" i="9" s="1"/>
  <c r="HL19" i="9"/>
  <c r="HJ19" i="9"/>
  <c r="HH19" i="9"/>
  <c r="HB19" i="9"/>
  <c r="HA19" i="9"/>
  <c r="GZ19" i="9"/>
  <c r="GY19" i="9"/>
  <c r="GX19" i="9"/>
  <c r="GW19" i="9"/>
  <c r="GV19" i="9"/>
  <c r="GU19" i="9"/>
  <c r="GT19" i="9"/>
  <c r="GP19" i="9"/>
  <c r="GI19" i="9"/>
  <c r="GH19" i="9"/>
  <c r="GG19" i="9"/>
  <c r="GF19" i="9"/>
  <c r="GE19" i="9"/>
  <c r="GB19" i="9"/>
  <c r="GA19" i="9"/>
  <c r="FZ19" i="9"/>
  <c r="FY19" i="9"/>
  <c r="FW19" i="9"/>
  <c r="FV19" i="9"/>
  <c r="FU19" i="9"/>
  <c r="FT19" i="9"/>
  <c r="FS19" i="9"/>
  <c r="FR19" i="9"/>
  <c r="FQ19" i="9"/>
  <c r="FJ19" i="9"/>
  <c r="FI19" i="9"/>
  <c r="FH19" i="9"/>
  <c r="FG19" i="9"/>
  <c r="FF19" i="9"/>
  <c r="FP19" i="9" s="1"/>
  <c r="FE19" i="9"/>
  <c r="FD19" i="9"/>
  <c r="FB19" i="9"/>
  <c r="FA19" i="9"/>
  <c r="EZ19" i="9"/>
  <c r="EY19" i="9"/>
  <c r="EX19" i="9"/>
  <c r="EW19" i="9"/>
  <c r="EV19" i="9"/>
  <c r="EU19" i="9"/>
  <c r="ET19" i="9"/>
  <c r="ES19" i="9"/>
  <c r="ER19" i="9"/>
  <c r="EQ19" i="9"/>
  <c r="EP19" i="9"/>
  <c r="EO19" i="9"/>
  <c r="EN19" i="9"/>
  <c r="EM19" i="9"/>
  <c r="EL19" i="9"/>
  <c r="EK19" i="9"/>
  <c r="EJ19" i="9"/>
  <c r="EI19" i="9"/>
  <c r="EH19" i="9"/>
  <c r="EG19" i="9"/>
  <c r="EF19" i="9"/>
  <c r="EE19" i="9"/>
  <c r="ED19" i="9"/>
  <c r="EC19" i="9"/>
  <c r="EB19" i="9"/>
  <c r="EA19" i="9"/>
  <c r="DU19" i="9"/>
  <c r="DT19" i="9"/>
  <c r="DS19" i="9"/>
  <c r="DR19" i="9"/>
  <c r="DQ19" i="9"/>
  <c r="DP19" i="9"/>
  <c r="DO19" i="9"/>
  <c r="DN19" i="9"/>
  <c r="DK19" i="9"/>
  <c r="DJ19" i="9"/>
  <c r="DI19" i="9"/>
  <c r="DH19" i="9"/>
  <c r="DG19" i="9"/>
  <c r="DF19" i="9"/>
  <c r="DE19" i="9"/>
  <c r="DD19" i="9"/>
  <c r="DB19" i="9"/>
  <c r="DA19" i="9"/>
  <c r="CV19" i="9"/>
  <c r="CT19" i="9"/>
  <c r="CS19" i="9"/>
  <c r="GN19" i="9" s="1"/>
  <c r="CR19" i="9"/>
  <c r="GM19" i="9" s="1"/>
  <c r="CQ19" i="9"/>
  <c r="GL19" i="9" s="1"/>
  <c r="CP19" i="9"/>
  <c r="GJ19" i="9" s="1"/>
  <c r="GK19" i="9" s="1"/>
  <c r="CO19" i="9"/>
  <c r="DZ19" i="9" s="1"/>
  <c r="CN19" i="9"/>
  <c r="DY19" i="9" s="1"/>
  <c r="CM19" i="9"/>
  <c r="DX19" i="9" s="1"/>
  <c r="CL19" i="9"/>
  <c r="DW19" i="9" s="1"/>
  <c r="CG19" i="9" a="1"/>
  <c r="CG19" i="9" s="1"/>
  <c r="AW19" i="9"/>
  <c r="AV19" i="9"/>
  <c r="CU19" i="9"/>
  <c r="J19" i="9"/>
  <c r="G19" i="9"/>
  <c r="HX18" i="9" a="1"/>
  <c r="HX18" i="9" s="1"/>
  <c r="IW18" i="9" s="1"/>
  <c r="HW18" i="9" a="1"/>
  <c r="HW18" i="9" s="1"/>
  <c r="IV18" i="9" s="1"/>
  <c r="HV18" i="9" a="1"/>
  <c r="HV18" i="9" s="1"/>
  <c r="IU18" i="9" s="1"/>
  <c r="HU18" i="9" a="1"/>
  <c r="HU18" i="9" s="1"/>
  <c r="IT18" i="9" s="1"/>
  <c r="HT18" i="9" a="1"/>
  <c r="HT18" i="9" s="1"/>
  <c r="IS18" i="9" s="1"/>
  <c r="HS18" i="9" a="1"/>
  <c r="HS18" i="9" s="1"/>
  <c r="IR18" i="9" s="1"/>
  <c r="HR18" i="9" a="1"/>
  <c r="HR18" i="9" s="1"/>
  <c r="IQ18" i="9" s="1"/>
  <c r="HQ18" i="9" a="1"/>
  <c r="HQ18" i="9" s="1"/>
  <c r="IP18" i="9" s="1"/>
  <c r="HP18" i="9" a="1"/>
  <c r="HP18" i="9" s="1"/>
  <c r="IO18" i="9" s="1"/>
  <c r="HL18" i="9"/>
  <c r="HJ18" i="9"/>
  <c r="HH18" i="9"/>
  <c r="HB18" i="9"/>
  <c r="HA18" i="9"/>
  <c r="GZ18" i="9"/>
  <c r="GY18" i="9"/>
  <c r="GX18" i="9"/>
  <c r="GW18" i="9"/>
  <c r="GV18" i="9"/>
  <c r="GU18" i="9"/>
  <c r="GT18" i="9"/>
  <c r="GP18" i="9"/>
  <c r="GI18" i="9"/>
  <c r="GH18" i="9"/>
  <c r="GG18" i="9"/>
  <c r="GF18" i="9"/>
  <c r="GE18" i="9"/>
  <c r="GB18" i="9"/>
  <c r="GA18" i="9"/>
  <c r="FZ18" i="9"/>
  <c r="FY18" i="9"/>
  <c r="FW18" i="9"/>
  <c r="FV18" i="9"/>
  <c r="FU18" i="9"/>
  <c r="FT18" i="9"/>
  <c r="FS18" i="9"/>
  <c r="FR18" i="9"/>
  <c r="FQ18" i="9"/>
  <c r="FJ18" i="9"/>
  <c r="FI18" i="9"/>
  <c r="FH18" i="9"/>
  <c r="FG18" i="9"/>
  <c r="FF18" i="9"/>
  <c r="FE18" i="9"/>
  <c r="FD18" i="9"/>
  <c r="FB18" i="9"/>
  <c r="FA18" i="9"/>
  <c r="EZ18" i="9"/>
  <c r="EY18" i="9"/>
  <c r="EX18" i="9"/>
  <c r="EW18" i="9"/>
  <c r="EV18" i="9"/>
  <c r="EU18" i="9"/>
  <c r="ET18" i="9"/>
  <c r="ES18" i="9"/>
  <c r="ER18" i="9"/>
  <c r="EQ18" i="9"/>
  <c r="EP18" i="9"/>
  <c r="EO18" i="9"/>
  <c r="EN18" i="9"/>
  <c r="EM18" i="9"/>
  <c r="EL18" i="9"/>
  <c r="EK18" i="9"/>
  <c r="EJ18" i="9"/>
  <c r="EI18" i="9"/>
  <c r="EH18" i="9"/>
  <c r="EG18" i="9"/>
  <c r="EF18" i="9"/>
  <c r="EE18" i="9"/>
  <c r="ED18" i="9"/>
  <c r="EC18" i="9"/>
  <c r="EB18" i="9"/>
  <c r="EA18" i="9"/>
  <c r="DU18" i="9"/>
  <c r="DT18" i="9"/>
  <c r="DS18" i="9"/>
  <c r="DR18" i="9"/>
  <c r="DQ18" i="9"/>
  <c r="DP18" i="9"/>
  <c r="DO18" i="9"/>
  <c r="DN18" i="9"/>
  <c r="DK18" i="9"/>
  <c r="DJ18" i="9"/>
  <c r="DI18" i="9"/>
  <c r="DH18" i="9"/>
  <c r="DG18" i="9"/>
  <c r="DF18" i="9"/>
  <c r="DE18" i="9"/>
  <c r="DD18" i="9"/>
  <c r="DB18" i="9"/>
  <c r="DA18" i="9"/>
  <c r="CV18" i="9"/>
  <c r="CT18" i="9"/>
  <c r="CS18" i="9"/>
  <c r="GN18" i="9" s="1"/>
  <c r="CR18" i="9"/>
  <c r="GM18" i="9" s="1"/>
  <c r="CQ18" i="9"/>
  <c r="GL18" i="9" s="1"/>
  <c r="CP18" i="9"/>
  <c r="GJ18" i="9" s="1"/>
  <c r="GK18" i="9" s="1"/>
  <c r="CO18" i="9"/>
  <c r="DZ18" i="9" s="1"/>
  <c r="CN18" i="9"/>
  <c r="DY18" i="9" s="1"/>
  <c r="CM18" i="9"/>
  <c r="DX18" i="9" s="1"/>
  <c r="CL18" i="9"/>
  <c r="DW18" i="9" s="1"/>
  <c r="CG18" i="9" a="1"/>
  <c r="CG18" i="9" s="1"/>
  <c r="IN18" i="9" s="1"/>
  <c r="IX18" i="9" s="1"/>
  <c r="AW18" i="9"/>
  <c r="AV18" i="9"/>
  <c r="CU18" i="9"/>
  <c r="J18" i="9"/>
  <c r="G18" i="9"/>
  <c r="HX17" i="9" a="1"/>
  <c r="HX17" i="9" s="1"/>
  <c r="IW17" i="9" s="1"/>
  <c r="HW17" i="9" a="1"/>
  <c r="HW17" i="9" s="1"/>
  <c r="IV17" i="9" s="1"/>
  <c r="HV17" i="9" a="1"/>
  <c r="HV17" i="9" s="1"/>
  <c r="IU17" i="9" s="1"/>
  <c r="HU17" i="9" a="1"/>
  <c r="HU17" i="9" s="1"/>
  <c r="IT17" i="9" s="1"/>
  <c r="HT17" i="9" a="1"/>
  <c r="HT17" i="9" s="1"/>
  <c r="IS17" i="9" s="1"/>
  <c r="HS17" i="9" a="1"/>
  <c r="HS17" i="9" s="1"/>
  <c r="IR17" i="9" s="1"/>
  <c r="HR17" i="9" a="1"/>
  <c r="HR17" i="9" s="1"/>
  <c r="IQ17" i="9" s="1"/>
  <c r="HQ17" i="9" a="1"/>
  <c r="HQ17" i="9" s="1"/>
  <c r="IP17" i="9" s="1"/>
  <c r="HP17" i="9" a="1"/>
  <c r="HP17" i="9" s="1"/>
  <c r="IO17" i="9" s="1"/>
  <c r="HL17" i="9"/>
  <c r="HJ17" i="9"/>
  <c r="HH17" i="9"/>
  <c r="HB17" i="9"/>
  <c r="HA17" i="9"/>
  <c r="GZ17" i="9"/>
  <c r="GY17" i="9"/>
  <c r="GX17" i="9"/>
  <c r="GW17" i="9"/>
  <c r="GV17" i="9"/>
  <c r="GU17" i="9"/>
  <c r="GT17" i="9"/>
  <c r="GP17" i="9"/>
  <c r="GI17" i="9"/>
  <c r="GH17" i="9"/>
  <c r="GG17" i="9"/>
  <c r="GF17" i="9"/>
  <c r="GE17" i="9"/>
  <c r="GB17" i="9"/>
  <c r="GA17" i="9"/>
  <c r="FZ17" i="9"/>
  <c r="FY17" i="9"/>
  <c r="FW17" i="9"/>
  <c r="FV17" i="9"/>
  <c r="FU17" i="9"/>
  <c r="FT17" i="9"/>
  <c r="FS17" i="9"/>
  <c r="FR17" i="9"/>
  <c r="FQ17" i="9"/>
  <c r="FJ17" i="9"/>
  <c r="FI17" i="9"/>
  <c r="FH17" i="9"/>
  <c r="FG17" i="9"/>
  <c r="FF17" i="9"/>
  <c r="FE17" i="9"/>
  <c r="FD17" i="9"/>
  <c r="FB17" i="9"/>
  <c r="FA17" i="9"/>
  <c r="EZ17" i="9"/>
  <c r="EY17" i="9"/>
  <c r="EX17" i="9"/>
  <c r="EW17" i="9"/>
  <c r="EV17" i="9"/>
  <c r="EU17" i="9"/>
  <c r="ET17" i="9"/>
  <c r="ES17" i="9"/>
  <c r="ER17" i="9"/>
  <c r="EQ17" i="9"/>
  <c r="EP17" i="9"/>
  <c r="EO17" i="9"/>
  <c r="EN17" i="9"/>
  <c r="EM17" i="9"/>
  <c r="EL17" i="9"/>
  <c r="EK17" i="9"/>
  <c r="EJ17" i="9"/>
  <c r="EI17" i="9"/>
  <c r="EH17" i="9"/>
  <c r="EG17" i="9"/>
  <c r="EF17" i="9"/>
  <c r="EE17" i="9"/>
  <c r="ED17" i="9"/>
  <c r="EC17" i="9"/>
  <c r="EB17" i="9"/>
  <c r="EA17" i="9"/>
  <c r="DU17" i="9"/>
  <c r="DT17" i="9"/>
  <c r="DS17" i="9"/>
  <c r="DR17" i="9"/>
  <c r="DQ17" i="9"/>
  <c r="DP17" i="9"/>
  <c r="DO17" i="9"/>
  <c r="DN17" i="9"/>
  <c r="DK17" i="9"/>
  <c r="DJ17" i="9"/>
  <c r="DI17" i="9"/>
  <c r="DH17" i="9"/>
  <c r="DG17" i="9"/>
  <c r="DF17" i="9"/>
  <c r="DE17" i="9"/>
  <c r="DD17" i="9"/>
  <c r="DB17" i="9"/>
  <c r="DA17" i="9"/>
  <c r="CV17" i="9"/>
  <c r="CT17" i="9"/>
  <c r="CS17" i="9"/>
  <c r="GN17" i="9" s="1"/>
  <c r="CR17" i="9"/>
  <c r="GM17" i="9" s="1"/>
  <c r="CQ17" i="9"/>
  <c r="GL17" i="9" s="1"/>
  <c r="CP17" i="9"/>
  <c r="GJ17" i="9" s="1"/>
  <c r="GK17" i="9" s="1"/>
  <c r="CO17" i="9"/>
  <c r="DZ17" i="9" s="1"/>
  <c r="CN17" i="9"/>
  <c r="DY17" i="9" s="1"/>
  <c r="CM17" i="9"/>
  <c r="DX17" i="9" s="1"/>
  <c r="CL17" i="9"/>
  <c r="DW17" i="9" s="1"/>
  <c r="CG17" i="9" a="1"/>
  <c r="CG17" i="9" s="1"/>
  <c r="CK17" i="9" s="1"/>
  <c r="CZ17" i="9" s="1"/>
  <c r="AW17" i="9"/>
  <c r="AV17" i="9"/>
  <c r="CU17" i="9"/>
  <c r="J17" i="9"/>
  <c r="G17" i="9"/>
  <c r="HX16" i="9" a="1"/>
  <c r="HX16" i="9" s="1"/>
  <c r="IW16" i="9" s="1"/>
  <c r="HW16" i="9" a="1"/>
  <c r="HW16" i="9" s="1"/>
  <c r="IV16" i="9" s="1"/>
  <c r="HV16" i="9" a="1"/>
  <c r="HV16" i="9" s="1"/>
  <c r="IU16" i="9" s="1"/>
  <c r="HU16" i="9" a="1"/>
  <c r="HU16" i="9" s="1"/>
  <c r="IT16" i="9" s="1"/>
  <c r="HT16" i="9" a="1"/>
  <c r="HT16" i="9" s="1"/>
  <c r="IS16" i="9" s="1"/>
  <c r="HS16" i="9" a="1"/>
  <c r="HS16" i="9" s="1"/>
  <c r="IR16" i="9" s="1"/>
  <c r="HR16" i="9" a="1"/>
  <c r="HR16" i="9" s="1"/>
  <c r="IQ16" i="9" s="1"/>
  <c r="HQ16" i="9" a="1"/>
  <c r="HQ16" i="9" s="1"/>
  <c r="IP16" i="9" s="1"/>
  <c r="HP16" i="9" a="1"/>
  <c r="HP16" i="9" s="1"/>
  <c r="IO16" i="9" s="1"/>
  <c r="HL16" i="9"/>
  <c r="HJ16" i="9"/>
  <c r="HH16" i="9"/>
  <c r="HB16" i="9"/>
  <c r="HA16" i="9"/>
  <c r="GZ16" i="9"/>
  <c r="GY16" i="9"/>
  <c r="GX16" i="9"/>
  <c r="GW16" i="9"/>
  <c r="GV16" i="9"/>
  <c r="GU16" i="9"/>
  <c r="GT16" i="9"/>
  <c r="GP16" i="9"/>
  <c r="GI16" i="9"/>
  <c r="GH16" i="9"/>
  <c r="GG16" i="9"/>
  <c r="GF16" i="9"/>
  <c r="GE16" i="9"/>
  <c r="GB16" i="9"/>
  <c r="GA16" i="9"/>
  <c r="FZ16" i="9"/>
  <c r="FY16" i="9"/>
  <c r="FW16" i="9"/>
  <c r="FV16" i="9"/>
  <c r="FU16" i="9"/>
  <c r="FT16" i="9"/>
  <c r="FS16" i="9"/>
  <c r="FR16" i="9"/>
  <c r="FQ16" i="9"/>
  <c r="FJ16" i="9"/>
  <c r="FI16" i="9"/>
  <c r="FH16" i="9"/>
  <c r="FG16" i="9"/>
  <c r="FF16" i="9"/>
  <c r="FE16" i="9"/>
  <c r="FD16" i="9"/>
  <c r="FB16" i="9"/>
  <c r="FA16" i="9"/>
  <c r="EZ16" i="9"/>
  <c r="EY16" i="9"/>
  <c r="EX16" i="9"/>
  <c r="EW16" i="9"/>
  <c r="EV16" i="9"/>
  <c r="EU16" i="9"/>
  <c r="ET16" i="9"/>
  <c r="ES16" i="9"/>
  <c r="ER16" i="9"/>
  <c r="EQ16" i="9"/>
  <c r="EP16" i="9"/>
  <c r="EO16" i="9"/>
  <c r="EN16" i="9"/>
  <c r="EM16" i="9"/>
  <c r="EL16" i="9"/>
  <c r="EK16" i="9"/>
  <c r="EJ16" i="9"/>
  <c r="EI16" i="9"/>
  <c r="EH16" i="9"/>
  <c r="EG16" i="9"/>
  <c r="EF16" i="9"/>
  <c r="EE16" i="9"/>
  <c r="ED16" i="9"/>
  <c r="EC16" i="9"/>
  <c r="EB16" i="9"/>
  <c r="EA16" i="9"/>
  <c r="DU16" i="9"/>
  <c r="DT16" i="9"/>
  <c r="DS16" i="9"/>
  <c r="DR16" i="9"/>
  <c r="DQ16" i="9"/>
  <c r="DP16" i="9"/>
  <c r="DO16" i="9"/>
  <c r="DN16" i="9"/>
  <c r="DK16" i="9"/>
  <c r="DJ16" i="9"/>
  <c r="DI16" i="9"/>
  <c r="DH16" i="9"/>
  <c r="DG16" i="9"/>
  <c r="DF16" i="9"/>
  <c r="DE16" i="9"/>
  <c r="DD16" i="9"/>
  <c r="DB16" i="9"/>
  <c r="DA16" i="9"/>
  <c r="CV16" i="9"/>
  <c r="CT16" i="9"/>
  <c r="CS16" i="9"/>
  <c r="GN16" i="9" s="1"/>
  <c r="CR16" i="9"/>
  <c r="GM16" i="9" s="1"/>
  <c r="CQ16" i="9"/>
  <c r="GL16" i="9" s="1"/>
  <c r="CP16" i="9"/>
  <c r="GJ16" i="9" s="1"/>
  <c r="GK16" i="9" s="1"/>
  <c r="CO16" i="9"/>
  <c r="DZ16" i="9" s="1"/>
  <c r="CN16" i="9"/>
  <c r="DY16" i="9" s="1"/>
  <c r="CM16" i="9"/>
  <c r="DX16" i="9" s="1"/>
  <c r="CL16" i="9"/>
  <c r="DW16" i="9" s="1"/>
  <c r="CG16" i="9" a="1"/>
  <c r="CG16" i="9" s="1"/>
  <c r="AW16" i="9"/>
  <c r="AV16" i="9"/>
  <c r="CU16" i="9"/>
  <c r="J16" i="9"/>
  <c r="G16" i="9"/>
  <c r="HX15" i="9" a="1"/>
  <c r="HX15" i="9" s="1"/>
  <c r="IW15" i="9" s="1"/>
  <c r="HW15" i="9" a="1"/>
  <c r="HW15" i="9" s="1"/>
  <c r="IV15" i="9" s="1"/>
  <c r="HV15" i="9" a="1"/>
  <c r="HV15" i="9" s="1"/>
  <c r="IU15" i="9" s="1"/>
  <c r="HU15" i="9" a="1"/>
  <c r="HU15" i="9" s="1"/>
  <c r="IT15" i="9" s="1"/>
  <c r="HT15" i="9" a="1"/>
  <c r="HT15" i="9" s="1"/>
  <c r="IS15" i="9" s="1"/>
  <c r="HS15" i="9" a="1"/>
  <c r="HS15" i="9" s="1"/>
  <c r="IR15" i="9" s="1"/>
  <c r="HR15" i="9" a="1"/>
  <c r="HR15" i="9" s="1"/>
  <c r="IQ15" i="9" s="1"/>
  <c r="HQ15" i="9" a="1"/>
  <c r="HQ15" i="9" s="1"/>
  <c r="IP15" i="9" s="1"/>
  <c r="HP15" i="9" a="1"/>
  <c r="HP15" i="9" s="1"/>
  <c r="IO15" i="9" s="1"/>
  <c r="HL15" i="9"/>
  <c r="HJ15" i="9"/>
  <c r="HH15" i="9"/>
  <c r="HB15" i="9"/>
  <c r="HA15" i="9"/>
  <c r="GZ15" i="9"/>
  <c r="GY15" i="9"/>
  <c r="GX15" i="9"/>
  <c r="GW15" i="9"/>
  <c r="GV15" i="9"/>
  <c r="GU15" i="9"/>
  <c r="GT15" i="9"/>
  <c r="GP15" i="9"/>
  <c r="GI15" i="9"/>
  <c r="GH15" i="9"/>
  <c r="GG15" i="9"/>
  <c r="GF15" i="9"/>
  <c r="GE15" i="9"/>
  <c r="GB15" i="9"/>
  <c r="GA15" i="9"/>
  <c r="FZ15" i="9"/>
  <c r="FY15" i="9"/>
  <c r="FW15" i="9"/>
  <c r="FV15" i="9"/>
  <c r="FU15" i="9"/>
  <c r="FT15" i="9"/>
  <c r="FS15" i="9"/>
  <c r="FR15" i="9"/>
  <c r="FQ15" i="9"/>
  <c r="FJ15" i="9"/>
  <c r="FI15" i="9"/>
  <c r="FH15" i="9"/>
  <c r="FG15" i="9"/>
  <c r="FF15" i="9"/>
  <c r="FP15" i="9" s="1"/>
  <c r="FE15" i="9"/>
  <c r="FD15" i="9"/>
  <c r="FB15" i="9"/>
  <c r="FA15" i="9"/>
  <c r="EZ15" i="9"/>
  <c r="EY15" i="9"/>
  <c r="EX15" i="9"/>
  <c r="EW15" i="9"/>
  <c r="EV15" i="9"/>
  <c r="EU15" i="9"/>
  <c r="ET15" i="9"/>
  <c r="ES15" i="9"/>
  <c r="ER15" i="9"/>
  <c r="EQ15" i="9"/>
  <c r="EP15" i="9"/>
  <c r="EO15" i="9"/>
  <c r="EN15" i="9"/>
  <c r="EM15" i="9"/>
  <c r="EL15" i="9"/>
  <c r="EK15" i="9"/>
  <c r="EJ15" i="9"/>
  <c r="EI15" i="9"/>
  <c r="EH15" i="9"/>
  <c r="EG15" i="9"/>
  <c r="EF15" i="9"/>
  <c r="EE15" i="9"/>
  <c r="ED15" i="9"/>
  <c r="EC15" i="9"/>
  <c r="EB15" i="9"/>
  <c r="EA15" i="9"/>
  <c r="DU15" i="9"/>
  <c r="DT15" i="9"/>
  <c r="DS15" i="9"/>
  <c r="DR15" i="9"/>
  <c r="DQ15" i="9"/>
  <c r="DP15" i="9"/>
  <c r="DO15" i="9"/>
  <c r="DN15" i="9"/>
  <c r="DK15" i="9"/>
  <c r="DJ15" i="9"/>
  <c r="DI15" i="9"/>
  <c r="DH15" i="9"/>
  <c r="DG15" i="9"/>
  <c r="DF15" i="9"/>
  <c r="DE15" i="9"/>
  <c r="DD15" i="9"/>
  <c r="DB15" i="9"/>
  <c r="DA15" i="9"/>
  <c r="CV15" i="9"/>
  <c r="CU15" i="9"/>
  <c r="CT15" i="9"/>
  <c r="CS15" i="9"/>
  <c r="GN15" i="9" s="1"/>
  <c r="CR15" i="9"/>
  <c r="GM15" i="9" s="1"/>
  <c r="CQ15" i="9"/>
  <c r="GL15" i="9" s="1"/>
  <c r="CP15" i="9"/>
  <c r="GJ15" i="9" s="1"/>
  <c r="GK15" i="9" s="1"/>
  <c r="CO15" i="9"/>
  <c r="DZ15" i="9" s="1"/>
  <c r="CN15" i="9"/>
  <c r="DY15" i="9" s="1"/>
  <c r="CM15" i="9"/>
  <c r="DX15" i="9" s="1"/>
  <c r="CL15" i="9"/>
  <c r="DW15" i="9" s="1"/>
  <c r="CG15" i="9" a="1"/>
  <c r="CG15" i="9" s="1"/>
  <c r="IN15" i="9" s="1"/>
  <c r="IX15" i="9" s="1"/>
  <c r="AW15" i="9"/>
  <c r="AV15" i="9"/>
  <c r="J15" i="9"/>
  <c r="G15" i="9"/>
  <c r="HX14" i="9" a="1"/>
  <c r="HX14" i="9" s="1"/>
  <c r="IW14" i="9" s="1"/>
  <c r="HW14" i="9" a="1"/>
  <c r="HW14" i="9" s="1"/>
  <c r="IV14" i="9" s="1"/>
  <c r="HV14" i="9" a="1"/>
  <c r="HV14" i="9" s="1"/>
  <c r="IU14" i="9" s="1"/>
  <c r="HU14" i="9" a="1"/>
  <c r="HU14" i="9" s="1"/>
  <c r="IT14" i="9" s="1"/>
  <c r="HT14" i="9" a="1"/>
  <c r="HT14" i="9" s="1"/>
  <c r="IS14" i="9" s="1"/>
  <c r="HS14" i="9" a="1"/>
  <c r="HS14" i="9" s="1"/>
  <c r="IR14" i="9" s="1"/>
  <c r="HR14" i="9" a="1"/>
  <c r="HR14" i="9" s="1"/>
  <c r="IQ14" i="9" s="1"/>
  <c r="HQ14" i="9" a="1"/>
  <c r="HQ14" i="9" s="1"/>
  <c r="IP14" i="9" s="1"/>
  <c r="HP14" i="9" a="1"/>
  <c r="HP14" i="9" s="1"/>
  <c r="IO14" i="9" s="1"/>
  <c r="HL14" i="9"/>
  <c r="HJ14" i="9"/>
  <c r="HH14" i="9"/>
  <c r="HB14" i="9"/>
  <c r="HA14" i="9"/>
  <c r="GZ14" i="9"/>
  <c r="GY14" i="9"/>
  <c r="GX14" i="9"/>
  <c r="GW14" i="9"/>
  <c r="GV14" i="9"/>
  <c r="GU14" i="9"/>
  <c r="GT14" i="9"/>
  <c r="GP14" i="9"/>
  <c r="GI14" i="9"/>
  <c r="GH14" i="9"/>
  <c r="GG14" i="9"/>
  <c r="GF14" i="9"/>
  <c r="GE14" i="9"/>
  <c r="GB14" i="9"/>
  <c r="GA14" i="9"/>
  <c r="FZ14" i="9"/>
  <c r="FY14" i="9"/>
  <c r="FW14" i="9"/>
  <c r="FV14" i="9"/>
  <c r="FU14" i="9"/>
  <c r="FT14" i="9"/>
  <c r="FS14" i="9"/>
  <c r="FR14" i="9"/>
  <c r="FQ14" i="9"/>
  <c r="FJ14" i="9"/>
  <c r="FI14" i="9"/>
  <c r="FH14" i="9"/>
  <c r="FG14" i="9"/>
  <c r="FF14" i="9"/>
  <c r="FE14" i="9"/>
  <c r="FD14" i="9"/>
  <c r="FB14" i="9"/>
  <c r="FA14" i="9"/>
  <c r="EZ14" i="9"/>
  <c r="EY14" i="9"/>
  <c r="EX14" i="9"/>
  <c r="EW14" i="9"/>
  <c r="EV14" i="9"/>
  <c r="EU14" i="9"/>
  <c r="ET14" i="9"/>
  <c r="ES14" i="9"/>
  <c r="ER14" i="9"/>
  <c r="EQ14" i="9"/>
  <c r="EP14" i="9"/>
  <c r="EO14" i="9"/>
  <c r="EN14" i="9"/>
  <c r="EM14" i="9"/>
  <c r="EL14" i="9"/>
  <c r="EK14" i="9"/>
  <c r="EJ14" i="9"/>
  <c r="EI14" i="9"/>
  <c r="EH14" i="9"/>
  <c r="EG14" i="9"/>
  <c r="EF14" i="9"/>
  <c r="EE14" i="9"/>
  <c r="ED14" i="9"/>
  <c r="EC14" i="9"/>
  <c r="EB14" i="9"/>
  <c r="EA14" i="9"/>
  <c r="DU14" i="9"/>
  <c r="DT14" i="9"/>
  <c r="DS14" i="9"/>
  <c r="DR14" i="9"/>
  <c r="DQ14" i="9"/>
  <c r="DP14" i="9"/>
  <c r="DO14" i="9"/>
  <c r="DN14" i="9"/>
  <c r="DK14" i="9"/>
  <c r="DJ14" i="9"/>
  <c r="DI14" i="9"/>
  <c r="DH14" i="9"/>
  <c r="DG14" i="9"/>
  <c r="DF14" i="9"/>
  <c r="DE14" i="9"/>
  <c r="DD14" i="9"/>
  <c r="DB14" i="9"/>
  <c r="DA14" i="9"/>
  <c r="CV14" i="9"/>
  <c r="CT14" i="9"/>
  <c r="CS14" i="9"/>
  <c r="GN14" i="9" s="1"/>
  <c r="CR14" i="9"/>
  <c r="GM14" i="9" s="1"/>
  <c r="CQ14" i="9"/>
  <c r="GL14" i="9" s="1"/>
  <c r="CP14" i="9"/>
  <c r="GJ14" i="9" s="1"/>
  <c r="GK14" i="9" s="1"/>
  <c r="CO14" i="9"/>
  <c r="DZ14" i="9" s="1"/>
  <c r="CN14" i="9"/>
  <c r="DY14" i="9" s="1"/>
  <c r="CM14" i="9"/>
  <c r="DX14" i="9" s="1"/>
  <c r="CL14" i="9"/>
  <c r="DW14" i="9" s="1"/>
  <c r="CG14" i="9" a="1"/>
  <c r="CG14" i="9" s="1"/>
  <c r="AW14" i="9"/>
  <c r="AV14" i="9"/>
  <c r="CU14" i="9"/>
  <c r="J14" i="9"/>
  <c r="G14" i="9"/>
  <c r="HX13" i="9" a="1"/>
  <c r="HX13" i="9" s="1"/>
  <c r="IW13" i="9" s="1"/>
  <c r="HW13" i="9" a="1"/>
  <c r="HW13" i="9" s="1"/>
  <c r="IV13" i="9" s="1"/>
  <c r="HV13" i="9" a="1"/>
  <c r="HV13" i="9" s="1"/>
  <c r="IU13" i="9" s="1"/>
  <c r="HU13" i="9" a="1"/>
  <c r="HU13" i="9" s="1"/>
  <c r="IT13" i="9" s="1"/>
  <c r="HT13" i="9" a="1"/>
  <c r="HT13" i="9" s="1"/>
  <c r="IS13" i="9" s="1"/>
  <c r="HS13" i="9" a="1"/>
  <c r="HS13" i="9" s="1"/>
  <c r="IR13" i="9" s="1"/>
  <c r="HR13" i="9" a="1"/>
  <c r="HR13" i="9" s="1"/>
  <c r="IQ13" i="9" s="1"/>
  <c r="HQ13" i="9" a="1"/>
  <c r="HQ13" i="9" s="1"/>
  <c r="IP13" i="9" s="1"/>
  <c r="HP13" i="9" a="1"/>
  <c r="HP13" i="9" s="1"/>
  <c r="IO13" i="9" s="1"/>
  <c r="HL13" i="9"/>
  <c r="HJ13" i="9"/>
  <c r="HH13" i="9"/>
  <c r="HB13" i="9"/>
  <c r="HA13" i="9"/>
  <c r="GZ13" i="9"/>
  <c r="GY13" i="9"/>
  <c r="GX13" i="9"/>
  <c r="GW13" i="9"/>
  <c r="GV13" i="9"/>
  <c r="GU13" i="9"/>
  <c r="GT13" i="9"/>
  <c r="GP13" i="9"/>
  <c r="GI13" i="9"/>
  <c r="GH13" i="9"/>
  <c r="GG13" i="9"/>
  <c r="GF13" i="9"/>
  <c r="GE13" i="9"/>
  <c r="GB13" i="9"/>
  <c r="GA13" i="9"/>
  <c r="FZ13" i="9"/>
  <c r="FY13" i="9"/>
  <c r="FW13" i="9"/>
  <c r="FV13" i="9"/>
  <c r="FU13" i="9"/>
  <c r="FT13" i="9"/>
  <c r="FS13" i="9"/>
  <c r="FR13" i="9"/>
  <c r="FQ13" i="9"/>
  <c r="FJ13" i="9"/>
  <c r="FI13" i="9"/>
  <c r="FH13" i="9"/>
  <c r="FG13" i="9"/>
  <c r="FF13" i="9"/>
  <c r="FE13" i="9"/>
  <c r="FD13" i="9"/>
  <c r="FB13" i="9"/>
  <c r="FA13" i="9"/>
  <c r="EZ13" i="9"/>
  <c r="EY13" i="9"/>
  <c r="EX13" i="9"/>
  <c r="EW13" i="9"/>
  <c r="EV13" i="9"/>
  <c r="EU13" i="9"/>
  <c r="ET13" i="9"/>
  <c r="ES13" i="9"/>
  <c r="ER13" i="9"/>
  <c r="EQ13" i="9"/>
  <c r="EP13" i="9"/>
  <c r="EO13" i="9"/>
  <c r="EN13" i="9"/>
  <c r="EM13" i="9"/>
  <c r="EL13" i="9"/>
  <c r="EK13" i="9"/>
  <c r="EJ13" i="9"/>
  <c r="EI13" i="9"/>
  <c r="EH13" i="9"/>
  <c r="EG13" i="9"/>
  <c r="EF13" i="9"/>
  <c r="EE13" i="9"/>
  <c r="ED13" i="9"/>
  <c r="EC13" i="9"/>
  <c r="EB13" i="9"/>
  <c r="EA13" i="9"/>
  <c r="DU13" i="9"/>
  <c r="DT13" i="9"/>
  <c r="DS13" i="9"/>
  <c r="DR13" i="9"/>
  <c r="DQ13" i="9"/>
  <c r="DP13" i="9"/>
  <c r="DO13" i="9"/>
  <c r="DN13" i="9"/>
  <c r="DK13" i="9"/>
  <c r="DJ13" i="9"/>
  <c r="DI13" i="9"/>
  <c r="DH13" i="9"/>
  <c r="DG13" i="9"/>
  <c r="DF13" i="9"/>
  <c r="DE13" i="9"/>
  <c r="DD13" i="9"/>
  <c r="DB13" i="9"/>
  <c r="DA13" i="9"/>
  <c r="CV13" i="9"/>
  <c r="CT13" i="9"/>
  <c r="CS13" i="9"/>
  <c r="GN13" i="9" s="1"/>
  <c r="CR13" i="9"/>
  <c r="GM13" i="9" s="1"/>
  <c r="CQ13" i="9"/>
  <c r="GL13" i="9" s="1"/>
  <c r="CP13" i="9"/>
  <c r="GJ13" i="9" s="1"/>
  <c r="GK13" i="9" s="1"/>
  <c r="CO13" i="9"/>
  <c r="DZ13" i="9" s="1"/>
  <c r="CN13" i="9"/>
  <c r="DY13" i="9" s="1"/>
  <c r="CM13" i="9"/>
  <c r="DX13" i="9" s="1"/>
  <c r="CL13" i="9"/>
  <c r="DW13" i="9" s="1"/>
  <c r="CG13" i="9" a="1"/>
  <c r="CG13" i="9" s="1"/>
  <c r="AW13" i="9"/>
  <c r="AV13" i="9"/>
  <c r="CU13" i="9"/>
  <c r="J13" i="9"/>
  <c r="G13" i="9"/>
  <c r="HX12" i="9" a="1"/>
  <c r="HX12" i="9" s="1"/>
  <c r="IW12" i="9" s="1"/>
  <c r="HW12" i="9" a="1"/>
  <c r="HW12" i="9" s="1"/>
  <c r="IV12" i="9" s="1"/>
  <c r="HV12" i="9" a="1"/>
  <c r="HV12" i="9" s="1"/>
  <c r="IU12" i="9" s="1"/>
  <c r="HU12" i="9" a="1"/>
  <c r="HU12" i="9" s="1"/>
  <c r="IT12" i="9" s="1"/>
  <c r="HT12" i="9" a="1"/>
  <c r="HT12" i="9" s="1"/>
  <c r="IS12" i="9" s="1"/>
  <c r="HS12" i="9" a="1"/>
  <c r="HS12" i="9" s="1"/>
  <c r="IR12" i="9" s="1"/>
  <c r="HR12" i="9" a="1"/>
  <c r="HR12" i="9" s="1"/>
  <c r="IQ12" i="9" s="1"/>
  <c r="HQ12" i="9" a="1"/>
  <c r="HQ12" i="9" s="1"/>
  <c r="IP12" i="9" s="1"/>
  <c r="HP12" i="9" a="1"/>
  <c r="HP12" i="9" s="1"/>
  <c r="IO12" i="9" s="1"/>
  <c r="HL12" i="9"/>
  <c r="HJ12" i="9"/>
  <c r="HH12" i="9"/>
  <c r="HB12" i="9"/>
  <c r="HA12" i="9"/>
  <c r="GZ12" i="9"/>
  <c r="GY12" i="9"/>
  <c r="GX12" i="9"/>
  <c r="GW12" i="9"/>
  <c r="GV12" i="9"/>
  <c r="GU12" i="9"/>
  <c r="GT12" i="9"/>
  <c r="GP12" i="9"/>
  <c r="GI12" i="9"/>
  <c r="GH12" i="9"/>
  <c r="GG12" i="9"/>
  <c r="GF12" i="9"/>
  <c r="GE12" i="9"/>
  <c r="GB12" i="9"/>
  <c r="GA12" i="9"/>
  <c r="FZ12" i="9"/>
  <c r="FY12" i="9"/>
  <c r="FW12" i="9"/>
  <c r="FV12" i="9"/>
  <c r="FU12" i="9"/>
  <c r="FT12" i="9"/>
  <c r="FS12" i="9"/>
  <c r="FR12" i="9"/>
  <c r="FQ12" i="9"/>
  <c r="FJ12" i="9"/>
  <c r="FI12" i="9"/>
  <c r="FH12" i="9"/>
  <c r="FG12" i="9"/>
  <c r="FF12" i="9"/>
  <c r="FP12" i="9" s="1"/>
  <c r="FE12" i="9"/>
  <c r="FD12" i="9"/>
  <c r="FB12" i="9"/>
  <c r="FA12" i="9"/>
  <c r="EZ12" i="9"/>
  <c r="EY12" i="9"/>
  <c r="EX12" i="9"/>
  <c r="EW12" i="9"/>
  <c r="EV12" i="9"/>
  <c r="EU12" i="9"/>
  <c r="ET12" i="9"/>
  <c r="ES12" i="9"/>
  <c r="ER12" i="9"/>
  <c r="EQ12" i="9"/>
  <c r="EP12" i="9"/>
  <c r="EO12" i="9"/>
  <c r="EN12" i="9"/>
  <c r="EM12" i="9"/>
  <c r="EL12" i="9"/>
  <c r="EK12" i="9"/>
  <c r="EJ12" i="9"/>
  <c r="EI12" i="9"/>
  <c r="EH12" i="9"/>
  <c r="EG12" i="9"/>
  <c r="EF12" i="9"/>
  <c r="EE12" i="9"/>
  <c r="ED12" i="9"/>
  <c r="EC12" i="9"/>
  <c r="EB12" i="9"/>
  <c r="EA12" i="9"/>
  <c r="DU12" i="9"/>
  <c r="DT12" i="9"/>
  <c r="DS12" i="9"/>
  <c r="DR12" i="9"/>
  <c r="DQ12" i="9"/>
  <c r="DP12" i="9"/>
  <c r="DO12" i="9"/>
  <c r="DN12" i="9"/>
  <c r="DK12" i="9"/>
  <c r="DJ12" i="9"/>
  <c r="DI12" i="9"/>
  <c r="DH12" i="9"/>
  <c r="DG12" i="9"/>
  <c r="DF12" i="9"/>
  <c r="DE12" i="9"/>
  <c r="DD12" i="9"/>
  <c r="DB12" i="9"/>
  <c r="DA12" i="9"/>
  <c r="CV12" i="9"/>
  <c r="CT12" i="9"/>
  <c r="CS12" i="9"/>
  <c r="GN12" i="9" s="1"/>
  <c r="CR12" i="9"/>
  <c r="GM12" i="9" s="1"/>
  <c r="CQ12" i="9"/>
  <c r="GL12" i="9" s="1"/>
  <c r="CP12" i="9"/>
  <c r="GJ12" i="9" s="1"/>
  <c r="GK12" i="9" s="1"/>
  <c r="CO12" i="9"/>
  <c r="DZ12" i="9" s="1"/>
  <c r="CN12" i="9"/>
  <c r="DY12" i="9" s="1"/>
  <c r="CM12" i="9"/>
  <c r="DX12" i="9" s="1"/>
  <c r="CL12" i="9"/>
  <c r="DW12" i="9" s="1"/>
  <c r="CG12" i="9" a="1"/>
  <c r="CG12" i="9" s="1"/>
  <c r="DM12" i="9" s="1" a="1"/>
  <c r="DM12" i="9" s="1"/>
  <c r="AW12" i="9"/>
  <c r="AV12" i="9"/>
  <c r="CU12" i="9"/>
  <c r="J12" i="9"/>
  <c r="G12" i="9"/>
  <c r="HX11" i="9" a="1"/>
  <c r="HX11" i="9" s="1"/>
  <c r="IW11" i="9" s="1"/>
  <c r="HW11" i="9" a="1"/>
  <c r="HW11" i="9" s="1"/>
  <c r="IV11" i="9" s="1"/>
  <c r="HV11" i="9" a="1"/>
  <c r="HV11" i="9" s="1"/>
  <c r="IU11" i="9" s="1"/>
  <c r="HU11" i="9" a="1"/>
  <c r="HU11" i="9" s="1"/>
  <c r="IT11" i="9" s="1"/>
  <c r="HT11" i="9" a="1"/>
  <c r="HT11" i="9" s="1"/>
  <c r="IS11" i="9" s="1"/>
  <c r="HS11" i="9" a="1"/>
  <c r="HS11" i="9" s="1"/>
  <c r="IR11" i="9" s="1"/>
  <c r="HR11" i="9" a="1"/>
  <c r="HR11" i="9" s="1"/>
  <c r="IQ11" i="9" s="1"/>
  <c r="HQ11" i="9" a="1"/>
  <c r="HQ11" i="9" s="1"/>
  <c r="IP11" i="9" s="1"/>
  <c r="HP11" i="9" a="1"/>
  <c r="HP11" i="9" s="1"/>
  <c r="IO11" i="9" s="1"/>
  <c r="HL11" i="9"/>
  <c r="HJ11" i="9"/>
  <c r="HH11" i="9"/>
  <c r="HB11" i="9"/>
  <c r="HA11" i="9"/>
  <c r="GZ11" i="9"/>
  <c r="GY11" i="9"/>
  <c r="GX11" i="9"/>
  <c r="GW11" i="9"/>
  <c r="GV11" i="9"/>
  <c r="GU11" i="9"/>
  <c r="GT11" i="9"/>
  <c r="GP11" i="9"/>
  <c r="GI11" i="9"/>
  <c r="GH11" i="9"/>
  <c r="GG11" i="9"/>
  <c r="GF11" i="9"/>
  <c r="GE11" i="9"/>
  <c r="GB11" i="9"/>
  <c r="GA11" i="9"/>
  <c r="FZ11" i="9"/>
  <c r="FY11" i="9"/>
  <c r="FW11" i="9"/>
  <c r="FV11" i="9"/>
  <c r="FU11" i="9"/>
  <c r="FT11" i="9"/>
  <c r="FS11" i="9"/>
  <c r="FR11" i="9"/>
  <c r="FQ11" i="9"/>
  <c r="FJ11" i="9"/>
  <c r="FI11" i="9"/>
  <c r="FH11" i="9"/>
  <c r="FG11" i="9"/>
  <c r="FF11" i="9"/>
  <c r="FE11" i="9"/>
  <c r="FD11" i="9"/>
  <c r="FB11" i="9"/>
  <c r="FA11" i="9"/>
  <c r="EZ11" i="9"/>
  <c r="EY11" i="9"/>
  <c r="EX11" i="9"/>
  <c r="EW11" i="9"/>
  <c r="EV11" i="9"/>
  <c r="EU11" i="9"/>
  <c r="ET11" i="9"/>
  <c r="ES11" i="9"/>
  <c r="ER11" i="9"/>
  <c r="EQ11" i="9"/>
  <c r="EP11" i="9"/>
  <c r="EO11" i="9"/>
  <c r="EN11" i="9"/>
  <c r="EM11" i="9"/>
  <c r="EL11" i="9"/>
  <c r="EK11" i="9"/>
  <c r="EJ11" i="9"/>
  <c r="EI11" i="9"/>
  <c r="EH11" i="9"/>
  <c r="EG11" i="9"/>
  <c r="EF11" i="9"/>
  <c r="EE11" i="9"/>
  <c r="ED11" i="9"/>
  <c r="EC11" i="9"/>
  <c r="EB11" i="9"/>
  <c r="EA11" i="9"/>
  <c r="DU11" i="9"/>
  <c r="DT11" i="9"/>
  <c r="DS11" i="9"/>
  <c r="DR11" i="9"/>
  <c r="DQ11" i="9"/>
  <c r="DP11" i="9"/>
  <c r="DO11" i="9"/>
  <c r="DN11" i="9"/>
  <c r="DK11" i="9"/>
  <c r="DJ11" i="9"/>
  <c r="DI11" i="9"/>
  <c r="DH11" i="9"/>
  <c r="DG11" i="9"/>
  <c r="DF11" i="9"/>
  <c r="DE11" i="9"/>
  <c r="DD11" i="9"/>
  <c r="DB11" i="9"/>
  <c r="DA11" i="9"/>
  <c r="CV11" i="9"/>
  <c r="CT11" i="9"/>
  <c r="CS11" i="9"/>
  <c r="GN11" i="9" s="1"/>
  <c r="CR11" i="9"/>
  <c r="GM11" i="9" s="1"/>
  <c r="CQ11" i="9"/>
  <c r="GL11" i="9" s="1"/>
  <c r="CP11" i="9"/>
  <c r="GJ11" i="9" s="1"/>
  <c r="GK11" i="9" s="1"/>
  <c r="CO11" i="9"/>
  <c r="DZ11" i="9" s="1"/>
  <c r="CN11" i="9"/>
  <c r="DY11" i="9" s="1"/>
  <c r="CM11" i="9"/>
  <c r="DX11" i="9" s="1"/>
  <c r="CL11" i="9"/>
  <c r="DW11" i="9" s="1"/>
  <c r="CG11" i="9" a="1"/>
  <c r="CG11" i="9" s="1"/>
  <c r="CK11" i="9" s="1"/>
  <c r="CZ11" i="9" s="1"/>
  <c r="AW11" i="9"/>
  <c r="AV11" i="9"/>
  <c r="CU11" i="9"/>
  <c r="J11" i="9"/>
  <c r="G11" i="9"/>
  <c r="HX10" i="9" a="1"/>
  <c r="HX10" i="9" s="1"/>
  <c r="IW10" i="9" s="1"/>
  <c r="HW10" i="9" a="1"/>
  <c r="HW10" i="9" s="1"/>
  <c r="IV10" i="9" s="1"/>
  <c r="HV10" i="9" a="1"/>
  <c r="HV10" i="9" s="1"/>
  <c r="IU10" i="9" s="1"/>
  <c r="HU10" i="9" a="1"/>
  <c r="HU10" i="9" s="1"/>
  <c r="IT10" i="9" s="1"/>
  <c r="HT10" i="9" a="1"/>
  <c r="HT10" i="9" s="1"/>
  <c r="IS10" i="9" s="1"/>
  <c r="HS10" i="9" a="1"/>
  <c r="HS10" i="9" s="1"/>
  <c r="IR10" i="9" s="1"/>
  <c r="HR10" i="9" a="1"/>
  <c r="HR10" i="9" s="1"/>
  <c r="IQ10" i="9" s="1"/>
  <c r="HQ10" i="9" a="1"/>
  <c r="HQ10" i="9" s="1"/>
  <c r="IP10" i="9" s="1"/>
  <c r="HP10" i="9" a="1"/>
  <c r="HP10" i="9" s="1"/>
  <c r="IO10" i="9" s="1"/>
  <c r="HL10" i="9"/>
  <c r="HJ10" i="9"/>
  <c r="HH10" i="9"/>
  <c r="HB10" i="9"/>
  <c r="HA10" i="9"/>
  <c r="GZ10" i="9"/>
  <c r="GY10" i="9"/>
  <c r="GX10" i="9"/>
  <c r="GW10" i="9"/>
  <c r="GV10" i="9"/>
  <c r="GU10" i="9"/>
  <c r="GT10" i="9"/>
  <c r="GP10" i="9"/>
  <c r="GI10" i="9"/>
  <c r="GH10" i="9"/>
  <c r="GG10" i="9"/>
  <c r="GF10" i="9"/>
  <c r="GE10" i="9"/>
  <c r="GB10" i="9"/>
  <c r="GA10" i="9"/>
  <c r="FZ10" i="9"/>
  <c r="FY10" i="9"/>
  <c r="FW10" i="9"/>
  <c r="FV10" i="9"/>
  <c r="FU10" i="9"/>
  <c r="FT10" i="9"/>
  <c r="FS10" i="9"/>
  <c r="FR10" i="9"/>
  <c r="FQ10" i="9"/>
  <c r="FJ10" i="9"/>
  <c r="FI10" i="9"/>
  <c r="FH10" i="9"/>
  <c r="FG10" i="9"/>
  <c r="FF10" i="9"/>
  <c r="FE10" i="9"/>
  <c r="FD10" i="9"/>
  <c r="FB10" i="9"/>
  <c r="FA10" i="9"/>
  <c r="EZ10" i="9"/>
  <c r="EY10" i="9"/>
  <c r="EX10" i="9"/>
  <c r="EW10" i="9"/>
  <c r="EV10" i="9"/>
  <c r="EU10" i="9"/>
  <c r="ET10" i="9"/>
  <c r="ES10" i="9"/>
  <c r="ER10" i="9"/>
  <c r="EQ10" i="9"/>
  <c r="EP10" i="9"/>
  <c r="EO10" i="9"/>
  <c r="EN10" i="9"/>
  <c r="EM10" i="9"/>
  <c r="EL10" i="9"/>
  <c r="EK10" i="9"/>
  <c r="EJ10" i="9"/>
  <c r="EI10" i="9"/>
  <c r="EH10" i="9"/>
  <c r="EG10" i="9"/>
  <c r="EF10" i="9"/>
  <c r="EE10" i="9"/>
  <c r="ED10" i="9"/>
  <c r="EC10" i="9"/>
  <c r="EB10" i="9"/>
  <c r="EA10" i="9"/>
  <c r="DU10" i="9"/>
  <c r="DT10" i="9"/>
  <c r="DS10" i="9"/>
  <c r="DR10" i="9"/>
  <c r="DQ10" i="9"/>
  <c r="DP10" i="9"/>
  <c r="DO10" i="9"/>
  <c r="DN10" i="9"/>
  <c r="DK10" i="9"/>
  <c r="DJ10" i="9"/>
  <c r="DI10" i="9"/>
  <c r="DH10" i="9"/>
  <c r="DG10" i="9"/>
  <c r="DF10" i="9"/>
  <c r="DE10" i="9"/>
  <c r="DD10" i="9"/>
  <c r="DB10" i="9"/>
  <c r="DA10" i="9"/>
  <c r="CV10" i="9"/>
  <c r="CT10" i="9"/>
  <c r="CS10" i="9"/>
  <c r="GN10" i="9" s="1"/>
  <c r="CR10" i="9"/>
  <c r="GM10" i="9" s="1"/>
  <c r="CQ10" i="9"/>
  <c r="GL10" i="9" s="1"/>
  <c r="CP10" i="9"/>
  <c r="GJ10" i="9" s="1"/>
  <c r="GK10" i="9" s="1"/>
  <c r="CO10" i="9"/>
  <c r="DZ10" i="9" s="1"/>
  <c r="CN10" i="9"/>
  <c r="DY10" i="9" s="1"/>
  <c r="CM10" i="9"/>
  <c r="DX10" i="9" s="1"/>
  <c r="CL10" i="9"/>
  <c r="DW10" i="9" s="1"/>
  <c r="CG10" i="9" a="1"/>
  <c r="CG10" i="9" s="1"/>
  <c r="AW10" i="9"/>
  <c r="AV10" i="9"/>
  <c r="CU10" i="9"/>
  <c r="J10" i="9"/>
  <c r="G10" i="9"/>
  <c r="HX9" i="9" a="1"/>
  <c r="HX9" i="9" s="1"/>
  <c r="IW9" i="9" s="1"/>
  <c r="HW9" i="9" a="1"/>
  <c r="HW9" i="9" s="1"/>
  <c r="IV9" i="9" s="1"/>
  <c r="HV9" i="9" a="1"/>
  <c r="HV9" i="9" s="1"/>
  <c r="IU9" i="9" s="1"/>
  <c r="HU9" i="9" a="1"/>
  <c r="HU9" i="9" s="1"/>
  <c r="IT9" i="9" s="1"/>
  <c r="HT9" i="9" a="1"/>
  <c r="HT9" i="9" s="1"/>
  <c r="IS9" i="9" s="1"/>
  <c r="HS9" i="9" a="1"/>
  <c r="HS9" i="9" s="1"/>
  <c r="IR9" i="9" s="1"/>
  <c r="HR9" i="9" a="1"/>
  <c r="HR9" i="9" s="1"/>
  <c r="IQ9" i="9" s="1"/>
  <c r="HQ9" i="9" a="1"/>
  <c r="HQ9" i="9" s="1"/>
  <c r="IP9" i="9" s="1"/>
  <c r="HP9" i="9" a="1"/>
  <c r="HP9" i="9" s="1"/>
  <c r="IO9" i="9" s="1"/>
  <c r="HL9" i="9"/>
  <c r="HJ9" i="9"/>
  <c r="HH9" i="9"/>
  <c r="HI9" i="9" s="1"/>
  <c r="HB9" i="9"/>
  <c r="HA9" i="9"/>
  <c r="GZ9" i="9"/>
  <c r="GY9" i="9"/>
  <c r="GX9" i="9"/>
  <c r="GW9" i="9"/>
  <c r="GV9" i="9"/>
  <c r="GU9" i="9"/>
  <c r="GT9" i="9"/>
  <c r="GP9" i="9"/>
  <c r="GI9" i="9"/>
  <c r="GH9" i="9"/>
  <c r="GG9" i="9"/>
  <c r="GF9" i="9"/>
  <c r="GE9" i="9"/>
  <c r="GB9" i="9"/>
  <c r="GA9" i="9"/>
  <c r="FZ9" i="9"/>
  <c r="FY9" i="9"/>
  <c r="FW9" i="9"/>
  <c r="FV9" i="9"/>
  <c r="FU9" i="9"/>
  <c r="FT9" i="9"/>
  <c r="FS9" i="9"/>
  <c r="FR9" i="9"/>
  <c r="FQ9" i="9"/>
  <c r="FJ9" i="9"/>
  <c r="FI9" i="9"/>
  <c r="FH9" i="9"/>
  <c r="FG9" i="9"/>
  <c r="FF9" i="9"/>
  <c r="FP9" i="9" s="1"/>
  <c r="FE9" i="9"/>
  <c r="FO9" i="9" s="1"/>
  <c r="FD9" i="9"/>
  <c r="FB9" i="9"/>
  <c r="FA9" i="9"/>
  <c r="EZ9" i="9"/>
  <c r="EY9" i="9"/>
  <c r="EX9" i="9"/>
  <c r="EW9" i="9"/>
  <c r="EV9" i="9"/>
  <c r="EU9" i="9"/>
  <c r="ET9" i="9"/>
  <c r="ES9" i="9"/>
  <c r="ER9" i="9"/>
  <c r="EQ9" i="9"/>
  <c r="EP9" i="9"/>
  <c r="EO9" i="9"/>
  <c r="EN9" i="9"/>
  <c r="EM9" i="9"/>
  <c r="EL9" i="9"/>
  <c r="EK9" i="9"/>
  <c r="EJ9" i="9"/>
  <c r="EI9" i="9"/>
  <c r="EH9" i="9"/>
  <c r="EG9" i="9"/>
  <c r="EF9" i="9"/>
  <c r="EE9" i="9"/>
  <c r="ED9" i="9"/>
  <c r="EC9" i="9"/>
  <c r="EB9" i="9"/>
  <c r="EA9" i="9"/>
  <c r="DU9" i="9"/>
  <c r="DT9" i="9"/>
  <c r="DS9" i="9"/>
  <c r="DR9" i="9"/>
  <c r="DQ9" i="9"/>
  <c r="DP9" i="9"/>
  <c r="DO9" i="9"/>
  <c r="DN9" i="9"/>
  <c r="DK9" i="9"/>
  <c r="DJ9" i="9"/>
  <c r="DI9" i="9"/>
  <c r="DH9" i="9"/>
  <c r="DG9" i="9"/>
  <c r="DF9" i="9"/>
  <c r="DE9" i="9"/>
  <c r="DD9" i="9"/>
  <c r="DB9" i="9"/>
  <c r="DA9" i="9"/>
  <c r="CV9" i="9"/>
  <c r="CT9" i="9"/>
  <c r="CS9" i="9"/>
  <c r="GN9" i="9" s="1"/>
  <c r="CR9" i="9"/>
  <c r="GM9" i="9" s="1"/>
  <c r="CQ9" i="9"/>
  <c r="GL9" i="9" s="1"/>
  <c r="CP9" i="9"/>
  <c r="GJ9" i="9" s="1"/>
  <c r="GK9" i="9" s="1"/>
  <c r="CO9" i="9"/>
  <c r="DZ9" i="9" s="1"/>
  <c r="CN9" i="9"/>
  <c r="DY9" i="9" s="1"/>
  <c r="CM9" i="9"/>
  <c r="DX9" i="9" s="1"/>
  <c r="CL9" i="9"/>
  <c r="DW9" i="9" s="1"/>
  <c r="CG9" i="9" a="1"/>
  <c r="CG9" i="9" s="1"/>
  <c r="AW9" i="9"/>
  <c r="AV9" i="9"/>
  <c r="CU9" i="9"/>
  <c r="J9" i="9"/>
  <c r="G9" i="9"/>
  <c r="HX8" i="9" a="1"/>
  <c r="HX8" i="9" s="1"/>
  <c r="IW8" i="9" s="1"/>
  <c r="HW8" i="9" a="1"/>
  <c r="HW8" i="9" s="1"/>
  <c r="IV8" i="9" s="1"/>
  <c r="HV8" i="9" a="1"/>
  <c r="HV8" i="9" s="1"/>
  <c r="IU8" i="9" s="1"/>
  <c r="HU8" i="9" a="1"/>
  <c r="HU8" i="9" s="1"/>
  <c r="IT8" i="9" s="1"/>
  <c r="HT8" i="9" a="1"/>
  <c r="HT8" i="9" s="1"/>
  <c r="IS8" i="9" s="1"/>
  <c r="HS8" i="9" a="1"/>
  <c r="HS8" i="9" s="1"/>
  <c r="IR8" i="9" s="1"/>
  <c r="HR8" i="9" a="1"/>
  <c r="HR8" i="9" s="1"/>
  <c r="IQ8" i="9" s="1"/>
  <c r="HQ8" i="9" a="1"/>
  <c r="HQ8" i="9" s="1"/>
  <c r="IP8" i="9" s="1"/>
  <c r="HP8" i="9" a="1"/>
  <c r="HP8" i="9" s="1"/>
  <c r="IO8" i="9" s="1"/>
  <c r="HL8" i="9"/>
  <c r="HJ8" i="9"/>
  <c r="HH8" i="9"/>
  <c r="HB8" i="9"/>
  <c r="HA8" i="9"/>
  <c r="GZ8" i="9"/>
  <c r="GY8" i="9"/>
  <c r="GX8" i="9"/>
  <c r="GW8" i="9"/>
  <c r="GV8" i="9"/>
  <c r="GU8" i="9"/>
  <c r="GT8" i="9"/>
  <c r="GP8" i="9"/>
  <c r="GI8" i="9"/>
  <c r="GH8" i="9"/>
  <c r="GG8" i="9"/>
  <c r="GF8" i="9"/>
  <c r="GE8" i="9"/>
  <c r="GB8" i="9"/>
  <c r="GA8" i="9"/>
  <c r="FZ8" i="9"/>
  <c r="FY8" i="9"/>
  <c r="FW8" i="9"/>
  <c r="FV8" i="9"/>
  <c r="FU8" i="9"/>
  <c r="FT8" i="9"/>
  <c r="FS8" i="9"/>
  <c r="FR8" i="9"/>
  <c r="FQ8" i="9"/>
  <c r="FJ8" i="9"/>
  <c r="FI8" i="9"/>
  <c r="FH8" i="9"/>
  <c r="FG8" i="9"/>
  <c r="FF8" i="9"/>
  <c r="FE8" i="9"/>
  <c r="FD8" i="9"/>
  <c r="FB8" i="9"/>
  <c r="FA8" i="9"/>
  <c r="EZ8" i="9"/>
  <c r="EY8" i="9"/>
  <c r="EX8" i="9"/>
  <c r="EW8" i="9"/>
  <c r="EV8" i="9"/>
  <c r="EU8" i="9"/>
  <c r="ET8" i="9"/>
  <c r="ES8" i="9"/>
  <c r="ER8" i="9"/>
  <c r="EQ8" i="9"/>
  <c r="EP8" i="9"/>
  <c r="EO8" i="9"/>
  <c r="EN8" i="9"/>
  <c r="EM8" i="9"/>
  <c r="EL8" i="9"/>
  <c r="EK8" i="9"/>
  <c r="EJ8" i="9"/>
  <c r="EI8" i="9"/>
  <c r="EH8" i="9"/>
  <c r="EG8" i="9"/>
  <c r="EF8" i="9"/>
  <c r="EE8" i="9"/>
  <c r="ED8" i="9"/>
  <c r="EC8" i="9"/>
  <c r="EB8" i="9"/>
  <c r="EA8" i="9"/>
  <c r="DU8" i="9"/>
  <c r="DT8" i="9"/>
  <c r="DS8" i="9"/>
  <c r="DR8" i="9"/>
  <c r="DQ8" i="9"/>
  <c r="DP8" i="9"/>
  <c r="DO8" i="9"/>
  <c r="DN8" i="9"/>
  <c r="DK8" i="9"/>
  <c r="DJ8" i="9"/>
  <c r="DI8" i="9"/>
  <c r="DH8" i="9"/>
  <c r="DG8" i="9"/>
  <c r="DF8" i="9"/>
  <c r="DE8" i="9"/>
  <c r="DD8" i="9"/>
  <c r="DB8" i="9"/>
  <c r="DA8" i="9"/>
  <c r="CV8" i="9"/>
  <c r="CT8" i="9"/>
  <c r="CS8" i="9"/>
  <c r="GN8" i="9" s="1"/>
  <c r="CR8" i="9"/>
  <c r="GM8" i="9" s="1"/>
  <c r="CQ8" i="9"/>
  <c r="GL8" i="9" s="1"/>
  <c r="CP8" i="9"/>
  <c r="GJ8" i="9" s="1"/>
  <c r="GK8" i="9" s="1"/>
  <c r="CO8" i="9"/>
  <c r="DZ8" i="9" s="1"/>
  <c r="CN8" i="9"/>
  <c r="DY8" i="9" s="1"/>
  <c r="CM8" i="9"/>
  <c r="DX8" i="9" s="1"/>
  <c r="CL8" i="9"/>
  <c r="DW8" i="9" s="1"/>
  <c r="CG8" i="9" a="1"/>
  <c r="CG8" i="9" s="1"/>
  <c r="AW8" i="9"/>
  <c r="AV8" i="9"/>
  <c r="CU8" i="9"/>
  <c r="J8" i="9"/>
  <c r="G8" i="9"/>
  <c r="HX7" i="9" a="1"/>
  <c r="HX7" i="9" s="1"/>
  <c r="IW7" i="9" s="1"/>
  <c r="HW7" i="9" a="1"/>
  <c r="HW7" i="9" s="1"/>
  <c r="IV7" i="9" s="1"/>
  <c r="HV7" i="9" a="1"/>
  <c r="HV7" i="9" s="1"/>
  <c r="IU7" i="9" s="1"/>
  <c r="HU7" i="9" a="1"/>
  <c r="HU7" i="9" s="1"/>
  <c r="IT7" i="9" s="1"/>
  <c r="HT7" i="9" a="1"/>
  <c r="HT7" i="9" s="1"/>
  <c r="IS7" i="9" s="1"/>
  <c r="HS7" i="9" a="1"/>
  <c r="HS7" i="9" s="1"/>
  <c r="IR7" i="9" s="1"/>
  <c r="HR7" i="9" a="1"/>
  <c r="HR7" i="9" s="1"/>
  <c r="IQ7" i="9" s="1"/>
  <c r="HQ7" i="9" a="1"/>
  <c r="HQ7" i="9" s="1"/>
  <c r="IP7" i="9" s="1"/>
  <c r="HP7" i="9" a="1"/>
  <c r="HP7" i="9" s="1"/>
  <c r="IO7" i="9" s="1"/>
  <c r="HL7" i="9"/>
  <c r="HJ7" i="9"/>
  <c r="HH7" i="9"/>
  <c r="HB7" i="9"/>
  <c r="HA7" i="9"/>
  <c r="GZ7" i="9"/>
  <c r="GY7" i="9"/>
  <c r="GX7" i="9"/>
  <c r="GW7" i="9"/>
  <c r="GV7" i="9"/>
  <c r="GU7" i="9"/>
  <c r="GT7" i="9"/>
  <c r="GP7" i="9"/>
  <c r="GI7" i="9"/>
  <c r="GH7" i="9"/>
  <c r="GG7" i="9"/>
  <c r="GF7" i="9"/>
  <c r="GE7" i="9"/>
  <c r="GB7" i="9"/>
  <c r="GA7" i="9"/>
  <c r="FZ7" i="9"/>
  <c r="FY7" i="9"/>
  <c r="FW7" i="9"/>
  <c r="FV7" i="9"/>
  <c r="FU7" i="9"/>
  <c r="FT7" i="9"/>
  <c r="FS7" i="9"/>
  <c r="FR7" i="9"/>
  <c r="FQ7" i="9"/>
  <c r="FJ7" i="9"/>
  <c r="FI7" i="9"/>
  <c r="FH7" i="9"/>
  <c r="FG7" i="9"/>
  <c r="FF7" i="9"/>
  <c r="FE7" i="9"/>
  <c r="FD7" i="9"/>
  <c r="FB7" i="9"/>
  <c r="FA7" i="9"/>
  <c r="EZ7" i="9"/>
  <c r="EY7" i="9"/>
  <c r="EX7" i="9"/>
  <c r="EW7" i="9"/>
  <c r="EV7" i="9"/>
  <c r="EU7" i="9"/>
  <c r="ET7" i="9"/>
  <c r="ES7" i="9"/>
  <c r="ER7" i="9"/>
  <c r="EQ7" i="9"/>
  <c r="EP7" i="9"/>
  <c r="EO7" i="9"/>
  <c r="EN7" i="9"/>
  <c r="EM7" i="9"/>
  <c r="EL7" i="9"/>
  <c r="EK7" i="9"/>
  <c r="EJ7" i="9"/>
  <c r="EI7" i="9"/>
  <c r="EH7" i="9"/>
  <c r="EG7" i="9"/>
  <c r="EF7" i="9"/>
  <c r="EE7" i="9"/>
  <c r="ED7" i="9"/>
  <c r="EC7" i="9"/>
  <c r="EB7" i="9"/>
  <c r="EA7" i="9"/>
  <c r="DU7" i="9"/>
  <c r="DT7" i="9"/>
  <c r="DS7" i="9"/>
  <c r="DR7" i="9"/>
  <c r="DQ7" i="9"/>
  <c r="DP7" i="9"/>
  <c r="DO7" i="9"/>
  <c r="DN7" i="9"/>
  <c r="DK7" i="9"/>
  <c r="DJ7" i="9"/>
  <c r="DI7" i="9"/>
  <c r="DH7" i="9"/>
  <c r="DG7" i="9"/>
  <c r="DF7" i="9"/>
  <c r="DE7" i="9"/>
  <c r="DD7" i="9"/>
  <c r="DB7" i="9"/>
  <c r="DA7" i="9"/>
  <c r="CV7" i="9"/>
  <c r="CT7" i="9"/>
  <c r="CS7" i="9"/>
  <c r="GN7" i="9" s="1"/>
  <c r="CR7" i="9"/>
  <c r="GM7" i="9" s="1"/>
  <c r="CQ7" i="9"/>
  <c r="GL7" i="9" s="1"/>
  <c r="CP7" i="9"/>
  <c r="GJ7" i="9" s="1"/>
  <c r="GK7" i="9" s="1"/>
  <c r="CO7" i="9"/>
  <c r="DZ7" i="9" s="1"/>
  <c r="CN7" i="9"/>
  <c r="DY7" i="9" s="1"/>
  <c r="CM7" i="9"/>
  <c r="DX7" i="9" s="1"/>
  <c r="CL7" i="9"/>
  <c r="DW7" i="9" s="1"/>
  <c r="CG7" i="9" a="1"/>
  <c r="CG7" i="9" s="1"/>
  <c r="AW7" i="9"/>
  <c r="AV7" i="9"/>
  <c r="CU7" i="9"/>
  <c r="J7" i="9"/>
  <c r="G7" i="9"/>
  <c r="HX6" i="9" a="1"/>
  <c r="HX6" i="9" s="1"/>
  <c r="IW6" i="9" s="1"/>
  <c r="HW6" i="9" a="1"/>
  <c r="HW6" i="9" s="1"/>
  <c r="IV6" i="9" s="1"/>
  <c r="HV6" i="9" a="1"/>
  <c r="HV6" i="9" s="1"/>
  <c r="IU6" i="9" s="1"/>
  <c r="HU6" i="9" a="1"/>
  <c r="HU6" i="9" s="1"/>
  <c r="IT6" i="9" s="1"/>
  <c r="HT6" i="9" a="1"/>
  <c r="HT6" i="9" s="1"/>
  <c r="IS6" i="9" s="1"/>
  <c r="HS6" i="9" a="1"/>
  <c r="HS6" i="9" s="1"/>
  <c r="IR6" i="9" s="1"/>
  <c r="HR6" i="9" a="1"/>
  <c r="HR6" i="9" s="1"/>
  <c r="IQ6" i="9" s="1"/>
  <c r="HQ6" i="9" a="1"/>
  <c r="HQ6" i="9" s="1"/>
  <c r="IP6" i="9" s="1"/>
  <c r="HP6" i="9" a="1"/>
  <c r="HP6" i="9" s="1"/>
  <c r="IO6" i="9" s="1"/>
  <c r="HL6" i="9"/>
  <c r="HJ6" i="9"/>
  <c r="HH6" i="9"/>
  <c r="HB6" i="9"/>
  <c r="HA6" i="9"/>
  <c r="GZ6" i="9"/>
  <c r="GY6" i="9"/>
  <c r="GX6" i="9"/>
  <c r="GW6" i="9"/>
  <c r="GV6" i="9"/>
  <c r="GU6" i="9"/>
  <c r="GT6" i="9"/>
  <c r="GP6" i="9"/>
  <c r="GI6" i="9"/>
  <c r="GH6" i="9"/>
  <c r="GG6" i="9"/>
  <c r="GF6" i="9"/>
  <c r="GE6" i="9"/>
  <c r="GB6" i="9"/>
  <c r="GA6" i="9"/>
  <c r="FZ6" i="9"/>
  <c r="FY6" i="9"/>
  <c r="FW6" i="9"/>
  <c r="FV6" i="9"/>
  <c r="FU6" i="9"/>
  <c r="FT6" i="9"/>
  <c r="FS6" i="9"/>
  <c r="FR6" i="9"/>
  <c r="FQ6" i="9"/>
  <c r="FJ6" i="9"/>
  <c r="FI6" i="9"/>
  <c r="FH6" i="9"/>
  <c r="FG6" i="9"/>
  <c r="FF6" i="9"/>
  <c r="FE6" i="9"/>
  <c r="FD6" i="9"/>
  <c r="FB6" i="9"/>
  <c r="FA6" i="9"/>
  <c r="EZ6" i="9"/>
  <c r="EY6" i="9"/>
  <c r="EX6" i="9"/>
  <c r="EW6" i="9"/>
  <c r="EV6" i="9"/>
  <c r="EU6" i="9"/>
  <c r="ET6" i="9"/>
  <c r="ES6" i="9"/>
  <c r="ER6" i="9"/>
  <c r="EQ6" i="9"/>
  <c r="EP6" i="9"/>
  <c r="EO6" i="9"/>
  <c r="EN6" i="9"/>
  <c r="EM6" i="9"/>
  <c r="EL6" i="9"/>
  <c r="EK6" i="9"/>
  <c r="EJ6" i="9"/>
  <c r="EI6" i="9"/>
  <c r="EH6" i="9"/>
  <c r="EG6" i="9"/>
  <c r="EF6" i="9"/>
  <c r="EE6" i="9"/>
  <c r="ED6" i="9"/>
  <c r="EC6" i="9"/>
  <c r="EB6" i="9"/>
  <c r="EA6" i="9"/>
  <c r="DU6" i="9"/>
  <c r="DT6" i="9"/>
  <c r="DS6" i="9"/>
  <c r="DR6" i="9"/>
  <c r="DQ6" i="9"/>
  <c r="DP6" i="9"/>
  <c r="DO6" i="9"/>
  <c r="DN6" i="9"/>
  <c r="DK6" i="9"/>
  <c r="DJ6" i="9"/>
  <c r="DI6" i="9"/>
  <c r="DH6" i="9"/>
  <c r="DG6" i="9"/>
  <c r="DF6" i="9"/>
  <c r="DE6" i="9"/>
  <c r="DD6" i="9"/>
  <c r="DB6" i="9"/>
  <c r="DA6" i="9"/>
  <c r="CV6" i="9"/>
  <c r="CT6" i="9"/>
  <c r="CS6" i="9"/>
  <c r="GN6" i="9" s="1"/>
  <c r="CR6" i="9"/>
  <c r="GM6" i="9" s="1"/>
  <c r="CQ6" i="9"/>
  <c r="GL6" i="9" s="1"/>
  <c r="CP6" i="9"/>
  <c r="GJ6" i="9" s="1"/>
  <c r="GK6" i="9" s="1"/>
  <c r="CO6" i="9"/>
  <c r="DZ6" i="9" s="1"/>
  <c r="CN6" i="9"/>
  <c r="DY6" i="9" s="1"/>
  <c r="CM6" i="9"/>
  <c r="DX6" i="9" s="1"/>
  <c r="CL6" i="9"/>
  <c r="DW6" i="9" s="1"/>
  <c r="CG6" i="9" a="1"/>
  <c r="CG6" i="9" s="1"/>
  <c r="CK6" i="9" s="1"/>
  <c r="CZ6" i="9" s="1"/>
  <c r="AW6" i="9"/>
  <c r="AV6" i="9"/>
  <c r="CU6" i="9"/>
  <c r="J6" i="9"/>
  <c r="G6" i="9"/>
  <c r="HX5" i="9" a="1"/>
  <c r="HX5" i="9" s="1"/>
  <c r="IW5" i="9" s="1"/>
  <c r="HW5" i="9" a="1"/>
  <c r="HW5" i="9" s="1"/>
  <c r="IV5" i="9" s="1"/>
  <c r="HV5" i="9" a="1"/>
  <c r="HV5" i="9" s="1"/>
  <c r="IU5" i="9" s="1"/>
  <c r="HU5" i="9" a="1"/>
  <c r="HU5" i="9" s="1"/>
  <c r="IT5" i="9" s="1"/>
  <c r="HT5" i="9" a="1"/>
  <c r="HT5" i="9" s="1"/>
  <c r="IS5" i="9" s="1"/>
  <c r="HS5" i="9" a="1"/>
  <c r="HS5" i="9" s="1"/>
  <c r="IR5" i="9" s="1"/>
  <c r="HR5" i="9" a="1"/>
  <c r="HR5" i="9" s="1"/>
  <c r="IQ5" i="9" s="1"/>
  <c r="HQ5" i="9" a="1"/>
  <c r="HQ5" i="9" s="1"/>
  <c r="IP5" i="9" s="1"/>
  <c r="HP5" i="9" a="1"/>
  <c r="HP5" i="9" s="1"/>
  <c r="IO5" i="9" s="1"/>
  <c r="HL5" i="9"/>
  <c r="HJ5" i="9"/>
  <c r="HH5" i="9"/>
  <c r="HB5" i="9"/>
  <c r="HA5" i="9"/>
  <c r="GZ5" i="9"/>
  <c r="GY5" i="9"/>
  <c r="GX5" i="9"/>
  <c r="GW5" i="9"/>
  <c r="GV5" i="9"/>
  <c r="GU5" i="9"/>
  <c r="GT5" i="9"/>
  <c r="GP5" i="9"/>
  <c r="GI5" i="9"/>
  <c r="GH5" i="9"/>
  <c r="GG5" i="9"/>
  <c r="GF5" i="9"/>
  <c r="GE5" i="9"/>
  <c r="GB5" i="9"/>
  <c r="GA5" i="9"/>
  <c r="FZ5" i="9"/>
  <c r="FY5" i="9"/>
  <c r="FW5" i="9"/>
  <c r="FV5" i="9"/>
  <c r="FU5" i="9"/>
  <c r="FT5" i="9"/>
  <c r="FS5" i="9"/>
  <c r="FR5" i="9"/>
  <c r="FQ5" i="9"/>
  <c r="FJ5" i="9"/>
  <c r="FI5" i="9"/>
  <c r="FH5" i="9"/>
  <c r="FG5" i="9"/>
  <c r="FF5" i="9"/>
  <c r="FP5" i="9" s="1"/>
  <c r="FE5" i="9"/>
  <c r="FD5" i="9"/>
  <c r="FB5" i="9"/>
  <c r="FA5" i="9"/>
  <c r="EZ5" i="9"/>
  <c r="EY5" i="9"/>
  <c r="EX5" i="9"/>
  <c r="EW5" i="9"/>
  <c r="EV5" i="9"/>
  <c r="EU5" i="9"/>
  <c r="ET5" i="9"/>
  <c r="ES5" i="9"/>
  <c r="ER5" i="9"/>
  <c r="EQ5" i="9"/>
  <c r="EP5" i="9"/>
  <c r="EO5" i="9"/>
  <c r="EN5" i="9"/>
  <c r="EM5" i="9"/>
  <c r="EL5" i="9"/>
  <c r="EK5" i="9"/>
  <c r="EJ5" i="9"/>
  <c r="EI5" i="9"/>
  <c r="EH5" i="9"/>
  <c r="EG5" i="9"/>
  <c r="EF5" i="9"/>
  <c r="EE5" i="9"/>
  <c r="ED5" i="9"/>
  <c r="EC5" i="9"/>
  <c r="EB5" i="9"/>
  <c r="EA5" i="9"/>
  <c r="DU5" i="9"/>
  <c r="DT5" i="9"/>
  <c r="DS5" i="9"/>
  <c r="DR5" i="9"/>
  <c r="DQ5" i="9"/>
  <c r="DP5" i="9"/>
  <c r="DO5" i="9"/>
  <c r="DN5" i="9"/>
  <c r="DK5" i="9"/>
  <c r="DJ5" i="9"/>
  <c r="DI5" i="9"/>
  <c r="DH5" i="9"/>
  <c r="DG5" i="9"/>
  <c r="DF5" i="9"/>
  <c r="DE5" i="9"/>
  <c r="DD5" i="9"/>
  <c r="DB5" i="9"/>
  <c r="DA5" i="9"/>
  <c r="CV5" i="9"/>
  <c r="CT5" i="9"/>
  <c r="CS5" i="9"/>
  <c r="GN5" i="9" s="1"/>
  <c r="CR5" i="9"/>
  <c r="GM5" i="9" s="1"/>
  <c r="CQ5" i="9"/>
  <c r="GL5" i="9" s="1"/>
  <c r="CP5" i="9"/>
  <c r="GJ5" i="9" s="1"/>
  <c r="GK5" i="9" s="1"/>
  <c r="CO5" i="9"/>
  <c r="DZ5" i="9" s="1"/>
  <c r="CN5" i="9"/>
  <c r="DY5" i="9" s="1"/>
  <c r="CM5" i="9"/>
  <c r="DX5" i="9" s="1"/>
  <c r="CL5" i="9"/>
  <c r="DW5" i="9" s="1"/>
  <c r="CG5" i="9" a="1"/>
  <c r="CG5" i="9" s="1"/>
  <c r="AW5" i="9"/>
  <c r="AV5" i="9"/>
  <c r="CU5" i="9"/>
  <c r="J5" i="9"/>
  <c r="G5" i="9"/>
  <c r="HX4" i="9" a="1"/>
  <c r="HX4" i="9" s="1"/>
  <c r="IW4" i="9" s="1"/>
  <c r="HW4" i="9" a="1"/>
  <c r="HW4" i="9" s="1"/>
  <c r="IV4" i="9" s="1"/>
  <c r="HV4" i="9" a="1"/>
  <c r="HV4" i="9" s="1"/>
  <c r="IU4" i="9" s="1"/>
  <c r="HU4" i="9" a="1"/>
  <c r="HU4" i="9" s="1"/>
  <c r="IT4" i="9" s="1"/>
  <c r="HT4" i="9" a="1"/>
  <c r="HT4" i="9" s="1"/>
  <c r="IS4" i="9" s="1"/>
  <c r="HS4" i="9" a="1"/>
  <c r="HS4" i="9" s="1"/>
  <c r="IR4" i="9" s="1"/>
  <c r="HR4" i="9" a="1"/>
  <c r="HR4" i="9" s="1"/>
  <c r="IQ4" i="9" s="1"/>
  <c r="HQ4" i="9" a="1"/>
  <c r="HQ4" i="9" s="1"/>
  <c r="IP4" i="9" s="1"/>
  <c r="HP4" i="9" a="1"/>
  <c r="HP4" i="9" s="1"/>
  <c r="IO4" i="9" s="1"/>
  <c r="HL4" i="9"/>
  <c r="HJ4" i="9"/>
  <c r="HH4" i="9"/>
  <c r="HB4" i="9"/>
  <c r="HA4" i="9"/>
  <c r="GZ4" i="9"/>
  <c r="GY4" i="9"/>
  <c r="GX4" i="9"/>
  <c r="GW4" i="9"/>
  <c r="GV4" i="9"/>
  <c r="GU4" i="9"/>
  <c r="GT4" i="9"/>
  <c r="GP4" i="9"/>
  <c r="GI4" i="9"/>
  <c r="GH4" i="9"/>
  <c r="GG4" i="9"/>
  <c r="GF4" i="9"/>
  <c r="GE4" i="9"/>
  <c r="GB4" i="9"/>
  <c r="GA4" i="9"/>
  <c r="FZ4" i="9"/>
  <c r="FY4" i="9"/>
  <c r="FW4" i="9"/>
  <c r="FV4" i="9"/>
  <c r="FU4" i="9"/>
  <c r="FT4" i="9"/>
  <c r="FS4" i="9"/>
  <c r="FR4" i="9"/>
  <c r="FQ4" i="9"/>
  <c r="FJ4" i="9"/>
  <c r="FI4" i="9"/>
  <c r="FH4" i="9"/>
  <c r="FG4" i="9"/>
  <c r="FF4" i="9"/>
  <c r="FE4" i="9"/>
  <c r="FD4" i="9"/>
  <c r="FB4" i="9"/>
  <c r="FA4" i="9"/>
  <c r="EZ4" i="9"/>
  <c r="EY4" i="9"/>
  <c r="EX4" i="9"/>
  <c r="EW4" i="9"/>
  <c r="EV4" i="9"/>
  <c r="EU4" i="9"/>
  <c r="ET4" i="9"/>
  <c r="ES4" i="9"/>
  <c r="ER4" i="9"/>
  <c r="EQ4" i="9"/>
  <c r="EP4" i="9"/>
  <c r="EO4" i="9"/>
  <c r="EN4" i="9"/>
  <c r="EM4" i="9"/>
  <c r="EL4" i="9"/>
  <c r="EK4" i="9"/>
  <c r="EJ4" i="9"/>
  <c r="EI4" i="9"/>
  <c r="EH4" i="9"/>
  <c r="EG4" i="9"/>
  <c r="EF4" i="9"/>
  <c r="EE4" i="9"/>
  <c r="ED4" i="9"/>
  <c r="EC4" i="9"/>
  <c r="EB4" i="9"/>
  <c r="EA4" i="9"/>
  <c r="DU4" i="9"/>
  <c r="DT4" i="9"/>
  <c r="DS4" i="9"/>
  <c r="DR4" i="9"/>
  <c r="DQ4" i="9"/>
  <c r="DP4" i="9"/>
  <c r="DO4" i="9"/>
  <c r="DN4" i="9"/>
  <c r="DK4" i="9"/>
  <c r="DJ4" i="9"/>
  <c r="DI4" i="9"/>
  <c r="DH4" i="9"/>
  <c r="DG4" i="9"/>
  <c r="DF4" i="9"/>
  <c r="DE4" i="9"/>
  <c r="DD4" i="9"/>
  <c r="DB4" i="9"/>
  <c r="DA4" i="9"/>
  <c r="CV4" i="9"/>
  <c r="CT4" i="9"/>
  <c r="CS4" i="9"/>
  <c r="GN4" i="9" s="1"/>
  <c r="CR4" i="9"/>
  <c r="GM4" i="9" s="1"/>
  <c r="CQ4" i="9"/>
  <c r="GL4" i="9" s="1"/>
  <c r="CP4" i="9"/>
  <c r="GJ4" i="9" s="1"/>
  <c r="GK4" i="9" s="1"/>
  <c r="CO4" i="9"/>
  <c r="DZ4" i="9" s="1"/>
  <c r="CN4" i="9"/>
  <c r="DY4" i="9" s="1"/>
  <c r="CM4" i="9"/>
  <c r="DX4" i="9" s="1"/>
  <c r="CL4" i="9"/>
  <c r="DW4" i="9" s="1"/>
  <c r="CG4" i="9" a="1"/>
  <c r="CG4" i="9" s="1"/>
  <c r="AW4" i="9"/>
  <c r="AV4" i="9"/>
  <c r="CU4" i="9"/>
  <c r="J4" i="9"/>
  <c r="G4" i="9"/>
  <c r="HX3" i="9" a="1"/>
  <c r="HX3" i="9" s="1"/>
  <c r="IW3" i="9" s="1"/>
  <c r="HW3" i="9" a="1"/>
  <c r="HW3" i="9" s="1"/>
  <c r="IV3" i="9" s="1"/>
  <c r="HV3" i="9" a="1"/>
  <c r="HV3" i="9" s="1"/>
  <c r="IU3" i="9" s="1"/>
  <c r="HU3" i="9" a="1"/>
  <c r="HU3" i="9" s="1"/>
  <c r="IT3" i="9" s="1"/>
  <c r="HT3" i="9" a="1"/>
  <c r="HT3" i="9" s="1"/>
  <c r="IS3" i="9" s="1"/>
  <c r="HS3" i="9" a="1"/>
  <c r="HS3" i="9" s="1"/>
  <c r="IR3" i="9" s="1"/>
  <c r="HR3" i="9" a="1"/>
  <c r="HR3" i="9" s="1"/>
  <c r="IQ3" i="9" s="1"/>
  <c r="HQ3" i="9" a="1"/>
  <c r="HQ3" i="9" s="1"/>
  <c r="IP3" i="9" s="1"/>
  <c r="HP3" i="9" a="1"/>
  <c r="HP3" i="9" s="1"/>
  <c r="IO3" i="9" s="1"/>
  <c r="HL3" i="9"/>
  <c r="HJ3" i="9"/>
  <c r="HH3" i="9"/>
  <c r="HB3" i="9"/>
  <c r="HA3" i="9"/>
  <c r="GZ3" i="9"/>
  <c r="GY3" i="9"/>
  <c r="GX3" i="9"/>
  <c r="GW3" i="9"/>
  <c r="GV3" i="9"/>
  <c r="GU3" i="9"/>
  <c r="GT3" i="9"/>
  <c r="GP3" i="9"/>
  <c r="GI3" i="9"/>
  <c r="GH3" i="9"/>
  <c r="GG3" i="9"/>
  <c r="GF3" i="9"/>
  <c r="GE3" i="9"/>
  <c r="GB3" i="9"/>
  <c r="GA3" i="9"/>
  <c r="FZ3" i="9"/>
  <c r="FY3" i="9"/>
  <c r="FW3" i="9"/>
  <c r="FV3" i="9"/>
  <c r="FU3" i="9"/>
  <c r="FT3" i="9"/>
  <c r="FS3" i="9"/>
  <c r="FR3" i="9"/>
  <c r="FQ3" i="9"/>
  <c r="FJ3" i="9"/>
  <c r="FI3" i="9"/>
  <c r="FH3" i="9"/>
  <c r="FG3" i="9"/>
  <c r="FF3" i="9"/>
  <c r="FP3" i="9" s="1"/>
  <c r="FE3" i="9"/>
  <c r="FD3" i="9"/>
  <c r="FB3" i="9"/>
  <c r="FA3" i="9"/>
  <c r="EZ3" i="9"/>
  <c r="EY3" i="9"/>
  <c r="EX3" i="9"/>
  <c r="EW3" i="9"/>
  <c r="EV3" i="9"/>
  <c r="EU3" i="9"/>
  <c r="ET3" i="9"/>
  <c r="ES3" i="9"/>
  <c r="ER3" i="9"/>
  <c r="EQ3" i="9"/>
  <c r="EP3" i="9"/>
  <c r="EO3" i="9"/>
  <c r="EN3" i="9"/>
  <c r="EM3" i="9"/>
  <c r="EL3" i="9"/>
  <c r="EK3" i="9"/>
  <c r="EJ3" i="9"/>
  <c r="EI3" i="9"/>
  <c r="EH3" i="9"/>
  <c r="EG3" i="9"/>
  <c r="EF3" i="9"/>
  <c r="EE3" i="9"/>
  <c r="ED3" i="9"/>
  <c r="EC3" i="9"/>
  <c r="EB3" i="9"/>
  <c r="EA3" i="9"/>
  <c r="DU3" i="9"/>
  <c r="DT3" i="9"/>
  <c r="DS3" i="9"/>
  <c r="DR3" i="9"/>
  <c r="DQ3" i="9"/>
  <c r="DP3" i="9"/>
  <c r="DO3" i="9"/>
  <c r="DN3" i="9"/>
  <c r="DK3" i="9"/>
  <c r="DJ3" i="9"/>
  <c r="DI3" i="9"/>
  <c r="DH3" i="9"/>
  <c r="DG3" i="9"/>
  <c r="DF3" i="9"/>
  <c r="DE3" i="9"/>
  <c r="DD3" i="9"/>
  <c r="DB3" i="9"/>
  <c r="DA3" i="9"/>
  <c r="CV3" i="9"/>
  <c r="CT3" i="9"/>
  <c r="CS3" i="9"/>
  <c r="GN3" i="9" s="1"/>
  <c r="CR3" i="9"/>
  <c r="GM3" i="9" s="1"/>
  <c r="CQ3" i="9"/>
  <c r="GL3" i="9" s="1"/>
  <c r="CP3" i="9"/>
  <c r="GJ3" i="9" s="1"/>
  <c r="GK3" i="9" s="1"/>
  <c r="CO3" i="9"/>
  <c r="DZ3" i="9" s="1"/>
  <c r="CN3" i="9"/>
  <c r="DY3" i="9" s="1"/>
  <c r="CM3" i="9"/>
  <c r="DX3" i="9" s="1"/>
  <c r="CL3" i="9"/>
  <c r="DW3" i="9" s="1"/>
  <c r="CG3" i="9" a="1"/>
  <c r="CG3" i="9" s="1"/>
  <c r="IM3" i="9" s="1"/>
  <c r="AW3" i="9"/>
  <c r="AV3" i="9"/>
  <c r="CU3" i="9"/>
  <c r="J3" i="9"/>
  <c r="G3" i="9"/>
  <c r="CH5" i="10" l="1"/>
  <c r="CW5" i="10" s="1"/>
  <c r="CJ4" i="15"/>
  <c r="CY4" i="15" s="1"/>
  <c r="FO7" i="9"/>
  <c r="FK3" i="13"/>
  <c r="FN16" i="9"/>
  <c r="FM3" i="13"/>
  <c r="FM2" i="16"/>
  <c r="HI21" i="9"/>
  <c r="FM3" i="19"/>
  <c r="FL3" i="19"/>
  <c r="FL3" i="13"/>
  <c r="FO3" i="14"/>
  <c r="FK4" i="14"/>
  <c r="DL3" i="18"/>
  <c r="HC3" i="18"/>
  <c r="CK3" i="18"/>
  <c r="CZ3" i="18" s="1"/>
  <c r="FK2" i="18"/>
  <c r="HC2" i="18"/>
  <c r="FL2" i="18"/>
  <c r="FK3" i="18"/>
  <c r="HI2" i="18"/>
  <c r="AX2" i="18"/>
  <c r="FO3" i="18"/>
  <c r="FN3" i="18"/>
  <c r="FN2" i="18"/>
  <c r="FM3" i="18"/>
  <c r="FO2" i="18"/>
  <c r="FL3" i="18"/>
  <c r="HI3" i="18"/>
  <c r="FM2" i="18"/>
  <c r="HI3" i="19"/>
  <c r="HC2" i="19"/>
  <c r="FO3" i="19"/>
  <c r="FN3" i="19"/>
  <c r="DL3" i="19"/>
  <c r="CK3" i="19"/>
  <c r="CZ3" i="19" s="1"/>
  <c r="CJ3" i="19"/>
  <c r="CY3" i="19" s="1"/>
  <c r="IM3" i="19"/>
  <c r="HI2" i="19"/>
  <c r="HC3" i="19"/>
  <c r="FK3" i="19"/>
  <c r="FL2" i="19"/>
  <c r="CK3" i="16"/>
  <c r="CZ3" i="16" s="1"/>
  <c r="AX2" i="16"/>
  <c r="FO2" i="16"/>
  <c r="HI3" i="16"/>
  <c r="CH3" i="16"/>
  <c r="CW3" i="16" s="1"/>
  <c r="FO3" i="16"/>
  <c r="HI2" i="16"/>
  <c r="FN2" i="16"/>
  <c r="FK3" i="16"/>
  <c r="FM3" i="16"/>
  <c r="HC3" i="16"/>
  <c r="FN3" i="16"/>
  <c r="FL3" i="16"/>
  <c r="FK2" i="16"/>
  <c r="FL2" i="16"/>
  <c r="AX2" i="17"/>
  <c r="FN3" i="17"/>
  <c r="IN3" i="17"/>
  <c r="IX3" i="17" s="1"/>
  <c r="CJ3" i="17"/>
  <c r="CY3" i="17" s="1"/>
  <c r="CI3" i="17"/>
  <c r="CX3" i="17" s="1"/>
  <c r="DL3" i="17"/>
  <c r="CH3" i="17"/>
  <c r="CW3" i="17" s="1"/>
  <c r="HI3" i="17"/>
  <c r="HI2" i="17"/>
  <c r="HC2" i="17"/>
  <c r="FO3" i="17"/>
  <c r="FL3" i="17"/>
  <c r="IP3" i="19"/>
  <c r="DM3" i="19" a="1"/>
  <c r="DM3" i="19" s="1"/>
  <c r="CJ2" i="19"/>
  <c r="CY2" i="19" s="1"/>
  <c r="CI2" i="19"/>
  <c r="CX2" i="19" s="1"/>
  <c r="CH2" i="19"/>
  <c r="CW2" i="19" s="1"/>
  <c r="IM2" i="19"/>
  <c r="IN2" i="19"/>
  <c r="IX2" i="19" s="1"/>
  <c r="CK2" i="19"/>
  <c r="CZ2" i="19" s="1"/>
  <c r="DL2" i="19"/>
  <c r="FK2" i="19"/>
  <c r="CI3" i="19"/>
  <c r="CX3" i="19" s="1"/>
  <c r="CH3" i="19"/>
  <c r="CW3" i="19" s="1"/>
  <c r="FO2" i="19"/>
  <c r="FN2" i="19"/>
  <c r="FM2" i="19"/>
  <c r="AX2" i="19"/>
  <c r="IM3" i="18"/>
  <c r="CH3" i="18"/>
  <c r="CW3" i="18" s="1"/>
  <c r="CJ3" i="18"/>
  <c r="CY3" i="18" s="1"/>
  <c r="CI3" i="18"/>
  <c r="CX3" i="18" s="1"/>
  <c r="DM3" i="18" a="1"/>
  <c r="DM3" i="18" s="1"/>
  <c r="DL2" i="18"/>
  <c r="CH2" i="18"/>
  <c r="CW2" i="18" s="1"/>
  <c r="IN2" i="18"/>
  <c r="IX2" i="18" s="1"/>
  <c r="CK2" i="18"/>
  <c r="CZ2" i="18" s="1"/>
  <c r="IM2" i="18"/>
  <c r="CJ2" i="18"/>
  <c r="CY2" i="18" s="1"/>
  <c r="DM2" i="18" a="1"/>
  <c r="DM2" i="18" s="1"/>
  <c r="CJ2" i="17"/>
  <c r="CY2" i="17" s="1"/>
  <c r="CI2" i="17"/>
  <c r="CX2" i="17" s="1"/>
  <c r="CH2" i="17"/>
  <c r="CW2" i="17" s="1"/>
  <c r="IN2" i="17"/>
  <c r="IX2" i="17" s="1"/>
  <c r="IM2" i="17"/>
  <c r="DM2" i="17" a="1"/>
  <c r="DM2" i="17" s="1"/>
  <c r="DL2" i="17"/>
  <c r="CK2" i="17"/>
  <c r="CZ2" i="17" s="1"/>
  <c r="HC3" i="17"/>
  <c r="DM3" i="17" a="1"/>
  <c r="DM3" i="17" s="1"/>
  <c r="GS3" i="17" s="1"/>
  <c r="IO3" i="17"/>
  <c r="CK3" i="17"/>
  <c r="CZ3" i="17" s="1"/>
  <c r="IM3" i="17"/>
  <c r="FM3" i="17"/>
  <c r="FO2" i="17"/>
  <c r="FN2" i="17"/>
  <c r="FP2" i="17"/>
  <c r="FL2" i="17"/>
  <c r="FK2" i="17"/>
  <c r="FM2" i="17"/>
  <c r="IM2" i="16"/>
  <c r="IN2" i="16"/>
  <c r="IX2" i="16" s="1"/>
  <c r="CI2" i="16"/>
  <c r="CX2" i="16" s="1"/>
  <c r="DL2" i="16"/>
  <c r="CK2" i="16"/>
  <c r="CZ2" i="16" s="1"/>
  <c r="DM2" i="16" a="1"/>
  <c r="DM2" i="16" s="1"/>
  <c r="CH2" i="16"/>
  <c r="CW2" i="16" s="1"/>
  <c r="CJ2" i="16"/>
  <c r="CY2" i="16" s="1"/>
  <c r="DM3" i="16" a="1"/>
  <c r="DM3" i="16" s="1"/>
  <c r="DL3" i="16"/>
  <c r="IN3" i="16"/>
  <c r="IX3" i="16" s="1"/>
  <c r="IM3" i="16"/>
  <c r="CJ3" i="16"/>
  <c r="CY3" i="16" s="1"/>
  <c r="HC2" i="16"/>
  <c r="CI4" i="15"/>
  <c r="CX4" i="15" s="1"/>
  <c r="FL4" i="15"/>
  <c r="CH4" i="15"/>
  <c r="CW4" i="15" s="1"/>
  <c r="DL4" i="15"/>
  <c r="FO4" i="15"/>
  <c r="HI3" i="15"/>
  <c r="FL3" i="15"/>
  <c r="IM4" i="15"/>
  <c r="FO2" i="15"/>
  <c r="FM4" i="15"/>
  <c r="HC4" i="15"/>
  <c r="HI4" i="15"/>
  <c r="FN2" i="15"/>
  <c r="FP2" i="15"/>
  <c r="FK3" i="15"/>
  <c r="CI3" i="15"/>
  <c r="CX3" i="15" s="1"/>
  <c r="CH3" i="15"/>
  <c r="CW3" i="15" s="1"/>
  <c r="IM3" i="15"/>
  <c r="DM3" i="15" a="1"/>
  <c r="DM3" i="15" s="1"/>
  <c r="HC3" i="15"/>
  <c r="FK2" i="15"/>
  <c r="CK2" i="15"/>
  <c r="CZ2" i="15" s="1"/>
  <c r="DM2" i="15" a="1"/>
  <c r="DM2" i="15" s="1"/>
  <c r="DL2" i="15"/>
  <c r="CJ2" i="15"/>
  <c r="CY2" i="15" s="1"/>
  <c r="IN2" i="15"/>
  <c r="IX2" i="15" s="1"/>
  <c r="CH2" i="15"/>
  <c r="CW2" i="15" s="1"/>
  <c r="CI2" i="15"/>
  <c r="CX2" i="15" s="1"/>
  <c r="HI2" i="15"/>
  <c r="FK4" i="15"/>
  <c r="FL2" i="15"/>
  <c r="FM2" i="15"/>
  <c r="FN3" i="15"/>
  <c r="FO3" i="15"/>
  <c r="FP3" i="15"/>
  <c r="HC2" i="15"/>
  <c r="CK3" i="15"/>
  <c r="CZ3" i="15" s="1"/>
  <c r="DL3" i="15"/>
  <c r="CJ3" i="15"/>
  <c r="CY3" i="15" s="1"/>
  <c r="FM3" i="15"/>
  <c r="FN4" i="15"/>
  <c r="FP4" i="15"/>
  <c r="IM2" i="15"/>
  <c r="CK4" i="15"/>
  <c r="CZ4" i="15" s="1"/>
  <c r="DM4" i="15" a="1"/>
  <c r="DM4" i="15" s="1"/>
  <c r="FO2" i="14"/>
  <c r="FM3" i="14"/>
  <c r="FM4" i="14"/>
  <c r="FP4" i="14"/>
  <c r="HI4" i="14"/>
  <c r="FN4" i="14"/>
  <c r="HC4" i="14"/>
  <c r="AX2" i="14"/>
  <c r="HI3" i="14"/>
  <c r="HC2" i="14"/>
  <c r="FK3" i="14"/>
  <c r="FL4" i="14"/>
  <c r="HI2" i="14"/>
  <c r="DM3" i="14" a="1"/>
  <c r="DM3" i="14" s="1"/>
  <c r="DL3" i="14"/>
  <c r="IN3" i="14"/>
  <c r="IX3" i="14" s="1"/>
  <c r="CK3" i="14"/>
  <c r="CZ3" i="14" s="1"/>
  <c r="IM3" i="14"/>
  <c r="CJ3" i="14"/>
  <c r="CY3" i="14" s="1"/>
  <c r="CI3" i="14"/>
  <c r="CX3" i="14" s="1"/>
  <c r="HC3" i="14"/>
  <c r="CH3" i="14"/>
  <c r="CW3" i="14" s="1"/>
  <c r="CK2" i="14"/>
  <c r="CZ2" i="14" s="1"/>
  <c r="CI2" i="14"/>
  <c r="CX2" i="14" s="1"/>
  <c r="CJ2" i="14"/>
  <c r="CY2" i="14" s="1"/>
  <c r="DM2" i="14" a="1"/>
  <c r="DM2" i="14" s="1"/>
  <c r="IM2" i="14"/>
  <c r="DL2" i="14"/>
  <c r="CH2" i="14"/>
  <c r="CW2" i="14" s="1"/>
  <c r="IN4" i="14"/>
  <c r="IX4" i="14" s="1"/>
  <c r="CI4" i="14"/>
  <c r="CX4" i="14" s="1"/>
  <c r="DM4" i="14" a="1"/>
  <c r="DM4" i="14" s="1"/>
  <c r="CK4" i="14"/>
  <c r="CZ4" i="14" s="1"/>
  <c r="CJ4" i="14"/>
  <c r="CY4" i="14" s="1"/>
  <c r="DL4" i="14"/>
  <c r="FN3" i="14"/>
  <c r="CH4" i="14"/>
  <c r="CW4" i="14" s="1"/>
  <c r="FP2" i="14"/>
  <c r="FL2" i="14"/>
  <c r="FN2" i="14"/>
  <c r="FL3" i="14"/>
  <c r="FK2" i="14"/>
  <c r="FM2" i="14"/>
  <c r="FK13" i="13"/>
  <c r="FL13" i="13"/>
  <c r="HI7" i="13"/>
  <c r="FK7" i="13"/>
  <c r="HC7" i="13"/>
  <c r="FL7" i="13"/>
  <c r="FM7" i="13"/>
  <c r="FM9" i="13"/>
  <c r="FO11" i="13"/>
  <c r="DL9" i="13"/>
  <c r="CK9" i="13"/>
  <c r="CZ9" i="13" s="1"/>
  <c r="CJ9" i="13"/>
  <c r="CY9" i="13" s="1"/>
  <c r="CI9" i="13"/>
  <c r="CX9" i="13" s="1"/>
  <c r="CH9" i="13"/>
  <c r="CW9" i="13" s="1"/>
  <c r="FK9" i="13"/>
  <c r="FL14" i="13"/>
  <c r="HI5" i="13"/>
  <c r="FP9" i="13"/>
  <c r="HI15" i="13"/>
  <c r="HI3" i="13"/>
  <c r="FN9" i="13"/>
  <c r="FL12" i="13"/>
  <c r="HI6" i="13"/>
  <c r="CK6" i="13"/>
  <c r="CZ6" i="13" s="1"/>
  <c r="CJ6" i="13"/>
  <c r="CY6" i="13" s="1"/>
  <c r="CI12" i="13"/>
  <c r="CX12" i="13" s="1"/>
  <c r="CH12" i="13"/>
  <c r="CW12" i="13" s="1"/>
  <c r="IM4" i="13"/>
  <c r="CK4" i="13"/>
  <c r="CZ4" i="13" s="1"/>
  <c r="DL13" i="13"/>
  <c r="IM13" i="13"/>
  <c r="CJ13" i="13"/>
  <c r="CY13" i="13" s="1"/>
  <c r="CH13" i="13"/>
  <c r="CW13" i="13" s="1"/>
  <c r="DM13" i="13" a="1"/>
  <c r="DM13" i="13" s="1"/>
  <c r="FO4" i="13"/>
  <c r="FO13" i="13"/>
  <c r="FM14" i="13"/>
  <c r="HC8" i="13"/>
  <c r="HC9" i="13"/>
  <c r="IM9" i="13"/>
  <c r="FK10" i="13"/>
  <c r="FM13" i="13"/>
  <c r="FK5" i="13"/>
  <c r="IN9" i="13"/>
  <c r="IX9" i="13" s="1"/>
  <c r="FL5" i="13"/>
  <c r="AX2" i="13"/>
  <c r="FM5" i="13"/>
  <c r="FL9" i="13"/>
  <c r="HI10" i="13"/>
  <c r="FO15" i="13"/>
  <c r="FN15" i="13"/>
  <c r="CK2" i="13"/>
  <c r="CZ2" i="13" s="1"/>
  <c r="CJ2" i="13"/>
  <c r="CY2" i="13" s="1"/>
  <c r="CI2" i="13"/>
  <c r="CX2" i="13" s="1"/>
  <c r="CH2" i="13"/>
  <c r="CW2" i="13" s="1"/>
  <c r="DL14" i="13"/>
  <c r="CK14" i="13"/>
  <c r="CZ14" i="13" s="1"/>
  <c r="CJ14" i="13"/>
  <c r="CY14" i="13" s="1"/>
  <c r="CI14" i="13"/>
  <c r="CX14" i="13" s="1"/>
  <c r="CH14" i="13"/>
  <c r="CW14" i="13" s="1"/>
  <c r="HC3" i="13"/>
  <c r="FO5" i="13"/>
  <c r="FN5" i="13"/>
  <c r="FP12" i="13"/>
  <c r="FM12" i="13"/>
  <c r="IM14" i="13"/>
  <c r="IN14" i="13"/>
  <c r="IX14" i="13" s="1"/>
  <c r="FO8" i="13"/>
  <c r="FN8" i="13"/>
  <c r="FK12" i="13"/>
  <c r="IN4" i="13"/>
  <c r="IX4" i="13" s="1"/>
  <c r="HI14" i="13"/>
  <c r="FL8" i="13"/>
  <c r="FK15" i="13"/>
  <c r="FM8" i="13"/>
  <c r="IM10" i="13"/>
  <c r="DM10" i="13" a="1"/>
  <c r="DM10" i="13" s="1"/>
  <c r="CK10" i="13"/>
  <c r="CZ10" i="13" s="1"/>
  <c r="DL10" i="13"/>
  <c r="CJ10" i="13"/>
  <c r="CY10" i="13" s="1"/>
  <c r="CI10" i="13"/>
  <c r="CX10" i="13" s="1"/>
  <c r="CH10" i="13"/>
  <c r="CW10" i="13" s="1"/>
  <c r="CJ4" i="13"/>
  <c r="CY4" i="13" s="1"/>
  <c r="HC13" i="13"/>
  <c r="HI8" i="13"/>
  <c r="HC10" i="13"/>
  <c r="HI11" i="13"/>
  <c r="IN12" i="13"/>
  <c r="IX12" i="13" s="1"/>
  <c r="DM12" i="13" a="1"/>
  <c r="DM12" i="13" s="1"/>
  <c r="DL12" i="13"/>
  <c r="IM12" i="13"/>
  <c r="CK12" i="13"/>
  <c r="CZ12" i="13" s="1"/>
  <c r="CJ12" i="13"/>
  <c r="CY12" i="13" s="1"/>
  <c r="DM6" i="13" a="1"/>
  <c r="DM6" i="13" s="1"/>
  <c r="IN6" i="13"/>
  <c r="IX6" i="13" s="1"/>
  <c r="DL6" i="13"/>
  <c r="HC11" i="13"/>
  <c r="FO3" i="13"/>
  <c r="HC5" i="13"/>
  <c r="FO6" i="13"/>
  <c r="HC6" i="13"/>
  <c r="FL10" i="13"/>
  <c r="HI4" i="13"/>
  <c r="FK4" i="13"/>
  <c r="FK6" i="13"/>
  <c r="FM10" i="13"/>
  <c r="FL4" i="13"/>
  <c r="FL6" i="13"/>
  <c r="FN7" i="13"/>
  <c r="HI9" i="13"/>
  <c r="FM4" i="13"/>
  <c r="HI12" i="13"/>
  <c r="FN13" i="13"/>
  <c r="HC15" i="13"/>
  <c r="CK7" i="13"/>
  <c r="CZ7" i="13" s="1"/>
  <c r="CI7" i="13"/>
  <c r="CX7" i="13" s="1"/>
  <c r="IN7" i="13"/>
  <c r="IX7" i="13" s="1"/>
  <c r="IM7" i="13"/>
  <c r="DM7" i="13" a="1"/>
  <c r="DM7" i="13" s="1"/>
  <c r="DL7" i="13"/>
  <c r="CJ7" i="13"/>
  <c r="CY7" i="13" s="1"/>
  <c r="CH7" i="13"/>
  <c r="CW7" i="13" s="1"/>
  <c r="CJ3" i="13"/>
  <c r="CY3" i="13" s="1"/>
  <c r="CK3" i="13"/>
  <c r="CZ3" i="13" s="1"/>
  <c r="CI3" i="13"/>
  <c r="CX3" i="13" s="1"/>
  <c r="CH3" i="13"/>
  <c r="CW3" i="13" s="1"/>
  <c r="IN3" i="13"/>
  <c r="IX3" i="13" s="1"/>
  <c r="IM3" i="13"/>
  <c r="DL3" i="13"/>
  <c r="DM3" i="13" a="1"/>
  <c r="DM3" i="13" s="1"/>
  <c r="FP11" i="13"/>
  <c r="FM11" i="13"/>
  <c r="FL11" i="13"/>
  <c r="DM14" i="13" a="1"/>
  <c r="DM14" i="13" s="1"/>
  <c r="IM8" i="13"/>
  <c r="CH8" i="13"/>
  <c r="CW8" i="13" s="1"/>
  <c r="CK8" i="13"/>
  <c r="CZ8" i="13" s="1"/>
  <c r="CI8" i="13"/>
  <c r="CX8" i="13" s="1"/>
  <c r="IN8" i="13"/>
  <c r="IX8" i="13" s="1"/>
  <c r="DM8" i="13" a="1"/>
  <c r="DM8" i="13" s="1"/>
  <c r="DL8" i="13"/>
  <c r="CJ8" i="13"/>
  <c r="CY8" i="13" s="1"/>
  <c r="HC14" i="13"/>
  <c r="DM9" i="13" a="1"/>
  <c r="DM9" i="13" s="1"/>
  <c r="FO14" i="13"/>
  <c r="FN14" i="13"/>
  <c r="CJ5" i="13"/>
  <c r="CY5" i="13" s="1"/>
  <c r="IM5" i="13"/>
  <c r="CH5" i="13"/>
  <c r="CW5" i="13" s="1"/>
  <c r="DM5" i="13" a="1"/>
  <c r="DM5" i="13" s="1"/>
  <c r="DL5" i="13"/>
  <c r="CK5" i="13"/>
  <c r="CZ5" i="13" s="1"/>
  <c r="CI5" i="13"/>
  <c r="CX5" i="13" s="1"/>
  <c r="FP6" i="13"/>
  <c r="FM6" i="13"/>
  <c r="DL4" i="13"/>
  <c r="IN15" i="13"/>
  <c r="IX15" i="13" s="1"/>
  <c r="DL15" i="13"/>
  <c r="CK15" i="13"/>
  <c r="CZ15" i="13" s="1"/>
  <c r="DM15" i="13" a="1"/>
  <c r="DM15" i="13" s="1"/>
  <c r="CJ15" i="13"/>
  <c r="CY15" i="13" s="1"/>
  <c r="CI15" i="13"/>
  <c r="CX15" i="13" s="1"/>
  <c r="CH15" i="13"/>
  <c r="CW15" i="13" s="1"/>
  <c r="FN3" i="13"/>
  <c r="DM4" i="13" a="1"/>
  <c r="DM4" i="13" s="1"/>
  <c r="FN4" i="13"/>
  <c r="HC4" i="13"/>
  <c r="FK8" i="13"/>
  <c r="FK11" i="13"/>
  <c r="FK14" i="13"/>
  <c r="HC12" i="13"/>
  <c r="FO9" i="13"/>
  <c r="DL11" i="13"/>
  <c r="CK11" i="13"/>
  <c r="CZ11" i="13" s="1"/>
  <c r="IM11" i="13"/>
  <c r="DM11" i="13" a="1"/>
  <c r="DM11" i="13" s="1"/>
  <c r="CJ11" i="13"/>
  <c r="CY11" i="13" s="1"/>
  <c r="FP15" i="13"/>
  <c r="FM15" i="13"/>
  <c r="FL15" i="13"/>
  <c r="CH11" i="13"/>
  <c r="CW11" i="13" s="1"/>
  <c r="FN12" i="13"/>
  <c r="FO12" i="13"/>
  <c r="CI11" i="13"/>
  <c r="CX11" i="13" s="1"/>
  <c r="CH4" i="13"/>
  <c r="CW4" i="13" s="1"/>
  <c r="IM6" i="13"/>
  <c r="CH6" i="13"/>
  <c r="CW6" i="13" s="1"/>
  <c r="FN10" i="13"/>
  <c r="FO10" i="13"/>
  <c r="IN11" i="13"/>
  <c r="IX11" i="13" s="1"/>
  <c r="CI4" i="13"/>
  <c r="CX4" i="13" s="1"/>
  <c r="CI6" i="13"/>
  <c r="CX6" i="13" s="1"/>
  <c r="FN6" i="13"/>
  <c r="HI13" i="13"/>
  <c r="FN11" i="13"/>
  <c r="FP13" i="13"/>
  <c r="IN10" i="13"/>
  <c r="IX10" i="13" s="1"/>
  <c r="CK13" i="13"/>
  <c r="CZ13" i="13" s="1"/>
  <c r="IN13" i="13"/>
  <c r="IX13" i="13" s="1"/>
  <c r="CI13" i="13"/>
  <c r="CX13" i="13" s="1"/>
  <c r="FP2" i="13"/>
  <c r="FM2" i="13"/>
  <c r="FL2" i="13"/>
  <c r="FO2" i="13"/>
  <c r="FN2" i="13"/>
  <c r="FK2" i="13"/>
  <c r="HC2" i="13"/>
  <c r="DL2" i="13"/>
  <c r="DM2" i="13" a="1"/>
  <c r="DM2" i="13" s="1"/>
  <c r="IM2" i="13"/>
  <c r="IN2" i="13"/>
  <c r="IX2" i="13" s="1"/>
  <c r="FO2" i="12"/>
  <c r="FK2" i="12"/>
  <c r="FK4" i="12"/>
  <c r="HI2" i="12"/>
  <c r="AX2" i="12"/>
  <c r="FL4" i="12"/>
  <c r="FM4" i="12"/>
  <c r="FM2" i="12"/>
  <c r="FL2" i="12"/>
  <c r="IN2" i="12"/>
  <c r="IX2" i="12" s="1"/>
  <c r="IM2" i="12"/>
  <c r="CK2" i="12"/>
  <c r="CZ2" i="12" s="1"/>
  <c r="CJ2" i="12"/>
  <c r="CY2" i="12" s="1"/>
  <c r="HI3" i="12"/>
  <c r="IN4" i="12"/>
  <c r="IX4" i="12" s="1"/>
  <c r="CK4" i="12"/>
  <c r="CZ4" i="12" s="1"/>
  <c r="DL4" i="12"/>
  <c r="DL3" i="12"/>
  <c r="CJ3" i="12"/>
  <c r="CY3" i="12" s="1"/>
  <c r="FO4" i="12"/>
  <c r="FN4" i="12"/>
  <c r="FM3" i="12"/>
  <c r="HI4" i="12"/>
  <c r="FO3" i="12"/>
  <c r="FN2" i="12"/>
  <c r="FK3" i="12"/>
  <c r="CK3" i="12"/>
  <c r="CZ3" i="12" s="1"/>
  <c r="CI3" i="12"/>
  <c r="CX3" i="12" s="1"/>
  <c r="CH3" i="12"/>
  <c r="CW3" i="12" s="1"/>
  <c r="IN3" i="12"/>
  <c r="IX3" i="12" s="1"/>
  <c r="IM3" i="12"/>
  <c r="DM3" i="12" a="1"/>
  <c r="DM3" i="12" s="1"/>
  <c r="FL3" i="12"/>
  <c r="HC3" i="12"/>
  <c r="HC4" i="12"/>
  <c r="IM4" i="12"/>
  <c r="DM4" i="12" a="1"/>
  <c r="DM4" i="12" s="1"/>
  <c r="CJ4" i="12"/>
  <c r="CY4" i="12" s="1"/>
  <c r="CI4" i="12"/>
  <c r="CX4" i="12" s="1"/>
  <c r="CH4" i="12"/>
  <c r="CW4" i="12" s="1"/>
  <c r="FN3" i="12"/>
  <c r="HC2" i="12"/>
  <c r="CI2" i="12"/>
  <c r="CX2" i="12" s="1"/>
  <c r="CH2" i="12"/>
  <c r="CW2" i="12" s="1"/>
  <c r="DL2" i="12"/>
  <c r="DM2" i="12" a="1"/>
  <c r="DM2" i="12" s="1"/>
  <c r="FO5" i="11"/>
  <c r="FM3" i="11"/>
  <c r="CI2" i="11"/>
  <c r="CX2" i="11" s="1"/>
  <c r="HI4" i="11"/>
  <c r="HI5" i="11"/>
  <c r="FL5" i="11"/>
  <c r="FM5" i="11"/>
  <c r="AX4" i="11"/>
  <c r="HI3" i="11"/>
  <c r="HI2" i="11"/>
  <c r="AX2" i="11"/>
  <c r="FK2" i="11"/>
  <c r="CH3" i="11"/>
  <c r="CW3" i="11" s="1"/>
  <c r="IM5" i="11"/>
  <c r="CI3" i="11"/>
  <c r="CX3" i="11" s="1"/>
  <c r="DL3" i="11"/>
  <c r="CK3" i="11"/>
  <c r="CZ3" i="11" s="1"/>
  <c r="FO2" i="11"/>
  <c r="FN2" i="11"/>
  <c r="CJ3" i="11"/>
  <c r="CY3" i="11" s="1"/>
  <c r="CJ5" i="11"/>
  <c r="CY5" i="11" s="1"/>
  <c r="DM5" i="11" a="1"/>
  <c r="DM5" i="11" s="1"/>
  <c r="IM3" i="11"/>
  <c r="FP4" i="11"/>
  <c r="FM4" i="11"/>
  <c r="FK3" i="11"/>
  <c r="FL3" i="11"/>
  <c r="FL2" i="11"/>
  <c r="FK5" i="11"/>
  <c r="DL2" i="11"/>
  <c r="CK2" i="11"/>
  <c r="CZ2" i="11" s="1"/>
  <c r="FM2" i="11"/>
  <c r="FN3" i="11"/>
  <c r="FO3" i="11"/>
  <c r="CI4" i="11"/>
  <c r="CX4" i="11" s="1"/>
  <c r="IM4" i="11"/>
  <c r="CK4" i="11"/>
  <c r="CZ4" i="11" s="1"/>
  <c r="CJ4" i="11"/>
  <c r="CY4" i="11" s="1"/>
  <c r="CH4" i="11"/>
  <c r="CW4" i="11" s="1"/>
  <c r="DM4" i="11" a="1"/>
  <c r="DM4" i="11" s="1"/>
  <c r="DL4" i="11"/>
  <c r="FN4" i="11"/>
  <c r="FO4" i="11"/>
  <c r="HC5" i="11"/>
  <c r="HC3" i="11"/>
  <c r="CI5" i="11"/>
  <c r="CX5" i="11" s="1"/>
  <c r="DL5" i="11"/>
  <c r="IN5" i="11"/>
  <c r="IX5" i="11" s="1"/>
  <c r="CH5" i="11"/>
  <c r="CW5" i="11" s="1"/>
  <c r="FK4" i="11"/>
  <c r="FL4" i="11"/>
  <c r="HC4" i="11"/>
  <c r="DM3" i="11" a="1"/>
  <c r="DM3" i="11" s="1"/>
  <c r="HC2" i="11"/>
  <c r="IO2" i="11"/>
  <c r="DM2" i="11" a="1"/>
  <c r="DM2" i="11" s="1"/>
  <c r="FN5" i="11"/>
  <c r="IM2" i="11"/>
  <c r="IN2" i="11"/>
  <c r="IX2" i="11" s="1"/>
  <c r="CH2" i="11"/>
  <c r="CW2" i="11" s="1"/>
  <c r="FK2" i="10"/>
  <c r="CI5" i="10"/>
  <c r="CX5" i="10" s="1"/>
  <c r="FO5" i="10"/>
  <c r="FM8" i="10"/>
  <c r="FN2" i="10"/>
  <c r="HI9" i="10"/>
  <c r="IM9" i="10"/>
  <c r="FO2" i="10"/>
  <c r="FM2" i="10"/>
  <c r="FL4" i="10"/>
  <c r="HI4" i="10"/>
  <c r="FL5" i="10"/>
  <c r="HI5" i="10"/>
  <c r="IN9" i="10"/>
  <c r="IX9" i="10" s="1"/>
  <c r="CI9" i="10"/>
  <c r="CX9" i="10" s="1"/>
  <c r="FM5" i="10"/>
  <c r="CJ9" i="10"/>
  <c r="CY9" i="10" s="1"/>
  <c r="IN5" i="10"/>
  <c r="IX5" i="10" s="1"/>
  <c r="HI2" i="10"/>
  <c r="CJ5" i="10"/>
  <c r="CY5" i="10" s="1"/>
  <c r="FM4" i="10"/>
  <c r="HI7" i="10"/>
  <c r="HI8" i="10"/>
  <c r="CH9" i="10"/>
  <c r="CW9" i="10" s="1"/>
  <c r="DL7" i="10"/>
  <c r="IN7" i="10"/>
  <c r="IX7" i="10" s="1"/>
  <c r="CH2" i="10"/>
  <c r="CW2" i="10" s="1"/>
  <c r="CI2" i="10"/>
  <c r="CX2" i="10" s="1"/>
  <c r="FP6" i="10"/>
  <c r="FM6" i="10"/>
  <c r="CJ2" i="10"/>
  <c r="CY2" i="10" s="1"/>
  <c r="FO6" i="10"/>
  <c r="FN6" i="10"/>
  <c r="IM7" i="10"/>
  <c r="CK2" i="10"/>
  <c r="CZ2" i="10" s="1"/>
  <c r="FM9" i="10"/>
  <c r="FK9" i="10"/>
  <c r="FL9" i="10"/>
  <c r="DL9" i="10"/>
  <c r="CK9" i="10"/>
  <c r="CZ9" i="10" s="1"/>
  <c r="FL2" i="10"/>
  <c r="FK6" i="10"/>
  <c r="HI6" i="10"/>
  <c r="FL6" i="10"/>
  <c r="FK4" i="10"/>
  <c r="FK5" i="10"/>
  <c r="FK3" i="10"/>
  <c r="HC8" i="10"/>
  <c r="HI3" i="10"/>
  <c r="FL3" i="10"/>
  <c r="HC9" i="10"/>
  <c r="FO9" i="10"/>
  <c r="FO3" i="10"/>
  <c r="FN3" i="10"/>
  <c r="IM4" i="10"/>
  <c r="IN4" i="10"/>
  <c r="IX4" i="10" s="1"/>
  <c r="CK4" i="10"/>
  <c r="CZ4" i="10" s="1"/>
  <c r="DM4" i="10" a="1"/>
  <c r="DM4" i="10" s="1"/>
  <c r="DL4" i="10"/>
  <c r="CJ4" i="10"/>
  <c r="CY4" i="10" s="1"/>
  <c r="CH4" i="10"/>
  <c r="CW4" i="10" s="1"/>
  <c r="HC2" i="10"/>
  <c r="FN7" i="10"/>
  <c r="FO7" i="10"/>
  <c r="HC5" i="10"/>
  <c r="CJ3" i="10"/>
  <c r="CY3" i="10" s="1"/>
  <c r="CI3" i="10"/>
  <c r="CX3" i="10" s="1"/>
  <c r="IM3" i="10"/>
  <c r="DL3" i="10"/>
  <c r="CK3" i="10"/>
  <c r="CZ3" i="10" s="1"/>
  <c r="CH3" i="10"/>
  <c r="CW3" i="10" s="1"/>
  <c r="IN3" i="10"/>
  <c r="IX3" i="10" s="1"/>
  <c r="DM3" i="10" a="1"/>
  <c r="DM3" i="10" s="1"/>
  <c r="FO4" i="10"/>
  <c r="FN4" i="10"/>
  <c r="FP2" i="10"/>
  <c r="CK6" i="10"/>
  <c r="CZ6" i="10" s="1"/>
  <c r="CJ6" i="10"/>
  <c r="CY6" i="10" s="1"/>
  <c r="IN6" i="10"/>
  <c r="IX6" i="10" s="1"/>
  <c r="CI6" i="10"/>
  <c r="CX6" i="10" s="1"/>
  <c r="CH6" i="10"/>
  <c r="CW6" i="10" s="1"/>
  <c r="IM6" i="10"/>
  <c r="DM6" i="10" a="1"/>
  <c r="DM6" i="10" s="1"/>
  <c r="DL6" i="10"/>
  <c r="FL7" i="10"/>
  <c r="FP7" i="10"/>
  <c r="FM7" i="10"/>
  <c r="IN2" i="10"/>
  <c r="IX2" i="10" s="1"/>
  <c r="DM2" i="10" a="1"/>
  <c r="DM2" i="10" s="1"/>
  <c r="DL2" i="10"/>
  <c r="FO8" i="10"/>
  <c r="FN8" i="10"/>
  <c r="HC3" i="10"/>
  <c r="HC7" i="10"/>
  <c r="DM5" i="10" a="1"/>
  <c r="DM5" i="10" s="1"/>
  <c r="CK5" i="10"/>
  <c r="CZ5" i="10" s="1"/>
  <c r="DL5" i="10"/>
  <c r="FP3" i="10"/>
  <c r="FM3" i="10"/>
  <c r="HC4" i="10"/>
  <c r="CI7" i="10"/>
  <c r="CX7" i="10" s="1"/>
  <c r="DM7" i="10" a="1"/>
  <c r="DM7" i="10" s="1"/>
  <c r="CK7" i="10"/>
  <c r="CZ7" i="10" s="1"/>
  <c r="CJ7" i="10"/>
  <c r="CY7" i="10" s="1"/>
  <c r="CH7" i="10"/>
  <c r="CW7" i="10" s="1"/>
  <c r="CI8" i="10"/>
  <c r="CX8" i="10" s="1"/>
  <c r="CH8" i="10"/>
  <c r="CW8" i="10" s="1"/>
  <c r="IM8" i="10"/>
  <c r="IN8" i="10"/>
  <c r="IX8" i="10" s="1"/>
  <c r="DL8" i="10"/>
  <c r="CJ8" i="10"/>
  <c r="CY8" i="10" s="1"/>
  <c r="DM8" i="10" a="1"/>
  <c r="DM8" i="10" s="1"/>
  <c r="FL8" i="10"/>
  <c r="AX2" i="10"/>
  <c r="FK7" i="10"/>
  <c r="FK8" i="10"/>
  <c r="HC6" i="10"/>
  <c r="FK6" i="9"/>
  <c r="FN6" i="9"/>
  <c r="FL9" i="9"/>
  <c r="FN25" i="9"/>
  <c r="FO26" i="9"/>
  <c r="FM16" i="9"/>
  <c r="HI6" i="9"/>
  <c r="HI4" i="9"/>
  <c r="HI12" i="9"/>
  <c r="FO14" i="9"/>
  <c r="FO15" i="9"/>
  <c r="FK22" i="9"/>
  <c r="FM3" i="9"/>
  <c r="FL22" i="9"/>
  <c r="FM22" i="9"/>
  <c r="FN4" i="9"/>
  <c r="FO16" i="9"/>
  <c r="FN23" i="9"/>
  <c r="HI24" i="9"/>
  <c r="FO5" i="9"/>
  <c r="FO24" i="9"/>
  <c r="HI10" i="9"/>
  <c r="HI22" i="9"/>
  <c r="IM22" i="9"/>
  <c r="FO25" i="9"/>
  <c r="AX2" i="9"/>
  <c r="FL6" i="9"/>
  <c r="DL17" i="9"/>
  <c r="FO8" i="9"/>
  <c r="FL15" i="9"/>
  <c r="DM17" i="9" a="1"/>
  <c r="DM17" i="9" s="1"/>
  <c r="FK18" i="9"/>
  <c r="FP6" i="9"/>
  <c r="FM15" i="9"/>
  <c r="FK16" i="9"/>
  <c r="HI2" i="9"/>
  <c r="FN3" i="9"/>
  <c r="FM7" i="9"/>
  <c r="FN13" i="9"/>
  <c r="HI14" i="9"/>
  <c r="IM2" i="9"/>
  <c r="DM19" i="9" a="1"/>
  <c r="DM19" i="9" s="1"/>
  <c r="CJ19" i="9"/>
  <c r="CY19" i="9" s="1"/>
  <c r="DL19" i="9"/>
  <c r="IM19" i="9"/>
  <c r="IN19" i="9"/>
  <c r="IX19" i="9" s="1"/>
  <c r="CK19" i="9"/>
  <c r="CZ19" i="9" s="1"/>
  <c r="HC8" i="9"/>
  <c r="FM9" i="9"/>
  <c r="FN9" i="9"/>
  <c r="CI12" i="9"/>
  <c r="CX12" i="9" s="1"/>
  <c r="IN6" i="9"/>
  <c r="IX6" i="9" s="1"/>
  <c r="CK12" i="9"/>
  <c r="CZ12" i="9" s="1"/>
  <c r="HI17" i="9"/>
  <c r="HC18" i="9"/>
  <c r="HI15" i="9"/>
  <c r="FL25" i="9"/>
  <c r="HI26" i="9"/>
  <c r="CH2" i="9"/>
  <c r="CW2" i="9" s="1"/>
  <c r="FK5" i="9"/>
  <c r="HI3" i="9"/>
  <c r="FO3" i="9"/>
  <c r="HC3" i="9"/>
  <c r="FL5" i="9"/>
  <c r="HI16" i="9"/>
  <c r="FO17" i="9"/>
  <c r="HI23" i="9"/>
  <c r="FM5" i="9"/>
  <c r="IM12" i="9"/>
  <c r="HI18" i="9"/>
  <c r="FO21" i="9"/>
  <c r="FN8" i="9"/>
  <c r="FO20" i="9"/>
  <c r="FN20" i="9"/>
  <c r="FK17" i="9"/>
  <c r="IM9" i="9"/>
  <c r="DM9" i="9" a="1"/>
  <c r="DM9" i="9" s="1"/>
  <c r="CI9" i="9"/>
  <c r="CX9" i="9" s="1"/>
  <c r="CH9" i="9"/>
  <c r="CW9" i="9" s="1"/>
  <c r="CK9" i="9"/>
  <c r="CZ9" i="9" s="1"/>
  <c r="FP17" i="9"/>
  <c r="FN17" i="9"/>
  <c r="FP2" i="9"/>
  <c r="FM2" i="9"/>
  <c r="FK2" i="9"/>
  <c r="FO11" i="9"/>
  <c r="FK24" i="9"/>
  <c r="HI25" i="9"/>
  <c r="FO4" i="9"/>
  <c r="FL17" i="9"/>
  <c r="IN22" i="9"/>
  <c r="IX22" i="9" s="1"/>
  <c r="FO10" i="9"/>
  <c r="FK8" i="9"/>
  <c r="CI22" i="9"/>
  <c r="CX22" i="9" s="1"/>
  <c r="CH22" i="9"/>
  <c r="CW22" i="9" s="1"/>
  <c r="FN10" i="9"/>
  <c r="FP10" i="9"/>
  <c r="FM17" i="9"/>
  <c r="FL19" i="9"/>
  <c r="FN5" i="9"/>
  <c r="HC6" i="9"/>
  <c r="HC9" i="9"/>
  <c r="FO12" i="9"/>
  <c r="CH19" i="9"/>
  <c r="CW19" i="9" s="1"/>
  <c r="FM19" i="9"/>
  <c r="DM22" i="9" a="1"/>
  <c r="DM22" i="9" s="1"/>
  <c r="FK23" i="9"/>
  <c r="FL4" i="9"/>
  <c r="CJ22" i="9"/>
  <c r="CY22" i="9" s="1"/>
  <c r="IN21" i="9"/>
  <c r="IX21" i="9" s="1"/>
  <c r="CJ21" i="9"/>
  <c r="CY21" i="9" s="1"/>
  <c r="DL22" i="9"/>
  <c r="CI19" i="9"/>
  <c r="CX19" i="9" s="1"/>
  <c r="FK19" i="9"/>
  <c r="FN24" i="9"/>
  <c r="HC26" i="9"/>
  <c r="FN2" i="9"/>
  <c r="FL11" i="9"/>
  <c r="FO6" i="9"/>
  <c r="FK9" i="9"/>
  <c r="HI11" i="9"/>
  <c r="FO13" i="9"/>
  <c r="FM20" i="9"/>
  <c r="FK25" i="9"/>
  <c r="FL2" i="9"/>
  <c r="HI19" i="9"/>
  <c r="FL20" i="9"/>
  <c r="HC25" i="9"/>
  <c r="FK15" i="9"/>
  <c r="FL16" i="9"/>
  <c r="HI20" i="9"/>
  <c r="FM24" i="9"/>
  <c r="IM25" i="9"/>
  <c r="HI8" i="9"/>
  <c r="HC5" i="9"/>
  <c r="FL13" i="9"/>
  <c r="FK20" i="9"/>
  <c r="FM23" i="9"/>
  <c r="HI5" i="9"/>
  <c r="FM25" i="9"/>
  <c r="FK3" i="9"/>
  <c r="FM6" i="9"/>
  <c r="FM13" i="9"/>
  <c r="FL14" i="9"/>
  <c r="HC20" i="9"/>
  <c r="CI7" i="9"/>
  <c r="CX7" i="9" s="1"/>
  <c r="IN7" i="9"/>
  <c r="IX7" i="9" s="1"/>
  <c r="DM7" i="9" a="1"/>
  <c r="DM7" i="9" s="1"/>
  <c r="CJ7" i="9"/>
  <c r="CY7" i="9" s="1"/>
  <c r="CK7" i="9"/>
  <c r="CZ7" i="9" s="1"/>
  <c r="DL7" i="9"/>
  <c r="CH7" i="9"/>
  <c r="CW7" i="9" s="1"/>
  <c r="IM7" i="9"/>
  <c r="CI10" i="9"/>
  <c r="CX10" i="9" s="1"/>
  <c r="IM10" i="9"/>
  <c r="DL10" i="9"/>
  <c r="CK10" i="9"/>
  <c r="CZ10" i="9" s="1"/>
  <c r="DM10" i="9" a="1"/>
  <c r="DM10" i="9" s="1"/>
  <c r="CH10" i="9"/>
  <c r="CW10" i="9" s="1"/>
  <c r="IN10" i="9"/>
  <c r="IX10" i="9" s="1"/>
  <c r="CJ10" i="9"/>
  <c r="CY10" i="9" s="1"/>
  <c r="CI4" i="9"/>
  <c r="CX4" i="9" s="1"/>
  <c r="IN4" i="9"/>
  <c r="IX4" i="9" s="1"/>
  <c r="DM4" i="9" a="1"/>
  <c r="DM4" i="9" s="1"/>
  <c r="IM4" i="9"/>
  <c r="DL4" i="9"/>
  <c r="CK4" i="9"/>
  <c r="CZ4" i="9" s="1"/>
  <c r="CH4" i="9"/>
  <c r="CW4" i="9" s="1"/>
  <c r="CJ4" i="9"/>
  <c r="CY4" i="9" s="1"/>
  <c r="CI13" i="9"/>
  <c r="CX13" i="9" s="1"/>
  <c r="IN13" i="9"/>
  <c r="IX13" i="9" s="1"/>
  <c r="DM13" i="9" a="1"/>
  <c r="DM13" i="9" s="1"/>
  <c r="CK13" i="9"/>
  <c r="CZ13" i="9" s="1"/>
  <c r="CJ13" i="9"/>
  <c r="CY13" i="9" s="1"/>
  <c r="IM13" i="9"/>
  <c r="DL13" i="9"/>
  <c r="CH13" i="9"/>
  <c r="CW13" i="9" s="1"/>
  <c r="FK4" i="9"/>
  <c r="FP4" i="9"/>
  <c r="IN8" i="9"/>
  <c r="IX8" i="9" s="1"/>
  <c r="CI8" i="9"/>
  <c r="CX8" i="9" s="1"/>
  <c r="IM8" i="9"/>
  <c r="CH8" i="9"/>
  <c r="CW8" i="9" s="1"/>
  <c r="DM8" i="9" a="1"/>
  <c r="DM8" i="9" s="1"/>
  <c r="CJ8" i="9"/>
  <c r="CY8" i="9" s="1"/>
  <c r="CK8" i="9"/>
  <c r="CZ8" i="9" s="1"/>
  <c r="FP13" i="9"/>
  <c r="FK13" i="9"/>
  <c r="CI18" i="9"/>
  <c r="CX18" i="9" s="1"/>
  <c r="DL24" i="9"/>
  <c r="CK24" i="9"/>
  <c r="CZ24" i="9" s="1"/>
  <c r="CH24" i="9"/>
  <c r="CW24" i="9" s="1"/>
  <c r="DM24" i="9" a="1"/>
  <c r="DM24" i="9" s="1"/>
  <c r="CJ24" i="9"/>
  <c r="CY24" i="9" s="1"/>
  <c r="CI24" i="9"/>
  <c r="CX24" i="9" s="1"/>
  <c r="IN24" i="9"/>
  <c r="IX24" i="9" s="1"/>
  <c r="FO2" i="9"/>
  <c r="CH3" i="9"/>
  <c r="CW3" i="9" s="1"/>
  <c r="DM18" i="9" a="1"/>
  <c r="DM18" i="9" s="1"/>
  <c r="DL18" i="9"/>
  <c r="CK18" i="9"/>
  <c r="CZ18" i="9" s="1"/>
  <c r="CH18" i="9"/>
  <c r="CW18" i="9" s="1"/>
  <c r="CJ18" i="9"/>
  <c r="CY18" i="9" s="1"/>
  <c r="IM18" i="9"/>
  <c r="CK23" i="9"/>
  <c r="CZ23" i="9" s="1"/>
  <c r="DL23" i="9"/>
  <c r="CJ23" i="9"/>
  <c r="CY23" i="9" s="1"/>
  <c r="IN23" i="9"/>
  <c r="IX23" i="9" s="1"/>
  <c r="IM23" i="9"/>
  <c r="DM23" i="9" a="1"/>
  <c r="DM23" i="9" s="1"/>
  <c r="CH23" i="9"/>
  <c r="CW23" i="9" s="1"/>
  <c r="FL3" i="9"/>
  <c r="IN11" i="9"/>
  <c r="IX11" i="9" s="1"/>
  <c r="CI11" i="9"/>
  <c r="CX11" i="9" s="1"/>
  <c r="IM11" i="9"/>
  <c r="CH11" i="9"/>
  <c r="CW11" i="9" s="1"/>
  <c r="DM11" i="9" a="1"/>
  <c r="DM11" i="9" s="1"/>
  <c r="CJ11" i="9"/>
  <c r="CY11" i="9" s="1"/>
  <c r="DL11" i="9"/>
  <c r="FM18" i="9"/>
  <c r="FN18" i="9"/>
  <c r="FL18" i="9"/>
  <c r="CJ20" i="9"/>
  <c r="CY20" i="9" s="1"/>
  <c r="IN20" i="9"/>
  <c r="IX20" i="9" s="1"/>
  <c r="CI20" i="9"/>
  <c r="CX20" i="9" s="1"/>
  <c r="CH20" i="9"/>
  <c r="CW20" i="9" s="1"/>
  <c r="IM20" i="9"/>
  <c r="DL20" i="9"/>
  <c r="CK20" i="9"/>
  <c r="CZ20" i="9" s="1"/>
  <c r="FM21" i="9"/>
  <c r="FL21" i="9"/>
  <c r="CK3" i="9"/>
  <c r="CZ3" i="9" s="1"/>
  <c r="CK15" i="9"/>
  <c r="CZ15" i="9" s="1"/>
  <c r="IM16" i="9"/>
  <c r="DL16" i="9"/>
  <c r="DM16" i="9" a="1"/>
  <c r="DM16" i="9" s="1"/>
  <c r="IN16" i="9"/>
  <c r="IX16" i="9" s="1"/>
  <c r="CI16" i="9"/>
  <c r="CX16" i="9" s="1"/>
  <c r="CK16" i="9"/>
  <c r="CZ16" i="9" s="1"/>
  <c r="CH16" i="9"/>
  <c r="CW16" i="9" s="1"/>
  <c r="CI6" i="9"/>
  <c r="CX6" i="9" s="1"/>
  <c r="HC10" i="9"/>
  <c r="FK11" i="9"/>
  <c r="IN14" i="9"/>
  <c r="IX14" i="9" s="1"/>
  <c r="CI14" i="9"/>
  <c r="CX14" i="9" s="1"/>
  <c r="IM14" i="9"/>
  <c r="CH14" i="9"/>
  <c r="CW14" i="9" s="1"/>
  <c r="DM14" i="9" a="1"/>
  <c r="DM14" i="9" s="1"/>
  <c r="CJ14" i="9"/>
  <c r="CY14" i="9" s="1"/>
  <c r="CK14" i="9"/>
  <c r="CZ14" i="9" s="1"/>
  <c r="DL14" i="9"/>
  <c r="FP18" i="9"/>
  <c r="FN19" i="9"/>
  <c r="FO19" i="9"/>
  <c r="FP21" i="9"/>
  <c r="HC23" i="9"/>
  <c r="DL3" i="9"/>
  <c r="CJ3" i="9"/>
  <c r="CY3" i="9" s="1"/>
  <c r="FK12" i="9"/>
  <c r="FL12" i="9"/>
  <c r="IN5" i="9"/>
  <c r="IX5" i="9" s="1"/>
  <c r="CI5" i="9"/>
  <c r="CX5" i="9" s="1"/>
  <c r="IM5" i="9"/>
  <c r="CH5" i="9"/>
  <c r="CW5" i="9" s="1"/>
  <c r="DM5" i="9" a="1"/>
  <c r="DM5" i="9" s="1"/>
  <c r="CJ5" i="9"/>
  <c r="CY5" i="9" s="1"/>
  <c r="CK5" i="9"/>
  <c r="CZ5" i="9" s="1"/>
  <c r="DL5" i="9"/>
  <c r="IN3" i="9"/>
  <c r="IX3" i="9" s="1"/>
  <c r="HC17" i="9"/>
  <c r="FP8" i="9"/>
  <c r="FM8" i="9"/>
  <c r="FL8" i="9"/>
  <c r="FM26" i="9"/>
  <c r="FP26" i="9"/>
  <c r="FL26" i="9"/>
  <c r="CI3" i="9"/>
  <c r="CX3" i="9" s="1"/>
  <c r="DM3" i="9" a="1"/>
  <c r="DM3" i="9" s="1"/>
  <c r="DM15" i="9" a="1"/>
  <c r="DM15" i="9" s="1"/>
  <c r="DL15" i="9"/>
  <c r="CI15" i="9"/>
  <c r="CX15" i="9" s="1"/>
  <c r="CJ15" i="9"/>
  <c r="CY15" i="9" s="1"/>
  <c r="CH15" i="9"/>
  <c r="CW15" i="9" s="1"/>
  <c r="IM15" i="9"/>
  <c r="DL6" i="9"/>
  <c r="CJ6" i="9"/>
  <c r="CY6" i="9" s="1"/>
  <c r="IM6" i="9"/>
  <c r="FP11" i="9"/>
  <c r="FN11" i="9"/>
  <c r="FM11" i="9"/>
  <c r="CH6" i="9"/>
  <c r="CW6" i="9" s="1"/>
  <c r="CJ16" i="9"/>
  <c r="CY16" i="9" s="1"/>
  <c r="DM6" i="9" a="1"/>
  <c r="DM6" i="9" s="1"/>
  <c r="FN7" i="9"/>
  <c r="FK7" i="9"/>
  <c r="FP7" i="9"/>
  <c r="FL10" i="9"/>
  <c r="HC11" i="9"/>
  <c r="FP14" i="9"/>
  <c r="FK14" i="9"/>
  <c r="FN14" i="9"/>
  <c r="FM14" i="9"/>
  <c r="CJ25" i="9"/>
  <c r="CY25" i="9" s="1"/>
  <c r="IN25" i="9"/>
  <c r="IX25" i="9" s="1"/>
  <c r="CI25" i="9"/>
  <c r="CX25" i="9" s="1"/>
  <c r="DL25" i="9"/>
  <c r="CK25" i="9"/>
  <c r="CZ25" i="9" s="1"/>
  <c r="CH25" i="9"/>
  <c r="CW25" i="9" s="1"/>
  <c r="FN26" i="9"/>
  <c r="HI7" i="9"/>
  <c r="FM12" i="9"/>
  <c r="HC12" i="9"/>
  <c r="HI13" i="9"/>
  <c r="DL8" i="9"/>
  <c r="FK10" i="9"/>
  <c r="FN12" i="9"/>
  <c r="HC15" i="9"/>
  <c r="HC16" i="9"/>
  <c r="HC22" i="9"/>
  <c r="FO23" i="9"/>
  <c r="DL12" i="9"/>
  <c r="CJ12" i="9"/>
  <c r="CY12" i="9" s="1"/>
  <c r="IN12" i="9"/>
  <c r="IX12" i="9" s="1"/>
  <c r="HC21" i="9"/>
  <c r="HC24" i="9"/>
  <c r="DL9" i="9"/>
  <c r="CJ9" i="9"/>
  <c r="CY9" i="9" s="1"/>
  <c r="IN9" i="9"/>
  <c r="IX9" i="9" s="1"/>
  <c r="CH12" i="9"/>
  <c r="CW12" i="9" s="1"/>
  <c r="HC2" i="9"/>
  <c r="FL7" i="9"/>
  <c r="FM10" i="9"/>
  <c r="HC13" i="9"/>
  <c r="FP16" i="9"/>
  <c r="DM21" i="9" a="1"/>
  <c r="DM21" i="9" s="1"/>
  <c r="DL21" i="9"/>
  <c r="CK21" i="9"/>
  <c r="CZ21" i="9" s="1"/>
  <c r="IM21" i="9"/>
  <c r="CI21" i="9"/>
  <c r="CX21" i="9" s="1"/>
  <c r="CH21" i="9"/>
  <c r="CW21" i="9" s="1"/>
  <c r="FN21" i="9"/>
  <c r="HC7" i="9"/>
  <c r="FN15" i="9"/>
  <c r="FM4" i="9"/>
  <c r="HC4" i="9"/>
  <c r="HC14" i="9"/>
  <c r="CJ17" i="9"/>
  <c r="CY17" i="9" s="1"/>
  <c r="IN17" i="9"/>
  <c r="IX17" i="9" s="1"/>
  <c r="CI17" i="9"/>
  <c r="CX17" i="9" s="1"/>
  <c r="IM17" i="9"/>
  <c r="CH17" i="9"/>
  <c r="CW17" i="9" s="1"/>
  <c r="FK21" i="9"/>
  <c r="FK26" i="9"/>
  <c r="DM26" i="9" a="1"/>
  <c r="DM26" i="9" s="1"/>
  <c r="DL26" i="9"/>
  <c r="IN26" i="9"/>
  <c r="IX26" i="9" s="1"/>
  <c r="CK26" i="9"/>
  <c r="CZ26" i="9" s="1"/>
  <c r="CI26" i="9"/>
  <c r="CX26" i="9" s="1"/>
  <c r="CK2" i="9"/>
  <c r="CZ2" i="9" s="1"/>
  <c r="DL2" i="9"/>
  <c r="FO22" i="9"/>
  <c r="FN22" i="9"/>
  <c r="FL23" i="9"/>
  <c r="CJ26" i="9"/>
  <c r="CY26" i="9" s="1"/>
  <c r="CI2" i="9"/>
  <c r="CX2" i="9" s="1"/>
  <c r="FO18" i="9"/>
  <c r="IM26" i="9"/>
  <c r="CJ2" i="9"/>
  <c r="CY2" i="9" s="1"/>
  <c r="DM2" i="9" a="1"/>
  <c r="DM2" i="9" s="1"/>
  <c r="HC19" i="9"/>
  <c r="FL24" i="9"/>
  <c r="GS3" i="18" l="1"/>
  <c r="HF3" i="18" s="1"/>
  <c r="GS3" i="16"/>
  <c r="HF3" i="16" s="1"/>
  <c r="HM3" i="17"/>
  <c r="GS3" i="19"/>
  <c r="GS2" i="19"/>
  <c r="GS2" i="18"/>
  <c r="HG3" i="17"/>
  <c r="HF3" i="17"/>
  <c r="HN3" i="17"/>
  <c r="GS2" i="17"/>
  <c r="GS2" i="16"/>
  <c r="HN2" i="16" s="1"/>
  <c r="GS2" i="15"/>
  <c r="HF2" i="15" s="1"/>
  <c r="GS4" i="15"/>
  <c r="HG4" i="15" s="1"/>
  <c r="GS3" i="15"/>
  <c r="GS3" i="14"/>
  <c r="HM3" i="14" s="1"/>
  <c r="GS2" i="14"/>
  <c r="HF3" i="14"/>
  <c r="GS4" i="14"/>
  <c r="GS9" i="13"/>
  <c r="HM9" i="13" s="1"/>
  <c r="GS10" i="13"/>
  <c r="HN10" i="13" s="1"/>
  <c r="GS2" i="13"/>
  <c r="HF2" i="13" s="1"/>
  <c r="GS14" i="13"/>
  <c r="HN14" i="13" s="1"/>
  <c r="GS12" i="13"/>
  <c r="HF12" i="13" s="1"/>
  <c r="GS11" i="13"/>
  <c r="GS6" i="13"/>
  <c r="GS15" i="13"/>
  <c r="GS4" i="13"/>
  <c r="HM4" i="13" s="1"/>
  <c r="GS13" i="13"/>
  <c r="GS7" i="13"/>
  <c r="GS8" i="13"/>
  <c r="GS5" i="13"/>
  <c r="GS3" i="13"/>
  <c r="GS3" i="12"/>
  <c r="HF3" i="12" s="1"/>
  <c r="GS2" i="12"/>
  <c r="HN2" i="12" s="1"/>
  <c r="GS4" i="12"/>
  <c r="GS2" i="11"/>
  <c r="HG2" i="11" s="1"/>
  <c r="GS3" i="11"/>
  <c r="HN3" i="11" s="1"/>
  <c r="GS4" i="11"/>
  <c r="HN4" i="11" s="1"/>
  <c r="GS5" i="11"/>
  <c r="HN5" i="11" s="1"/>
  <c r="GS5" i="10"/>
  <c r="HF5" i="10" s="1"/>
  <c r="GS2" i="10"/>
  <c r="HG2" i="10" s="1"/>
  <c r="GS9" i="10"/>
  <c r="HG9" i="10" s="1"/>
  <c r="GS7" i="10"/>
  <c r="HM7" i="10" s="1"/>
  <c r="GS3" i="10"/>
  <c r="GS4" i="10"/>
  <c r="GS6" i="10"/>
  <c r="HF6" i="10" s="1"/>
  <c r="GS8" i="10"/>
  <c r="GS19" i="9"/>
  <c r="HN19" i="9" s="1"/>
  <c r="GS25" i="9"/>
  <c r="HM25" i="9" s="1"/>
  <c r="GS16" i="9"/>
  <c r="HF16" i="9" s="1"/>
  <c r="GS22" i="9"/>
  <c r="HG22" i="9" s="1"/>
  <c r="GS9" i="9"/>
  <c r="HG9" i="9" s="1"/>
  <c r="GS20" i="9"/>
  <c r="HN20" i="9" s="1"/>
  <c r="GS6" i="9"/>
  <c r="HN6" i="9" s="1"/>
  <c r="GS17" i="9"/>
  <c r="HM17" i="9" s="1"/>
  <c r="GS26" i="9"/>
  <c r="HG26" i="9" s="1"/>
  <c r="GS7" i="9"/>
  <c r="HN7" i="9" s="1"/>
  <c r="GS12" i="9"/>
  <c r="HG12" i="9" s="1"/>
  <c r="GS11" i="9"/>
  <c r="HG11" i="9" s="1"/>
  <c r="GS23" i="9"/>
  <c r="HM23" i="9" s="1"/>
  <c r="GS21" i="9"/>
  <c r="HF21" i="9" s="1"/>
  <c r="GS15" i="9"/>
  <c r="HM15" i="9" s="1"/>
  <c r="GS5" i="9"/>
  <c r="GS13" i="9"/>
  <c r="GS2" i="9"/>
  <c r="HG2" i="9" s="1"/>
  <c r="HN25" i="9"/>
  <c r="GS3" i="9"/>
  <c r="GS10" i="9"/>
  <c r="HF10" i="9" s="1"/>
  <c r="GS4" i="9"/>
  <c r="HG4" i="9" s="1"/>
  <c r="GS24" i="9"/>
  <c r="GS8" i="9"/>
  <c r="GS14" i="9"/>
  <c r="HN14" i="9" s="1"/>
  <c r="GS18" i="9"/>
  <c r="HF9" i="10" l="1"/>
  <c r="HM3" i="18"/>
  <c r="HG3" i="18"/>
  <c r="HN3" i="18"/>
  <c r="HG10" i="13"/>
  <c r="HN9" i="9"/>
  <c r="HF9" i="9"/>
  <c r="HM10" i="13"/>
  <c r="HF10" i="13"/>
  <c r="HG2" i="13"/>
  <c r="HG16" i="9"/>
  <c r="HM9" i="9"/>
  <c r="HN3" i="16"/>
  <c r="HM3" i="16"/>
  <c r="HG3" i="16"/>
  <c r="HF2" i="19"/>
  <c r="HN2" i="19"/>
  <c r="HM2" i="19"/>
  <c r="HG2" i="19"/>
  <c r="HG3" i="19"/>
  <c r="HN3" i="19"/>
  <c r="HF3" i="19"/>
  <c r="HM3" i="19"/>
  <c r="HG2" i="18"/>
  <c r="HN2" i="18"/>
  <c r="HM2" i="18"/>
  <c r="HF2" i="18"/>
  <c r="HF2" i="17"/>
  <c r="HN2" i="17"/>
  <c r="HM2" i="17"/>
  <c r="HG2" i="17"/>
  <c r="HF2" i="16"/>
  <c r="HG2" i="16"/>
  <c r="HM2" i="16"/>
  <c r="HM2" i="15"/>
  <c r="HN2" i="15"/>
  <c r="HG2" i="15"/>
  <c r="HF4" i="15"/>
  <c r="HM4" i="15"/>
  <c r="HN4" i="15"/>
  <c r="HM3" i="15"/>
  <c r="HF3" i="15"/>
  <c r="HN3" i="15"/>
  <c r="HG3" i="15"/>
  <c r="HN3" i="14"/>
  <c r="HG3" i="14"/>
  <c r="HN2" i="14"/>
  <c r="HM2" i="14"/>
  <c r="HF2" i="14"/>
  <c r="HG2" i="14"/>
  <c r="HN4" i="14"/>
  <c r="HM4" i="14"/>
  <c r="HF4" i="14"/>
  <c r="HG4" i="14"/>
  <c r="HN2" i="13"/>
  <c r="HM2" i="13"/>
  <c r="HN9" i="13"/>
  <c r="HG9" i="13"/>
  <c r="HF9" i="13"/>
  <c r="HF4" i="13"/>
  <c r="HG4" i="13"/>
  <c r="HG12" i="13"/>
  <c r="HF14" i="13"/>
  <c r="HG14" i="13"/>
  <c r="HN12" i="13"/>
  <c r="HM14" i="13"/>
  <c r="HM12" i="13"/>
  <c r="HG7" i="13"/>
  <c r="HF7" i="13"/>
  <c r="HN7" i="13"/>
  <c r="HM7" i="13"/>
  <c r="HG6" i="13"/>
  <c r="HF6" i="13"/>
  <c r="HN6" i="13"/>
  <c r="HM6" i="13"/>
  <c r="HN4" i="13"/>
  <c r="HF13" i="13"/>
  <c r="HM13" i="13"/>
  <c r="HN13" i="13"/>
  <c r="HG13" i="13"/>
  <c r="HN8" i="13"/>
  <c r="HM8" i="13"/>
  <c r="HG8" i="13"/>
  <c r="HF8" i="13"/>
  <c r="HM15" i="13"/>
  <c r="HG15" i="13"/>
  <c r="HF15" i="13"/>
  <c r="HN15" i="13"/>
  <c r="HG11" i="13"/>
  <c r="HF11" i="13"/>
  <c r="HN11" i="13"/>
  <c r="HM11" i="13"/>
  <c r="HG5" i="13"/>
  <c r="HN5" i="13"/>
  <c r="HM5" i="13"/>
  <c r="HF5" i="13"/>
  <c r="HN3" i="13"/>
  <c r="HM3" i="13"/>
  <c r="HF3" i="13"/>
  <c r="HG3" i="13"/>
  <c r="HG3" i="12"/>
  <c r="HM3" i="12"/>
  <c r="HM2" i="12"/>
  <c r="HF2" i="12"/>
  <c r="HG2" i="12"/>
  <c r="HN3" i="12"/>
  <c r="HF4" i="12"/>
  <c r="HM4" i="12"/>
  <c r="HN4" i="12"/>
  <c r="HG4" i="12"/>
  <c r="HF3" i="11"/>
  <c r="HN2" i="11"/>
  <c r="HF2" i="11"/>
  <c r="HM3" i="11"/>
  <c r="HG3" i="11"/>
  <c r="HM2" i="11"/>
  <c r="HG4" i="11"/>
  <c r="HF5" i="11"/>
  <c r="HM5" i="11"/>
  <c r="HG5" i="11"/>
  <c r="HF4" i="11"/>
  <c r="HM4" i="11"/>
  <c r="HN9" i="10"/>
  <c r="HM9" i="10"/>
  <c r="HN5" i="10"/>
  <c r="HG5" i="10"/>
  <c r="HM5" i="10"/>
  <c r="HN2" i="10"/>
  <c r="HF2" i="10"/>
  <c r="HM2" i="10"/>
  <c r="HG8" i="10"/>
  <c r="HM8" i="10"/>
  <c r="HN8" i="10"/>
  <c r="HF8" i="10"/>
  <c r="HG6" i="10"/>
  <c r="HG7" i="10"/>
  <c r="HF7" i="10"/>
  <c r="HN7" i="10"/>
  <c r="HN6" i="10"/>
  <c r="HG4" i="10"/>
  <c r="HF4" i="10"/>
  <c r="HM4" i="10"/>
  <c r="HN4" i="10"/>
  <c r="HM6" i="10"/>
  <c r="HN3" i="10"/>
  <c r="HG3" i="10"/>
  <c r="HF3" i="10"/>
  <c r="HM3" i="10"/>
  <c r="HG25" i="9"/>
  <c r="HN4" i="9"/>
  <c r="HF25" i="9"/>
  <c r="HG6" i="9"/>
  <c r="HM19" i="9"/>
  <c r="HF19" i="9"/>
  <c r="HG19" i="9"/>
  <c r="HN10" i="9"/>
  <c r="HF6" i="9"/>
  <c r="HM6" i="9"/>
  <c r="HF17" i="9"/>
  <c r="HN15" i="9"/>
  <c r="HF26" i="9"/>
  <c r="HN17" i="9"/>
  <c r="HN26" i="9"/>
  <c r="HM26" i="9"/>
  <c r="HG10" i="9"/>
  <c r="HM10" i="9"/>
  <c r="HF22" i="9"/>
  <c r="HN22" i="9"/>
  <c r="HN16" i="9"/>
  <c r="HF15" i="9"/>
  <c r="HM22" i="9"/>
  <c r="HF2" i="9"/>
  <c r="HF11" i="9"/>
  <c r="HG20" i="9"/>
  <c r="HG17" i="9"/>
  <c r="HM20" i="9"/>
  <c r="HF20" i="9"/>
  <c r="HN11" i="9"/>
  <c r="HM4" i="9"/>
  <c r="HM16" i="9"/>
  <c r="HF3" i="9"/>
  <c r="HN3" i="9"/>
  <c r="HM3" i="9"/>
  <c r="HG3" i="9"/>
  <c r="HG5" i="9"/>
  <c r="HF5" i="9"/>
  <c r="HM5" i="9"/>
  <c r="HN5" i="9"/>
  <c r="HG24" i="9"/>
  <c r="HF24" i="9"/>
  <c r="HM24" i="9"/>
  <c r="HN24" i="9"/>
  <c r="HF7" i="9"/>
  <c r="HG15" i="9"/>
  <c r="HM7" i="9"/>
  <c r="HN23" i="9"/>
  <c r="HG7" i="9"/>
  <c r="HM11" i="9"/>
  <c r="HN12" i="9"/>
  <c r="HF12" i="9"/>
  <c r="HM12" i="9"/>
  <c r="HM13" i="9"/>
  <c r="HG13" i="9"/>
  <c r="HN13" i="9"/>
  <c r="HN21" i="9"/>
  <c r="HG21" i="9"/>
  <c r="HM21" i="9"/>
  <c r="HF13" i="9"/>
  <c r="HG18" i="9"/>
  <c r="HF18" i="9"/>
  <c r="HM18" i="9"/>
  <c r="HN18" i="9"/>
  <c r="HM14" i="9"/>
  <c r="HF14" i="9"/>
  <c r="HG14" i="9"/>
  <c r="HM8" i="9"/>
  <c r="HN8" i="9"/>
  <c r="HG8" i="9"/>
  <c r="HF8" i="9"/>
  <c r="HN2" i="9"/>
  <c r="HM2" i="9"/>
  <c r="HF23" i="9"/>
  <c r="HF4" i="9"/>
  <c r="HG23" i="9"/>
  <c r="IL6" i="8" l="1"/>
  <c r="HX6" i="8" a="1"/>
  <c r="HX6" i="8" s="1"/>
  <c r="IW6" i="8" s="1"/>
  <c r="HW6" i="8" a="1"/>
  <c r="HW6" i="8" s="1"/>
  <c r="IV6" i="8" s="1"/>
  <c r="HV6" i="8" a="1"/>
  <c r="HV6" i="8" s="1"/>
  <c r="IU6" i="8" s="1"/>
  <c r="HU6" i="8" a="1"/>
  <c r="HU6" i="8" s="1"/>
  <c r="IT6" i="8" s="1"/>
  <c r="HT6" i="8" a="1"/>
  <c r="HT6" i="8" s="1"/>
  <c r="IS6" i="8" s="1"/>
  <c r="HS6" i="8" a="1"/>
  <c r="HS6" i="8" s="1"/>
  <c r="IR6" i="8" s="1"/>
  <c r="HR6" i="8" a="1"/>
  <c r="HR6" i="8" s="1"/>
  <c r="IQ6" i="8" s="1"/>
  <c r="HQ6" i="8" a="1"/>
  <c r="HQ6" i="8" s="1"/>
  <c r="IP6" i="8" s="1"/>
  <c r="HP6" i="8" a="1"/>
  <c r="HP6" i="8" s="1"/>
  <c r="IO6" i="8" s="1"/>
  <c r="HL6" i="8"/>
  <c r="HJ6" i="8"/>
  <c r="HH6" i="8"/>
  <c r="HB6" i="8"/>
  <c r="HA6" i="8"/>
  <c r="GZ6" i="8"/>
  <c r="GY6" i="8"/>
  <c r="GX6" i="8"/>
  <c r="GW6" i="8"/>
  <c r="GV6" i="8"/>
  <c r="GU6" i="8"/>
  <c r="GT6" i="8"/>
  <c r="GP6" i="8"/>
  <c r="GI6" i="8"/>
  <c r="GH6" i="8"/>
  <c r="GG6" i="8"/>
  <c r="GF6" i="8"/>
  <c r="GE6" i="8"/>
  <c r="GD6" i="8"/>
  <c r="GC6" i="8"/>
  <c r="GB6" i="8"/>
  <c r="GA6" i="8"/>
  <c r="FZ6" i="8"/>
  <c r="FY6" i="8"/>
  <c r="FX6" i="8"/>
  <c r="FW6" i="8"/>
  <c r="FV6" i="8"/>
  <c r="FU6" i="8"/>
  <c r="FT6" i="8"/>
  <c r="FS6" i="8"/>
  <c r="FR6" i="8"/>
  <c r="FQ6" i="8"/>
  <c r="FJ6" i="8"/>
  <c r="FI6" i="8"/>
  <c r="FH6" i="8"/>
  <c r="FG6" i="8"/>
  <c r="FF6" i="8"/>
  <c r="FP6" i="8" s="1"/>
  <c r="FE6" i="8"/>
  <c r="FD6" i="8"/>
  <c r="FC6" i="8"/>
  <c r="FB6" i="8"/>
  <c r="FA6" i="8"/>
  <c r="EZ6" i="8"/>
  <c r="EY6" i="8"/>
  <c r="EX6" i="8"/>
  <c r="EW6" i="8"/>
  <c r="EV6" i="8"/>
  <c r="EU6" i="8"/>
  <c r="ET6" i="8"/>
  <c r="ES6" i="8"/>
  <c r="ER6" i="8"/>
  <c r="EQ6" i="8"/>
  <c r="EP6" i="8"/>
  <c r="EO6" i="8"/>
  <c r="EN6" i="8"/>
  <c r="EM6" i="8"/>
  <c r="EL6" i="8"/>
  <c r="EK6" i="8"/>
  <c r="EJ6" i="8"/>
  <c r="EI6" i="8"/>
  <c r="EH6" i="8"/>
  <c r="EG6" i="8"/>
  <c r="EF6" i="8"/>
  <c r="EE6" i="8"/>
  <c r="ED6" i="8"/>
  <c r="EC6" i="8"/>
  <c r="EB6" i="8"/>
  <c r="EA6" i="8"/>
  <c r="DV6" i="8"/>
  <c r="DU6" i="8"/>
  <c r="DT6" i="8"/>
  <c r="DS6" i="8"/>
  <c r="DR6" i="8"/>
  <c r="DQ6" i="8"/>
  <c r="DP6" i="8"/>
  <c r="DO6" i="8"/>
  <c r="DN6" i="8"/>
  <c r="DK6" i="8"/>
  <c r="DJ6" i="8"/>
  <c r="DI6" i="8"/>
  <c r="DH6" i="8"/>
  <c r="DG6" i="8"/>
  <c r="DF6" i="8"/>
  <c r="DE6" i="8"/>
  <c r="DD6" i="8"/>
  <c r="DC6" i="8"/>
  <c r="DB6" i="8"/>
  <c r="DA6" i="8"/>
  <c r="CV6" i="8"/>
  <c r="CU6" i="8"/>
  <c r="CT6" i="8"/>
  <c r="CS6" i="8"/>
  <c r="GN6" i="8" s="1"/>
  <c r="CR6" i="8"/>
  <c r="GM6" i="8" s="1"/>
  <c r="CQ6" i="8"/>
  <c r="GL6" i="8" s="1"/>
  <c r="CP6" i="8"/>
  <c r="GJ6" i="8" s="1"/>
  <c r="GK6" i="8" s="1"/>
  <c r="CO6" i="8"/>
  <c r="DZ6" i="8" s="1"/>
  <c r="CN6" i="8"/>
  <c r="DY6" i="8" s="1"/>
  <c r="CM6" i="8"/>
  <c r="DX6" i="8" s="1"/>
  <c r="CL6" i="8"/>
  <c r="DW6" i="8" s="1"/>
  <c r="CG6" i="8" a="1"/>
  <c r="CG6" i="8" s="1"/>
  <c r="IM6" i="8" s="1"/>
  <c r="AW6" i="8"/>
  <c r="AV6" i="8"/>
  <c r="J6" i="8"/>
  <c r="G6" i="8"/>
  <c r="IL2" i="8"/>
  <c r="HX2" i="8" a="1"/>
  <c r="HX2" i="8" s="1"/>
  <c r="IW2" i="8" s="1"/>
  <c r="HW2" i="8" a="1"/>
  <c r="HW2" i="8" s="1"/>
  <c r="IV2" i="8" s="1"/>
  <c r="HV2" i="8" a="1"/>
  <c r="HV2" i="8" s="1"/>
  <c r="IU2" i="8" s="1"/>
  <c r="HU2" i="8" a="1"/>
  <c r="HU2" i="8" s="1"/>
  <c r="IT2" i="8" s="1"/>
  <c r="HT2" i="8" a="1"/>
  <c r="HT2" i="8" s="1"/>
  <c r="IS2" i="8" s="1"/>
  <c r="HS2" i="8" a="1"/>
  <c r="HS2" i="8" s="1"/>
  <c r="IR2" i="8" s="1"/>
  <c r="HR2" i="8" a="1"/>
  <c r="HR2" i="8" s="1"/>
  <c r="IQ2" i="8" s="1"/>
  <c r="HQ2" i="8" a="1"/>
  <c r="HQ2" i="8" s="1"/>
  <c r="IP2" i="8" s="1"/>
  <c r="HP2" i="8" a="1"/>
  <c r="HP2" i="8" s="1"/>
  <c r="IO2" i="8" s="1"/>
  <c r="HL2" i="8"/>
  <c r="HJ2" i="8"/>
  <c r="HH2" i="8"/>
  <c r="HB2" i="8"/>
  <c r="HA2" i="8"/>
  <c r="GZ2" i="8"/>
  <c r="GY2" i="8"/>
  <c r="GX2" i="8"/>
  <c r="GW2" i="8"/>
  <c r="GV2" i="8"/>
  <c r="GU2" i="8"/>
  <c r="GT2" i="8"/>
  <c r="GP2" i="8"/>
  <c r="GI2" i="8"/>
  <c r="GH2" i="8"/>
  <c r="GG2" i="8"/>
  <c r="GF2" i="8"/>
  <c r="GE2" i="8"/>
  <c r="GD2" i="8"/>
  <c r="GC2" i="8"/>
  <c r="GB2" i="8"/>
  <c r="GA2" i="8"/>
  <c r="FZ2" i="8"/>
  <c r="FY2" i="8"/>
  <c r="FX2" i="8"/>
  <c r="FW2" i="8"/>
  <c r="FV2" i="8"/>
  <c r="FU2" i="8"/>
  <c r="FT2" i="8"/>
  <c r="FS2" i="8"/>
  <c r="FR2" i="8"/>
  <c r="FQ2" i="8"/>
  <c r="FJ2" i="8"/>
  <c r="FI2" i="8"/>
  <c r="FH2" i="8"/>
  <c r="FG2" i="8"/>
  <c r="FF2" i="8"/>
  <c r="FP2" i="8" s="1"/>
  <c r="FE2" i="8"/>
  <c r="FD2" i="8"/>
  <c r="FC2" i="8"/>
  <c r="FB2" i="8"/>
  <c r="FA2" i="8"/>
  <c r="EZ2" i="8"/>
  <c r="EY2" i="8"/>
  <c r="EX2" i="8"/>
  <c r="EW2" i="8"/>
  <c r="EV2" i="8"/>
  <c r="EU2" i="8"/>
  <c r="ET2" i="8"/>
  <c r="ES2" i="8"/>
  <c r="ER2" i="8"/>
  <c r="EQ2" i="8"/>
  <c r="EP2" i="8"/>
  <c r="EO2" i="8"/>
  <c r="EN2" i="8"/>
  <c r="EM2" i="8"/>
  <c r="EL2" i="8"/>
  <c r="EK2" i="8"/>
  <c r="EJ2" i="8"/>
  <c r="EI2" i="8"/>
  <c r="EH2" i="8"/>
  <c r="EG2" i="8"/>
  <c r="EF2" i="8"/>
  <c r="EE2" i="8"/>
  <c r="ED2" i="8"/>
  <c r="EC2" i="8"/>
  <c r="EB2" i="8"/>
  <c r="EA2" i="8"/>
  <c r="DV2" i="8"/>
  <c r="DU2" i="8"/>
  <c r="DT2" i="8"/>
  <c r="DS2" i="8"/>
  <c r="DR2" i="8"/>
  <c r="DQ2" i="8"/>
  <c r="DP2" i="8"/>
  <c r="DO2" i="8"/>
  <c r="DN2" i="8"/>
  <c r="DK2" i="8"/>
  <c r="DJ2" i="8"/>
  <c r="DI2" i="8"/>
  <c r="DH2" i="8"/>
  <c r="DG2" i="8"/>
  <c r="DF2" i="8"/>
  <c r="DE2" i="8"/>
  <c r="DD2" i="8"/>
  <c r="DC2" i="8"/>
  <c r="DB2" i="8"/>
  <c r="DA2" i="8"/>
  <c r="CV2" i="8"/>
  <c r="CU2" i="8"/>
  <c r="CT2" i="8"/>
  <c r="CS2" i="8"/>
  <c r="GN2" i="8" s="1"/>
  <c r="CR2" i="8"/>
  <c r="GM2" i="8" s="1"/>
  <c r="CQ2" i="8"/>
  <c r="GL2" i="8" s="1"/>
  <c r="CP2" i="8"/>
  <c r="GJ2" i="8" s="1"/>
  <c r="GK2" i="8" s="1"/>
  <c r="CO2" i="8"/>
  <c r="DZ2" i="8" s="1"/>
  <c r="CN2" i="8"/>
  <c r="DY2" i="8" s="1"/>
  <c r="CM2" i="8"/>
  <c r="DX2" i="8" s="1"/>
  <c r="CL2" i="8"/>
  <c r="DW2" i="8" s="1"/>
  <c r="CG2" i="8" a="1"/>
  <c r="CG2" i="8" s="1"/>
  <c r="CJ2" i="8" s="1"/>
  <c r="CY2" i="8" s="1"/>
  <c r="AW2" i="8"/>
  <c r="AV2" i="8"/>
  <c r="J2" i="8"/>
  <c r="G2" i="8"/>
  <c r="HX5" i="8" a="1"/>
  <c r="HX5" i="8" s="1"/>
  <c r="IW5" i="8" s="1"/>
  <c r="HW5" i="8" a="1"/>
  <c r="HW5" i="8" s="1"/>
  <c r="IV5" i="8" s="1"/>
  <c r="HV5" i="8" a="1"/>
  <c r="HV5" i="8" s="1"/>
  <c r="IU5" i="8" s="1"/>
  <c r="HU5" i="8" a="1"/>
  <c r="HU5" i="8" s="1"/>
  <c r="IT5" i="8" s="1"/>
  <c r="HT5" i="8" a="1"/>
  <c r="HT5" i="8" s="1"/>
  <c r="IS5" i="8" s="1"/>
  <c r="HS5" i="8" a="1"/>
  <c r="HS5" i="8" s="1"/>
  <c r="HR5" i="8" a="1"/>
  <c r="HR5" i="8" s="1"/>
  <c r="IQ5" i="8" s="1"/>
  <c r="HQ5" i="8" a="1"/>
  <c r="HQ5" i="8" s="1"/>
  <c r="IP5" i="8" s="1"/>
  <c r="HP5" i="8" a="1"/>
  <c r="HP5" i="8" s="1"/>
  <c r="IO5" i="8" s="1"/>
  <c r="HL5" i="8"/>
  <c r="HJ5" i="8"/>
  <c r="HH5" i="8"/>
  <c r="HB5" i="8"/>
  <c r="HA5" i="8"/>
  <c r="GZ5" i="8"/>
  <c r="GY5" i="8"/>
  <c r="GX5" i="8"/>
  <c r="GW5" i="8"/>
  <c r="GV5" i="8"/>
  <c r="GU5" i="8"/>
  <c r="GT5" i="8"/>
  <c r="GP5" i="8"/>
  <c r="GI5" i="8"/>
  <c r="GH5" i="8"/>
  <c r="GG5" i="8"/>
  <c r="GF5" i="8"/>
  <c r="GE5" i="8"/>
  <c r="GB5" i="8"/>
  <c r="GA5" i="8"/>
  <c r="FZ5" i="8"/>
  <c r="FY5" i="8"/>
  <c r="FW5" i="8"/>
  <c r="FV5" i="8"/>
  <c r="FU5" i="8"/>
  <c r="FT5" i="8"/>
  <c r="FS5" i="8"/>
  <c r="FR5" i="8"/>
  <c r="FQ5" i="8"/>
  <c r="FJ5" i="8"/>
  <c r="FI5" i="8"/>
  <c r="FH5" i="8"/>
  <c r="FG5" i="8"/>
  <c r="FF5" i="8"/>
  <c r="FE5" i="8"/>
  <c r="FD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U5" i="8"/>
  <c r="DT5" i="8"/>
  <c r="DS5" i="8"/>
  <c r="DR5" i="8"/>
  <c r="DQ5" i="8"/>
  <c r="DP5" i="8"/>
  <c r="DO5" i="8"/>
  <c r="DN5" i="8"/>
  <c r="DK5" i="8"/>
  <c r="DJ5" i="8"/>
  <c r="DI5" i="8"/>
  <c r="DH5" i="8"/>
  <c r="DG5" i="8"/>
  <c r="DF5" i="8"/>
  <c r="DE5" i="8"/>
  <c r="DD5" i="8"/>
  <c r="DB5" i="8"/>
  <c r="DA5" i="8"/>
  <c r="CV5" i="8"/>
  <c r="CU5" i="8"/>
  <c r="CT5" i="8"/>
  <c r="CS5" i="8"/>
  <c r="GN5" i="8" s="1"/>
  <c r="CR5" i="8"/>
  <c r="GM5" i="8" s="1"/>
  <c r="CQ5" i="8"/>
  <c r="GL5" i="8" s="1"/>
  <c r="CP5" i="8"/>
  <c r="GJ5" i="8" s="1"/>
  <c r="GK5" i="8" s="1"/>
  <c r="CO5" i="8"/>
  <c r="DZ5" i="8" s="1"/>
  <c r="CN5" i="8"/>
  <c r="DY5" i="8" s="1"/>
  <c r="CM5" i="8"/>
  <c r="DX5" i="8" s="1"/>
  <c r="CL5" i="8"/>
  <c r="DW5" i="8" s="1"/>
  <c r="CG5" i="8" a="1"/>
  <c r="CG5" i="8" s="1"/>
  <c r="CH5" i="8" s="1"/>
  <c r="CW5" i="8" s="1"/>
  <c r="AW5" i="8"/>
  <c r="AV5" i="8"/>
  <c r="J5" i="8"/>
  <c r="G5" i="8"/>
  <c r="HX4" i="8" a="1"/>
  <c r="HX4" i="8" s="1"/>
  <c r="IW4" i="8" s="1"/>
  <c r="HW4" i="8" a="1"/>
  <c r="HW4" i="8" s="1"/>
  <c r="IV4" i="8" s="1"/>
  <c r="HV4" i="8" a="1"/>
  <c r="HV4" i="8" s="1"/>
  <c r="IU4" i="8" s="1"/>
  <c r="HU4" i="8" a="1"/>
  <c r="HU4" i="8" s="1"/>
  <c r="IT4" i="8" s="1"/>
  <c r="HT4" i="8" a="1"/>
  <c r="HT4" i="8" s="1"/>
  <c r="IS4" i="8" s="1"/>
  <c r="HS4" i="8" a="1"/>
  <c r="HS4" i="8" s="1"/>
  <c r="IR4" i="8" s="1"/>
  <c r="HR4" i="8" a="1"/>
  <c r="HR4" i="8" s="1"/>
  <c r="IQ4" i="8" s="1"/>
  <c r="HQ4" i="8" a="1"/>
  <c r="HQ4" i="8" s="1"/>
  <c r="IP4" i="8" s="1"/>
  <c r="HP4" i="8" a="1"/>
  <c r="HP4" i="8" s="1"/>
  <c r="IO4" i="8" s="1"/>
  <c r="HL4" i="8"/>
  <c r="HJ4" i="8"/>
  <c r="HH4" i="8"/>
  <c r="HB4" i="8"/>
  <c r="HA4" i="8"/>
  <c r="GZ4" i="8"/>
  <c r="GY4" i="8"/>
  <c r="GX4" i="8"/>
  <c r="GW4" i="8"/>
  <c r="GV4" i="8"/>
  <c r="GU4" i="8"/>
  <c r="GT4" i="8"/>
  <c r="GP4" i="8"/>
  <c r="GI4" i="8"/>
  <c r="GH4" i="8"/>
  <c r="GG4" i="8"/>
  <c r="GF4" i="8"/>
  <c r="GE4" i="8"/>
  <c r="GB4" i="8"/>
  <c r="GA4" i="8"/>
  <c r="FZ4" i="8"/>
  <c r="FY4" i="8"/>
  <c r="FW4" i="8"/>
  <c r="FV4" i="8"/>
  <c r="FU4" i="8"/>
  <c r="FT4" i="8"/>
  <c r="FS4" i="8"/>
  <c r="FR4" i="8"/>
  <c r="FQ4" i="8"/>
  <c r="FJ4" i="8"/>
  <c r="FI4" i="8"/>
  <c r="FH4" i="8"/>
  <c r="FG4" i="8"/>
  <c r="FF4" i="8"/>
  <c r="FP4" i="8" s="1"/>
  <c r="FE4" i="8"/>
  <c r="FD4" i="8"/>
  <c r="FB4" i="8"/>
  <c r="FA4" i="8"/>
  <c r="EZ4" i="8"/>
  <c r="EY4" i="8"/>
  <c r="EX4" i="8"/>
  <c r="EW4" i="8"/>
  <c r="EV4" i="8"/>
  <c r="EU4" i="8"/>
  <c r="ET4" i="8"/>
  <c r="ES4" i="8"/>
  <c r="ER4" i="8"/>
  <c r="EQ4" i="8"/>
  <c r="EP4" i="8"/>
  <c r="EO4" i="8"/>
  <c r="EN4" i="8"/>
  <c r="EM4" i="8"/>
  <c r="EL4" i="8"/>
  <c r="EK4" i="8"/>
  <c r="EJ4" i="8"/>
  <c r="EI4" i="8"/>
  <c r="EH4" i="8"/>
  <c r="EG4" i="8"/>
  <c r="EF4" i="8"/>
  <c r="EE4" i="8"/>
  <c r="ED4" i="8"/>
  <c r="EC4" i="8"/>
  <c r="EB4" i="8"/>
  <c r="EA4" i="8"/>
  <c r="DU4" i="8"/>
  <c r="DT4" i="8"/>
  <c r="DS4" i="8"/>
  <c r="DR4" i="8"/>
  <c r="DQ4" i="8"/>
  <c r="DP4" i="8"/>
  <c r="DO4" i="8"/>
  <c r="DN4" i="8"/>
  <c r="DK4" i="8"/>
  <c r="DJ4" i="8"/>
  <c r="DI4" i="8"/>
  <c r="DH4" i="8"/>
  <c r="DG4" i="8"/>
  <c r="DF4" i="8"/>
  <c r="DE4" i="8"/>
  <c r="DD4" i="8"/>
  <c r="DB4" i="8"/>
  <c r="DA4" i="8"/>
  <c r="CV4" i="8"/>
  <c r="CU4" i="8"/>
  <c r="CT4" i="8"/>
  <c r="CS4" i="8"/>
  <c r="GN4" i="8" s="1"/>
  <c r="CR4" i="8"/>
  <c r="GM4" i="8" s="1"/>
  <c r="CQ4" i="8"/>
  <c r="GL4" i="8" s="1"/>
  <c r="CP4" i="8"/>
  <c r="GJ4" i="8" s="1"/>
  <c r="GK4" i="8" s="1"/>
  <c r="CO4" i="8"/>
  <c r="DZ4" i="8" s="1"/>
  <c r="CN4" i="8"/>
  <c r="DY4" i="8" s="1"/>
  <c r="CM4" i="8"/>
  <c r="DX4" i="8" s="1"/>
  <c r="CL4" i="8"/>
  <c r="DW4" i="8" s="1"/>
  <c r="CG4" i="8" a="1"/>
  <c r="CG4" i="8" s="1"/>
  <c r="AW4" i="8"/>
  <c r="AV4" i="8"/>
  <c r="J4" i="8"/>
  <c r="G4" i="8"/>
  <c r="HX3" i="8" a="1"/>
  <c r="HX3" i="8" s="1"/>
  <c r="IW3" i="8" s="1"/>
  <c r="HW3" i="8" a="1"/>
  <c r="HW3" i="8" s="1"/>
  <c r="IV3" i="8" s="1"/>
  <c r="HV3" i="8" a="1"/>
  <c r="HV3" i="8" s="1"/>
  <c r="IU3" i="8" s="1"/>
  <c r="HU3" i="8" a="1"/>
  <c r="HU3" i="8" s="1"/>
  <c r="IT3" i="8" s="1"/>
  <c r="HT3" i="8" a="1"/>
  <c r="HT3" i="8" s="1"/>
  <c r="IS3" i="8" s="1"/>
  <c r="HS3" i="8" a="1"/>
  <c r="HS3" i="8" s="1"/>
  <c r="IR3" i="8" s="1"/>
  <c r="HR3" i="8" a="1"/>
  <c r="HR3" i="8" s="1"/>
  <c r="IQ3" i="8" s="1"/>
  <c r="HQ3" i="8" a="1"/>
  <c r="HQ3" i="8" s="1"/>
  <c r="IP3" i="8" s="1"/>
  <c r="HP3" i="8" a="1"/>
  <c r="HP3" i="8" s="1"/>
  <c r="IO3" i="8" s="1"/>
  <c r="HL3" i="8"/>
  <c r="HJ3" i="8"/>
  <c r="HH3" i="8"/>
  <c r="HI3" i="8" s="1"/>
  <c r="HB3" i="8"/>
  <c r="HA3" i="8"/>
  <c r="GZ3" i="8"/>
  <c r="GY3" i="8"/>
  <c r="GX3" i="8"/>
  <c r="GW3" i="8"/>
  <c r="GV3" i="8"/>
  <c r="GU3" i="8"/>
  <c r="GT3" i="8"/>
  <c r="GP3" i="8"/>
  <c r="GI3" i="8"/>
  <c r="GH3" i="8"/>
  <c r="GG3" i="8"/>
  <c r="GF3" i="8"/>
  <c r="GE3" i="8"/>
  <c r="GB3" i="8"/>
  <c r="GA3" i="8"/>
  <c r="FZ3" i="8"/>
  <c r="FY3" i="8"/>
  <c r="FW3" i="8"/>
  <c r="FV3" i="8"/>
  <c r="FU3" i="8"/>
  <c r="FT3" i="8"/>
  <c r="FS3" i="8"/>
  <c r="FR3" i="8"/>
  <c r="FQ3" i="8"/>
  <c r="FJ3" i="8"/>
  <c r="FI3" i="8"/>
  <c r="FH3" i="8"/>
  <c r="FG3" i="8"/>
  <c r="FF3" i="8"/>
  <c r="FP3" i="8" s="1"/>
  <c r="FE3" i="8"/>
  <c r="FD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U3" i="8"/>
  <c r="DT3" i="8"/>
  <c r="DS3" i="8"/>
  <c r="DR3" i="8"/>
  <c r="DQ3" i="8"/>
  <c r="DP3" i="8"/>
  <c r="DO3" i="8"/>
  <c r="DN3" i="8"/>
  <c r="DK3" i="8"/>
  <c r="DJ3" i="8"/>
  <c r="DI3" i="8"/>
  <c r="DH3" i="8"/>
  <c r="DG3" i="8"/>
  <c r="DF3" i="8"/>
  <c r="DE3" i="8"/>
  <c r="DD3" i="8"/>
  <c r="DB3" i="8"/>
  <c r="DA3" i="8"/>
  <c r="CV3" i="8"/>
  <c r="CU3" i="8"/>
  <c r="CT3" i="8"/>
  <c r="CS3" i="8"/>
  <c r="GN3" i="8" s="1"/>
  <c r="CR3" i="8"/>
  <c r="GM3" i="8" s="1"/>
  <c r="CQ3" i="8"/>
  <c r="GL3" i="8" s="1"/>
  <c r="CP3" i="8"/>
  <c r="GJ3" i="8" s="1"/>
  <c r="GK3" i="8" s="1"/>
  <c r="CO3" i="8"/>
  <c r="DZ3" i="8" s="1"/>
  <c r="CN3" i="8"/>
  <c r="DY3" i="8" s="1"/>
  <c r="CM3" i="8"/>
  <c r="DX3" i="8" s="1"/>
  <c r="CL3" i="8"/>
  <c r="DW3" i="8" s="1"/>
  <c r="CG3" i="8" a="1"/>
  <c r="CG3" i="8" s="1"/>
  <c r="CI3" i="8" s="1"/>
  <c r="CX3" i="8" s="1"/>
  <c r="AW3" i="8"/>
  <c r="AV3" i="8"/>
  <c r="J3" i="8"/>
  <c r="G3" i="8"/>
  <c r="AW3" i="7"/>
  <c r="AW4" i="7"/>
  <c r="AW5" i="7"/>
  <c r="AW6" i="7"/>
  <c r="AW7" i="7"/>
  <c r="AW8" i="7"/>
  <c r="AW30" i="7"/>
  <c r="AW9" i="7"/>
  <c r="AW10" i="7"/>
  <c r="AW11" i="7"/>
  <c r="AW12" i="7"/>
  <c r="AW13" i="7"/>
  <c r="AW14" i="7"/>
  <c r="AW15" i="7"/>
  <c r="AW16" i="7"/>
  <c r="AW17" i="7"/>
  <c r="AW18" i="7"/>
  <c r="AW19" i="7"/>
  <c r="AW20" i="7"/>
  <c r="AW21" i="7"/>
  <c r="AW22" i="7"/>
  <c r="AW23" i="7"/>
  <c r="AW24" i="7"/>
  <c r="AW25" i="7"/>
  <c r="AW26" i="7"/>
  <c r="AW27" i="7"/>
  <c r="AW28" i="7"/>
  <c r="AW29" i="7"/>
  <c r="AW31" i="7"/>
  <c r="AW32" i="7"/>
  <c r="AW33" i="7"/>
  <c r="AW2" i="7"/>
  <c r="IL29" i="7"/>
  <c r="HX29" i="7" a="1"/>
  <c r="HX29" i="7" s="1"/>
  <c r="IW29" i="7" s="1"/>
  <c r="HW29" i="7" a="1"/>
  <c r="HW29" i="7" s="1"/>
  <c r="IV29" i="7" s="1"/>
  <c r="HV29" i="7" a="1"/>
  <c r="HV29" i="7" s="1"/>
  <c r="IU29" i="7" s="1"/>
  <c r="HU29" i="7" a="1"/>
  <c r="HU29" i="7" s="1"/>
  <c r="IT29" i="7" s="1"/>
  <c r="HT29" i="7" a="1"/>
  <c r="HT29" i="7" s="1"/>
  <c r="IS29" i="7" s="1"/>
  <c r="HS29" i="7" a="1"/>
  <c r="HS29" i="7" s="1"/>
  <c r="IR29" i="7" s="1"/>
  <c r="HR29" i="7" a="1"/>
  <c r="HR29" i="7" s="1"/>
  <c r="IQ29" i="7" s="1"/>
  <c r="HQ29" i="7" a="1"/>
  <c r="HQ29" i="7" s="1"/>
  <c r="IP29" i="7" s="1"/>
  <c r="HP29" i="7" a="1"/>
  <c r="HP29" i="7" s="1"/>
  <c r="IO29" i="7" s="1"/>
  <c r="HL29" i="7"/>
  <c r="HJ29" i="7"/>
  <c r="HH29" i="7"/>
  <c r="HB29" i="7"/>
  <c r="HA29" i="7"/>
  <c r="GZ29" i="7"/>
  <c r="GY29" i="7"/>
  <c r="GX29" i="7"/>
  <c r="GW29" i="7"/>
  <c r="GV29" i="7"/>
  <c r="GU29" i="7"/>
  <c r="GT29" i="7"/>
  <c r="GP29" i="7"/>
  <c r="GI29" i="7"/>
  <c r="GH29" i="7"/>
  <c r="GG29" i="7"/>
  <c r="GF29" i="7"/>
  <c r="GE29" i="7"/>
  <c r="GD29" i="7"/>
  <c r="GC29" i="7"/>
  <c r="GB29" i="7"/>
  <c r="GA29" i="7"/>
  <c r="FZ29" i="7"/>
  <c r="FY29" i="7"/>
  <c r="FX29" i="7"/>
  <c r="FW29" i="7"/>
  <c r="FV29" i="7"/>
  <c r="FU29" i="7"/>
  <c r="FT29" i="7"/>
  <c r="FS29" i="7"/>
  <c r="FR29" i="7"/>
  <c r="FQ29" i="7"/>
  <c r="FJ29" i="7"/>
  <c r="FI29" i="7"/>
  <c r="FH29" i="7"/>
  <c r="FG29" i="7"/>
  <c r="FF29" i="7"/>
  <c r="FP29" i="7" s="1"/>
  <c r="FE29" i="7"/>
  <c r="FD29" i="7"/>
  <c r="FC29" i="7"/>
  <c r="FB29" i="7"/>
  <c r="FA29" i="7"/>
  <c r="EZ29" i="7"/>
  <c r="EY29" i="7"/>
  <c r="EX29" i="7"/>
  <c r="EW29" i="7"/>
  <c r="EV29" i="7"/>
  <c r="EU29" i="7"/>
  <c r="ET29" i="7"/>
  <c r="ES29" i="7"/>
  <c r="ER29" i="7"/>
  <c r="EQ29" i="7"/>
  <c r="EP29" i="7"/>
  <c r="EO29" i="7"/>
  <c r="EN29" i="7"/>
  <c r="EM29" i="7"/>
  <c r="EL29" i="7"/>
  <c r="EK29" i="7"/>
  <c r="EJ29" i="7"/>
  <c r="EI29" i="7"/>
  <c r="EH29" i="7"/>
  <c r="EG29" i="7"/>
  <c r="EF29" i="7"/>
  <c r="EE29" i="7"/>
  <c r="ED29" i="7"/>
  <c r="EC29" i="7"/>
  <c r="EB29" i="7"/>
  <c r="EA29" i="7"/>
  <c r="DV29" i="7"/>
  <c r="DU29" i="7"/>
  <c r="DT29" i="7"/>
  <c r="DS29" i="7"/>
  <c r="DR29" i="7"/>
  <c r="DQ29" i="7"/>
  <c r="DP29" i="7"/>
  <c r="DO29" i="7"/>
  <c r="DN29" i="7"/>
  <c r="DK29" i="7"/>
  <c r="DJ29" i="7"/>
  <c r="DI29" i="7"/>
  <c r="DH29" i="7"/>
  <c r="DG29" i="7"/>
  <c r="DF29" i="7"/>
  <c r="DE29" i="7"/>
  <c r="DD29" i="7"/>
  <c r="DC29" i="7"/>
  <c r="DB29" i="7"/>
  <c r="DA29" i="7"/>
  <c r="CV29" i="7"/>
  <c r="CU29" i="7"/>
  <c r="CT29" i="7"/>
  <c r="CS29" i="7"/>
  <c r="GN29" i="7" s="1"/>
  <c r="CR29" i="7"/>
  <c r="GM29" i="7" s="1"/>
  <c r="CQ29" i="7"/>
  <c r="GL29" i="7" s="1"/>
  <c r="CP29" i="7"/>
  <c r="GJ29" i="7" s="1"/>
  <c r="GK29" i="7" s="1"/>
  <c r="CO29" i="7"/>
  <c r="DZ29" i="7" s="1"/>
  <c r="CN29" i="7"/>
  <c r="DY29" i="7" s="1"/>
  <c r="CM29" i="7"/>
  <c r="DX29" i="7" s="1"/>
  <c r="CL29" i="7"/>
  <c r="DW29" i="7" s="1"/>
  <c r="CG29" i="7" a="1"/>
  <c r="CG29" i="7" s="1"/>
  <c r="AV29" i="7"/>
  <c r="J29" i="7"/>
  <c r="G29" i="7"/>
  <c r="IL28" i="7"/>
  <c r="HX28" i="7" a="1"/>
  <c r="HX28" i="7" s="1"/>
  <c r="IW28" i="7" s="1"/>
  <c r="HW28" i="7" a="1"/>
  <c r="HW28" i="7" s="1"/>
  <c r="IV28" i="7" s="1"/>
  <c r="HV28" i="7" a="1"/>
  <c r="HV28" i="7" s="1"/>
  <c r="IU28" i="7" s="1"/>
  <c r="HU28" i="7" a="1"/>
  <c r="HU28" i="7" s="1"/>
  <c r="IT28" i="7" s="1"/>
  <c r="HT28" i="7" a="1"/>
  <c r="HT28" i="7" s="1"/>
  <c r="IS28" i="7" s="1"/>
  <c r="HS28" i="7" a="1"/>
  <c r="HS28" i="7" s="1"/>
  <c r="IR28" i="7" s="1"/>
  <c r="HR28" i="7" a="1"/>
  <c r="HR28" i="7" s="1"/>
  <c r="IQ28" i="7" s="1"/>
  <c r="HQ28" i="7" a="1"/>
  <c r="HQ28" i="7" s="1"/>
  <c r="IP28" i="7" s="1"/>
  <c r="HP28" i="7" a="1"/>
  <c r="HP28" i="7" s="1"/>
  <c r="IO28" i="7" s="1"/>
  <c r="HL28" i="7"/>
  <c r="HJ28" i="7"/>
  <c r="HH28" i="7"/>
  <c r="HB28" i="7"/>
  <c r="HA28" i="7"/>
  <c r="GZ28" i="7"/>
  <c r="GY28" i="7"/>
  <c r="GX28" i="7"/>
  <c r="GW28" i="7"/>
  <c r="GV28" i="7"/>
  <c r="GU28" i="7"/>
  <c r="GT28" i="7"/>
  <c r="GP28" i="7"/>
  <c r="GI28" i="7"/>
  <c r="GH28" i="7"/>
  <c r="GG28" i="7"/>
  <c r="GF28" i="7"/>
  <c r="GE28" i="7"/>
  <c r="GD28" i="7"/>
  <c r="GC28" i="7"/>
  <c r="GB28" i="7"/>
  <c r="GA28" i="7"/>
  <c r="FZ28" i="7"/>
  <c r="FY28" i="7"/>
  <c r="FX28" i="7"/>
  <c r="FW28" i="7"/>
  <c r="FV28" i="7"/>
  <c r="FU28" i="7"/>
  <c r="FT28" i="7"/>
  <c r="FS28" i="7"/>
  <c r="FR28" i="7"/>
  <c r="FQ28" i="7"/>
  <c r="FJ28" i="7"/>
  <c r="FI28" i="7"/>
  <c r="FH28" i="7"/>
  <c r="FG28" i="7"/>
  <c r="FF28" i="7"/>
  <c r="FP28" i="7" s="1"/>
  <c r="FE28" i="7"/>
  <c r="FD28" i="7"/>
  <c r="FC28" i="7"/>
  <c r="FB28" i="7"/>
  <c r="FA28" i="7"/>
  <c r="EZ28" i="7"/>
  <c r="EY28" i="7"/>
  <c r="EX28" i="7"/>
  <c r="EW28" i="7"/>
  <c r="EV28" i="7"/>
  <c r="EU28" i="7"/>
  <c r="ET28" i="7"/>
  <c r="ES28" i="7"/>
  <c r="ER28" i="7"/>
  <c r="EQ28" i="7"/>
  <c r="EP28" i="7"/>
  <c r="EO28" i="7"/>
  <c r="EN28" i="7"/>
  <c r="EM28" i="7"/>
  <c r="EL28" i="7"/>
  <c r="EK28" i="7"/>
  <c r="EJ28" i="7"/>
  <c r="EI28" i="7"/>
  <c r="EH28" i="7"/>
  <c r="EG28" i="7"/>
  <c r="EF28" i="7"/>
  <c r="EE28" i="7"/>
  <c r="ED28" i="7"/>
  <c r="EC28" i="7"/>
  <c r="EB28" i="7"/>
  <c r="EA28" i="7"/>
  <c r="DV28" i="7"/>
  <c r="DU28" i="7"/>
  <c r="DT28" i="7"/>
  <c r="DS28" i="7"/>
  <c r="DR28" i="7"/>
  <c r="DQ28" i="7"/>
  <c r="DP28" i="7"/>
  <c r="DO28" i="7"/>
  <c r="DN28" i="7"/>
  <c r="DK28" i="7"/>
  <c r="DJ28" i="7"/>
  <c r="DI28" i="7"/>
  <c r="DH28" i="7"/>
  <c r="DG28" i="7"/>
  <c r="DF28" i="7"/>
  <c r="DE28" i="7"/>
  <c r="DD28" i="7"/>
  <c r="DC28" i="7"/>
  <c r="DB28" i="7"/>
  <c r="DA28" i="7"/>
  <c r="CV28" i="7"/>
  <c r="CU28" i="7"/>
  <c r="CT28" i="7"/>
  <c r="CS28" i="7"/>
  <c r="GN28" i="7" s="1"/>
  <c r="CR28" i="7"/>
  <c r="GM28" i="7" s="1"/>
  <c r="CQ28" i="7"/>
  <c r="GL28" i="7" s="1"/>
  <c r="CP28" i="7"/>
  <c r="GJ28" i="7" s="1"/>
  <c r="GK28" i="7" s="1"/>
  <c r="CO28" i="7"/>
  <c r="DZ28" i="7" s="1"/>
  <c r="CN28" i="7"/>
  <c r="DY28" i="7" s="1"/>
  <c r="CM28" i="7"/>
  <c r="DX28" i="7" s="1"/>
  <c r="CL28" i="7"/>
  <c r="DW28" i="7" s="1"/>
  <c r="CG28" i="7" a="1"/>
  <c r="CG28" i="7" s="1"/>
  <c r="CJ28" i="7" s="1"/>
  <c r="CY28" i="7" s="1"/>
  <c r="AV28" i="7"/>
  <c r="J28" i="7"/>
  <c r="G28" i="7"/>
  <c r="IL27" i="7"/>
  <c r="HX27" i="7" a="1"/>
  <c r="HX27" i="7" s="1"/>
  <c r="IW27" i="7" s="1"/>
  <c r="HW27" i="7" a="1"/>
  <c r="HW27" i="7" s="1"/>
  <c r="IV27" i="7" s="1"/>
  <c r="HV27" i="7" a="1"/>
  <c r="HV27" i="7" s="1"/>
  <c r="IU27" i="7" s="1"/>
  <c r="HU27" i="7" a="1"/>
  <c r="HU27" i="7" s="1"/>
  <c r="IT27" i="7" s="1"/>
  <c r="HT27" i="7" a="1"/>
  <c r="HT27" i="7" s="1"/>
  <c r="IS27" i="7" s="1"/>
  <c r="HS27" i="7" a="1"/>
  <c r="HS27" i="7" s="1"/>
  <c r="IR27" i="7" s="1"/>
  <c r="HR27" i="7" a="1"/>
  <c r="HR27" i="7" s="1"/>
  <c r="IQ27" i="7" s="1"/>
  <c r="HQ27" i="7" a="1"/>
  <c r="HQ27" i="7" s="1"/>
  <c r="IP27" i="7" s="1"/>
  <c r="HP27" i="7" a="1"/>
  <c r="HP27" i="7" s="1"/>
  <c r="IO27" i="7" s="1"/>
  <c r="HL27" i="7"/>
  <c r="HJ27" i="7"/>
  <c r="HH27" i="7"/>
  <c r="HB27" i="7"/>
  <c r="HA27" i="7"/>
  <c r="GZ27" i="7"/>
  <c r="GY27" i="7"/>
  <c r="GX27" i="7"/>
  <c r="GW27" i="7"/>
  <c r="GV27" i="7"/>
  <c r="GU27" i="7"/>
  <c r="GT27" i="7"/>
  <c r="GP27" i="7"/>
  <c r="GI27" i="7"/>
  <c r="GH27" i="7"/>
  <c r="GG27" i="7"/>
  <c r="GF27" i="7"/>
  <c r="GE27" i="7"/>
  <c r="GD27" i="7"/>
  <c r="GC27" i="7"/>
  <c r="GB27" i="7"/>
  <c r="GA27" i="7"/>
  <c r="FZ27" i="7"/>
  <c r="FY27" i="7"/>
  <c r="FX27" i="7"/>
  <c r="FW27" i="7"/>
  <c r="FV27" i="7"/>
  <c r="FU27" i="7"/>
  <c r="FT27" i="7"/>
  <c r="FS27" i="7"/>
  <c r="FR27" i="7"/>
  <c r="FQ27" i="7"/>
  <c r="FJ27" i="7"/>
  <c r="FI27" i="7"/>
  <c r="FH27" i="7"/>
  <c r="FG27" i="7"/>
  <c r="FF27" i="7"/>
  <c r="FE27" i="7"/>
  <c r="FD27" i="7"/>
  <c r="FC27" i="7"/>
  <c r="FB27" i="7"/>
  <c r="FA27" i="7"/>
  <c r="EZ27" i="7"/>
  <c r="EY27" i="7"/>
  <c r="EX27" i="7"/>
  <c r="EW27" i="7"/>
  <c r="EV27" i="7"/>
  <c r="EU27" i="7"/>
  <c r="ET27" i="7"/>
  <c r="ES27" i="7"/>
  <c r="ER27" i="7"/>
  <c r="EQ27" i="7"/>
  <c r="EP27" i="7"/>
  <c r="EO27" i="7"/>
  <c r="EN27" i="7"/>
  <c r="EM27" i="7"/>
  <c r="EL27" i="7"/>
  <c r="EK27" i="7"/>
  <c r="EJ27" i="7"/>
  <c r="EI27" i="7"/>
  <c r="EH27" i="7"/>
  <c r="EG27" i="7"/>
  <c r="EF27" i="7"/>
  <c r="EE27" i="7"/>
  <c r="ED27" i="7"/>
  <c r="EC27" i="7"/>
  <c r="EB27" i="7"/>
  <c r="EA27" i="7"/>
  <c r="DV27" i="7"/>
  <c r="DU27" i="7"/>
  <c r="DT27" i="7"/>
  <c r="DS27" i="7"/>
  <c r="DR27" i="7"/>
  <c r="DQ27" i="7"/>
  <c r="DP27" i="7"/>
  <c r="DO27" i="7"/>
  <c r="DN27" i="7"/>
  <c r="DK27" i="7"/>
  <c r="DJ27" i="7"/>
  <c r="DI27" i="7"/>
  <c r="DH27" i="7"/>
  <c r="DG27" i="7"/>
  <c r="DF27" i="7"/>
  <c r="DE27" i="7"/>
  <c r="DD27" i="7"/>
  <c r="DC27" i="7"/>
  <c r="DB27" i="7"/>
  <c r="DA27" i="7"/>
  <c r="CV27" i="7"/>
  <c r="CU27" i="7"/>
  <c r="CT27" i="7"/>
  <c r="CS27" i="7"/>
  <c r="GN27" i="7" s="1"/>
  <c r="CR27" i="7"/>
  <c r="GM27" i="7" s="1"/>
  <c r="CQ27" i="7"/>
  <c r="GL27" i="7" s="1"/>
  <c r="CP27" i="7"/>
  <c r="GJ27" i="7" s="1"/>
  <c r="GK27" i="7" s="1"/>
  <c r="CO27" i="7"/>
  <c r="DZ27" i="7" s="1"/>
  <c r="CN27" i="7"/>
  <c r="DY27" i="7" s="1"/>
  <c r="CM27" i="7"/>
  <c r="DX27" i="7" s="1"/>
  <c r="CL27" i="7"/>
  <c r="DW27" i="7" s="1"/>
  <c r="CG27" i="7" a="1"/>
  <c r="CG27" i="7" s="1"/>
  <c r="IN27" i="7" s="1"/>
  <c r="IX27" i="7" s="1"/>
  <c r="AV27" i="7"/>
  <c r="J27" i="7"/>
  <c r="G27" i="7"/>
  <c r="IL26" i="7"/>
  <c r="HX26" i="7" a="1"/>
  <c r="HX26" i="7" s="1"/>
  <c r="IW26" i="7" s="1"/>
  <c r="HW26" i="7" a="1"/>
  <c r="HW26" i="7" s="1"/>
  <c r="IV26" i="7" s="1"/>
  <c r="HV26" i="7" a="1"/>
  <c r="HV26" i="7" s="1"/>
  <c r="IU26" i="7" s="1"/>
  <c r="HU26" i="7" a="1"/>
  <c r="HU26" i="7" s="1"/>
  <c r="IT26" i="7" s="1"/>
  <c r="HT26" i="7" a="1"/>
  <c r="HT26" i="7" s="1"/>
  <c r="IS26" i="7" s="1"/>
  <c r="HS26" i="7" a="1"/>
  <c r="HS26" i="7" s="1"/>
  <c r="IR26" i="7" s="1"/>
  <c r="HR26" i="7" a="1"/>
  <c r="HR26" i="7" s="1"/>
  <c r="IQ26" i="7" s="1"/>
  <c r="HQ26" i="7" a="1"/>
  <c r="HQ26" i="7" s="1"/>
  <c r="IP26" i="7" s="1"/>
  <c r="HP26" i="7" a="1"/>
  <c r="HP26" i="7" s="1"/>
  <c r="IO26" i="7" s="1"/>
  <c r="HL26" i="7"/>
  <c r="HJ26" i="7"/>
  <c r="HH26" i="7"/>
  <c r="HB26" i="7"/>
  <c r="HA26" i="7"/>
  <c r="GZ26" i="7"/>
  <c r="GY26" i="7"/>
  <c r="GX26" i="7"/>
  <c r="GW26" i="7"/>
  <c r="GV26" i="7"/>
  <c r="GU26" i="7"/>
  <c r="GT26" i="7"/>
  <c r="GP26" i="7"/>
  <c r="GI26" i="7"/>
  <c r="GH26" i="7"/>
  <c r="GG26" i="7"/>
  <c r="GF26" i="7"/>
  <c r="GE26" i="7"/>
  <c r="GD26" i="7"/>
  <c r="GC26" i="7"/>
  <c r="GB26" i="7"/>
  <c r="GA26" i="7"/>
  <c r="FZ26" i="7"/>
  <c r="FY26" i="7"/>
  <c r="FX26" i="7"/>
  <c r="FW26" i="7"/>
  <c r="FV26" i="7"/>
  <c r="FU26" i="7"/>
  <c r="FT26" i="7"/>
  <c r="FS26" i="7"/>
  <c r="FR26" i="7"/>
  <c r="FQ26" i="7"/>
  <c r="FJ26" i="7"/>
  <c r="FI26" i="7"/>
  <c r="FH26" i="7"/>
  <c r="FG26" i="7"/>
  <c r="FF26" i="7"/>
  <c r="FP26" i="7" s="1"/>
  <c r="FE26" i="7"/>
  <c r="FD26" i="7"/>
  <c r="FC26" i="7"/>
  <c r="FB26" i="7"/>
  <c r="FA26" i="7"/>
  <c r="EZ26" i="7"/>
  <c r="EY26" i="7"/>
  <c r="EX26" i="7"/>
  <c r="EW26" i="7"/>
  <c r="EV26" i="7"/>
  <c r="EU26" i="7"/>
  <c r="ET26" i="7"/>
  <c r="ES26" i="7"/>
  <c r="ER26" i="7"/>
  <c r="EQ26" i="7"/>
  <c r="EP26" i="7"/>
  <c r="EO26" i="7"/>
  <c r="EN26" i="7"/>
  <c r="EM26" i="7"/>
  <c r="EL26" i="7"/>
  <c r="EK26" i="7"/>
  <c r="EJ26" i="7"/>
  <c r="EI26" i="7"/>
  <c r="EH26" i="7"/>
  <c r="EG26" i="7"/>
  <c r="EF26" i="7"/>
  <c r="EE26" i="7"/>
  <c r="ED26" i="7"/>
  <c r="EC26" i="7"/>
  <c r="EB26" i="7"/>
  <c r="EA26" i="7"/>
  <c r="DV26" i="7"/>
  <c r="DU26" i="7"/>
  <c r="DT26" i="7"/>
  <c r="DS26" i="7"/>
  <c r="DR26" i="7"/>
  <c r="DQ26" i="7"/>
  <c r="DP26" i="7"/>
  <c r="DO26" i="7"/>
  <c r="DN26" i="7"/>
  <c r="DK26" i="7"/>
  <c r="DJ26" i="7"/>
  <c r="DI26" i="7"/>
  <c r="DH26" i="7"/>
  <c r="DG26" i="7"/>
  <c r="DF26" i="7"/>
  <c r="DE26" i="7"/>
  <c r="DD26" i="7"/>
  <c r="DC26" i="7"/>
  <c r="DB26" i="7"/>
  <c r="DA26" i="7"/>
  <c r="CV26" i="7"/>
  <c r="CU26" i="7"/>
  <c r="CT26" i="7"/>
  <c r="CS26" i="7"/>
  <c r="GN26" i="7" s="1"/>
  <c r="CR26" i="7"/>
  <c r="GM26" i="7" s="1"/>
  <c r="CQ26" i="7"/>
  <c r="GL26" i="7" s="1"/>
  <c r="CP26" i="7"/>
  <c r="GJ26" i="7" s="1"/>
  <c r="GK26" i="7" s="1"/>
  <c r="CO26" i="7"/>
  <c r="DZ26" i="7" s="1"/>
  <c r="CN26" i="7"/>
  <c r="DY26" i="7" s="1"/>
  <c r="CM26" i="7"/>
  <c r="DX26" i="7" s="1"/>
  <c r="CL26" i="7"/>
  <c r="DW26" i="7" s="1"/>
  <c r="CG26" i="7" a="1"/>
  <c r="CG26" i="7" s="1"/>
  <c r="IM26" i="7" s="1"/>
  <c r="AV26" i="7"/>
  <c r="J26" i="7"/>
  <c r="G26" i="7"/>
  <c r="IL25" i="7"/>
  <c r="HX25" i="7" a="1"/>
  <c r="HX25" i="7" s="1"/>
  <c r="IW25" i="7" s="1"/>
  <c r="HW25" i="7" a="1"/>
  <c r="HW25" i="7" s="1"/>
  <c r="IV25" i="7" s="1"/>
  <c r="HV25" i="7" a="1"/>
  <c r="HV25" i="7" s="1"/>
  <c r="IU25" i="7" s="1"/>
  <c r="HU25" i="7" a="1"/>
  <c r="HU25" i="7" s="1"/>
  <c r="IT25" i="7" s="1"/>
  <c r="HT25" i="7" a="1"/>
  <c r="HT25" i="7" s="1"/>
  <c r="IS25" i="7" s="1"/>
  <c r="HS25" i="7" a="1"/>
  <c r="HS25" i="7" s="1"/>
  <c r="IR25" i="7" s="1"/>
  <c r="HR25" i="7" a="1"/>
  <c r="HR25" i="7" s="1"/>
  <c r="IQ25" i="7" s="1"/>
  <c r="HQ25" i="7" a="1"/>
  <c r="HQ25" i="7" s="1"/>
  <c r="IP25" i="7" s="1"/>
  <c r="HP25" i="7" a="1"/>
  <c r="HP25" i="7" s="1"/>
  <c r="IO25" i="7" s="1"/>
  <c r="HL25" i="7"/>
  <c r="HJ25" i="7"/>
  <c r="HH25" i="7"/>
  <c r="HB25" i="7"/>
  <c r="HA25" i="7"/>
  <c r="GZ25" i="7"/>
  <c r="GY25" i="7"/>
  <c r="GX25" i="7"/>
  <c r="GW25" i="7"/>
  <c r="GV25" i="7"/>
  <c r="GU25" i="7"/>
  <c r="GT25" i="7"/>
  <c r="GP25" i="7"/>
  <c r="GI25" i="7"/>
  <c r="GH25" i="7"/>
  <c r="GG25" i="7"/>
  <c r="GF25" i="7"/>
  <c r="GE25" i="7"/>
  <c r="GD25" i="7"/>
  <c r="GC25" i="7"/>
  <c r="GB25" i="7"/>
  <c r="GA25" i="7"/>
  <c r="FZ25" i="7"/>
  <c r="FY25" i="7"/>
  <c r="FX25" i="7"/>
  <c r="FW25" i="7"/>
  <c r="FV25" i="7"/>
  <c r="FU25" i="7"/>
  <c r="FT25" i="7"/>
  <c r="FS25" i="7"/>
  <c r="FR25" i="7"/>
  <c r="FQ25" i="7"/>
  <c r="FJ25" i="7"/>
  <c r="FI25" i="7"/>
  <c r="FH25" i="7"/>
  <c r="FG25" i="7"/>
  <c r="FF25" i="7"/>
  <c r="FP25" i="7" s="1"/>
  <c r="FE25" i="7"/>
  <c r="FD25" i="7"/>
  <c r="FC25" i="7"/>
  <c r="FB25" i="7"/>
  <c r="FA25" i="7"/>
  <c r="EZ25" i="7"/>
  <c r="EY25" i="7"/>
  <c r="EX25" i="7"/>
  <c r="EW25" i="7"/>
  <c r="EV25" i="7"/>
  <c r="EU25" i="7"/>
  <c r="ET25" i="7"/>
  <c r="ES25" i="7"/>
  <c r="ER25" i="7"/>
  <c r="EQ25" i="7"/>
  <c r="EP25" i="7"/>
  <c r="EO25" i="7"/>
  <c r="EN25" i="7"/>
  <c r="EM25" i="7"/>
  <c r="EL25" i="7"/>
  <c r="EK25" i="7"/>
  <c r="EJ25" i="7"/>
  <c r="EI25" i="7"/>
  <c r="EH25" i="7"/>
  <c r="EG25" i="7"/>
  <c r="EF25" i="7"/>
  <c r="EE25" i="7"/>
  <c r="ED25" i="7"/>
  <c r="EC25" i="7"/>
  <c r="EB25" i="7"/>
  <c r="EA25" i="7"/>
  <c r="DV25" i="7"/>
  <c r="DU25" i="7"/>
  <c r="DT25" i="7"/>
  <c r="DS25" i="7"/>
  <c r="DR25" i="7"/>
  <c r="DQ25" i="7"/>
  <c r="DP25" i="7"/>
  <c r="DO25" i="7"/>
  <c r="DN25" i="7"/>
  <c r="DK25" i="7"/>
  <c r="DJ25" i="7"/>
  <c r="DI25" i="7"/>
  <c r="DH25" i="7"/>
  <c r="DG25" i="7"/>
  <c r="DF25" i="7"/>
  <c r="DE25" i="7"/>
  <c r="DD25" i="7"/>
  <c r="DC25" i="7"/>
  <c r="DB25" i="7"/>
  <c r="DA25" i="7"/>
  <c r="CV25" i="7"/>
  <c r="CU25" i="7"/>
  <c r="CT25" i="7"/>
  <c r="CS25" i="7"/>
  <c r="GN25" i="7" s="1"/>
  <c r="CR25" i="7"/>
  <c r="GM25" i="7" s="1"/>
  <c r="CQ25" i="7"/>
  <c r="GL25" i="7" s="1"/>
  <c r="CP25" i="7"/>
  <c r="GJ25" i="7" s="1"/>
  <c r="GK25" i="7" s="1"/>
  <c r="CO25" i="7"/>
  <c r="DZ25" i="7" s="1"/>
  <c r="CN25" i="7"/>
  <c r="DY25" i="7" s="1"/>
  <c r="CM25" i="7"/>
  <c r="DX25" i="7" s="1"/>
  <c r="CL25" i="7"/>
  <c r="DW25" i="7" s="1"/>
  <c r="CG25" i="7" a="1"/>
  <c r="CG25" i="7" s="1"/>
  <c r="IM25" i="7" s="1"/>
  <c r="AV25" i="7"/>
  <c r="J25" i="7"/>
  <c r="G25" i="7"/>
  <c r="IL24" i="7"/>
  <c r="HX24" i="7" a="1"/>
  <c r="HX24" i="7" s="1"/>
  <c r="IW24" i="7" s="1"/>
  <c r="HW24" i="7" a="1"/>
  <c r="HW24" i="7" s="1"/>
  <c r="IV24" i="7" s="1"/>
  <c r="HV24" i="7" a="1"/>
  <c r="HV24" i="7" s="1"/>
  <c r="IU24" i="7" s="1"/>
  <c r="HU24" i="7" a="1"/>
  <c r="HU24" i="7" s="1"/>
  <c r="IT24" i="7" s="1"/>
  <c r="HT24" i="7" a="1"/>
  <c r="HT24" i="7" s="1"/>
  <c r="IS24" i="7" s="1"/>
  <c r="HS24" i="7" a="1"/>
  <c r="HS24" i="7" s="1"/>
  <c r="IR24" i="7" s="1"/>
  <c r="HR24" i="7" a="1"/>
  <c r="HR24" i="7" s="1"/>
  <c r="IQ24" i="7" s="1"/>
  <c r="HQ24" i="7" a="1"/>
  <c r="HQ24" i="7" s="1"/>
  <c r="IP24" i="7" s="1"/>
  <c r="HP24" i="7" a="1"/>
  <c r="HP24" i="7" s="1"/>
  <c r="IO24" i="7" s="1"/>
  <c r="HL24" i="7"/>
  <c r="HJ24" i="7"/>
  <c r="HH24" i="7"/>
  <c r="HB24" i="7"/>
  <c r="HA24" i="7"/>
  <c r="GZ24" i="7"/>
  <c r="GY24" i="7"/>
  <c r="GX24" i="7"/>
  <c r="GW24" i="7"/>
  <c r="GV24" i="7"/>
  <c r="GU24" i="7"/>
  <c r="GT24" i="7"/>
  <c r="GP24" i="7"/>
  <c r="GI24" i="7"/>
  <c r="GH24" i="7"/>
  <c r="GG24" i="7"/>
  <c r="GF24" i="7"/>
  <c r="GE24" i="7"/>
  <c r="GD24" i="7"/>
  <c r="GC24" i="7"/>
  <c r="GB24" i="7"/>
  <c r="GA24" i="7"/>
  <c r="FZ24" i="7"/>
  <c r="FY24" i="7"/>
  <c r="FX24" i="7"/>
  <c r="FW24" i="7"/>
  <c r="FV24" i="7"/>
  <c r="FU24" i="7"/>
  <c r="FT24" i="7"/>
  <c r="FS24" i="7"/>
  <c r="FR24" i="7"/>
  <c r="FQ24" i="7"/>
  <c r="FJ24" i="7"/>
  <c r="FI24" i="7"/>
  <c r="FH24" i="7"/>
  <c r="FG24" i="7"/>
  <c r="FF24" i="7"/>
  <c r="FP24" i="7" s="1"/>
  <c r="FE24" i="7"/>
  <c r="FD24" i="7"/>
  <c r="FC24" i="7"/>
  <c r="FB24" i="7"/>
  <c r="FA24" i="7"/>
  <c r="EZ24" i="7"/>
  <c r="EY24" i="7"/>
  <c r="EX24" i="7"/>
  <c r="EW24" i="7"/>
  <c r="EV24" i="7"/>
  <c r="EU24" i="7"/>
  <c r="ET24" i="7"/>
  <c r="ES24" i="7"/>
  <c r="ER24" i="7"/>
  <c r="EQ24" i="7"/>
  <c r="EP24" i="7"/>
  <c r="EO24" i="7"/>
  <c r="EN24" i="7"/>
  <c r="EM24" i="7"/>
  <c r="EL24" i="7"/>
  <c r="EK24" i="7"/>
  <c r="EJ24" i="7"/>
  <c r="EI24" i="7"/>
  <c r="EH24" i="7"/>
  <c r="EG24" i="7"/>
  <c r="EF24" i="7"/>
  <c r="EE24" i="7"/>
  <c r="ED24" i="7"/>
  <c r="EC24" i="7"/>
  <c r="EB24" i="7"/>
  <c r="EA24" i="7"/>
  <c r="DV24" i="7"/>
  <c r="DU24" i="7"/>
  <c r="DT24" i="7"/>
  <c r="DS24" i="7"/>
  <c r="DR24" i="7"/>
  <c r="DQ24" i="7"/>
  <c r="DP24" i="7"/>
  <c r="DO24" i="7"/>
  <c r="DN24" i="7"/>
  <c r="DK24" i="7"/>
  <c r="DJ24" i="7"/>
  <c r="DI24" i="7"/>
  <c r="DH24" i="7"/>
  <c r="DG24" i="7"/>
  <c r="DF24" i="7"/>
  <c r="DE24" i="7"/>
  <c r="DD24" i="7"/>
  <c r="DC24" i="7"/>
  <c r="DB24" i="7"/>
  <c r="DA24" i="7"/>
  <c r="CV24" i="7"/>
  <c r="CU24" i="7"/>
  <c r="CT24" i="7"/>
  <c r="CS24" i="7"/>
  <c r="GN24" i="7" s="1"/>
  <c r="CR24" i="7"/>
  <c r="GM24" i="7" s="1"/>
  <c r="CQ24" i="7"/>
  <c r="GL24" i="7" s="1"/>
  <c r="CP24" i="7"/>
  <c r="GJ24" i="7" s="1"/>
  <c r="GK24" i="7" s="1"/>
  <c r="CO24" i="7"/>
  <c r="DZ24" i="7" s="1"/>
  <c r="CN24" i="7"/>
  <c r="DY24" i="7" s="1"/>
  <c r="CM24" i="7"/>
  <c r="DX24" i="7" s="1"/>
  <c r="CL24" i="7"/>
  <c r="DW24" i="7" s="1"/>
  <c r="CG24" i="7" a="1"/>
  <c r="CG24" i="7" s="1"/>
  <c r="AV24" i="7"/>
  <c r="J24" i="7"/>
  <c r="G24" i="7"/>
  <c r="IL23" i="7"/>
  <c r="HX23" i="7" a="1"/>
  <c r="HX23" i="7" s="1"/>
  <c r="IW23" i="7" s="1"/>
  <c r="HW23" i="7" a="1"/>
  <c r="HW23" i="7" s="1"/>
  <c r="IV23" i="7" s="1"/>
  <c r="HV23" i="7" a="1"/>
  <c r="HV23" i="7" s="1"/>
  <c r="IU23" i="7" s="1"/>
  <c r="HU23" i="7" a="1"/>
  <c r="HU23" i="7" s="1"/>
  <c r="IT23" i="7" s="1"/>
  <c r="HT23" i="7" a="1"/>
  <c r="HT23" i="7" s="1"/>
  <c r="IS23" i="7" s="1"/>
  <c r="HS23" i="7" a="1"/>
  <c r="HS23" i="7" s="1"/>
  <c r="IR23" i="7" s="1"/>
  <c r="HR23" i="7" a="1"/>
  <c r="HR23" i="7" s="1"/>
  <c r="IQ23" i="7" s="1"/>
  <c r="HQ23" i="7" a="1"/>
  <c r="HQ23" i="7" s="1"/>
  <c r="IP23" i="7" s="1"/>
  <c r="HP23" i="7" a="1"/>
  <c r="HP23" i="7" s="1"/>
  <c r="IO23" i="7" s="1"/>
  <c r="HL23" i="7"/>
  <c r="HJ23" i="7"/>
  <c r="HH23" i="7"/>
  <c r="HB23" i="7"/>
  <c r="HA23" i="7"/>
  <c r="GZ23" i="7"/>
  <c r="GY23" i="7"/>
  <c r="GX23" i="7"/>
  <c r="GW23" i="7"/>
  <c r="GV23" i="7"/>
  <c r="GU23" i="7"/>
  <c r="GT23" i="7"/>
  <c r="GP23" i="7"/>
  <c r="GI23" i="7"/>
  <c r="GH23" i="7"/>
  <c r="GG23" i="7"/>
  <c r="GF23" i="7"/>
  <c r="GE23" i="7"/>
  <c r="GD23" i="7"/>
  <c r="GC23" i="7"/>
  <c r="GB23" i="7"/>
  <c r="GA23" i="7"/>
  <c r="FZ23" i="7"/>
  <c r="FY23" i="7"/>
  <c r="FX23" i="7"/>
  <c r="FW23" i="7"/>
  <c r="FV23" i="7"/>
  <c r="FU23" i="7"/>
  <c r="FT23" i="7"/>
  <c r="FS23" i="7"/>
  <c r="FR23" i="7"/>
  <c r="FQ23" i="7"/>
  <c r="FJ23" i="7"/>
  <c r="FI23" i="7"/>
  <c r="FH23" i="7"/>
  <c r="FG23" i="7"/>
  <c r="FF23" i="7"/>
  <c r="FP23" i="7" s="1"/>
  <c r="FE23" i="7"/>
  <c r="FD23" i="7"/>
  <c r="FC23" i="7"/>
  <c r="FB23" i="7"/>
  <c r="FA23" i="7"/>
  <c r="EZ23" i="7"/>
  <c r="EY23" i="7"/>
  <c r="EX23" i="7"/>
  <c r="EW23" i="7"/>
  <c r="EV23" i="7"/>
  <c r="EU23" i="7"/>
  <c r="ET23" i="7"/>
  <c r="ES23" i="7"/>
  <c r="ER23" i="7"/>
  <c r="EQ23" i="7"/>
  <c r="EP23" i="7"/>
  <c r="EO23" i="7"/>
  <c r="EN23" i="7"/>
  <c r="EM23" i="7"/>
  <c r="EL23" i="7"/>
  <c r="EK23" i="7"/>
  <c r="EJ23" i="7"/>
  <c r="EI23" i="7"/>
  <c r="EH23" i="7"/>
  <c r="EG23" i="7"/>
  <c r="EF23" i="7"/>
  <c r="EE23" i="7"/>
  <c r="ED23" i="7"/>
  <c r="EC23" i="7"/>
  <c r="EB23" i="7"/>
  <c r="EA23" i="7"/>
  <c r="DV23" i="7"/>
  <c r="DU23" i="7"/>
  <c r="DT23" i="7"/>
  <c r="DS23" i="7"/>
  <c r="DR23" i="7"/>
  <c r="DQ23" i="7"/>
  <c r="DP23" i="7"/>
  <c r="DO23" i="7"/>
  <c r="DN23" i="7"/>
  <c r="DK23" i="7"/>
  <c r="DJ23" i="7"/>
  <c r="DI23" i="7"/>
  <c r="DH23" i="7"/>
  <c r="DG23" i="7"/>
  <c r="DF23" i="7"/>
  <c r="DE23" i="7"/>
  <c r="DD23" i="7"/>
  <c r="DC23" i="7"/>
  <c r="DB23" i="7"/>
  <c r="DA23" i="7"/>
  <c r="CV23" i="7"/>
  <c r="CU23" i="7"/>
  <c r="CT23" i="7"/>
  <c r="CS23" i="7"/>
  <c r="GN23" i="7" s="1"/>
  <c r="CR23" i="7"/>
  <c r="GM23" i="7" s="1"/>
  <c r="CQ23" i="7"/>
  <c r="GL23" i="7" s="1"/>
  <c r="CP23" i="7"/>
  <c r="GJ23" i="7" s="1"/>
  <c r="GK23" i="7" s="1"/>
  <c r="CO23" i="7"/>
  <c r="DZ23" i="7" s="1"/>
  <c r="CN23" i="7"/>
  <c r="DY23" i="7" s="1"/>
  <c r="CM23" i="7"/>
  <c r="DX23" i="7" s="1"/>
  <c r="CL23" i="7"/>
  <c r="DW23" i="7" s="1"/>
  <c r="CG23" i="7" a="1"/>
  <c r="CG23" i="7" s="1"/>
  <c r="AV23" i="7"/>
  <c r="J23" i="7"/>
  <c r="G23" i="7"/>
  <c r="IL22" i="7"/>
  <c r="HX22" i="7" a="1"/>
  <c r="HX22" i="7" s="1"/>
  <c r="IW22" i="7" s="1"/>
  <c r="HW22" i="7" a="1"/>
  <c r="HW22" i="7" s="1"/>
  <c r="IV22" i="7" s="1"/>
  <c r="HV22" i="7" a="1"/>
  <c r="HV22" i="7" s="1"/>
  <c r="IU22" i="7" s="1"/>
  <c r="HU22" i="7" a="1"/>
  <c r="HU22" i="7" s="1"/>
  <c r="IT22" i="7" s="1"/>
  <c r="HT22" i="7" a="1"/>
  <c r="HT22" i="7" s="1"/>
  <c r="IS22" i="7" s="1"/>
  <c r="HS22" i="7" a="1"/>
  <c r="HS22" i="7" s="1"/>
  <c r="IR22" i="7" s="1"/>
  <c r="HR22" i="7" a="1"/>
  <c r="HR22" i="7" s="1"/>
  <c r="IQ22" i="7" s="1"/>
  <c r="HQ22" i="7" a="1"/>
  <c r="HQ22" i="7" s="1"/>
  <c r="IP22" i="7" s="1"/>
  <c r="HP22" i="7" a="1"/>
  <c r="HP22" i="7" s="1"/>
  <c r="IO22" i="7" s="1"/>
  <c r="HL22" i="7"/>
  <c r="HJ22" i="7"/>
  <c r="HH22" i="7"/>
  <c r="HB22" i="7"/>
  <c r="HA22" i="7"/>
  <c r="GZ22" i="7"/>
  <c r="GY22" i="7"/>
  <c r="GX22" i="7"/>
  <c r="GW22" i="7"/>
  <c r="GV22" i="7"/>
  <c r="GU22" i="7"/>
  <c r="GT22" i="7"/>
  <c r="GP22" i="7"/>
  <c r="GI22" i="7"/>
  <c r="GH22" i="7"/>
  <c r="GG22" i="7"/>
  <c r="GF22" i="7"/>
  <c r="GE22" i="7"/>
  <c r="GD22" i="7"/>
  <c r="GC22" i="7"/>
  <c r="GB22" i="7"/>
  <c r="GA22" i="7"/>
  <c r="FZ22" i="7"/>
  <c r="FY22" i="7"/>
  <c r="FX22" i="7"/>
  <c r="FW22" i="7"/>
  <c r="FV22" i="7"/>
  <c r="FU22" i="7"/>
  <c r="FT22" i="7"/>
  <c r="FS22" i="7"/>
  <c r="FR22" i="7"/>
  <c r="FQ22" i="7"/>
  <c r="FJ22" i="7"/>
  <c r="FI22" i="7"/>
  <c r="FH22" i="7"/>
  <c r="FG22" i="7"/>
  <c r="FF22" i="7"/>
  <c r="FP22" i="7" s="1"/>
  <c r="FE22" i="7"/>
  <c r="FD22" i="7"/>
  <c r="FC22" i="7"/>
  <c r="FB22" i="7"/>
  <c r="FA22" i="7"/>
  <c r="EZ22" i="7"/>
  <c r="EY22" i="7"/>
  <c r="EX22" i="7"/>
  <c r="EW22" i="7"/>
  <c r="EV22" i="7"/>
  <c r="EU22" i="7"/>
  <c r="ET22" i="7"/>
  <c r="ES22" i="7"/>
  <c r="ER22" i="7"/>
  <c r="EQ22" i="7"/>
  <c r="EP22" i="7"/>
  <c r="EO22" i="7"/>
  <c r="EN22" i="7"/>
  <c r="EM22" i="7"/>
  <c r="EL22" i="7"/>
  <c r="EK22" i="7"/>
  <c r="EJ22" i="7"/>
  <c r="EI22" i="7"/>
  <c r="EH22" i="7"/>
  <c r="EG22" i="7"/>
  <c r="EF22" i="7"/>
  <c r="EE22" i="7"/>
  <c r="ED22" i="7"/>
  <c r="EC22" i="7"/>
  <c r="EB22" i="7"/>
  <c r="EA22" i="7"/>
  <c r="DV22" i="7"/>
  <c r="DU22" i="7"/>
  <c r="DT22" i="7"/>
  <c r="DS22" i="7"/>
  <c r="DR22" i="7"/>
  <c r="DQ22" i="7"/>
  <c r="DP22" i="7"/>
  <c r="DO22" i="7"/>
  <c r="DN22" i="7"/>
  <c r="DK22" i="7"/>
  <c r="DJ22" i="7"/>
  <c r="DI22" i="7"/>
  <c r="DH22" i="7"/>
  <c r="DG22" i="7"/>
  <c r="DF22" i="7"/>
  <c r="DE22" i="7"/>
  <c r="DD22" i="7"/>
  <c r="DC22" i="7"/>
  <c r="DB22" i="7"/>
  <c r="DA22" i="7"/>
  <c r="CV22" i="7"/>
  <c r="CU22" i="7"/>
  <c r="CT22" i="7"/>
  <c r="CS22" i="7"/>
  <c r="GN22" i="7" s="1"/>
  <c r="CR22" i="7"/>
  <c r="GM22" i="7" s="1"/>
  <c r="CQ22" i="7"/>
  <c r="GL22" i="7" s="1"/>
  <c r="CP22" i="7"/>
  <c r="GJ22" i="7" s="1"/>
  <c r="GK22" i="7" s="1"/>
  <c r="CO22" i="7"/>
  <c r="DZ22" i="7" s="1"/>
  <c r="CN22" i="7"/>
  <c r="DY22" i="7" s="1"/>
  <c r="CM22" i="7"/>
  <c r="DX22" i="7" s="1"/>
  <c r="CL22" i="7"/>
  <c r="DW22" i="7" s="1"/>
  <c r="CG22" i="7" a="1"/>
  <c r="CG22" i="7" s="1"/>
  <c r="AV22" i="7"/>
  <c r="J22" i="7"/>
  <c r="G22" i="7"/>
  <c r="IL21" i="7"/>
  <c r="HX21" i="7" a="1"/>
  <c r="HX21" i="7" s="1"/>
  <c r="IW21" i="7" s="1"/>
  <c r="HW21" i="7" a="1"/>
  <c r="HW21" i="7" s="1"/>
  <c r="IV21" i="7" s="1"/>
  <c r="HV21" i="7" a="1"/>
  <c r="HV21" i="7" s="1"/>
  <c r="IU21" i="7" s="1"/>
  <c r="HU21" i="7" a="1"/>
  <c r="HU21" i="7" s="1"/>
  <c r="IT21" i="7" s="1"/>
  <c r="HT21" i="7" a="1"/>
  <c r="HT21" i="7" s="1"/>
  <c r="IS21" i="7" s="1"/>
  <c r="HS21" i="7" a="1"/>
  <c r="HS21" i="7" s="1"/>
  <c r="IR21" i="7" s="1"/>
  <c r="HR21" i="7" a="1"/>
  <c r="HR21" i="7" s="1"/>
  <c r="IQ21" i="7" s="1"/>
  <c r="HQ21" i="7" a="1"/>
  <c r="HQ21" i="7" s="1"/>
  <c r="IP21" i="7" s="1"/>
  <c r="HP21" i="7" a="1"/>
  <c r="HP21" i="7" s="1"/>
  <c r="IO21" i="7" s="1"/>
  <c r="HL21" i="7"/>
  <c r="HJ21" i="7"/>
  <c r="HH21" i="7"/>
  <c r="HB21" i="7"/>
  <c r="HA21" i="7"/>
  <c r="GZ21" i="7"/>
  <c r="GY21" i="7"/>
  <c r="GX21" i="7"/>
  <c r="GW21" i="7"/>
  <c r="GV21" i="7"/>
  <c r="GU21" i="7"/>
  <c r="GT21" i="7"/>
  <c r="GP21" i="7"/>
  <c r="GI21" i="7"/>
  <c r="GH21" i="7"/>
  <c r="GG21" i="7"/>
  <c r="GF21" i="7"/>
  <c r="GE21" i="7"/>
  <c r="GD21" i="7"/>
  <c r="GC21" i="7"/>
  <c r="GB21" i="7"/>
  <c r="GA21" i="7"/>
  <c r="FZ21" i="7"/>
  <c r="FY21" i="7"/>
  <c r="FX21" i="7"/>
  <c r="FW21" i="7"/>
  <c r="FV21" i="7"/>
  <c r="FU21" i="7"/>
  <c r="FT21" i="7"/>
  <c r="FS21" i="7"/>
  <c r="FR21" i="7"/>
  <c r="FQ21" i="7"/>
  <c r="FJ21" i="7"/>
  <c r="FI21" i="7"/>
  <c r="FH21" i="7"/>
  <c r="FG21" i="7"/>
  <c r="FF21" i="7"/>
  <c r="FE21" i="7"/>
  <c r="FD21" i="7"/>
  <c r="FC21" i="7"/>
  <c r="FB21" i="7"/>
  <c r="FA21" i="7"/>
  <c r="EZ21" i="7"/>
  <c r="EY21" i="7"/>
  <c r="EX21" i="7"/>
  <c r="EW21" i="7"/>
  <c r="EV21" i="7"/>
  <c r="EU21" i="7"/>
  <c r="ET21" i="7"/>
  <c r="ES21" i="7"/>
  <c r="ER21" i="7"/>
  <c r="EQ21" i="7"/>
  <c r="EP21" i="7"/>
  <c r="EO21" i="7"/>
  <c r="EN21" i="7"/>
  <c r="EM21" i="7"/>
  <c r="EL21" i="7"/>
  <c r="EK21" i="7"/>
  <c r="EJ21" i="7"/>
  <c r="EI21" i="7"/>
  <c r="EH21" i="7"/>
  <c r="EG21" i="7"/>
  <c r="EF21" i="7"/>
  <c r="EE21" i="7"/>
  <c r="ED21" i="7"/>
  <c r="EC21" i="7"/>
  <c r="EB21" i="7"/>
  <c r="EA21" i="7"/>
  <c r="DV21" i="7"/>
  <c r="DU21" i="7"/>
  <c r="DT21" i="7"/>
  <c r="DS21" i="7"/>
  <c r="DR21" i="7"/>
  <c r="DQ21" i="7"/>
  <c r="DP21" i="7"/>
  <c r="DO21" i="7"/>
  <c r="DN21" i="7"/>
  <c r="DK21" i="7"/>
  <c r="DJ21" i="7"/>
  <c r="DI21" i="7"/>
  <c r="DH21" i="7"/>
  <c r="DG21" i="7"/>
  <c r="DF21" i="7"/>
  <c r="DE21" i="7"/>
  <c r="DD21" i="7"/>
  <c r="DC21" i="7"/>
  <c r="DB21" i="7"/>
  <c r="DA21" i="7"/>
  <c r="CV21" i="7"/>
  <c r="CU21" i="7"/>
  <c r="CT21" i="7"/>
  <c r="CS21" i="7"/>
  <c r="GN21" i="7" s="1"/>
  <c r="CR21" i="7"/>
  <c r="GM21" i="7" s="1"/>
  <c r="CQ21" i="7"/>
  <c r="GL21" i="7" s="1"/>
  <c r="CP21" i="7"/>
  <c r="GJ21" i="7" s="1"/>
  <c r="GK21" i="7" s="1"/>
  <c r="CO21" i="7"/>
  <c r="DZ21" i="7" s="1"/>
  <c r="CN21" i="7"/>
  <c r="DY21" i="7" s="1"/>
  <c r="CM21" i="7"/>
  <c r="DX21" i="7" s="1"/>
  <c r="CL21" i="7"/>
  <c r="DW21" i="7" s="1"/>
  <c r="CG21" i="7" a="1"/>
  <c r="CG21" i="7" s="1"/>
  <c r="AV21" i="7"/>
  <c r="J21" i="7"/>
  <c r="G21" i="7"/>
  <c r="IL20" i="7"/>
  <c r="HX20" i="7" a="1"/>
  <c r="HX20" i="7" s="1"/>
  <c r="IW20" i="7" s="1"/>
  <c r="HW20" i="7" a="1"/>
  <c r="HW20" i="7" s="1"/>
  <c r="IV20" i="7" s="1"/>
  <c r="HV20" i="7" a="1"/>
  <c r="HV20" i="7" s="1"/>
  <c r="IU20" i="7" s="1"/>
  <c r="HU20" i="7" a="1"/>
  <c r="HU20" i="7" s="1"/>
  <c r="IT20" i="7" s="1"/>
  <c r="HT20" i="7" a="1"/>
  <c r="HT20" i="7" s="1"/>
  <c r="IS20" i="7" s="1"/>
  <c r="HS20" i="7" a="1"/>
  <c r="HS20" i="7" s="1"/>
  <c r="IR20" i="7" s="1"/>
  <c r="HR20" i="7" a="1"/>
  <c r="HR20" i="7" s="1"/>
  <c r="IQ20" i="7" s="1"/>
  <c r="HQ20" i="7" a="1"/>
  <c r="HQ20" i="7" s="1"/>
  <c r="IP20" i="7" s="1"/>
  <c r="HP20" i="7" a="1"/>
  <c r="HP20" i="7" s="1"/>
  <c r="IO20" i="7" s="1"/>
  <c r="HL20" i="7"/>
  <c r="HJ20" i="7"/>
  <c r="HH20" i="7"/>
  <c r="HB20" i="7"/>
  <c r="HA20" i="7"/>
  <c r="GZ20" i="7"/>
  <c r="GY20" i="7"/>
  <c r="GX20" i="7"/>
  <c r="GW20" i="7"/>
  <c r="GV20" i="7"/>
  <c r="GU20" i="7"/>
  <c r="GT20" i="7"/>
  <c r="GP20" i="7"/>
  <c r="GI20" i="7"/>
  <c r="GH20" i="7"/>
  <c r="GG20" i="7"/>
  <c r="GF20" i="7"/>
  <c r="GE20" i="7"/>
  <c r="GD20" i="7"/>
  <c r="GC20" i="7"/>
  <c r="GB20" i="7"/>
  <c r="GA20" i="7"/>
  <c r="FZ20" i="7"/>
  <c r="FY20" i="7"/>
  <c r="FX20" i="7"/>
  <c r="FW20" i="7"/>
  <c r="FV20" i="7"/>
  <c r="FU20" i="7"/>
  <c r="FT20" i="7"/>
  <c r="FS20" i="7"/>
  <c r="FR20" i="7"/>
  <c r="FQ20" i="7"/>
  <c r="FJ20" i="7"/>
  <c r="FI20" i="7"/>
  <c r="FH20" i="7"/>
  <c r="FG20" i="7"/>
  <c r="FF20" i="7"/>
  <c r="FP20" i="7" s="1"/>
  <c r="FE20" i="7"/>
  <c r="FD20" i="7"/>
  <c r="FC20" i="7"/>
  <c r="FB20" i="7"/>
  <c r="FA20" i="7"/>
  <c r="EZ20" i="7"/>
  <c r="EY20" i="7"/>
  <c r="EX20" i="7"/>
  <c r="EW20" i="7"/>
  <c r="EV20" i="7"/>
  <c r="EU20" i="7"/>
  <c r="ET20" i="7"/>
  <c r="ES20" i="7"/>
  <c r="ER20" i="7"/>
  <c r="EQ20" i="7"/>
  <c r="EP20" i="7"/>
  <c r="EO20" i="7"/>
  <c r="EN20" i="7"/>
  <c r="EM20" i="7"/>
  <c r="EL20" i="7"/>
  <c r="EK20" i="7"/>
  <c r="EJ20" i="7"/>
  <c r="EI20" i="7"/>
  <c r="EH20" i="7"/>
  <c r="EG20" i="7"/>
  <c r="EF20" i="7"/>
  <c r="EE20" i="7"/>
  <c r="ED20" i="7"/>
  <c r="EC20" i="7"/>
  <c r="EB20" i="7"/>
  <c r="EA20" i="7"/>
  <c r="DV20" i="7"/>
  <c r="DU20" i="7"/>
  <c r="DT20" i="7"/>
  <c r="DS20" i="7"/>
  <c r="DR20" i="7"/>
  <c r="DQ20" i="7"/>
  <c r="DP20" i="7"/>
  <c r="DO20" i="7"/>
  <c r="DN20" i="7"/>
  <c r="DK20" i="7"/>
  <c r="DJ20" i="7"/>
  <c r="DI20" i="7"/>
  <c r="DH20" i="7"/>
  <c r="DG20" i="7"/>
  <c r="DF20" i="7"/>
  <c r="DE20" i="7"/>
  <c r="DD20" i="7"/>
  <c r="DC20" i="7"/>
  <c r="DB20" i="7"/>
  <c r="DA20" i="7"/>
  <c r="CV20" i="7"/>
  <c r="CU20" i="7"/>
  <c r="CT20" i="7"/>
  <c r="CS20" i="7"/>
  <c r="GN20" i="7" s="1"/>
  <c r="CR20" i="7"/>
  <c r="GM20" i="7" s="1"/>
  <c r="CQ20" i="7"/>
  <c r="GL20" i="7" s="1"/>
  <c r="CP20" i="7"/>
  <c r="GJ20" i="7" s="1"/>
  <c r="GK20" i="7" s="1"/>
  <c r="CO20" i="7"/>
  <c r="DZ20" i="7" s="1"/>
  <c r="CN20" i="7"/>
  <c r="DY20" i="7" s="1"/>
  <c r="CM20" i="7"/>
  <c r="DX20" i="7" s="1"/>
  <c r="CL20" i="7"/>
  <c r="DW20" i="7" s="1"/>
  <c r="CG20" i="7" a="1"/>
  <c r="CG20" i="7" s="1"/>
  <c r="DM20" i="7" s="1" a="1"/>
  <c r="DM20" i="7" s="1"/>
  <c r="AV20" i="7"/>
  <c r="J20" i="7"/>
  <c r="G20" i="7"/>
  <c r="IL19" i="7"/>
  <c r="HX19" i="7" a="1"/>
  <c r="HX19" i="7" s="1"/>
  <c r="IW19" i="7" s="1"/>
  <c r="HW19" i="7" a="1"/>
  <c r="HW19" i="7" s="1"/>
  <c r="IV19" i="7" s="1"/>
  <c r="HV19" i="7" a="1"/>
  <c r="HV19" i="7" s="1"/>
  <c r="IU19" i="7" s="1"/>
  <c r="HU19" i="7" a="1"/>
  <c r="HU19" i="7" s="1"/>
  <c r="IT19" i="7" s="1"/>
  <c r="HT19" i="7" a="1"/>
  <c r="HT19" i="7" s="1"/>
  <c r="IS19" i="7" s="1"/>
  <c r="HS19" i="7" a="1"/>
  <c r="HS19" i="7" s="1"/>
  <c r="IR19" i="7" s="1"/>
  <c r="HR19" i="7" a="1"/>
  <c r="HR19" i="7" s="1"/>
  <c r="IQ19" i="7" s="1"/>
  <c r="HQ19" i="7" a="1"/>
  <c r="HQ19" i="7" s="1"/>
  <c r="IP19" i="7" s="1"/>
  <c r="HP19" i="7" a="1"/>
  <c r="HP19" i="7" s="1"/>
  <c r="IO19" i="7" s="1"/>
  <c r="HL19" i="7"/>
  <c r="HJ19" i="7"/>
  <c r="HH19" i="7"/>
  <c r="HB19" i="7"/>
  <c r="HA19" i="7"/>
  <c r="GZ19" i="7"/>
  <c r="GY19" i="7"/>
  <c r="GX19" i="7"/>
  <c r="GW19" i="7"/>
  <c r="GV19" i="7"/>
  <c r="GU19" i="7"/>
  <c r="GT19" i="7"/>
  <c r="GP19" i="7"/>
  <c r="GI19" i="7"/>
  <c r="GH19" i="7"/>
  <c r="GG19" i="7"/>
  <c r="GF19" i="7"/>
  <c r="GE19" i="7"/>
  <c r="GD19" i="7"/>
  <c r="GC19" i="7"/>
  <c r="GB19" i="7"/>
  <c r="GA19" i="7"/>
  <c r="FZ19" i="7"/>
  <c r="FY19" i="7"/>
  <c r="FX19" i="7"/>
  <c r="FW19" i="7"/>
  <c r="FV19" i="7"/>
  <c r="FU19" i="7"/>
  <c r="FT19" i="7"/>
  <c r="FS19" i="7"/>
  <c r="FR19" i="7"/>
  <c r="FQ19" i="7"/>
  <c r="FJ19" i="7"/>
  <c r="FI19" i="7"/>
  <c r="FH19" i="7"/>
  <c r="FG19" i="7"/>
  <c r="FF19" i="7"/>
  <c r="FE19" i="7"/>
  <c r="FD19" i="7"/>
  <c r="FC19" i="7"/>
  <c r="FB19" i="7"/>
  <c r="FA19" i="7"/>
  <c r="EZ19" i="7"/>
  <c r="EY19" i="7"/>
  <c r="EX19" i="7"/>
  <c r="EW19" i="7"/>
  <c r="EV19" i="7"/>
  <c r="EU19" i="7"/>
  <c r="ET19" i="7"/>
  <c r="ES19" i="7"/>
  <c r="ER19" i="7"/>
  <c r="EQ19" i="7"/>
  <c r="EP19" i="7"/>
  <c r="EO19" i="7"/>
  <c r="EN19" i="7"/>
  <c r="EM19" i="7"/>
  <c r="EL19" i="7"/>
  <c r="EK19" i="7"/>
  <c r="EJ19" i="7"/>
  <c r="EI19" i="7"/>
  <c r="EH19" i="7"/>
  <c r="EG19" i="7"/>
  <c r="EF19" i="7"/>
  <c r="EE19" i="7"/>
  <c r="ED19" i="7"/>
  <c r="EC19" i="7"/>
  <c r="EB19" i="7"/>
  <c r="EA19" i="7"/>
  <c r="DV19" i="7"/>
  <c r="DU19" i="7"/>
  <c r="DT19" i="7"/>
  <c r="DS19" i="7"/>
  <c r="DR19" i="7"/>
  <c r="DQ19" i="7"/>
  <c r="DP19" i="7"/>
  <c r="DO19" i="7"/>
  <c r="DN19" i="7"/>
  <c r="DK19" i="7"/>
  <c r="DJ19" i="7"/>
  <c r="DI19" i="7"/>
  <c r="DH19" i="7"/>
  <c r="DG19" i="7"/>
  <c r="DF19" i="7"/>
  <c r="DE19" i="7"/>
  <c r="DD19" i="7"/>
  <c r="DC19" i="7"/>
  <c r="DB19" i="7"/>
  <c r="DA19" i="7"/>
  <c r="CV19" i="7"/>
  <c r="CU19" i="7"/>
  <c r="CT19" i="7"/>
  <c r="CS19" i="7"/>
  <c r="GN19" i="7" s="1"/>
  <c r="CR19" i="7"/>
  <c r="GM19" i="7" s="1"/>
  <c r="CQ19" i="7"/>
  <c r="GL19" i="7" s="1"/>
  <c r="CP19" i="7"/>
  <c r="GJ19" i="7" s="1"/>
  <c r="GK19" i="7" s="1"/>
  <c r="CO19" i="7"/>
  <c r="DZ19" i="7" s="1"/>
  <c r="CN19" i="7"/>
  <c r="DY19" i="7" s="1"/>
  <c r="CM19" i="7"/>
  <c r="DX19" i="7" s="1"/>
  <c r="CL19" i="7"/>
  <c r="DW19" i="7" s="1"/>
  <c r="CG19" i="7" a="1"/>
  <c r="CG19" i="7" s="1"/>
  <c r="DL19" i="7" s="1"/>
  <c r="AV19" i="7"/>
  <c r="J19" i="7"/>
  <c r="G19" i="7"/>
  <c r="IL18" i="7"/>
  <c r="HX18" i="7" a="1"/>
  <c r="HX18" i="7" s="1"/>
  <c r="IW18" i="7" s="1"/>
  <c r="HW18" i="7" a="1"/>
  <c r="HW18" i="7" s="1"/>
  <c r="IV18" i="7" s="1"/>
  <c r="HV18" i="7" a="1"/>
  <c r="HV18" i="7" s="1"/>
  <c r="IU18" i="7" s="1"/>
  <c r="HU18" i="7" a="1"/>
  <c r="HU18" i="7" s="1"/>
  <c r="IT18" i="7" s="1"/>
  <c r="HT18" i="7" a="1"/>
  <c r="HT18" i="7" s="1"/>
  <c r="IS18" i="7" s="1"/>
  <c r="HS18" i="7" a="1"/>
  <c r="HS18" i="7" s="1"/>
  <c r="IR18" i="7" s="1"/>
  <c r="HR18" i="7" a="1"/>
  <c r="HR18" i="7" s="1"/>
  <c r="IQ18" i="7" s="1"/>
  <c r="HQ18" i="7" a="1"/>
  <c r="HQ18" i="7" s="1"/>
  <c r="IP18" i="7" s="1"/>
  <c r="HP18" i="7" a="1"/>
  <c r="HP18" i="7" s="1"/>
  <c r="IO18" i="7" s="1"/>
  <c r="HL18" i="7"/>
  <c r="HJ18" i="7"/>
  <c r="HH18" i="7"/>
  <c r="HB18" i="7"/>
  <c r="HA18" i="7"/>
  <c r="GZ18" i="7"/>
  <c r="GY18" i="7"/>
  <c r="GX18" i="7"/>
  <c r="GW18" i="7"/>
  <c r="GV18" i="7"/>
  <c r="GU18" i="7"/>
  <c r="GT18" i="7"/>
  <c r="GP18" i="7"/>
  <c r="GI18" i="7"/>
  <c r="GH18" i="7"/>
  <c r="GG18" i="7"/>
  <c r="GF18" i="7"/>
  <c r="GE18" i="7"/>
  <c r="GD18" i="7"/>
  <c r="GC18" i="7"/>
  <c r="GB18" i="7"/>
  <c r="GA18" i="7"/>
  <c r="FZ18" i="7"/>
  <c r="FY18" i="7"/>
  <c r="FX18" i="7"/>
  <c r="FW18" i="7"/>
  <c r="FV18" i="7"/>
  <c r="FU18" i="7"/>
  <c r="FT18" i="7"/>
  <c r="FS18" i="7"/>
  <c r="FR18" i="7"/>
  <c r="FQ18" i="7"/>
  <c r="FJ18" i="7"/>
  <c r="FI18" i="7"/>
  <c r="FH18" i="7"/>
  <c r="FG18" i="7"/>
  <c r="FF18" i="7"/>
  <c r="FE18" i="7"/>
  <c r="FD18" i="7"/>
  <c r="FC18" i="7"/>
  <c r="FB18" i="7"/>
  <c r="FA18" i="7"/>
  <c r="EZ18" i="7"/>
  <c r="EY18" i="7"/>
  <c r="EX18" i="7"/>
  <c r="EW18" i="7"/>
  <c r="EV18" i="7"/>
  <c r="EU18" i="7"/>
  <c r="ET18" i="7"/>
  <c r="ES18" i="7"/>
  <c r="ER18" i="7"/>
  <c r="EQ18" i="7"/>
  <c r="EP18" i="7"/>
  <c r="EO18" i="7"/>
  <c r="EN18" i="7"/>
  <c r="EM18" i="7"/>
  <c r="EL18" i="7"/>
  <c r="EK18" i="7"/>
  <c r="EJ18" i="7"/>
  <c r="EI18" i="7"/>
  <c r="EH18" i="7"/>
  <c r="EG18" i="7"/>
  <c r="EF18" i="7"/>
  <c r="EE18" i="7"/>
  <c r="ED18" i="7"/>
  <c r="EC18" i="7"/>
  <c r="EB18" i="7"/>
  <c r="EA18" i="7"/>
  <c r="DV18" i="7"/>
  <c r="DU18" i="7"/>
  <c r="DT18" i="7"/>
  <c r="DS18" i="7"/>
  <c r="DR18" i="7"/>
  <c r="DQ18" i="7"/>
  <c r="DP18" i="7"/>
  <c r="DO18" i="7"/>
  <c r="DN18" i="7"/>
  <c r="DK18" i="7"/>
  <c r="DJ18" i="7"/>
  <c r="DI18" i="7"/>
  <c r="DH18" i="7"/>
  <c r="DG18" i="7"/>
  <c r="DF18" i="7"/>
  <c r="DE18" i="7"/>
  <c r="DD18" i="7"/>
  <c r="DC18" i="7"/>
  <c r="DB18" i="7"/>
  <c r="DA18" i="7"/>
  <c r="CV18" i="7"/>
  <c r="CU18" i="7"/>
  <c r="CT18" i="7"/>
  <c r="CS18" i="7"/>
  <c r="GN18" i="7" s="1"/>
  <c r="CR18" i="7"/>
  <c r="GM18" i="7" s="1"/>
  <c r="CQ18" i="7"/>
  <c r="GL18" i="7" s="1"/>
  <c r="CP18" i="7"/>
  <c r="GJ18" i="7" s="1"/>
  <c r="GK18" i="7" s="1"/>
  <c r="CO18" i="7"/>
  <c r="DZ18" i="7" s="1"/>
  <c r="CN18" i="7"/>
  <c r="DY18" i="7" s="1"/>
  <c r="CM18" i="7"/>
  <c r="DX18" i="7" s="1"/>
  <c r="CL18" i="7"/>
  <c r="DW18" i="7" s="1"/>
  <c r="CG18" i="7" a="1"/>
  <c r="CG18" i="7" s="1"/>
  <c r="AV18" i="7"/>
  <c r="J18" i="7"/>
  <c r="G18" i="7"/>
  <c r="IL17" i="7"/>
  <c r="HX17" i="7" a="1"/>
  <c r="HX17" i="7" s="1"/>
  <c r="IW17" i="7" s="1"/>
  <c r="HW17" i="7" a="1"/>
  <c r="HW17" i="7" s="1"/>
  <c r="IV17" i="7" s="1"/>
  <c r="HV17" i="7" a="1"/>
  <c r="HV17" i="7" s="1"/>
  <c r="IU17" i="7" s="1"/>
  <c r="HU17" i="7" a="1"/>
  <c r="HU17" i="7" s="1"/>
  <c r="IT17" i="7" s="1"/>
  <c r="HT17" i="7" a="1"/>
  <c r="HT17" i="7" s="1"/>
  <c r="IS17" i="7" s="1"/>
  <c r="HS17" i="7" a="1"/>
  <c r="HS17" i="7" s="1"/>
  <c r="IR17" i="7" s="1"/>
  <c r="HR17" i="7" a="1"/>
  <c r="HR17" i="7" s="1"/>
  <c r="IQ17" i="7" s="1"/>
  <c r="HQ17" i="7" a="1"/>
  <c r="HQ17" i="7" s="1"/>
  <c r="IP17" i="7" s="1"/>
  <c r="HP17" i="7" a="1"/>
  <c r="HP17" i="7" s="1"/>
  <c r="IO17" i="7" s="1"/>
  <c r="HL17" i="7"/>
  <c r="HJ17" i="7"/>
  <c r="HH17" i="7"/>
  <c r="HB17" i="7"/>
  <c r="HA17" i="7"/>
  <c r="GZ17" i="7"/>
  <c r="GY17" i="7"/>
  <c r="GX17" i="7"/>
  <c r="GW17" i="7"/>
  <c r="GV17" i="7"/>
  <c r="GU17" i="7"/>
  <c r="GT17" i="7"/>
  <c r="GP17" i="7"/>
  <c r="GI17" i="7"/>
  <c r="GH17" i="7"/>
  <c r="GG17" i="7"/>
  <c r="GF17" i="7"/>
  <c r="GE17" i="7"/>
  <c r="GD17" i="7"/>
  <c r="GC17" i="7"/>
  <c r="GB17" i="7"/>
  <c r="GA17" i="7"/>
  <c r="FZ17" i="7"/>
  <c r="FY17" i="7"/>
  <c r="FX17" i="7"/>
  <c r="FW17" i="7"/>
  <c r="FV17" i="7"/>
  <c r="FU17" i="7"/>
  <c r="FT17" i="7"/>
  <c r="FS17" i="7"/>
  <c r="FR17" i="7"/>
  <c r="FQ17" i="7"/>
  <c r="FJ17" i="7"/>
  <c r="FI17" i="7"/>
  <c r="FH17" i="7"/>
  <c r="FG17" i="7"/>
  <c r="FF17" i="7"/>
  <c r="FE17" i="7"/>
  <c r="FD17" i="7"/>
  <c r="FC17" i="7"/>
  <c r="FB17" i="7"/>
  <c r="FA17" i="7"/>
  <c r="EZ17" i="7"/>
  <c r="EY17" i="7"/>
  <c r="EX17" i="7"/>
  <c r="EW17" i="7"/>
  <c r="EV17" i="7"/>
  <c r="EU17" i="7"/>
  <c r="ET17" i="7"/>
  <c r="ES17" i="7"/>
  <c r="ER17" i="7"/>
  <c r="EQ17" i="7"/>
  <c r="EP17" i="7"/>
  <c r="EO17" i="7"/>
  <c r="EN17" i="7"/>
  <c r="EM17" i="7"/>
  <c r="EL17" i="7"/>
  <c r="EK17" i="7"/>
  <c r="EJ17" i="7"/>
  <c r="EI17" i="7"/>
  <c r="EH17" i="7"/>
  <c r="EG17" i="7"/>
  <c r="EF17" i="7"/>
  <c r="EE17" i="7"/>
  <c r="ED17" i="7"/>
  <c r="EC17" i="7"/>
  <c r="EB17" i="7"/>
  <c r="EA17" i="7"/>
  <c r="DV17" i="7"/>
  <c r="DU17" i="7"/>
  <c r="DT17" i="7"/>
  <c r="DS17" i="7"/>
  <c r="DR17" i="7"/>
  <c r="DQ17" i="7"/>
  <c r="DP17" i="7"/>
  <c r="DO17" i="7"/>
  <c r="DN17" i="7"/>
  <c r="DK17" i="7"/>
  <c r="DJ17" i="7"/>
  <c r="DI17" i="7"/>
  <c r="DH17" i="7"/>
  <c r="DG17" i="7"/>
  <c r="DF17" i="7"/>
  <c r="DE17" i="7"/>
  <c r="DD17" i="7"/>
  <c r="DC17" i="7"/>
  <c r="DB17" i="7"/>
  <c r="DA17" i="7"/>
  <c r="CV17" i="7"/>
  <c r="CU17" i="7"/>
  <c r="CT17" i="7"/>
  <c r="CS17" i="7"/>
  <c r="GN17" i="7" s="1"/>
  <c r="CR17" i="7"/>
  <c r="GM17" i="7" s="1"/>
  <c r="CQ17" i="7"/>
  <c r="GL17" i="7" s="1"/>
  <c r="CP17" i="7"/>
  <c r="GJ17" i="7" s="1"/>
  <c r="GK17" i="7" s="1"/>
  <c r="CO17" i="7"/>
  <c r="DZ17" i="7" s="1"/>
  <c r="CN17" i="7"/>
  <c r="DY17" i="7" s="1"/>
  <c r="CM17" i="7"/>
  <c r="DX17" i="7" s="1"/>
  <c r="CL17" i="7"/>
  <c r="DW17" i="7" s="1"/>
  <c r="CG17" i="7" a="1"/>
  <c r="CG17" i="7" s="1"/>
  <c r="AV17" i="7"/>
  <c r="J17" i="7"/>
  <c r="G17" i="7"/>
  <c r="IL16" i="7"/>
  <c r="HX16" i="7" a="1"/>
  <c r="HX16" i="7" s="1"/>
  <c r="IW16" i="7" s="1"/>
  <c r="HW16" i="7" a="1"/>
  <c r="HW16" i="7" s="1"/>
  <c r="IV16" i="7" s="1"/>
  <c r="HV16" i="7" a="1"/>
  <c r="HV16" i="7" s="1"/>
  <c r="IU16" i="7" s="1"/>
  <c r="HU16" i="7" a="1"/>
  <c r="HU16" i="7" s="1"/>
  <c r="IT16" i="7" s="1"/>
  <c r="HT16" i="7" a="1"/>
  <c r="HT16" i="7" s="1"/>
  <c r="IS16" i="7" s="1"/>
  <c r="HS16" i="7" a="1"/>
  <c r="HS16" i="7" s="1"/>
  <c r="IR16" i="7" s="1"/>
  <c r="HR16" i="7" a="1"/>
  <c r="HR16" i="7" s="1"/>
  <c r="IQ16" i="7" s="1"/>
  <c r="HQ16" i="7" a="1"/>
  <c r="HQ16" i="7" s="1"/>
  <c r="IP16" i="7" s="1"/>
  <c r="HP16" i="7" a="1"/>
  <c r="HP16" i="7" s="1"/>
  <c r="IO16" i="7" s="1"/>
  <c r="HL16" i="7"/>
  <c r="HJ16" i="7"/>
  <c r="HH16" i="7"/>
  <c r="HB16" i="7"/>
  <c r="HA16" i="7"/>
  <c r="GZ16" i="7"/>
  <c r="GY16" i="7"/>
  <c r="GX16" i="7"/>
  <c r="GW16" i="7"/>
  <c r="GV16" i="7"/>
  <c r="GU16" i="7"/>
  <c r="GT16" i="7"/>
  <c r="GP16" i="7"/>
  <c r="GI16" i="7"/>
  <c r="GH16" i="7"/>
  <c r="GG16" i="7"/>
  <c r="GF16" i="7"/>
  <c r="GE16" i="7"/>
  <c r="GD16" i="7"/>
  <c r="GC16" i="7"/>
  <c r="GB16" i="7"/>
  <c r="GA16" i="7"/>
  <c r="FZ16" i="7"/>
  <c r="FY16" i="7"/>
  <c r="FX16" i="7"/>
  <c r="FW16" i="7"/>
  <c r="FV16" i="7"/>
  <c r="FU16" i="7"/>
  <c r="FT16" i="7"/>
  <c r="FS16" i="7"/>
  <c r="FR16" i="7"/>
  <c r="FQ16" i="7"/>
  <c r="FJ16" i="7"/>
  <c r="FI16" i="7"/>
  <c r="FH16" i="7"/>
  <c r="FG16" i="7"/>
  <c r="FF16" i="7"/>
  <c r="FP16" i="7" s="1"/>
  <c r="FE16" i="7"/>
  <c r="FD16" i="7"/>
  <c r="FC16" i="7"/>
  <c r="FB16" i="7"/>
  <c r="FA16" i="7"/>
  <c r="EZ16" i="7"/>
  <c r="EY16" i="7"/>
  <c r="EX16" i="7"/>
  <c r="EW16" i="7"/>
  <c r="EV16" i="7"/>
  <c r="EU16" i="7"/>
  <c r="ET16" i="7"/>
  <c r="ES16" i="7"/>
  <c r="ER16" i="7"/>
  <c r="EQ16" i="7"/>
  <c r="EP16" i="7"/>
  <c r="EO16" i="7"/>
  <c r="EN16" i="7"/>
  <c r="EM16" i="7"/>
  <c r="EL16" i="7"/>
  <c r="EK16" i="7"/>
  <c r="EJ16" i="7"/>
  <c r="EI16" i="7"/>
  <c r="EH16" i="7"/>
  <c r="EG16" i="7"/>
  <c r="EF16" i="7"/>
  <c r="EE16" i="7"/>
  <c r="ED16" i="7"/>
  <c r="EC16" i="7"/>
  <c r="EB16" i="7"/>
  <c r="EA16" i="7"/>
  <c r="DV16" i="7"/>
  <c r="DU16" i="7"/>
  <c r="DT16" i="7"/>
  <c r="DS16" i="7"/>
  <c r="DR16" i="7"/>
  <c r="DQ16" i="7"/>
  <c r="DP16" i="7"/>
  <c r="DO16" i="7"/>
  <c r="DN16" i="7"/>
  <c r="DK16" i="7"/>
  <c r="DJ16" i="7"/>
  <c r="DI16" i="7"/>
  <c r="DH16" i="7"/>
  <c r="DG16" i="7"/>
  <c r="DF16" i="7"/>
  <c r="DE16" i="7"/>
  <c r="DD16" i="7"/>
  <c r="DC16" i="7"/>
  <c r="DB16" i="7"/>
  <c r="DA16" i="7"/>
  <c r="CV16" i="7"/>
  <c r="CU16" i="7"/>
  <c r="CT16" i="7"/>
  <c r="CS16" i="7"/>
  <c r="GN16" i="7" s="1"/>
  <c r="CR16" i="7"/>
  <c r="GM16" i="7" s="1"/>
  <c r="CQ16" i="7"/>
  <c r="GL16" i="7" s="1"/>
  <c r="CP16" i="7"/>
  <c r="GJ16" i="7" s="1"/>
  <c r="GK16" i="7" s="1"/>
  <c r="CO16" i="7"/>
  <c r="DZ16" i="7" s="1"/>
  <c r="CN16" i="7"/>
  <c r="DY16" i="7" s="1"/>
  <c r="CM16" i="7"/>
  <c r="DX16" i="7" s="1"/>
  <c r="CL16" i="7"/>
  <c r="DW16" i="7" s="1"/>
  <c r="CG16" i="7" a="1"/>
  <c r="CG16" i="7" s="1"/>
  <c r="CK16" i="7" s="1"/>
  <c r="CZ16" i="7" s="1"/>
  <c r="AV16" i="7"/>
  <c r="J16" i="7"/>
  <c r="G16" i="7"/>
  <c r="IL15" i="7"/>
  <c r="HX15" i="7" a="1"/>
  <c r="HX15" i="7" s="1"/>
  <c r="IW15" i="7" s="1"/>
  <c r="HW15" i="7" a="1"/>
  <c r="HW15" i="7" s="1"/>
  <c r="IV15" i="7" s="1"/>
  <c r="HV15" i="7" a="1"/>
  <c r="HV15" i="7" s="1"/>
  <c r="IU15" i="7" s="1"/>
  <c r="HU15" i="7" a="1"/>
  <c r="HU15" i="7" s="1"/>
  <c r="IT15" i="7" s="1"/>
  <c r="HT15" i="7" a="1"/>
  <c r="HT15" i="7" s="1"/>
  <c r="IS15" i="7" s="1"/>
  <c r="HS15" i="7" a="1"/>
  <c r="HS15" i="7" s="1"/>
  <c r="IR15" i="7" s="1"/>
  <c r="HR15" i="7" a="1"/>
  <c r="HR15" i="7" s="1"/>
  <c r="IQ15" i="7" s="1"/>
  <c r="HQ15" i="7" a="1"/>
  <c r="HQ15" i="7" s="1"/>
  <c r="IP15" i="7" s="1"/>
  <c r="HP15" i="7" a="1"/>
  <c r="HP15" i="7" s="1"/>
  <c r="IO15" i="7" s="1"/>
  <c r="HL15" i="7"/>
  <c r="HJ15" i="7"/>
  <c r="HH15" i="7"/>
  <c r="HB15" i="7"/>
  <c r="HA15" i="7"/>
  <c r="GZ15" i="7"/>
  <c r="GY15" i="7"/>
  <c r="GX15" i="7"/>
  <c r="GW15" i="7"/>
  <c r="GV15" i="7"/>
  <c r="GU15" i="7"/>
  <c r="GT15" i="7"/>
  <c r="GP15" i="7"/>
  <c r="GI15" i="7"/>
  <c r="GH15" i="7"/>
  <c r="GG15" i="7"/>
  <c r="GF15" i="7"/>
  <c r="GE15" i="7"/>
  <c r="GD15" i="7"/>
  <c r="GC15" i="7"/>
  <c r="GB15" i="7"/>
  <c r="GA15" i="7"/>
  <c r="FZ15" i="7"/>
  <c r="FY15" i="7"/>
  <c r="FX15" i="7"/>
  <c r="FW15" i="7"/>
  <c r="FV15" i="7"/>
  <c r="FU15" i="7"/>
  <c r="FT15" i="7"/>
  <c r="FS15" i="7"/>
  <c r="FR15" i="7"/>
  <c r="FQ15" i="7"/>
  <c r="FJ15" i="7"/>
  <c r="FI15" i="7"/>
  <c r="FH15" i="7"/>
  <c r="FG15" i="7"/>
  <c r="FF15" i="7"/>
  <c r="FP15" i="7" s="1"/>
  <c r="FE15" i="7"/>
  <c r="FD15" i="7"/>
  <c r="FC15" i="7"/>
  <c r="FB15" i="7"/>
  <c r="FA15" i="7"/>
  <c r="EZ15" i="7"/>
  <c r="EY15" i="7"/>
  <c r="EX15" i="7"/>
  <c r="EW15" i="7"/>
  <c r="EV15" i="7"/>
  <c r="EU15" i="7"/>
  <c r="ET15" i="7"/>
  <c r="ES15" i="7"/>
  <c r="ER15" i="7"/>
  <c r="EQ15" i="7"/>
  <c r="EP15" i="7"/>
  <c r="EO15" i="7"/>
  <c r="EN15" i="7"/>
  <c r="EM15" i="7"/>
  <c r="EL15" i="7"/>
  <c r="EK15" i="7"/>
  <c r="EJ15" i="7"/>
  <c r="EI15" i="7"/>
  <c r="EH15" i="7"/>
  <c r="EG15" i="7"/>
  <c r="EF15" i="7"/>
  <c r="EE15" i="7"/>
  <c r="ED15" i="7"/>
  <c r="EC15" i="7"/>
  <c r="EB15" i="7"/>
  <c r="EA15" i="7"/>
  <c r="DV15" i="7"/>
  <c r="DU15" i="7"/>
  <c r="DT15" i="7"/>
  <c r="DS15" i="7"/>
  <c r="DR15" i="7"/>
  <c r="DQ15" i="7"/>
  <c r="DP15" i="7"/>
  <c r="DO15" i="7"/>
  <c r="DN15" i="7"/>
  <c r="DK15" i="7"/>
  <c r="DJ15" i="7"/>
  <c r="DI15" i="7"/>
  <c r="DH15" i="7"/>
  <c r="DG15" i="7"/>
  <c r="DF15" i="7"/>
  <c r="DE15" i="7"/>
  <c r="DD15" i="7"/>
  <c r="DC15" i="7"/>
  <c r="DB15" i="7"/>
  <c r="DA15" i="7"/>
  <c r="CV15" i="7"/>
  <c r="CU15" i="7"/>
  <c r="CT15" i="7"/>
  <c r="CS15" i="7"/>
  <c r="GN15" i="7" s="1"/>
  <c r="CR15" i="7"/>
  <c r="GM15" i="7" s="1"/>
  <c r="CQ15" i="7"/>
  <c r="GL15" i="7" s="1"/>
  <c r="CP15" i="7"/>
  <c r="GJ15" i="7" s="1"/>
  <c r="GK15" i="7" s="1"/>
  <c r="CO15" i="7"/>
  <c r="DZ15" i="7" s="1"/>
  <c r="CN15" i="7"/>
  <c r="DY15" i="7" s="1"/>
  <c r="CM15" i="7"/>
  <c r="DX15" i="7" s="1"/>
  <c r="CL15" i="7"/>
  <c r="DW15" i="7" s="1"/>
  <c r="CG15" i="7" a="1"/>
  <c r="CG15" i="7" s="1"/>
  <c r="DL15" i="7" s="1"/>
  <c r="AV15" i="7"/>
  <c r="J15" i="7"/>
  <c r="G15" i="7"/>
  <c r="IL14" i="7"/>
  <c r="HX14" i="7" a="1"/>
  <c r="HX14" i="7" s="1"/>
  <c r="IW14" i="7" s="1"/>
  <c r="HW14" i="7" a="1"/>
  <c r="HW14" i="7" s="1"/>
  <c r="IV14" i="7" s="1"/>
  <c r="HV14" i="7" a="1"/>
  <c r="HV14" i="7" s="1"/>
  <c r="IU14" i="7" s="1"/>
  <c r="HU14" i="7" a="1"/>
  <c r="HU14" i="7" s="1"/>
  <c r="IT14" i="7" s="1"/>
  <c r="HT14" i="7" a="1"/>
  <c r="HT14" i="7" s="1"/>
  <c r="IS14" i="7" s="1"/>
  <c r="HS14" i="7" a="1"/>
  <c r="HS14" i="7" s="1"/>
  <c r="IR14" i="7" s="1"/>
  <c r="HR14" i="7" a="1"/>
  <c r="HR14" i="7" s="1"/>
  <c r="IQ14" i="7" s="1"/>
  <c r="HQ14" i="7" a="1"/>
  <c r="HQ14" i="7" s="1"/>
  <c r="IP14" i="7" s="1"/>
  <c r="HP14" i="7" a="1"/>
  <c r="HP14" i="7" s="1"/>
  <c r="IO14" i="7" s="1"/>
  <c r="HL14" i="7"/>
  <c r="HJ14" i="7"/>
  <c r="HH14" i="7"/>
  <c r="HB14" i="7"/>
  <c r="HA14" i="7"/>
  <c r="GZ14" i="7"/>
  <c r="GY14" i="7"/>
  <c r="GX14" i="7"/>
  <c r="GW14" i="7"/>
  <c r="GV14" i="7"/>
  <c r="GU14" i="7"/>
  <c r="GT14" i="7"/>
  <c r="GP14" i="7"/>
  <c r="GI14" i="7"/>
  <c r="GH14" i="7"/>
  <c r="GG14" i="7"/>
  <c r="GF14" i="7"/>
  <c r="GE14" i="7"/>
  <c r="GD14" i="7"/>
  <c r="GC14" i="7"/>
  <c r="GB14" i="7"/>
  <c r="GA14" i="7"/>
  <c r="FZ14" i="7"/>
  <c r="FY14" i="7"/>
  <c r="FX14" i="7"/>
  <c r="FW14" i="7"/>
  <c r="FV14" i="7"/>
  <c r="FU14" i="7"/>
  <c r="FT14" i="7"/>
  <c r="FS14" i="7"/>
  <c r="FR14" i="7"/>
  <c r="FQ14" i="7"/>
  <c r="FJ14" i="7"/>
  <c r="FI14" i="7"/>
  <c r="FH14" i="7"/>
  <c r="FG14" i="7"/>
  <c r="FF14" i="7"/>
  <c r="FE14" i="7"/>
  <c r="FD14" i="7"/>
  <c r="FC14" i="7"/>
  <c r="FB14" i="7"/>
  <c r="FA14" i="7"/>
  <c r="EZ14" i="7"/>
  <c r="EY14" i="7"/>
  <c r="EX14" i="7"/>
  <c r="EW14" i="7"/>
  <c r="EV14" i="7"/>
  <c r="EU14" i="7"/>
  <c r="ET14" i="7"/>
  <c r="ES14" i="7"/>
  <c r="ER14" i="7"/>
  <c r="EQ14" i="7"/>
  <c r="EP14" i="7"/>
  <c r="EO14" i="7"/>
  <c r="EN14" i="7"/>
  <c r="EM14" i="7"/>
  <c r="EL14" i="7"/>
  <c r="EK14" i="7"/>
  <c r="EJ14" i="7"/>
  <c r="EI14" i="7"/>
  <c r="EH14" i="7"/>
  <c r="EG14" i="7"/>
  <c r="EF14" i="7"/>
  <c r="EE14" i="7"/>
  <c r="ED14" i="7"/>
  <c r="EC14" i="7"/>
  <c r="EB14" i="7"/>
  <c r="EA14" i="7"/>
  <c r="DV14" i="7"/>
  <c r="DU14" i="7"/>
  <c r="DT14" i="7"/>
  <c r="DS14" i="7"/>
  <c r="DR14" i="7"/>
  <c r="DQ14" i="7"/>
  <c r="DP14" i="7"/>
  <c r="DO14" i="7"/>
  <c r="DN14" i="7"/>
  <c r="DK14" i="7"/>
  <c r="DJ14" i="7"/>
  <c r="DI14" i="7"/>
  <c r="DH14" i="7"/>
  <c r="DG14" i="7"/>
  <c r="DF14" i="7"/>
  <c r="DE14" i="7"/>
  <c r="DD14" i="7"/>
  <c r="DC14" i="7"/>
  <c r="DB14" i="7"/>
  <c r="DA14" i="7"/>
  <c r="CV14" i="7"/>
  <c r="CU14" i="7"/>
  <c r="CT14" i="7"/>
  <c r="CS14" i="7"/>
  <c r="GN14" i="7" s="1"/>
  <c r="CR14" i="7"/>
  <c r="GM14" i="7" s="1"/>
  <c r="CQ14" i="7"/>
  <c r="GL14" i="7" s="1"/>
  <c r="CP14" i="7"/>
  <c r="GJ14" i="7" s="1"/>
  <c r="GK14" i="7" s="1"/>
  <c r="CO14" i="7"/>
  <c r="DZ14" i="7" s="1"/>
  <c r="CN14" i="7"/>
  <c r="DY14" i="7" s="1"/>
  <c r="CM14" i="7"/>
  <c r="DX14" i="7" s="1"/>
  <c r="CL14" i="7"/>
  <c r="DW14" i="7" s="1"/>
  <c r="CG14" i="7" a="1"/>
  <c r="CG14" i="7" s="1"/>
  <c r="AV14" i="7"/>
  <c r="J14" i="7"/>
  <c r="G14" i="7"/>
  <c r="IL13" i="7"/>
  <c r="HX13" i="7" a="1"/>
  <c r="HX13" i="7" s="1"/>
  <c r="IW13" i="7" s="1"/>
  <c r="HW13" i="7" a="1"/>
  <c r="HW13" i="7" s="1"/>
  <c r="IV13" i="7" s="1"/>
  <c r="HV13" i="7" a="1"/>
  <c r="HV13" i="7" s="1"/>
  <c r="IU13" i="7" s="1"/>
  <c r="HU13" i="7" a="1"/>
  <c r="HU13" i="7" s="1"/>
  <c r="IT13" i="7" s="1"/>
  <c r="HT13" i="7" a="1"/>
  <c r="HT13" i="7" s="1"/>
  <c r="IS13" i="7" s="1"/>
  <c r="HS13" i="7" a="1"/>
  <c r="HS13" i="7" s="1"/>
  <c r="IR13" i="7" s="1"/>
  <c r="HR13" i="7" a="1"/>
  <c r="HR13" i="7" s="1"/>
  <c r="IQ13" i="7" s="1"/>
  <c r="HQ13" i="7" a="1"/>
  <c r="HQ13" i="7" s="1"/>
  <c r="IP13" i="7" s="1"/>
  <c r="HP13" i="7" a="1"/>
  <c r="HP13" i="7" s="1"/>
  <c r="IO13" i="7" s="1"/>
  <c r="HL13" i="7"/>
  <c r="HJ13" i="7"/>
  <c r="HH13" i="7"/>
  <c r="HB13" i="7"/>
  <c r="HA13" i="7"/>
  <c r="GZ13" i="7"/>
  <c r="GY13" i="7"/>
  <c r="GX13" i="7"/>
  <c r="GW13" i="7"/>
  <c r="GV13" i="7"/>
  <c r="GU13" i="7"/>
  <c r="GT13" i="7"/>
  <c r="GP13" i="7"/>
  <c r="GI13" i="7"/>
  <c r="GH13" i="7"/>
  <c r="GG13" i="7"/>
  <c r="GF13" i="7"/>
  <c r="GE13" i="7"/>
  <c r="GD13" i="7"/>
  <c r="GC13" i="7"/>
  <c r="GB13" i="7"/>
  <c r="GA13" i="7"/>
  <c r="FZ13" i="7"/>
  <c r="FY13" i="7"/>
  <c r="FX13" i="7"/>
  <c r="FW13" i="7"/>
  <c r="FV13" i="7"/>
  <c r="FU13" i="7"/>
  <c r="FT13" i="7"/>
  <c r="FS13" i="7"/>
  <c r="FR13" i="7"/>
  <c r="FQ13" i="7"/>
  <c r="FJ13" i="7"/>
  <c r="FI13" i="7"/>
  <c r="FH13" i="7"/>
  <c r="FG13" i="7"/>
  <c r="FF13" i="7"/>
  <c r="FP13" i="7" s="1"/>
  <c r="FE13" i="7"/>
  <c r="FD13" i="7"/>
  <c r="FC13" i="7"/>
  <c r="FB13" i="7"/>
  <c r="FA13" i="7"/>
  <c r="EZ13" i="7"/>
  <c r="EY13" i="7"/>
  <c r="EX13" i="7"/>
  <c r="EW13" i="7"/>
  <c r="EV13" i="7"/>
  <c r="EU13" i="7"/>
  <c r="ET13" i="7"/>
  <c r="ES13" i="7"/>
  <c r="ER13" i="7"/>
  <c r="EQ13" i="7"/>
  <c r="EP13" i="7"/>
  <c r="EO13" i="7"/>
  <c r="EN13" i="7"/>
  <c r="EM13" i="7"/>
  <c r="EL13" i="7"/>
  <c r="EK13" i="7"/>
  <c r="EJ13" i="7"/>
  <c r="EI13" i="7"/>
  <c r="EH13" i="7"/>
  <c r="EG13" i="7"/>
  <c r="EF13" i="7"/>
  <c r="EE13" i="7"/>
  <c r="ED13" i="7"/>
  <c r="EC13" i="7"/>
  <c r="EB13" i="7"/>
  <c r="EA13" i="7"/>
  <c r="DV13" i="7"/>
  <c r="DU13" i="7"/>
  <c r="DT13" i="7"/>
  <c r="DS13" i="7"/>
  <c r="DR13" i="7"/>
  <c r="DQ13" i="7"/>
  <c r="DP13" i="7"/>
  <c r="DO13" i="7"/>
  <c r="DN13" i="7"/>
  <c r="DK13" i="7"/>
  <c r="DJ13" i="7"/>
  <c r="DI13" i="7"/>
  <c r="DH13" i="7"/>
  <c r="DG13" i="7"/>
  <c r="DF13" i="7"/>
  <c r="DE13" i="7"/>
  <c r="DD13" i="7"/>
  <c r="DC13" i="7"/>
  <c r="DB13" i="7"/>
  <c r="DA13" i="7"/>
  <c r="CV13" i="7"/>
  <c r="CU13" i="7"/>
  <c r="CT13" i="7"/>
  <c r="CS13" i="7"/>
  <c r="GN13" i="7" s="1"/>
  <c r="CR13" i="7"/>
  <c r="GM13" i="7" s="1"/>
  <c r="CQ13" i="7"/>
  <c r="GL13" i="7" s="1"/>
  <c r="CP13" i="7"/>
  <c r="GJ13" i="7" s="1"/>
  <c r="GK13" i="7" s="1"/>
  <c r="CO13" i="7"/>
  <c r="DZ13" i="7" s="1"/>
  <c r="CN13" i="7"/>
  <c r="DY13" i="7" s="1"/>
  <c r="CM13" i="7"/>
  <c r="DX13" i="7" s="1"/>
  <c r="CL13" i="7"/>
  <c r="DW13" i="7" s="1"/>
  <c r="CG13" i="7" a="1"/>
  <c r="CG13" i="7" s="1"/>
  <c r="AV13" i="7"/>
  <c r="J13" i="7"/>
  <c r="G13" i="7"/>
  <c r="IL12" i="7"/>
  <c r="HX12" i="7" a="1"/>
  <c r="HX12" i="7" s="1"/>
  <c r="IW12" i="7" s="1"/>
  <c r="HW12" i="7" a="1"/>
  <c r="HW12" i="7" s="1"/>
  <c r="IV12" i="7" s="1"/>
  <c r="HV12" i="7" a="1"/>
  <c r="HV12" i="7" s="1"/>
  <c r="IU12" i="7" s="1"/>
  <c r="HU12" i="7" a="1"/>
  <c r="HU12" i="7" s="1"/>
  <c r="IT12" i="7" s="1"/>
  <c r="HT12" i="7" a="1"/>
  <c r="HT12" i="7" s="1"/>
  <c r="IS12" i="7" s="1"/>
  <c r="HS12" i="7" a="1"/>
  <c r="HS12" i="7" s="1"/>
  <c r="IR12" i="7" s="1"/>
  <c r="HR12" i="7" a="1"/>
  <c r="HR12" i="7" s="1"/>
  <c r="IQ12" i="7" s="1"/>
  <c r="HQ12" i="7" a="1"/>
  <c r="HQ12" i="7" s="1"/>
  <c r="IP12" i="7" s="1"/>
  <c r="HP12" i="7" a="1"/>
  <c r="HP12" i="7" s="1"/>
  <c r="IO12" i="7" s="1"/>
  <c r="HL12" i="7"/>
  <c r="HJ12" i="7"/>
  <c r="HH12" i="7"/>
  <c r="HB12" i="7"/>
  <c r="HA12" i="7"/>
  <c r="GZ12" i="7"/>
  <c r="GY12" i="7"/>
  <c r="GX12" i="7"/>
  <c r="GW12" i="7"/>
  <c r="GV12" i="7"/>
  <c r="GU12" i="7"/>
  <c r="GT12" i="7"/>
  <c r="GP12" i="7"/>
  <c r="GI12" i="7"/>
  <c r="GH12" i="7"/>
  <c r="GG12" i="7"/>
  <c r="GF12" i="7"/>
  <c r="GE12" i="7"/>
  <c r="GD12" i="7"/>
  <c r="GC12" i="7"/>
  <c r="GB12" i="7"/>
  <c r="GA12" i="7"/>
  <c r="FZ12" i="7"/>
  <c r="FY12" i="7"/>
  <c r="FX12" i="7"/>
  <c r="FW12" i="7"/>
  <c r="FV12" i="7"/>
  <c r="FU12" i="7"/>
  <c r="FT12" i="7"/>
  <c r="FS12" i="7"/>
  <c r="FR12" i="7"/>
  <c r="FQ12" i="7"/>
  <c r="FJ12" i="7"/>
  <c r="FI12" i="7"/>
  <c r="FH12" i="7"/>
  <c r="FG12" i="7"/>
  <c r="FF12" i="7"/>
  <c r="FE12" i="7"/>
  <c r="FD12" i="7"/>
  <c r="FC12" i="7"/>
  <c r="FB12" i="7"/>
  <c r="FA12" i="7"/>
  <c r="EZ12" i="7"/>
  <c r="EY12" i="7"/>
  <c r="EX12" i="7"/>
  <c r="EW12" i="7"/>
  <c r="EV12" i="7"/>
  <c r="EU12" i="7"/>
  <c r="ET12" i="7"/>
  <c r="ES12" i="7"/>
  <c r="ER12" i="7"/>
  <c r="EQ12" i="7"/>
  <c r="EP12" i="7"/>
  <c r="EO12" i="7"/>
  <c r="EN12" i="7"/>
  <c r="EM12" i="7"/>
  <c r="EL12" i="7"/>
  <c r="EK12" i="7"/>
  <c r="EJ12" i="7"/>
  <c r="EI12" i="7"/>
  <c r="EH12" i="7"/>
  <c r="EG12" i="7"/>
  <c r="EF12" i="7"/>
  <c r="EE12" i="7"/>
  <c r="ED12" i="7"/>
  <c r="EC12" i="7"/>
  <c r="EB12" i="7"/>
  <c r="EA12" i="7"/>
  <c r="DV12" i="7"/>
  <c r="DU12" i="7"/>
  <c r="DT12" i="7"/>
  <c r="DS12" i="7"/>
  <c r="DR12" i="7"/>
  <c r="DQ12" i="7"/>
  <c r="DP12" i="7"/>
  <c r="DO12" i="7"/>
  <c r="DN12" i="7"/>
  <c r="DK12" i="7"/>
  <c r="DJ12" i="7"/>
  <c r="DI12" i="7"/>
  <c r="DH12" i="7"/>
  <c r="DG12" i="7"/>
  <c r="DF12" i="7"/>
  <c r="DE12" i="7"/>
  <c r="DD12" i="7"/>
  <c r="DC12" i="7"/>
  <c r="DB12" i="7"/>
  <c r="DA12" i="7"/>
  <c r="CV12" i="7"/>
  <c r="CU12" i="7"/>
  <c r="CT12" i="7"/>
  <c r="CS12" i="7"/>
  <c r="GN12" i="7" s="1"/>
  <c r="CR12" i="7"/>
  <c r="GM12" i="7" s="1"/>
  <c r="CQ12" i="7"/>
  <c r="GL12" i="7" s="1"/>
  <c r="CP12" i="7"/>
  <c r="GJ12" i="7" s="1"/>
  <c r="GK12" i="7" s="1"/>
  <c r="CO12" i="7"/>
  <c r="DZ12" i="7" s="1"/>
  <c r="CN12" i="7"/>
  <c r="DY12" i="7" s="1"/>
  <c r="CM12" i="7"/>
  <c r="DX12" i="7" s="1"/>
  <c r="CL12" i="7"/>
  <c r="DW12" i="7" s="1"/>
  <c r="CG12" i="7" a="1"/>
  <c r="CG12" i="7" s="1"/>
  <c r="CI12" i="7" s="1"/>
  <c r="CX12" i="7" s="1"/>
  <c r="AV12" i="7"/>
  <c r="J12" i="7"/>
  <c r="G12" i="7"/>
  <c r="IL11" i="7"/>
  <c r="HX11" i="7" a="1"/>
  <c r="HX11" i="7" s="1"/>
  <c r="IW11" i="7" s="1"/>
  <c r="HW11" i="7" a="1"/>
  <c r="HW11" i="7" s="1"/>
  <c r="IV11" i="7" s="1"/>
  <c r="HV11" i="7" a="1"/>
  <c r="HV11" i="7" s="1"/>
  <c r="IU11" i="7" s="1"/>
  <c r="HU11" i="7" a="1"/>
  <c r="HU11" i="7" s="1"/>
  <c r="IT11" i="7" s="1"/>
  <c r="HT11" i="7" a="1"/>
  <c r="HT11" i="7" s="1"/>
  <c r="IS11" i="7" s="1"/>
  <c r="HS11" i="7" a="1"/>
  <c r="HS11" i="7" s="1"/>
  <c r="IR11" i="7" s="1"/>
  <c r="HR11" i="7" a="1"/>
  <c r="HR11" i="7" s="1"/>
  <c r="IQ11" i="7" s="1"/>
  <c r="HQ11" i="7" a="1"/>
  <c r="HQ11" i="7" s="1"/>
  <c r="IP11" i="7" s="1"/>
  <c r="HP11" i="7" a="1"/>
  <c r="HP11" i="7" s="1"/>
  <c r="IO11" i="7" s="1"/>
  <c r="HL11" i="7"/>
  <c r="HJ11" i="7"/>
  <c r="HH11" i="7"/>
  <c r="HB11" i="7"/>
  <c r="HA11" i="7"/>
  <c r="GZ11" i="7"/>
  <c r="GY11" i="7"/>
  <c r="GX11" i="7"/>
  <c r="GW11" i="7"/>
  <c r="GV11" i="7"/>
  <c r="GU11" i="7"/>
  <c r="GT11" i="7"/>
  <c r="GP11" i="7"/>
  <c r="GI11" i="7"/>
  <c r="GH11" i="7"/>
  <c r="GG11" i="7"/>
  <c r="GF11" i="7"/>
  <c r="GE11" i="7"/>
  <c r="GD11" i="7"/>
  <c r="GC11" i="7"/>
  <c r="GB11" i="7"/>
  <c r="GA11" i="7"/>
  <c r="FZ11" i="7"/>
  <c r="FY11" i="7"/>
  <c r="FX11" i="7"/>
  <c r="FW11" i="7"/>
  <c r="FV11" i="7"/>
  <c r="FU11" i="7"/>
  <c r="FT11" i="7"/>
  <c r="FS11" i="7"/>
  <c r="FR11" i="7"/>
  <c r="FQ11" i="7"/>
  <c r="FJ11" i="7"/>
  <c r="FI11" i="7"/>
  <c r="FH11" i="7"/>
  <c r="FG11" i="7"/>
  <c r="FF11" i="7"/>
  <c r="FP11" i="7" s="1"/>
  <c r="FE11" i="7"/>
  <c r="FD11" i="7"/>
  <c r="FC11" i="7"/>
  <c r="FB11" i="7"/>
  <c r="FA11" i="7"/>
  <c r="EZ11" i="7"/>
  <c r="EY11" i="7"/>
  <c r="EX11" i="7"/>
  <c r="EW11" i="7"/>
  <c r="EV11" i="7"/>
  <c r="EU11" i="7"/>
  <c r="ET11" i="7"/>
  <c r="ES11" i="7"/>
  <c r="ER11" i="7"/>
  <c r="EQ11" i="7"/>
  <c r="EP11" i="7"/>
  <c r="EO11" i="7"/>
  <c r="EN11" i="7"/>
  <c r="EM11" i="7"/>
  <c r="EL11" i="7"/>
  <c r="EK11" i="7"/>
  <c r="EJ11" i="7"/>
  <c r="EI11" i="7"/>
  <c r="EH11" i="7"/>
  <c r="EG11" i="7"/>
  <c r="EF11" i="7"/>
  <c r="EE11" i="7"/>
  <c r="ED11" i="7"/>
  <c r="EC11" i="7"/>
  <c r="EB11" i="7"/>
  <c r="EA11" i="7"/>
  <c r="DV11" i="7"/>
  <c r="DU11" i="7"/>
  <c r="DT11" i="7"/>
  <c r="DS11" i="7"/>
  <c r="DR11" i="7"/>
  <c r="DQ11" i="7"/>
  <c r="DP11" i="7"/>
  <c r="DO11" i="7"/>
  <c r="DN11" i="7"/>
  <c r="DK11" i="7"/>
  <c r="DJ11" i="7"/>
  <c r="DI11" i="7"/>
  <c r="DH11" i="7"/>
  <c r="DG11" i="7"/>
  <c r="DF11" i="7"/>
  <c r="DE11" i="7"/>
  <c r="DD11" i="7"/>
  <c r="DC11" i="7"/>
  <c r="DB11" i="7"/>
  <c r="DA11" i="7"/>
  <c r="CV11" i="7"/>
  <c r="CU11" i="7"/>
  <c r="CT11" i="7"/>
  <c r="CS11" i="7"/>
  <c r="GN11" i="7" s="1"/>
  <c r="CR11" i="7"/>
  <c r="GM11" i="7" s="1"/>
  <c r="CQ11" i="7"/>
  <c r="GL11" i="7" s="1"/>
  <c r="CP11" i="7"/>
  <c r="GJ11" i="7" s="1"/>
  <c r="GK11" i="7" s="1"/>
  <c r="CO11" i="7"/>
  <c r="DZ11" i="7" s="1"/>
  <c r="CN11" i="7"/>
  <c r="DY11" i="7" s="1"/>
  <c r="CM11" i="7"/>
  <c r="DX11" i="7" s="1"/>
  <c r="CL11" i="7"/>
  <c r="DW11" i="7" s="1"/>
  <c r="CG11" i="7" a="1"/>
  <c r="CG11" i="7" s="1"/>
  <c r="CI11" i="7" s="1"/>
  <c r="CX11" i="7" s="1"/>
  <c r="AV11" i="7"/>
  <c r="J11" i="7"/>
  <c r="G11" i="7"/>
  <c r="IL10" i="7"/>
  <c r="HX10" i="7" a="1"/>
  <c r="HX10" i="7" s="1"/>
  <c r="IW10" i="7" s="1"/>
  <c r="HW10" i="7" a="1"/>
  <c r="HW10" i="7" s="1"/>
  <c r="IV10" i="7" s="1"/>
  <c r="HV10" i="7" a="1"/>
  <c r="HV10" i="7" s="1"/>
  <c r="IU10" i="7" s="1"/>
  <c r="HU10" i="7" a="1"/>
  <c r="HU10" i="7" s="1"/>
  <c r="IT10" i="7" s="1"/>
  <c r="HT10" i="7" a="1"/>
  <c r="HT10" i="7" s="1"/>
  <c r="IS10" i="7" s="1"/>
  <c r="HS10" i="7" a="1"/>
  <c r="HS10" i="7" s="1"/>
  <c r="IR10" i="7" s="1"/>
  <c r="HR10" i="7" a="1"/>
  <c r="HR10" i="7" s="1"/>
  <c r="IQ10" i="7" s="1"/>
  <c r="HQ10" i="7" a="1"/>
  <c r="HQ10" i="7" s="1"/>
  <c r="IP10" i="7" s="1"/>
  <c r="HP10" i="7" a="1"/>
  <c r="HP10" i="7" s="1"/>
  <c r="IO10" i="7" s="1"/>
  <c r="HL10" i="7"/>
  <c r="HJ10" i="7"/>
  <c r="HH10" i="7"/>
  <c r="HB10" i="7"/>
  <c r="HA10" i="7"/>
  <c r="GZ10" i="7"/>
  <c r="GY10" i="7"/>
  <c r="GX10" i="7"/>
  <c r="GW10" i="7"/>
  <c r="GV10" i="7"/>
  <c r="GU10" i="7"/>
  <c r="GT10" i="7"/>
  <c r="GP10" i="7"/>
  <c r="GI10" i="7"/>
  <c r="GH10" i="7"/>
  <c r="GG10" i="7"/>
  <c r="GF10" i="7"/>
  <c r="GE10" i="7"/>
  <c r="GD10" i="7"/>
  <c r="GC10" i="7"/>
  <c r="GB10" i="7"/>
  <c r="GA10" i="7"/>
  <c r="FZ10" i="7"/>
  <c r="FY10" i="7"/>
  <c r="FX10" i="7"/>
  <c r="FW10" i="7"/>
  <c r="FV10" i="7"/>
  <c r="FU10" i="7"/>
  <c r="FT10" i="7"/>
  <c r="FS10" i="7"/>
  <c r="FR10" i="7"/>
  <c r="FQ10" i="7"/>
  <c r="FJ10" i="7"/>
  <c r="FI10" i="7"/>
  <c r="FH10" i="7"/>
  <c r="FG10" i="7"/>
  <c r="FF10" i="7"/>
  <c r="FE10" i="7"/>
  <c r="FD10" i="7"/>
  <c r="FC10" i="7"/>
  <c r="FB10" i="7"/>
  <c r="FA10" i="7"/>
  <c r="EZ10" i="7"/>
  <c r="EY10" i="7"/>
  <c r="EX10" i="7"/>
  <c r="EW10" i="7"/>
  <c r="EV10" i="7"/>
  <c r="EU10" i="7"/>
  <c r="ET10" i="7"/>
  <c r="ES10" i="7"/>
  <c r="ER10" i="7"/>
  <c r="EQ10" i="7"/>
  <c r="EP10" i="7"/>
  <c r="EO10" i="7"/>
  <c r="EN10" i="7"/>
  <c r="EM10" i="7"/>
  <c r="EL10" i="7"/>
  <c r="EK10" i="7"/>
  <c r="EJ10" i="7"/>
  <c r="EI10" i="7"/>
  <c r="EH10" i="7"/>
  <c r="EG10" i="7"/>
  <c r="EF10" i="7"/>
  <c r="EE10" i="7"/>
  <c r="ED10" i="7"/>
  <c r="EC10" i="7"/>
  <c r="EB10" i="7"/>
  <c r="EA10" i="7"/>
  <c r="DV10" i="7"/>
  <c r="DU10" i="7"/>
  <c r="DT10" i="7"/>
  <c r="DS10" i="7"/>
  <c r="DR10" i="7"/>
  <c r="DQ10" i="7"/>
  <c r="DP10" i="7"/>
  <c r="DO10" i="7"/>
  <c r="DN10" i="7"/>
  <c r="DK10" i="7"/>
  <c r="DJ10" i="7"/>
  <c r="DI10" i="7"/>
  <c r="DH10" i="7"/>
  <c r="DG10" i="7"/>
  <c r="DF10" i="7"/>
  <c r="DE10" i="7"/>
  <c r="DD10" i="7"/>
  <c r="DC10" i="7"/>
  <c r="DB10" i="7"/>
  <c r="DA10" i="7"/>
  <c r="CV10" i="7"/>
  <c r="CU10" i="7"/>
  <c r="CT10" i="7"/>
  <c r="CS10" i="7"/>
  <c r="GN10" i="7" s="1"/>
  <c r="CR10" i="7"/>
  <c r="GM10" i="7" s="1"/>
  <c r="CQ10" i="7"/>
  <c r="GL10" i="7" s="1"/>
  <c r="CP10" i="7"/>
  <c r="GJ10" i="7" s="1"/>
  <c r="GK10" i="7" s="1"/>
  <c r="CO10" i="7"/>
  <c r="DZ10" i="7" s="1"/>
  <c r="CN10" i="7"/>
  <c r="DY10" i="7" s="1"/>
  <c r="CM10" i="7"/>
  <c r="DX10" i="7" s="1"/>
  <c r="CL10" i="7"/>
  <c r="DW10" i="7" s="1"/>
  <c r="CG10" i="7" a="1"/>
  <c r="CG10" i="7" s="1"/>
  <c r="CH10" i="7" s="1"/>
  <c r="CW10" i="7" s="1"/>
  <c r="AV10" i="7"/>
  <c r="J10" i="7"/>
  <c r="G10" i="7"/>
  <c r="IL9" i="7"/>
  <c r="HX9" i="7" a="1"/>
  <c r="HX9" i="7" s="1"/>
  <c r="IW9" i="7" s="1"/>
  <c r="HW9" i="7" a="1"/>
  <c r="HW9" i="7" s="1"/>
  <c r="IV9" i="7" s="1"/>
  <c r="HV9" i="7" a="1"/>
  <c r="HV9" i="7" s="1"/>
  <c r="IU9" i="7" s="1"/>
  <c r="HU9" i="7" a="1"/>
  <c r="HU9" i="7" s="1"/>
  <c r="IT9" i="7" s="1"/>
  <c r="HT9" i="7" a="1"/>
  <c r="HT9" i="7" s="1"/>
  <c r="IS9" i="7" s="1"/>
  <c r="HS9" i="7" a="1"/>
  <c r="HS9" i="7" s="1"/>
  <c r="IR9" i="7" s="1"/>
  <c r="HR9" i="7" a="1"/>
  <c r="HR9" i="7" s="1"/>
  <c r="IQ9" i="7" s="1"/>
  <c r="HQ9" i="7" a="1"/>
  <c r="HQ9" i="7" s="1"/>
  <c r="IP9" i="7" s="1"/>
  <c r="HP9" i="7" a="1"/>
  <c r="HP9" i="7" s="1"/>
  <c r="IO9" i="7" s="1"/>
  <c r="HL9" i="7"/>
  <c r="HJ9" i="7"/>
  <c r="HH9" i="7"/>
  <c r="HB9" i="7"/>
  <c r="HA9" i="7"/>
  <c r="GZ9" i="7"/>
  <c r="GY9" i="7"/>
  <c r="GX9" i="7"/>
  <c r="GW9" i="7"/>
  <c r="GV9" i="7"/>
  <c r="GU9" i="7"/>
  <c r="GT9" i="7"/>
  <c r="GP9" i="7"/>
  <c r="GI9" i="7"/>
  <c r="GH9" i="7"/>
  <c r="GG9" i="7"/>
  <c r="GF9" i="7"/>
  <c r="GE9" i="7"/>
  <c r="GD9" i="7"/>
  <c r="GC9" i="7"/>
  <c r="GB9" i="7"/>
  <c r="GA9" i="7"/>
  <c r="FZ9" i="7"/>
  <c r="FY9" i="7"/>
  <c r="FX9" i="7"/>
  <c r="FW9" i="7"/>
  <c r="FV9" i="7"/>
  <c r="FU9" i="7"/>
  <c r="FT9" i="7"/>
  <c r="FS9" i="7"/>
  <c r="FR9" i="7"/>
  <c r="FQ9" i="7"/>
  <c r="FJ9" i="7"/>
  <c r="FI9" i="7"/>
  <c r="FH9" i="7"/>
  <c r="FG9" i="7"/>
  <c r="FF9" i="7"/>
  <c r="FP9" i="7" s="1"/>
  <c r="FE9" i="7"/>
  <c r="FD9" i="7"/>
  <c r="FC9" i="7"/>
  <c r="FB9" i="7"/>
  <c r="FA9" i="7"/>
  <c r="EZ9" i="7"/>
  <c r="EY9" i="7"/>
  <c r="EX9" i="7"/>
  <c r="EW9" i="7"/>
  <c r="EV9" i="7"/>
  <c r="EU9" i="7"/>
  <c r="ET9" i="7"/>
  <c r="ES9" i="7"/>
  <c r="ER9" i="7"/>
  <c r="EQ9" i="7"/>
  <c r="EP9" i="7"/>
  <c r="EO9" i="7"/>
  <c r="EN9" i="7"/>
  <c r="EM9" i="7"/>
  <c r="EL9" i="7"/>
  <c r="EK9" i="7"/>
  <c r="EJ9" i="7"/>
  <c r="EI9" i="7"/>
  <c r="EH9" i="7"/>
  <c r="EG9" i="7"/>
  <c r="EF9" i="7"/>
  <c r="EE9" i="7"/>
  <c r="ED9" i="7"/>
  <c r="EC9" i="7"/>
  <c r="EB9" i="7"/>
  <c r="EA9" i="7"/>
  <c r="DV9" i="7"/>
  <c r="DU9" i="7"/>
  <c r="DT9" i="7"/>
  <c r="DS9" i="7"/>
  <c r="DR9" i="7"/>
  <c r="DQ9" i="7"/>
  <c r="DP9" i="7"/>
  <c r="DO9" i="7"/>
  <c r="DN9" i="7"/>
  <c r="DK9" i="7"/>
  <c r="DJ9" i="7"/>
  <c r="DI9" i="7"/>
  <c r="DH9" i="7"/>
  <c r="DG9" i="7"/>
  <c r="DF9" i="7"/>
  <c r="DE9" i="7"/>
  <c r="DD9" i="7"/>
  <c r="DC9" i="7"/>
  <c r="DB9" i="7"/>
  <c r="DA9" i="7"/>
  <c r="CV9" i="7"/>
  <c r="CU9" i="7"/>
  <c r="CT9" i="7"/>
  <c r="CS9" i="7"/>
  <c r="GN9" i="7" s="1"/>
  <c r="CR9" i="7"/>
  <c r="GM9" i="7" s="1"/>
  <c r="CQ9" i="7"/>
  <c r="GL9" i="7" s="1"/>
  <c r="CP9" i="7"/>
  <c r="GJ9" i="7" s="1"/>
  <c r="GK9" i="7" s="1"/>
  <c r="CO9" i="7"/>
  <c r="DZ9" i="7" s="1"/>
  <c r="CN9" i="7"/>
  <c r="DY9" i="7" s="1"/>
  <c r="CM9" i="7"/>
  <c r="DX9" i="7" s="1"/>
  <c r="CL9" i="7"/>
  <c r="DW9" i="7" s="1"/>
  <c r="CG9" i="7" a="1"/>
  <c r="CG9" i="7" s="1"/>
  <c r="AV9" i="7"/>
  <c r="J9" i="7"/>
  <c r="G9" i="7"/>
  <c r="IL30" i="7"/>
  <c r="HX30" i="7" a="1"/>
  <c r="HX30" i="7" s="1"/>
  <c r="IW30" i="7" s="1"/>
  <c r="HW30" i="7" a="1"/>
  <c r="HW30" i="7" s="1"/>
  <c r="IV30" i="7" s="1"/>
  <c r="HV30" i="7" a="1"/>
  <c r="HV30" i="7" s="1"/>
  <c r="IU30" i="7" s="1"/>
  <c r="HU30" i="7" a="1"/>
  <c r="HU30" i="7" s="1"/>
  <c r="IT30" i="7" s="1"/>
  <c r="HT30" i="7" a="1"/>
  <c r="HT30" i="7" s="1"/>
  <c r="IS30" i="7" s="1"/>
  <c r="HS30" i="7" a="1"/>
  <c r="HS30" i="7" s="1"/>
  <c r="IR30" i="7" s="1"/>
  <c r="HR30" i="7" a="1"/>
  <c r="HR30" i="7" s="1"/>
  <c r="IQ30" i="7" s="1"/>
  <c r="HQ30" i="7" a="1"/>
  <c r="HQ30" i="7" s="1"/>
  <c r="IP30" i="7" s="1"/>
  <c r="HP30" i="7" a="1"/>
  <c r="HP30" i="7" s="1"/>
  <c r="IO30" i="7" s="1"/>
  <c r="HL30" i="7"/>
  <c r="HJ30" i="7"/>
  <c r="HH30" i="7"/>
  <c r="HB30" i="7"/>
  <c r="HA30" i="7"/>
  <c r="GZ30" i="7"/>
  <c r="GY30" i="7"/>
  <c r="GX30" i="7"/>
  <c r="GW30" i="7"/>
  <c r="GV30" i="7"/>
  <c r="GU30" i="7"/>
  <c r="GT30" i="7"/>
  <c r="GP30" i="7"/>
  <c r="GI30" i="7"/>
  <c r="GH30" i="7"/>
  <c r="GG30" i="7"/>
  <c r="GF30" i="7"/>
  <c r="GE30" i="7"/>
  <c r="GD30" i="7"/>
  <c r="GC30" i="7"/>
  <c r="GB30" i="7"/>
  <c r="GA30" i="7"/>
  <c r="FZ30" i="7"/>
  <c r="FY30" i="7"/>
  <c r="FX30" i="7"/>
  <c r="FW30" i="7"/>
  <c r="FV30" i="7"/>
  <c r="FU30" i="7"/>
  <c r="FT30" i="7"/>
  <c r="FS30" i="7"/>
  <c r="FR30" i="7"/>
  <c r="FQ30" i="7"/>
  <c r="FJ30" i="7"/>
  <c r="FI30" i="7"/>
  <c r="FH30" i="7"/>
  <c r="FG30" i="7"/>
  <c r="FF30" i="7"/>
  <c r="FE30" i="7"/>
  <c r="FD30" i="7"/>
  <c r="FC30" i="7"/>
  <c r="FB30" i="7"/>
  <c r="FA30" i="7"/>
  <c r="EZ30" i="7"/>
  <c r="EY30" i="7"/>
  <c r="EX30" i="7"/>
  <c r="EW30" i="7"/>
  <c r="EV30" i="7"/>
  <c r="EU30" i="7"/>
  <c r="ET30" i="7"/>
  <c r="ES30" i="7"/>
  <c r="ER30" i="7"/>
  <c r="EQ30" i="7"/>
  <c r="EP30" i="7"/>
  <c r="EO30" i="7"/>
  <c r="EN30" i="7"/>
  <c r="EM30" i="7"/>
  <c r="EL30" i="7"/>
  <c r="EK30" i="7"/>
  <c r="EJ30" i="7"/>
  <c r="EI30" i="7"/>
  <c r="EH30" i="7"/>
  <c r="EG30" i="7"/>
  <c r="EF30" i="7"/>
  <c r="EE30" i="7"/>
  <c r="ED30" i="7"/>
  <c r="EC30" i="7"/>
  <c r="EB30" i="7"/>
  <c r="EA30" i="7"/>
  <c r="DV30" i="7"/>
  <c r="DU30" i="7"/>
  <c r="DT30" i="7"/>
  <c r="DS30" i="7"/>
  <c r="DR30" i="7"/>
  <c r="DQ30" i="7"/>
  <c r="DP30" i="7"/>
  <c r="DO30" i="7"/>
  <c r="DN30" i="7"/>
  <c r="DK30" i="7"/>
  <c r="DJ30" i="7"/>
  <c r="DI30" i="7"/>
  <c r="DH30" i="7"/>
  <c r="DG30" i="7"/>
  <c r="DF30" i="7"/>
  <c r="DE30" i="7"/>
  <c r="DD30" i="7"/>
  <c r="DC30" i="7"/>
  <c r="DB30" i="7"/>
  <c r="DA30" i="7"/>
  <c r="CV30" i="7"/>
  <c r="CU30" i="7"/>
  <c r="CT30" i="7"/>
  <c r="CS30" i="7"/>
  <c r="GN30" i="7" s="1"/>
  <c r="CR30" i="7"/>
  <c r="GM30" i="7" s="1"/>
  <c r="CQ30" i="7"/>
  <c r="GL30" i="7" s="1"/>
  <c r="CP30" i="7"/>
  <c r="GJ30" i="7" s="1"/>
  <c r="GK30" i="7" s="1"/>
  <c r="CO30" i="7"/>
  <c r="DZ30" i="7" s="1"/>
  <c r="CN30" i="7"/>
  <c r="DY30" i="7" s="1"/>
  <c r="CM30" i="7"/>
  <c r="DX30" i="7" s="1"/>
  <c r="CL30" i="7"/>
  <c r="DW30" i="7" s="1"/>
  <c r="CG30" i="7" a="1"/>
  <c r="CG30" i="7" s="1"/>
  <c r="AV30" i="7"/>
  <c r="J30" i="7"/>
  <c r="G30" i="7"/>
  <c r="IL8" i="7"/>
  <c r="HX8" i="7" a="1"/>
  <c r="HX8" i="7" s="1"/>
  <c r="IW8" i="7" s="1"/>
  <c r="HW8" i="7" a="1"/>
  <c r="HW8" i="7" s="1"/>
  <c r="IV8" i="7" s="1"/>
  <c r="HV8" i="7" a="1"/>
  <c r="HV8" i="7" s="1"/>
  <c r="IU8" i="7" s="1"/>
  <c r="HU8" i="7" a="1"/>
  <c r="HU8" i="7" s="1"/>
  <c r="IT8" i="7" s="1"/>
  <c r="HT8" i="7" a="1"/>
  <c r="HT8" i="7" s="1"/>
  <c r="IS8" i="7" s="1"/>
  <c r="HS8" i="7" a="1"/>
  <c r="HS8" i="7" s="1"/>
  <c r="IR8" i="7" s="1"/>
  <c r="HR8" i="7" a="1"/>
  <c r="HR8" i="7" s="1"/>
  <c r="IQ8" i="7" s="1"/>
  <c r="HQ8" i="7" a="1"/>
  <c r="HQ8" i="7" s="1"/>
  <c r="IP8" i="7" s="1"/>
  <c r="HP8" i="7" a="1"/>
  <c r="HP8" i="7" s="1"/>
  <c r="IO8" i="7" s="1"/>
  <c r="HL8" i="7"/>
  <c r="HJ8" i="7"/>
  <c r="HH8" i="7"/>
  <c r="HB8" i="7"/>
  <c r="HA8" i="7"/>
  <c r="GZ8" i="7"/>
  <c r="GY8" i="7"/>
  <c r="GX8" i="7"/>
  <c r="GW8" i="7"/>
  <c r="GV8" i="7"/>
  <c r="GU8" i="7"/>
  <c r="GT8" i="7"/>
  <c r="GP8" i="7"/>
  <c r="GI8" i="7"/>
  <c r="GH8" i="7"/>
  <c r="GG8" i="7"/>
  <c r="GF8" i="7"/>
  <c r="GE8" i="7"/>
  <c r="GD8" i="7"/>
  <c r="GC8" i="7"/>
  <c r="GB8" i="7"/>
  <c r="GA8" i="7"/>
  <c r="FZ8" i="7"/>
  <c r="FY8" i="7"/>
  <c r="FX8" i="7"/>
  <c r="FW8" i="7"/>
  <c r="FV8" i="7"/>
  <c r="FU8" i="7"/>
  <c r="FT8" i="7"/>
  <c r="FS8" i="7"/>
  <c r="FR8" i="7"/>
  <c r="FQ8" i="7"/>
  <c r="FJ8" i="7"/>
  <c r="FI8" i="7"/>
  <c r="FH8" i="7"/>
  <c r="FG8" i="7"/>
  <c r="FF8" i="7"/>
  <c r="FE8" i="7"/>
  <c r="FD8" i="7"/>
  <c r="FC8" i="7"/>
  <c r="FB8" i="7"/>
  <c r="FA8" i="7"/>
  <c r="EZ8" i="7"/>
  <c r="EY8" i="7"/>
  <c r="EX8" i="7"/>
  <c r="EW8" i="7"/>
  <c r="EV8" i="7"/>
  <c r="EU8" i="7"/>
  <c r="ET8" i="7"/>
  <c r="ES8" i="7"/>
  <c r="ER8" i="7"/>
  <c r="EQ8" i="7"/>
  <c r="EP8" i="7"/>
  <c r="EO8" i="7"/>
  <c r="EN8" i="7"/>
  <c r="EM8" i="7"/>
  <c r="EL8" i="7"/>
  <c r="EK8" i="7"/>
  <c r="EJ8" i="7"/>
  <c r="EI8" i="7"/>
  <c r="EH8" i="7"/>
  <c r="EG8" i="7"/>
  <c r="EF8" i="7"/>
  <c r="EE8" i="7"/>
  <c r="ED8" i="7"/>
  <c r="EC8" i="7"/>
  <c r="EB8" i="7"/>
  <c r="EA8" i="7"/>
  <c r="DV8" i="7"/>
  <c r="DU8" i="7"/>
  <c r="DT8" i="7"/>
  <c r="DS8" i="7"/>
  <c r="DR8" i="7"/>
  <c r="DQ8" i="7"/>
  <c r="DP8" i="7"/>
  <c r="DO8" i="7"/>
  <c r="DN8" i="7"/>
  <c r="DK8" i="7"/>
  <c r="DJ8" i="7"/>
  <c r="DI8" i="7"/>
  <c r="DH8" i="7"/>
  <c r="DG8" i="7"/>
  <c r="DF8" i="7"/>
  <c r="DE8" i="7"/>
  <c r="DD8" i="7"/>
  <c r="DC8" i="7"/>
  <c r="DB8" i="7"/>
  <c r="DA8" i="7"/>
  <c r="CV8" i="7"/>
  <c r="CU8" i="7"/>
  <c r="CT8" i="7"/>
  <c r="CS8" i="7"/>
  <c r="GN8" i="7" s="1"/>
  <c r="CR8" i="7"/>
  <c r="GM8" i="7" s="1"/>
  <c r="CQ8" i="7"/>
  <c r="GL8" i="7" s="1"/>
  <c r="CP8" i="7"/>
  <c r="GJ8" i="7" s="1"/>
  <c r="GK8" i="7" s="1"/>
  <c r="CO8" i="7"/>
  <c r="DZ8" i="7" s="1"/>
  <c r="CN8" i="7"/>
  <c r="DY8" i="7" s="1"/>
  <c r="CM8" i="7"/>
  <c r="DX8" i="7" s="1"/>
  <c r="CL8" i="7"/>
  <c r="DW8" i="7" s="1"/>
  <c r="CG8" i="7" a="1"/>
  <c r="CG8" i="7" s="1"/>
  <c r="AV8" i="7"/>
  <c r="J8" i="7"/>
  <c r="G8" i="7"/>
  <c r="IL7" i="7"/>
  <c r="HX7" i="7" a="1"/>
  <c r="HX7" i="7" s="1"/>
  <c r="IW7" i="7" s="1"/>
  <c r="HW7" i="7" a="1"/>
  <c r="HW7" i="7" s="1"/>
  <c r="IV7" i="7" s="1"/>
  <c r="HV7" i="7" a="1"/>
  <c r="HV7" i="7" s="1"/>
  <c r="IU7" i="7" s="1"/>
  <c r="HU7" i="7" a="1"/>
  <c r="HU7" i="7" s="1"/>
  <c r="IT7" i="7" s="1"/>
  <c r="HT7" i="7" a="1"/>
  <c r="HT7" i="7" s="1"/>
  <c r="IS7" i="7" s="1"/>
  <c r="HS7" i="7" a="1"/>
  <c r="HS7" i="7" s="1"/>
  <c r="IR7" i="7" s="1"/>
  <c r="HR7" i="7" a="1"/>
  <c r="HR7" i="7" s="1"/>
  <c r="IQ7" i="7" s="1"/>
  <c r="HQ7" i="7" a="1"/>
  <c r="HQ7" i="7" s="1"/>
  <c r="IP7" i="7" s="1"/>
  <c r="HP7" i="7" a="1"/>
  <c r="HP7" i="7" s="1"/>
  <c r="IO7" i="7" s="1"/>
  <c r="HL7" i="7"/>
  <c r="HJ7" i="7"/>
  <c r="HH7" i="7"/>
  <c r="HB7" i="7"/>
  <c r="HA7" i="7"/>
  <c r="GZ7" i="7"/>
  <c r="GY7" i="7"/>
  <c r="GX7" i="7"/>
  <c r="GW7" i="7"/>
  <c r="GV7" i="7"/>
  <c r="GU7" i="7"/>
  <c r="GT7" i="7"/>
  <c r="GP7" i="7"/>
  <c r="GI7" i="7"/>
  <c r="GH7" i="7"/>
  <c r="GG7" i="7"/>
  <c r="GF7" i="7"/>
  <c r="GE7" i="7"/>
  <c r="GD7" i="7"/>
  <c r="GC7" i="7"/>
  <c r="GB7" i="7"/>
  <c r="GA7" i="7"/>
  <c r="FZ7" i="7"/>
  <c r="FY7" i="7"/>
  <c r="FX7" i="7"/>
  <c r="FW7" i="7"/>
  <c r="FV7" i="7"/>
  <c r="FU7" i="7"/>
  <c r="FT7" i="7"/>
  <c r="FS7" i="7"/>
  <c r="FR7" i="7"/>
  <c r="FQ7" i="7"/>
  <c r="FJ7" i="7"/>
  <c r="FI7" i="7"/>
  <c r="FH7" i="7"/>
  <c r="FG7" i="7"/>
  <c r="FF7" i="7"/>
  <c r="FP7" i="7" s="1"/>
  <c r="FE7" i="7"/>
  <c r="FD7" i="7"/>
  <c r="FC7" i="7"/>
  <c r="FB7" i="7"/>
  <c r="FA7" i="7"/>
  <c r="EZ7" i="7"/>
  <c r="EY7" i="7"/>
  <c r="EX7" i="7"/>
  <c r="EW7" i="7"/>
  <c r="EV7" i="7"/>
  <c r="EU7" i="7"/>
  <c r="ET7" i="7"/>
  <c r="ES7" i="7"/>
  <c r="ER7" i="7"/>
  <c r="EQ7" i="7"/>
  <c r="EP7" i="7"/>
  <c r="EO7" i="7"/>
  <c r="EN7" i="7"/>
  <c r="EM7" i="7"/>
  <c r="EL7" i="7"/>
  <c r="EK7" i="7"/>
  <c r="EJ7" i="7"/>
  <c r="EI7" i="7"/>
  <c r="EH7" i="7"/>
  <c r="EG7" i="7"/>
  <c r="EF7" i="7"/>
  <c r="EE7" i="7"/>
  <c r="ED7" i="7"/>
  <c r="EC7" i="7"/>
  <c r="EB7" i="7"/>
  <c r="EA7" i="7"/>
  <c r="DV7" i="7"/>
  <c r="DU7" i="7"/>
  <c r="DT7" i="7"/>
  <c r="DS7" i="7"/>
  <c r="DR7" i="7"/>
  <c r="DQ7" i="7"/>
  <c r="DP7" i="7"/>
  <c r="DO7" i="7"/>
  <c r="DN7" i="7"/>
  <c r="DK7" i="7"/>
  <c r="DJ7" i="7"/>
  <c r="DI7" i="7"/>
  <c r="DH7" i="7"/>
  <c r="DG7" i="7"/>
  <c r="DF7" i="7"/>
  <c r="DE7" i="7"/>
  <c r="DD7" i="7"/>
  <c r="DC7" i="7"/>
  <c r="DB7" i="7"/>
  <c r="DA7" i="7"/>
  <c r="CV7" i="7"/>
  <c r="CU7" i="7"/>
  <c r="CT7" i="7"/>
  <c r="CS7" i="7"/>
  <c r="GN7" i="7" s="1"/>
  <c r="CR7" i="7"/>
  <c r="GM7" i="7" s="1"/>
  <c r="CQ7" i="7"/>
  <c r="GL7" i="7" s="1"/>
  <c r="CP7" i="7"/>
  <c r="GJ7" i="7" s="1"/>
  <c r="GK7" i="7" s="1"/>
  <c r="CO7" i="7"/>
  <c r="DZ7" i="7" s="1"/>
  <c r="CN7" i="7"/>
  <c r="DY7" i="7" s="1"/>
  <c r="CM7" i="7"/>
  <c r="DX7" i="7" s="1"/>
  <c r="CL7" i="7"/>
  <c r="DW7" i="7" s="1"/>
  <c r="CG7" i="7" a="1"/>
  <c r="CG7" i="7" s="1"/>
  <c r="IN7" i="7" s="1"/>
  <c r="IX7" i="7" s="1"/>
  <c r="AV7" i="7"/>
  <c r="J7" i="7"/>
  <c r="G7" i="7"/>
  <c r="IL6" i="7"/>
  <c r="HX6" i="7" a="1"/>
  <c r="HX6" i="7" s="1"/>
  <c r="IW6" i="7" s="1"/>
  <c r="HW6" i="7" a="1"/>
  <c r="HW6" i="7" s="1"/>
  <c r="IV6" i="7" s="1"/>
  <c r="HV6" i="7" a="1"/>
  <c r="HV6" i="7" s="1"/>
  <c r="IU6" i="7" s="1"/>
  <c r="HU6" i="7" a="1"/>
  <c r="HU6" i="7" s="1"/>
  <c r="IT6" i="7" s="1"/>
  <c r="HT6" i="7" a="1"/>
  <c r="HT6" i="7" s="1"/>
  <c r="IS6" i="7" s="1"/>
  <c r="HS6" i="7" a="1"/>
  <c r="HS6" i="7" s="1"/>
  <c r="IR6" i="7" s="1"/>
  <c r="HR6" i="7" a="1"/>
  <c r="HR6" i="7" s="1"/>
  <c r="IQ6" i="7" s="1"/>
  <c r="HQ6" i="7" a="1"/>
  <c r="HQ6" i="7" s="1"/>
  <c r="IP6" i="7" s="1"/>
  <c r="HP6" i="7" a="1"/>
  <c r="HP6" i="7" s="1"/>
  <c r="IO6" i="7" s="1"/>
  <c r="HL6" i="7"/>
  <c r="HJ6" i="7"/>
  <c r="HH6" i="7"/>
  <c r="HB6" i="7"/>
  <c r="HA6" i="7"/>
  <c r="GZ6" i="7"/>
  <c r="GY6" i="7"/>
  <c r="GX6" i="7"/>
  <c r="GW6" i="7"/>
  <c r="GV6" i="7"/>
  <c r="GU6" i="7"/>
  <c r="GT6" i="7"/>
  <c r="GP6" i="7"/>
  <c r="GI6" i="7"/>
  <c r="GH6" i="7"/>
  <c r="GG6" i="7"/>
  <c r="GF6" i="7"/>
  <c r="GE6" i="7"/>
  <c r="GD6" i="7"/>
  <c r="GC6" i="7"/>
  <c r="GB6" i="7"/>
  <c r="GA6" i="7"/>
  <c r="FZ6" i="7"/>
  <c r="FY6" i="7"/>
  <c r="FX6" i="7"/>
  <c r="FW6" i="7"/>
  <c r="FV6" i="7"/>
  <c r="FU6" i="7"/>
  <c r="FT6" i="7"/>
  <c r="FS6" i="7"/>
  <c r="FR6" i="7"/>
  <c r="FQ6" i="7"/>
  <c r="FJ6" i="7"/>
  <c r="FI6" i="7"/>
  <c r="FH6" i="7"/>
  <c r="FG6" i="7"/>
  <c r="FF6" i="7"/>
  <c r="FE6" i="7"/>
  <c r="FD6" i="7"/>
  <c r="FC6" i="7"/>
  <c r="FB6" i="7"/>
  <c r="FA6" i="7"/>
  <c r="EZ6" i="7"/>
  <c r="EY6" i="7"/>
  <c r="EX6" i="7"/>
  <c r="EW6" i="7"/>
  <c r="EV6" i="7"/>
  <c r="EU6" i="7"/>
  <c r="ET6" i="7"/>
  <c r="ES6" i="7"/>
  <c r="ER6" i="7"/>
  <c r="EQ6" i="7"/>
  <c r="EP6" i="7"/>
  <c r="EO6" i="7"/>
  <c r="EN6" i="7"/>
  <c r="EM6" i="7"/>
  <c r="EL6" i="7"/>
  <c r="EK6" i="7"/>
  <c r="EJ6" i="7"/>
  <c r="EI6" i="7"/>
  <c r="EH6" i="7"/>
  <c r="EG6" i="7"/>
  <c r="EF6" i="7"/>
  <c r="EE6" i="7"/>
  <c r="ED6" i="7"/>
  <c r="EC6" i="7"/>
  <c r="EB6" i="7"/>
  <c r="EA6" i="7"/>
  <c r="DV6" i="7"/>
  <c r="DU6" i="7"/>
  <c r="DT6" i="7"/>
  <c r="DS6" i="7"/>
  <c r="DR6" i="7"/>
  <c r="DQ6" i="7"/>
  <c r="DP6" i="7"/>
  <c r="DO6" i="7"/>
  <c r="DN6" i="7"/>
  <c r="DK6" i="7"/>
  <c r="DJ6" i="7"/>
  <c r="DI6" i="7"/>
  <c r="DH6" i="7"/>
  <c r="DG6" i="7"/>
  <c r="DF6" i="7"/>
  <c r="DE6" i="7"/>
  <c r="DD6" i="7"/>
  <c r="DC6" i="7"/>
  <c r="DB6" i="7"/>
  <c r="DA6" i="7"/>
  <c r="CV6" i="7"/>
  <c r="CU6" i="7"/>
  <c r="CT6" i="7"/>
  <c r="CS6" i="7"/>
  <c r="GN6" i="7" s="1"/>
  <c r="CR6" i="7"/>
  <c r="GM6" i="7" s="1"/>
  <c r="CQ6" i="7"/>
  <c r="GL6" i="7" s="1"/>
  <c r="CP6" i="7"/>
  <c r="GJ6" i="7" s="1"/>
  <c r="GK6" i="7" s="1"/>
  <c r="CO6" i="7"/>
  <c r="DZ6" i="7" s="1"/>
  <c r="CN6" i="7"/>
  <c r="DY6" i="7" s="1"/>
  <c r="CM6" i="7"/>
  <c r="DX6" i="7" s="1"/>
  <c r="CL6" i="7"/>
  <c r="DW6" i="7" s="1"/>
  <c r="CG6" i="7" a="1"/>
  <c r="CG6" i="7" s="1"/>
  <c r="AV6" i="7"/>
  <c r="J6" i="7"/>
  <c r="G6" i="7"/>
  <c r="IL5" i="7"/>
  <c r="HX5" i="7" a="1"/>
  <c r="HX5" i="7" s="1"/>
  <c r="IW5" i="7" s="1"/>
  <c r="HW5" i="7" a="1"/>
  <c r="HW5" i="7" s="1"/>
  <c r="IV5" i="7" s="1"/>
  <c r="HV5" i="7" a="1"/>
  <c r="HV5" i="7" s="1"/>
  <c r="IU5" i="7" s="1"/>
  <c r="HU5" i="7" a="1"/>
  <c r="HU5" i="7" s="1"/>
  <c r="IT5" i="7" s="1"/>
  <c r="HT5" i="7" a="1"/>
  <c r="HT5" i="7" s="1"/>
  <c r="IS5" i="7" s="1"/>
  <c r="HS5" i="7" a="1"/>
  <c r="HS5" i="7" s="1"/>
  <c r="IR5" i="7" s="1"/>
  <c r="HR5" i="7" a="1"/>
  <c r="HR5" i="7" s="1"/>
  <c r="IQ5" i="7" s="1"/>
  <c r="HQ5" i="7" a="1"/>
  <c r="HQ5" i="7" s="1"/>
  <c r="IP5" i="7" s="1"/>
  <c r="HP5" i="7" a="1"/>
  <c r="HP5" i="7" s="1"/>
  <c r="IO5" i="7" s="1"/>
  <c r="HL5" i="7"/>
  <c r="HJ5" i="7"/>
  <c r="HH5" i="7"/>
  <c r="HB5" i="7"/>
  <c r="HA5" i="7"/>
  <c r="GZ5" i="7"/>
  <c r="GY5" i="7"/>
  <c r="GX5" i="7"/>
  <c r="GW5" i="7"/>
  <c r="GV5" i="7"/>
  <c r="GU5" i="7"/>
  <c r="GT5" i="7"/>
  <c r="GP5" i="7"/>
  <c r="GI5" i="7"/>
  <c r="GH5" i="7"/>
  <c r="GG5" i="7"/>
  <c r="GF5" i="7"/>
  <c r="GE5" i="7"/>
  <c r="GD5" i="7"/>
  <c r="GC5" i="7"/>
  <c r="GB5" i="7"/>
  <c r="GA5" i="7"/>
  <c r="FZ5" i="7"/>
  <c r="FY5" i="7"/>
  <c r="FX5" i="7"/>
  <c r="FW5" i="7"/>
  <c r="FV5" i="7"/>
  <c r="FU5" i="7"/>
  <c r="FT5" i="7"/>
  <c r="FS5" i="7"/>
  <c r="FR5" i="7"/>
  <c r="FQ5" i="7"/>
  <c r="FJ5" i="7"/>
  <c r="FI5" i="7"/>
  <c r="FH5" i="7"/>
  <c r="FG5" i="7"/>
  <c r="FF5" i="7"/>
  <c r="FP5" i="7" s="1"/>
  <c r="FE5" i="7"/>
  <c r="FD5" i="7"/>
  <c r="FC5" i="7"/>
  <c r="FB5" i="7"/>
  <c r="FA5" i="7"/>
  <c r="EZ5" i="7"/>
  <c r="EY5" i="7"/>
  <c r="EX5" i="7"/>
  <c r="EW5" i="7"/>
  <c r="EV5" i="7"/>
  <c r="EU5" i="7"/>
  <c r="ET5" i="7"/>
  <c r="ES5" i="7"/>
  <c r="ER5" i="7"/>
  <c r="EQ5" i="7"/>
  <c r="EP5" i="7"/>
  <c r="EO5" i="7"/>
  <c r="EN5" i="7"/>
  <c r="EM5" i="7"/>
  <c r="EL5" i="7"/>
  <c r="EK5" i="7"/>
  <c r="EJ5" i="7"/>
  <c r="EI5" i="7"/>
  <c r="EH5" i="7"/>
  <c r="EG5" i="7"/>
  <c r="EF5" i="7"/>
  <c r="EE5" i="7"/>
  <c r="ED5" i="7"/>
  <c r="EC5" i="7"/>
  <c r="EB5" i="7"/>
  <c r="EA5" i="7"/>
  <c r="DV5" i="7"/>
  <c r="DU5" i="7"/>
  <c r="DT5" i="7"/>
  <c r="DS5" i="7"/>
  <c r="DR5" i="7"/>
  <c r="DQ5" i="7"/>
  <c r="DP5" i="7"/>
  <c r="DO5" i="7"/>
  <c r="DN5" i="7"/>
  <c r="DK5" i="7"/>
  <c r="DJ5" i="7"/>
  <c r="DI5" i="7"/>
  <c r="DH5" i="7"/>
  <c r="DG5" i="7"/>
  <c r="DF5" i="7"/>
  <c r="DE5" i="7"/>
  <c r="DD5" i="7"/>
  <c r="DC5" i="7"/>
  <c r="DB5" i="7"/>
  <c r="DA5" i="7"/>
  <c r="CV5" i="7"/>
  <c r="CU5" i="7"/>
  <c r="CT5" i="7"/>
  <c r="CS5" i="7"/>
  <c r="GN5" i="7" s="1"/>
  <c r="CR5" i="7"/>
  <c r="GM5" i="7" s="1"/>
  <c r="CQ5" i="7"/>
  <c r="GL5" i="7" s="1"/>
  <c r="CP5" i="7"/>
  <c r="GJ5" i="7" s="1"/>
  <c r="GK5" i="7" s="1"/>
  <c r="CO5" i="7"/>
  <c r="DZ5" i="7" s="1"/>
  <c r="CN5" i="7"/>
  <c r="DY5" i="7" s="1"/>
  <c r="CM5" i="7"/>
  <c r="DX5" i="7" s="1"/>
  <c r="CL5" i="7"/>
  <c r="DW5" i="7" s="1"/>
  <c r="CG5" i="7" a="1"/>
  <c r="CG5" i="7" s="1"/>
  <c r="AV5" i="7"/>
  <c r="J5" i="7"/>
  <c r="G5" i="7"/>
  <c r="IL4" i="7"/>
  <c r="HX4" i="7" a="1"/>
  <c r="HX4" i="7" s="1"/>
  <c r="IW4" i="7" s="1"/>
  <c r="HW4" i="7" a="1"/>
  <c r="HW4" i="7" s="1"/>
  <c r="IV4" i="7" s="1"/>
  <c r="HV4" i="7" a="1"/>
  <c r="HV4" i="7" s="1"/>
  <c r="IU4" i="7" s="1"/>
  <c r="HU4" i="7" a="1"/>
  <c r="HU4" i="7" s="1"/>
  <c r="IT4" i="7" s="1"/>
  <c r="HT4" i="7" a="1"/>
  <c r="HT4" i="7" s="1"/>
  <c r="IS4" i="7" s="1"/>
  <c r="HS4" i="7" a="1"/>
  <c r="HS4" i="7" s="1"/>
  <c r="IR4" i="7" s="1"/>
  <c r="HR4" i="7" a="1"/>
  <c r="HR4" i="7" s="1"/>
  <c r="IQ4" i="7" s="1"/>
  <c r="HQ4" i="7" a="1"/>
  <c r="HQ4" i="7" s="1"/>
  <c r="IP4" i="7" s="1"/>
  <c r="HP4" i="7" a="1"/>
  <c r="HP4" i="7" s="1"/>
  <c r="IO4" i="7" s="1"/>
  <c r="HL4" i="7"/>
  <c r="HJ4" i="7"/>
  <c r="HH4" i="7"/>
  <c r="HB4" i="7"/>
  <c r="HA4" i="7"/>
  <c r="GZ4" i="7"/>
  <c r="GY4" i="7"/>
  <c r="GX4" i="7"/>
  <c r="GW4" i="7"/>
  <c r="GV4" i="7"/>
  <c r="GU4" i="7"/>
  <c r="GT4" i="7"/>
  <c r="GP4" i="7"/>
  <c r="GI4" i="7"/>
  <c r="GH4" i="7"/>
  <c r="GG4" i="7"/>
  <c r="GF4" i="7"/>
  <c r="GE4" i="7"/>
  <c r="GD4" i="7"/>
  <c r="GC4" i="7"/>
  <c r="GB4" i="7"/>
  <c r="GA4" i="7"/>
  <c r="FZ4" i="7"/>
  <c r="FY4" i="7"/>
  <c r="FX4" i="7"/>
  <c r="FW4" i="7"/>
  <c r="FV4" i="7"/>
  <c r="FU4" i="7"/>
  <c r="FT4" i="7"/>
  <c r="FS4" i="7"/>
  <c r="FR4" i="7"/>
  <c r="FQ4" i="7"/>
  <c r="FJ4" i="7"/>
  <c r="FI4" i="7"/>
  <c r="FH4" i="7"/>
  <c r="FG4" i="7"/>
  <c r="FF4" i="7"/>
  <c r="FP4" i="7" s="1"/>
  <c r="FE4" i="7"/>
  <c r="FD4" i="7"/>
  <c r="FC4" i="7"/>
  <c r="FB4" i="7"/>
  <c r="FA4" i="7"/>
  <c r="EZ4" i="7"/>
  <c r="EY4" i="7"/>
  <c r="EX4" i="7"/>
  <c r="EW4" i="7"/>
  <c r="EV4" i="7"/>
  <c r="EU4" i="7"/>
  <c r="ET4" i="7"/>
  <c r="ES4" i="7"/>
  <c r="ER4" i="7"/>
  <c r="EQ4" i="7"/>
  <c r="EP4" i="7"/>
  <c r="EO4" i="7"/>
  <c r="EN4" i="7"/>
  <c r="EM4" i="7"/>
  <c r="EL4" i="7"/>
  <c r="EK4" i="7"/>
  <c r="EJ4" i="7"/>
  <c r="EI4" i="7"/>
  <c r="EH4" i="7"/>
  <c r="EG4" i="7"/>
  <c r="EF4" i="7"/>
  <c r="EE4" i="7"/>
  <c r="ED4" i="7"/>
  <c r="EC4" i="7"/>
  <c r="EB4" i="7"/>
  <c r="EA4" i="7"/>
  <c r="DV4" i="7"/>
  <c r="DU4" i="7"/>
  <c r="DT4" i="7"/>
  <c r="DS4" i="7"/>
  <c r="DR4" i="7"/>
  <c r="DQ4" i="7"/>
  <c r="DP4" i="7"/>
  <c r="DO4" i="7"/>
  <c r="DN4" i="7"/>
  <c r="DK4" i="7"/>
  <c r="DJ4" i="7"/>
  <c r="DI4" i="7"/>
  <c r="DH4" i="7"/>
  <c r="DG4" i="7"/>
  <c r="DF4" i="7"/>
  <c r="DE4" i="7"/>
  <c r="DD4" i="7"/>
  <c r="DC4" i="7"/>
  <c r="DB4" i="7"/>
  <c r="DA4" i="7"/>
  <c r="CV4" i="7"/>
  <c r="CU4" i="7"/>
  <c r="CT4" i="7"/>
  <c r="CS4" i="7"/>
  <c r="GN4" i="7" s="1"/>
  <c r="CR4" i="7"/>
  <c r="GM4" i="7" s="1"/>
  <c r="CQ4" i="7"/>
  <c r="GL4" i="7" s="1"/>
  <c r="CP4" i="7"/>
  <c r="GJ4" i="7" s="1"/>
  <c r="GK4" i="7" s="1"/>
  <c r="CO4" i="7"/>
  <c r="DZ4" i="7" s="1"/>
  <c r="CN4" i="7"/>
  <c r="DY4" i="7" s="1"/>
  <c r="CM4" i="7"/>
  <c r="DX4" i="7" s="1"/>
  <c r="CL4" i="7"/>
  <c r="DW4" i="7" s="1"/>
  <c r="CG4" i="7" a="1"/>
  <c r="CG4" i="7" s="1"/>
  <c r="CI4" i="7" s="1"/>
  <c r="CX4" i="7" s="1"/>
  <c r="AV4" i="7"/>
  <c r="J4" i="7"/>
  <c r="G4" i="7"/>
  <c r="IL3" i="7"/>
  <c r="HX3" i="7" a="1"/>
  <c r="HX3" i="7" s="1"/>
  <c r="IW3" i="7" s="1"/>
  <c r="HW3" i="7" a="1"/>
  <c r="HW3" i="7" s="1"/>
  <c r="IV3" i="7" s="1"/>
  <c r="HV3" i="7" a="1"/>
  <c r="HV3" i="7" s="1"/>
  <c r="IU3" i="7" s="1"/>
  <c r="HU3" i="7" a="1"/>
  <c r="HU3" i="7" s="1"/>
  <c r="IT3" i="7" s="1"/>
  <c r="HT3" i="7" a="1"/>
  <c r="HT3" i="7" s="1"/>
  <c r="IS3" i="7" s="1"/>
  <c r="HS3" i="7" a="1"/>
  <c r="HS3" i="7" s="1"/>
  <c r="IR3" i="7" s="1"/>
  <c r="HR3" i="7" a="1"/>
  <c r="HR3" i="7" s="1"/>
  <c r="IQ3" i="7" s="1"/>
  <c r="HQ3" i="7" a="1"/>
  <c r="HQ3" i="7" s="1"/>
  <c r="IP3" i="7" s="1"/>
  <c r="HP3" i="7" a="1"/>
  <c r="HP3" i="7" s="1"/>
  <c r="IO3" i="7" s="1"/>
  <c r="HL3" i="7"/>
  <c r="HJ3" i="7"/>
  <c r="HH3" i="7"/>
  <c r="HB3" i="7"/>
  <c r="HA3" i="7"/>
  <c r="GZ3" i="7"/>
  <c r="GY3" i="7"/>
  <c r="GX3" i="7"/>
  <c r="GW3" i="7"/>
  <c r="GV3" i="7"/>
  <c r="GU3" i="7"/>
  <c r="GT3" i="7"/>
  <c r="GP3" i="7"/>
  <c r="GI3" i="7"/>
  <c r="GH3" i="7"/>
  <c r="GG3" i="7"/>
  <c r="GF3" i="7"/>
  <c r="GE3" i="7"/>
  <c r="GD3" i="7"/>
  <c r="GC3" i="7"/>
  <c r="GB3" i="7"/>
  <c r="GA3" i="7"/>
  <c r="FZ3" i="7"/>
  <c r="FY3" i="7"/>
  <c r="FX3" i="7"/>
  <c r="FW3" i="7"/>
  <c r="FV3" i="7"/>
  <c r="FU3" i="7"/>
  <c r="FT3" i="7"/>
  <c r="FS3" i="7"/>
  <c r="FR3" i="7"/>
  <c r="FQ3" i="7"/>
  <c r="FJ3" i="7"/>
  <c r="FI3" i="7"/>
  <c r="FH3" i="7"/>
  <c r="FG3" i="7"/>
  <c r="FF3" i="7"/>
  <c r="FE3" i="7"/>
  <c r="FD3" i="7"/>
  <c r="FC3" i="7"/>
  <c r="FB3" i="7"/>
  <c r="FA3" i="7"/>
  <c r="EZ3" i="7"/>
  <c r="EY3" i="7"/>
  <c r="EX3" i="7"/>
  <c r="EW3" i="7"/>
  <c r="EV3" i="7"/>
  <c r="EU3" i="7"/>
  <c r="ET3" i="7"/>
  <c r="ES3" i="7"/>
  <c r="ER3" i="7"/>
  <c r="EQ3" i="7"/>
  <c r="EP3" i="7"/>
  <c r="EO3" i="7"/>
  <c r="EN3" i="7"/>
  <c r="EM3" i="7"/>
  <c r="EL3" i="7"/>
  <c r="EK3" i="7"/>
  <c r="EJ3" i="7"/>
  <c r="EI3" i="7"/>
  <c r="EH3" i="7"/>
  <c r="EG3" i="7"/>
  <c r="EF3" i="7"/>
  <c r="EE3" i="7"/>
  <c r="ED3" i="7"/>
  <c r="EC3" i="7"/>
  <c r="EB3" i="7"/>
  <c r="EA3" i="7"/>
  <c r="DV3" i="7"/>
  <c r="DU3" i="7"/>
  <c r="DT3" i="7"/>
  <c r="DS3" i="7"/>
  <c r="DR3" i="7"/>
  <c r="DQ3" i="7"/>
  <c r="DP3" i="7"/>
  <c r="DO3" i="7"/>
  <c r="DN3" i="7"/>
  <c r="DK3" i="7"/>
  <c r="DJ3" i="7"/>
  <c r="DI3" i="7"/>
  <c r="DH3" i="7"/>
  <c r="DG3" i="7"/>
  <c r="DF3" i="7"/>
  <c r="DE3" i="7"/>
  <c r="DD3" i="7"/>
  <c r="DC3" i="7"/>
  <c r="DB3" i="7"/>
  <c r="DA3" i="7"/>
  <c r="CV3" i="7"/>
  <c r="CU3" i="7"/>
  <c r="CT3" i="7"/>
  <c r="CS3" i="7"/>
  <c r="GN3" i="7" s="1"/>
  <c r="CR3" i="7"/>
  <c r="GM3" i="7" s="1"/>
  <c r="CQ3" i="7"/>
  <c r="GL3" i="7" s="1"/>
  <c r="CP3" i="7"/>
  <c r="GJ3" i="7" s="1"/>
  <c r="GK3" i="7" s="1"/>
  <c r="CO3" i="7"/>
  <c r="DZ3" i="7" s="1"/>
  <c r="CN3" i="7"/>
  <c r="DY3" i="7" s="1"/>
  <c r="CM3" i="7"/>
  <c r="DX3" i="7" s="1"/>
  <c r="CL3" i="7"/>
  <c r="DW3" i="7" s="1"/>
  <c r="CG3" i="7" a="1"/>
  <c r="CG3" i="7" s="1"/>
  <c r="IM3" i="7" s="1"/>
  <c r="AV3" i="7"/>
  <c r="J3" i="7"/>
  <c r="G3" i="7"/>
  <c r="IL2" i="7"/>
  <c r="HX2" i="7" a="1"/>
  <c r="HX2" i="7" s="1"/>
  <c r="IW2" i="7" s="1"/>
  <c r="HW2" i="7" a="1"/>
  <c r="HW2" i="7" s="1"/>
  <c r="IV2" i="7" s="1"/>
  <c r="HV2" i="7" a="1"/>
  <c r="HV2" i="7" s="1"/>
  <c r="IU2" i="7" s="1"/>
  <c r="HU2" i="7" a="1"/>
  <c r="HU2" i="7" s="1"/>
  <c r="IT2" i="7" s="1"/>
  <c r="HT2" i="7" a="1"/>
  <c r="HT2" i="7" s="1"/>
  <c r="IS2" i="7" s="1"/>
  <c r="HS2" i="7" a="1"/>
  <c r="HS2" i="7" s="1"/>
  <c r="IR2" i="7" s="1"/>
  <c r="HR2" i="7" a="1"/>
  <c r="HR2" i="7" s="1"/>
  <c r="IQ2" i="7" s="1"/>
  <c r="HQ2" i="7" a="1"/>
  <c r="HQ2" i="7" s="1"/>
  <c r="IP2" i="7" s="1"/>
  <c r="HP2" i="7" a="1"/>
  <c r="HP2" i="7" s="1"/>
  <c r="IO2" i="7" s="1"/>
  <c r="HL2" i="7"/>
  <c r="HJ2" i="7"/>
  <c r="HH2" i="7"/>
  <c r="HB2" i="7"/>
  <c r="HA2" i="7"/>
  <c r="GZ2" i="7"/>
  <c r="GY2" i="7"/>
  <c r="GX2" i="7"/>
  <c r="GW2" i="7"/>
  <c r="GV2" i="7"/>
  <c r="GU2" i="7"/>
  <c r="GT2" i="7"/>
  <c r="GP2" i="7"/>
  <c r="GI2" i="7"/>
  <c r="GH2" i="7"/>
  <c r="GG2" i="7"/>
  <c r="GF2" i="7"/>
  <c r="GE2" i="7"/>
  <c r="GD2" i="7"/>
  <c r="GC2" i="7"/>
  <c r="GB2" i="7"/>
  <c r="GA2" i="7"/>
  <c r="FZ2" i="7"/>
  <c r="FY2" i="7"/>
  <c r="FX2" i="7"/>
  <c r="FW2" i="7"/>
  <c r="FV2" i="7"/>
  <c r="FU2" i="7"/>
  <c r="FT2" i="7"/>
  <c r="FS2" i="7"/>
  <c r="FR2" i="7"/>
  <c r="FQ2" i="7"/>
  <c r="FJ2" i="7"/>
  <c r="FI2" i="7"/>
  <c r="FH2" i="7"/>
  <c r="FG2" i="7"/>
  <c r="FF2" i="7"/>
  <c r="FE2" i="7"/>
  <c r="FD2" i="7"/>
  <c r="FC2" i="7"/>
  <c r="FB2" i="7"/>
  <c r="FA2" i="7"/>
  <c r="EZ2" i="7"/>
  <c r="EY2" i="7"/>
  <c r="EX2" i="7"/>
  <c r="EW2" i="7"/>
  <c r="EV2" i="7"/>
  <c r="EU2" i="7"/>
  <c r="ET2" i="7"/>
  <c r="ES2" i="7"/>
  <c r="ER2" i="7"/>
  <c r="EQ2" i="7"/>
  <c r="EP2" i="7"/>
  <c r="EO2" i="7"/>
  <c r="EN2" i="7"/>
  <c r="EM2" i="7"/>
  <c r="EL2" i="7"/>
  <c r="EK2" i="7"/>
  <c r="EJ2" i="7"/>
  <c r="EI2" i="7"/>
  <c r="EH2" i="7"/>
  <c r="EG2" i="7"/>
  <c r="EF2" i="7"/>
  <c r="EE2" i="7"/>
  <c r="ED2" i="7"/>
  <c r="EC2" i="7"/>
  <c r="EB2" i="7"/>
  <c r="EA2" i="7"/>
  <c r="DV2" i="7"/>
  <c r="DU2" i="7"/>
  <c r="DT2" i="7"/>
  <c r="DS2" i="7"/>
  <c r="DR2" i="7"/>
  <c r="DQ2" i="7"/>
  <c r="DP2" i="7"/>
  <c r="DO2" i="7"/>
  <c r="DN2" i="7"/>
  <c r="DK2" i="7"/>
  <c r="DJ2" i="7"/>
  <c r="DI2" i="7"/>
  <c r="DH2" i="7"/>
  <c r="DG2" i="7"/>
  <c r="DF2" i="7"/>
  <c r="DE2" i="7"/>
  <c r="DD2" i="7"/>
  <c r="DC2" i="7"/>
  <c r="DB2" i="7"/>
  <c r="DA2" i="7"/>
  <c r="CV2" i="7"/>
  <c r="CU2" i="7"/>
  <c r="CT2" i="7"/>
  <c r="CS2" i="7"/>
  <c r="GN2" i="7" s="1"/>
  <c r="CR2" i="7"/>
  <c r="GM2" i="7" s="1"/>
  <c r="CQ2" i="7"/>
  <c r="GL2" i="7" s="1"/>
  <c r="CP2" i="7"/>
  <c r="GJ2" i="7" s="1"/>
  <c r="GK2" i="7" s="1"/>
  <c r="CO2" i="7"/>
  <c r="DZ2" i="7" s="1"/>
  <c r="CN2" i="7"/>
  <c r="DY2" i="7" s="1"/>
  <c r="CM2" i="7"/>
  <c r="DX2" i="7" s="1"/>
  <c r="CL2" i="7"/>
  <c r="DW2" i="7" s="1"/>
  <c r="CG2" i="7" a="1"/>
  <c r="CG2" i="7" s="1"/>
  <c r="AV2" i="7"/>
  <c r="J2" i="7"/>
  <c r="G2" i="7"/>
  <c r="HX33" i="7" a="1"/>
  <c r="HX33" i="7" s="1"/>
  <c r="IW33" i="7" s="1"/>
  <c r="HW33" i="7" a="1"/>
  <c r="HW33" i="7" s="1"/>
  <c r="IV33" i="7" s="1"/>
  <c r="HV33" i="7" a="1"/>
  <c r="HV33" i="7" s="1"/>
  <c r="IU33" i="7" s="1"/>
  <c r="HU33" i="7" a="1"/>
  <c r="HU33" i="7" s="1"/>
  <c r="IT33" i="7" s="1"/>
  <c r="HT33" i="7" a="1"/>
  <c r="HT33" i="7" s="1"/>
  <c r="IS33" i="7" s="1"/>
  <c r="HS33" i="7" a="1"/>
  <c r="HS33" i="7" s="1"/>
  <c r="IR33" i="7" s="1"/>
  <c r="HR33" i="7" a="1"/>
  <c r="HR33" i="7" s="1"/>
  <c r="IQ33" i="7" s="1"/>
  <c r="HQ33" i="7" a="1"/>
  <c r="HQ33" i="7" s="1"/>
  <c r="IP33" i="7" s="1"/>
  <c r="HP33" i="7" a="1"/>
  <c r="HP33" i="7" s="1"/>
  <c r="IO33" i="7" s="1"/>
  <c r="HL33" i="7"/>
  <c r="HJ33" i="7"/>
  <c r="HH33" i="7"/>
  <c r="HB33" i="7"/>
  <c r="HA33" i="7"/>
  <c r="GZ33" i="7"/>
  <c r="GY33" i="7"/>
  <c r="GX33" i="7"/>
  <c r="GW33" i="7"/>
  <c r="GV33" i="7"/>
  <c r="GU33" i="7"/>
  <c r="GT33" i="7"/>
  <c r="GP33" i="7"/>
  <c r="GI33" i="7"/>
  <c r="GH33" i="7"/>
  <c r="GG33" i="7"/>
  <c r="GF33" i="7"/>
  <c r="GE33" i="7"/>
  <c r="GB33" i="7"/>
  <c r="GA33" i="7"/>
  <c r="FZ33" i="7"/>
  <c r="FY33" i="7"/>
  <c r="FW33" i="7"/>
  <c r="FV33" i="7"/>
  <c r="FU33" i="7"/>
  <c r="FT33" i="7"/>
  <c r="FS33" i="7"/>
  <c r="FR33" i="7"/>
  <c r="FQ33" i="7"/>
  <c r="FJ33" i="7"/>
  <c r="FI33" i="7"/>
  <c r="FH33" i="7"/>
  <c r="FG33" i="7"/>
  <c r="FF33" i="7"/>
  <c r="FP33" i="7" s="1"/>
  <c r="FE33" i="7"/>
  <c r="FD33" i="7"/>
  <c r="FB33" i="7"/>
  <c r="FA33" i="7"/>
  <c r="EZ33" i="7"/>
  <c r="EY33" i="7"/>
  <c r="EX33" i="7"/>
  <c r="EW33" i="7"/>
  <c r="EV33" i="7"/>
  <c r="EU33" i="7"/>
  <c r="ET33" i="7"/>
  <c r="ES33" i="7"/>
  <c r="ER33" i="7"/>
  <c r="EQ33" i="7"/>
  <c r="EP33" i="7"/>
  <c r="EO33" i="7"/>
  <c r="EN33" i="7"/>
  <c r="EM33" i="7"/>
  <c r="EL33" i="7"/>
  <c r="EK33" i="7"/>
  <c r="EJ33" i="7"/>
  <c r="EI33" i="7"/>
  <c r="EH33" i="7"/>
  <c r="EG33" i="7"/>
  <c r="EF33" i="7"/>
  <c r="EE33" i="7"/>
  <c r="ED33" i="7"/>
  <c r="EC33" i="7"/>
  <c r="EB33" i="7"/>
  <c r="EA33" i="7"/>
  <c r="DU33" i="7"/>
  <c r="DT33" i="7"/>
  <c r="DS33" i="7"/>
  <c r="DR33" i="7"/>
  <c r="DQ33" i="7"/>
  <c r="DP33" i="7"/>
  <c r="DO33" i="7"/>
  <c r="DN33" i="7"/>
  <c r="DK33" i="7"/>
  <c r="DJ33" i="7"/>
  <c r="DI33" i="7"/>
  <c r="DH33" i="7"/>
  <c r="DG33" i="7"/>
  <c r="DF33" i="7"/>
  <c r="DE33" i="7"/>
  <c r="DD33" i="7"/>
  <c r="DB33" i="7"/>
  <c r="DA33" i="7"/>
  <c r="CV33" i="7"/>
  <c r="CU33" i="7"/>
  <c r="CT33" i="7"/>
  <c r="CS33" i="7"/>
  <c r="GN33" i="7" s="1"/>
  <c r="CR33" i="7"/>
  <c r="GM33" i="7" s="1"/>
  <c r="CQ33" i="7"/>
  <c r="GL33" i="7" s="1"/>
  <c r="CP33" i="7"/>
  <c r="GJ33" i="7" s="1"/>
  <c r="GK33" i="7" s="1"/>
  <c r="CO33" i="7"/>
  <c r="DZ33" i="7" s="1"/>
  <c r="CN33" i="7"/>
  <c r="DY33" i="7" s="1"/>
  <c r="CM33" i="7"/>
  <c r="DX33" i="7" s="1"/>
  <c r="CL33" i="7"/>
  <c r="DW33" i="7" s="1"/>
  <c r="CG33" i="7" a="1"/>
  <c r="CG33" i="7" s="1"/>
  <c r="AV33" i="7"/>
  <c r="J33" i="7"/>
  <c r="G33" i="7"/>
  <c r="HX32" i="7" a="1"/>
  <c r="HX32" i="7" s="1"/>
  <c r="IW32" i="7" s="1"/>
  <c r="HW32" i="7" a="1"/>
  <c r="HW32" i="7" s="1"/>
  <c r="IV32" i="7" s="1"/>
  <c r="HV32" i="7" a="1"/>
  <c r="HV32" i="7" s="1"/>
  <c r="IU32" i="7" s="1"/>
  <c r="HU32" i="7" a="1"/>
  <c r="HU32" i="7" s="1"/>
  <c r="IT32" i="7" s="1"/>
  <c r="HT32" i="7" a="1"/>
  <c r="HT32" i="7" s="1"/>
  <c r="IS32" i="7" s="1"/>
  <c r="HS32" i="7" a="1"/>
  <c r="HS32" i="7" s="1"/>
  <c r="IR32" i="7" s="1"/>
  <c r="HR32" i="7" a="1"/>
  <c r="HR32" i="7" s="1"/>
  <c r="IQ32" i="7" s="1"/>
  <c r="HQ32" i="7" a="1"/>
  <c r="HQ32" i="7" s="1"/>
  <c r="IP32" i="7" s="1"/>
  <c r="HP32" i="7" a="1"/>
  <c r="HP32" i="7" s="1"/>
  <c r="IO32" i="7" s="1"/>
  <c r="HL32" i="7"/>
  <c r="HJ32" i="7"/>
  <c r="HH32" i="7"/>
  <c r="HB32" i="7"/>
  <c r="HA32" i="7"/>
  <c r="GZ32" i="7"/>
  <c r="GY32" i="7"/>
  <c r="GX32" i="7"/>
  <c r="GW32" i="7"/>
  <c r="GV32" i="7"/>
  <c r="GU32" i="7"/>
  <c r="GT32" i="7"/>
  <c r="GP32" i="7"/>
  <c r="GI32" i="7"/>
  <c r="GH32" i="7"/>
  <c r="GG32" i="7"/>
  <c r="GF32" i="7"/>
  <c r="GE32" i="7"/>
  <c r="GB32" i="7"/>
  <c r="GA32" i="7"/>
  <c r="FZ32" i="7"/>
  <c r="FY32" i="7"/>
  <c r="FW32" i="7"/>
  <c r="FV32" i="7"/>
  <c r="FU32" i="7"/>
  <c r="FT32" i="7"/>
  <c r="FS32" i="7"/>
  <c r="FR32" i="7"/>
  <c r="FQ32" i="7"/>
  <c r="FJ32" i="7"/>
  <c r="FI32" i="7"/>
  <c r="FH32" i="7"/>
  <c r="FG32" i="7"/>
  <c r="FF32" i="7"/>
  <c r="FP32" i="7" s="1"/>
  <c r="FE32" i="7"/>
  <c r="FD32" i="7"/>
  <c r="FB32" i="7"/>
  <c r="FA32" i="7"/>
  <c r="EZ32" i="7"/>
  <c r="EY32" i="7"/>
  <c r="EX32" i="7"/>
  <c r="EW32" i="7"/>
  <c r="EV32" i="7"/>
  <c r="EU32" i="7"/>
  <c r="ET32" i="7"/>
  <c r="ES32" i="7"/>
  <c r="ER32" i="7"/>
  <c r="EQ32" i="7"/>
  <c r="EP32" i="7"/>
  <c r="EO32" i="7"/>
  <c r="EN32" i="7"/>
  <c r="EM32" i="7"/>
  <c r="EL32" i="7"/>
  <c r="EK32" i="7"/>
  <c r="EJ32" i="7"/>
  <c r="EI32" i="7"/>
  <c r="EH32" i="7"/>
  <c r="EG32" i="7"/>
  <c r="EF32" i="7"/>
  <c r="EE32" i="7"/>
  <c r="ED32" i="7"/>
  <c r="EC32" i="7"/>
  <c r="EB32" i="7"/>
  <c r="EA32" i="7"/>
  <c r="DU32" i="7"/>
  <c r="DT32" i="7"/>
  <c r="DS32" i="7"/>
  <c r="DR32" i="7"/>
  <c r="DQ32" i="7"/>
  <c r="DP32" i="7"/>
  <c r="DO32" i="7"/>
  <c r="DN32" i="7"/>
  <c r="DK32" i="7"/>
  <c r="DJ32" i="7"/>
  <c r="DI32" i="7"/>
  <c r="DH32" i="7"/>
  <c r="DG32" i="7"/>
  <c r="DF32" i="7"/>
  <c r="DE32" i="7"/>
  <c r="DD32" i="7"/>
  <c r="DB32" i="7"/>
  <c r="DA32" i="7"/>
  <c r="CV32" i="7"/>
  <c r="CU32" i="7"/>
  <c r="CT32" i="7"/>
  <c r="CS32" i="7"/>
  <c r="GN32" i="7" s="1"/>
  <c r="CR32" i="7"/>
  <c r="GM32" i="7" s="1"/>
  <c r="CQ32" i="7"/>
  <c r="GL32" i="7" s="1"/>
  <c r="CP32" i="7"/>
  <c r="GJ32" i="7" s="1"/>
  <c r="GK32" i="7" s="1"/>
  <c r="CO32" i="7"/>
  <c r="DZ32" i="7" s="1"/>
  <c r="CN32" i="7"/>
  <c r="DY32" i="7" s="1"/>
  <c r="CM32" i="7"/>
  <c r="DX32" i="7" s="1"/>
  <c r="CL32" i="7"/>
  <c r="DW32" i="7" s="1"/>
  <c r="CG32" i="7" a="1"/>
  <c r="CG32" i="7" s="1"/>
  <c r="AV32" i="7"/>
  <c r="J32" i="7"/>
  <c r="G32" i="7"/>
  <c r="HX31" i="7" a="1"/>
  <c r="HX31" i="7" s="1"/>
  <c r="IW31" i="7" s="1"/>
  <c r="HW31" i="7" a="1"/>
  <c r="HW31" i="7" s="1"/>
  <c r="IV31" i="7" s="1"/>
  <c r="HV31" i="7" a="1"/>
  <c r="HV31" i="7" s="1"/>
  <c r="IU31" i="7" s="1"/>
  <c r="HU31" i="7" a="1"/>
  <c r="HU31" i="7" s="1"/>
  <c r="IT31" i="7" s="1"/>
  <c r="HT31" i="7" a="1"/>
  <c r="HT31" i="7" s="1"/>
  <c r="IS31" i="7" s="1"/>
  <c r="HS31" i="7" a="1"/>
  <c r="HS31" i="7" s="1"/>
  <c r="IR31" i="7" s="1"/>
  <c r="HR31" i="7" a="1"/>
  <c r="HR31" i="7" s="1"/>
  <c r="IQ31" i="7" s="1"/>
  <c r="HQ31" i="7" a="1"/>
  <c r="HQ31" i="7" s="1"/>
  <c r="IP31" i="7" s="1"/>
  <c r="HP31" i="7" a="1"/>
  <c r="HP31" i="7" s="1"/>
  <c r="IO31" i="7" s="1"/>
  <c r="HL31" i="7"/>
  <c r="HJ31" i="7"/>
  <c r="HH31" i="7"/>
  <c r="HB31" i="7"/>
  <c r="HA31" i="7"/>
  <c r="GZ31" i="7"/>
  <c r="GY31" i="7"/>
  <c r="GX31" i="7"/>
  <c r="GW31" i="7"/>
  <c r="GV31" i="7"/>
  <c r="GU31" i="7"/>
  <c r="GT31" i="7"/>
  <c r="GP31" i="7"/>
  <c r="GI31" i="7"/>
  <c r="GH31" i="7"/>
  <c r="GG31" i="7"/>
  <c r="GF31" i="7"/>
  <c r="GE31" i="7"/>
  <c r="GB31" i="7"/>
  <c r="GA31" i="7"/>
  <c r="FZ31" i="7"/>
  <c r="FY31" i="7"/>
  <c r="FW31" i="7"/>
  <c r="FV31" i="7"/>
  <c r="FU31" i="7"/>
  <c r="FT31" i="7"/>
  <c r="FS31" i="7"/>
  <c r="FR31" i="7"/>
  <c r="FQ31" i="7"/>
  <c r="FJ31" i="7"/>
  <c r="FI31" i="7"/>
  <c r="FH31" i="7"/>
  <c r="FG31" i="7"/>
  <c r="FF31" i="7"/>
  <c r="FP31" i="7" s="1"/>
  <c r="FE31" i="7"/>
  <c r="FD31" i="7"/>
  <c r="FB31" i="7"/>
  <c r="FA31" i="7"/>
  <c r="EZ31" i="7"/>
  <c r="EY31" i="7"/>
  <c r="EX31" i="7"/>
  <c r="EW31" i="7"/>
  <c r="EV31" i="7"/>
  <c r="EU31" i="7"/>
  <c r="ET31" i="7"/>
  <c r="ES31" i="7"/>
  <c r="ER31" i="7"/>
  <c r="EQ31" i="7"/>
  <c r="EP31" i="7"/>
  <c r="EO31" i="7"/>
  <c r="EN31" i="7"/>
  <c r="EM31" i="7"/>
  <c r="EL31" i="7"/>
  <c r="EK31" i="7"/>
  <c r="EJ31" i="7"/>
  <c r="EI31" i="7"/>
  <c r="EH31" i="7"/>
  <c r="EG31" i="7"/>
  <c r="EF31" i="7"/>
  <c r="EE31" i="7"/>
  <c r="ED31" i="7"/>
  <c r="EC31" i="7"/>
  <c r="EB31" i="7"/>
  <c r="EA31" i="7"/>
  <c r="DU31" i="7"/>
  <c r="DT31" i="7"/>
  <c r="DS31" i="7"/>
  <c r="DR31" i="7"/>
  <c r="DQ31" i="7"/>
  <c r="DP31" i="7"/>
  <c r="DO31" i="7"/>
  <c r="DN31" i="7"/>
  <c r="DK31" i="7"/>
  <c r="DJ31" i="7"/>
  <c r="DI31" i="7"/>
  <c r="DH31" i="7"/>
  <c r="DG31" i="7"/>
  <c r="DF31" i="7"/>
  <c r="DE31" i="7"/>
  <c r="DD31" i="7"/>
  <c r="DB31" i="7"/>
  <c r="DA31" i="7"/>
  <c r="CV31" i="7"/>
  <c r="CU31" i="7"/>
  <c r="CT31" i="7"/>
  <c r="CS31" i="7"/>
  <c r="GN31" i="7" s="1"/>
  <c r="CR31" i="7"/>
  <c r="GM31" i="7" s="1"/>
  <c r="CQ31" i="7"/>
  <c r="GL31" i="7" s="1"/>
  <c r="CP31" i="7"/>
  <c r="GJ31" i="7" s="1"/>
  <c r="GK31" i="7" s="1"/>
  <c r="CO31" i="7"/>
  <c r="DZ31" i="7" s="1"/>
  <c r="CN31" i="7"/>
  <c r="DY31" i="7" s="1"/>
  <c r="CM31" i="7"/>
  <c r="DX31" i="7" s="1"/>
  <c r="CL31" i="7"/>
  <c r="DW31" i="7" s="1"/>
  <c r="CG31" i="7" a="1"/>
  <c r="CG31" i="7" s="1"/>
  <c r="AV31" i="7"/>
  <c r="J31" i="7"/>
  <c r="G31" i="7"/>
  <c r="M28" i="5"/>
  <c r="M27" i="5"/>
  <c r="M26" i="5"/>
  <c r="M25" i="5"/>
  <c r="M24" i="5"/>
  <c r="M23" i="5"/>
  <c r="M22" i="5"/>
  <c r="M21" i="5"/>
  <c r="M20" i="5"/>
  <c r="M19" i="5"/>
  <c r="M18" i="5"/>
  <c r="M17" i="5"/>
  <c r="M16" i="5"/>
  <c r="M15" i="5"/>
  <c r="M14" i="5"/>
  <c r="M13" i="5"/>
  <c r="M12" i="5"/>
  <c r="M11" i="5"/>
  <c r="M10" i="5"/>
  <c r="M9" i="5"/>
  <c r="M8" i="5"/>
  <c r="M7" i="5"/>
  <c r="M6" i="5"/>
  <c r="M5" i="5"/>
  <c r="AW20" i="3"/>
  <c r="AW3" i="3"/>
  <c r="AW4" i="3"/>
  <c r="AW5" i="3"/>
  <c r="AW6" i="3"/>
  <c r="AW7" i="3"/>
  <c r="AW8" i="3"/>
  <c r="AW9" i="3"/>
  <c r="AW10" i="3"/>
  <c r="AW11" i="3"/>
  <c r="AW12" i="3"/>
  <c r="AW13" i="3"/>
  <c r="AW14" i="3"/>
  <c r="AW15" i="3"/>
  <c r="AW16" i="3"/>
  <c r="AW17" i="3"/>
  <c r="AW18" i="3"/>
  <c r="AW19" i="3"/>
  <c r="AW21" i="3"/>
  <c r="AW22" i="3"/>
  <c r="AW2" i="3"/>
  <c r="J20" i="3"/>
  <c r="IL20" i="3"/>
  <c r="HX20" i="3" a="1"/>
  <c r="HX20" i="3" s="1"/>
  <c r="IW20" i="3" s="1"/>
  <c r="HW20" i="3" a="1"/>
  <c r="HW20" i="3" s="1"/>
  <c r="IV20" i="3" s="1"/>
  <c r="HV20" i="3" a="1"/>
  <c r="HV20" i="3" s="1"/>
  <c r="IU20" i="3" s="1"/>
  <c r="HU20" i="3" a="1"/>
  <c r="HU20" i="3" s="1"/>
  <c r="IT20" i="3" s="1"/>
  <c r="HT20" i="3" a="1"/>
  <c r="HT20" i="3" s="1"/>
  <c r="IS20" i="3" s="1"/>
  <c r="HS20" i="3" a="1"/>
  <c r="HS20" i="3" s="1"/>
  <c r="IR20" i="3" s="1"/>
  <c r="HR20" i="3" a="1"/>
  <c r="HR20" i="3" s="1"/>
  <c r="IQ20" i="3" s="1"/>
  <c r="HQ20" i="3" a="1"/>
  <c r="HQ20" i="3" s="1"/>
  <c r="IP20" i="3" s="1"/>
  <c r="HP20" i="3" a="1"/>
  <c r="HP20" i="3" s="1"/>
  <c r="IO20" i="3" s="1"/>
  <c r="HL20" i="3"/>
  <c r="HJ20" i="3"/>
  <c r="HH20" i="3"/>
  <c r="HB20" i="3"/>
  <c r="HA20" i="3"/>
  <c r="GZ20" i="3"/>
  <c r="GY20" i="3"/>
  <c r="GX20" i="3"/>
  <c r="GW20" i="3"/>
  <c r="GV20" i="3"/>
  <c r="GU20" i="3"/>
  <c r="GT20" i="3"/>
  <c r="GP20" i="3"/>
  <c r="GI20" i="3"/>
  <c r="GH20" i="3"/>
  <c r="GG20" i="3"/>
  <c r="GF20" i="3"/>
  <c r="GE20" i="3"/>
  <c r="GD20" i="3"/>
  <c r="GC20" i="3"/>
  <c r="GB20" i="3"/>
  <c r="GA20" i="3"/>
  <c r="FZ20" i="3"/>
  <c r="FY20" i="3"/>
  <c r="FX20" i="3"/>
  <c r="FW20" i="3"/>
  <c r="FV20" i="3"/>
  <c r="FU20" i="3"/>
  <c r="FT20" i="3"/>
  <c r="FS20" i="3"/>
  <c r="FR20" i="3"/>
  <c r="FQ20" i="3"/>
  <c r="FJ20" i="3"/>
  <c r="FI20" i="3"/>
  <c r="FH20" i="3"/>
  <c r="FG20" i="3"/>
  <c r="FF20" i="3"/>
  <c r="FP20" i="3" s="1"/>
  <c r="FE20" i="3"/>
  <c r="FD20" i="3"/>
  <c r="FC20" i="3"/>
  <c r="FB20" i="3"/>
  <c r="FA20" i="3"/>
  <c r="EZ20" i="3"/>
  <c r="EY20" i="3"/>
  <c r="EX20" i="3"/>
  <c r="EW20" i="3"/>
  <c r="EV20" i="3"/>
  <c r="EU20" i="3"/>
  <c r="ET20" i="3"/>
  <c r="ES20" i="3"/>
  <c r="ER20" i="3"/>
  <c r="EQ20" i="3"/>
  <c r="EP20" i="3"/>
  <c r="EO20" i="3"/>
  <c r="EN20" i="3"/>
  <c r="EM20" i="3"/>
  <c r="EL20" i="3"/>
  <c r="EK20" i="3"/>
  <c r="EJ20" i="3"/>
  <c r="EI20" i="3"/>
  <c r="EH20" i="3"/>
  <c r="EG20" i="3"/>
  <c r="EF20" i="3"/>
  <c r="EE20" i="3"/>
  <c r="ED20" i="3"/>
  <c r="EC20" i="3"/>
  <c r="EB20" i="3"/>
  <c r="EA20" i="3"/>
  <c r="DV20" i="3"/>
  <c r="DU20" i="3"/>
  <c r="DT20" i="3"/>
  <c r="DS20" i="3"/>
  <c r="DR20" i="3"/>
  <c r="DQ20" i="3"/>
  <c r="DP20" i="3"/>
  <c r="DO20" i="3"/>
  <c r="DN20" i="3"/>
  <c r="DK20" i="3"/>
  <c r="DJ20" i="3"/>
  <c r="DI20" i="3"/>
  <c r="DH20" i="3"/>
  <c r="DG20" i="3"/>
  <c r="DF20" i="3"/>
  <c r="DE20" i="3"/>
  <c r="DD20" i="3"/>
  <c r="DC20" i="3"/>
  <c r="DB20" i="3"/>
  <c r="DA20" i="3"/>
  <c r="CV20" i="3"/>
  <c r="CU20" i="3"/>
  <c r="CT20" i="3"/>
  <c r="CS20" i="3"/>
  <c r="GN20" i="3" s="1"/>
  <c r="CR20" i="3"/>
  <c r="GM20" i="3" s="1"/>
  <c r="CQ20" i="3"/>
  <c r="GL20" i="3" s="1"/>
  <c r="CP20" i="3"/>
  <c r="GJ20" i="3" s="1"/>
  <c r="GK20" i="3" s="1"/>
  <c r="CO20" i="3"/>
  <c r="DZ20" i="3" s="1"/>
  <c r="CN20" i="3"/>
  <c r="DY20" i="3" s="1"/>
  <c r="CM20" i="3"/>
  <c r="DX20" i="3" s="1"/>
  <c r="CL20" i="3"/>
  <c r="DW20" i="3" s="1"/>
  <c r="CG20" i="3" a="1"/>
  <c r="CG20" i="3" s="1"/>
  <c r="AV20" i="3"/>
  <c r="G20" i="3"/>
  <c r="HI14" i="7" l="1"/>
  <c r="FO32" i="7"/>
  <c r="HI20" i="3"/>
  <c r="CK5" i="8"/>
  <c r="CZ5" i="8" s="1"/>
  <c r="FK6" i="8"/>
  <c r="IN2" i="8"/>
  <c r="IX2" i="8" s="1"/>
  <c r="FO5" i="8"/>
  <c r="HI4" i="8"/>
  <c r="HI2" i="8"/>
  <c r="HI6" i="8"/>
  <c r="FM6" i="8"/>
  <c r="FL3" i="8"/>
  <c r="FN2" i="8"/>
  <c r="HI5" i="8"/>
  <c r="HC4" i="8"/>
  <c r="FP5" i="8"/>
  <c r="FK5" i="8"/>
  <c r="FN5" i="8"/>
  <c r="FL5" i="8"/>
  <c r="FO3" i="8"/>
  <c r="FM5" i="8"/>
  <c r="FO4" i="8"/>
  <c r="HC3" i="8"/>
  <c r="FL4" i="8"/>
  <c r="FM4" i="8"/>
  <c r="HC5" i="8"/>
  <c r="IN5" i="8"/>
  <c r="IX5" i="8" s="1"/>
  <c r="FK2" i="8"/>
  <c r="FM3" i="8"/>
  <c r="FN3" i="8"/>
  <c r="FM2" i="8"/>
  <c r="AX2" i="8"/>
  <c r="IM4" i="8"/>
  <c r="CH4" i="8"/>
  <c r="CW4" i="8" s="1"/>
  <c r="CK4" i="8"/>
  <c r="CZ4" i="8" s="1"/>
  <c r="DL4" i="8"/>
  <c r="CJ4" i="8"/>
  <c r="CY4" i="8" s="1"/>
  <c r="CI4" i="8"/>
  <c r="CX4" i="8" s="1"/>
  <c r="IN4" i="8"/>
  <c r="IX4" i="8" s="1"/>
  <c r="DM4" i="8" a="1"/>
  <c r="DM4" i="8" s="1"/>
  <c r="IR5" i="8"/>
  <c r="DM5" i="8" a="1"/>
  <c r="DM5" i="8" s="1"/>
  <c r="CK3" i="8"/>
  <c r="CZ3" i="8" s="1"/>
  <c r="CJ3" i="8"/>
  <c r="CY3" i="8" s="1"/>
  <c r="DM3" i="8" a="1"/>
  <c r="DM3" i="8" s="1"/>
  <c r="IN3" i="8"/>
  <c r="IX3" i="8" s="1"/>
  <c r="CH3" i="8"/>
  <c r="CW3" i="8" s="1"/>
  <c r="IM3" i="8"/>
  <c r="DL3" i="8"/>
  <c r="HC2" i="8"/>
  <c r="FK4" i="8"/>
  <c r="DL5" i="8"/>
  <c r="CJ5" i="8"/>
  <c r="CY5" i="8" s="1"/>
  <c r="FN4" i="8"/>
  <c r="CI5" i="8"/>
  <c r="CX5" i="8" s="1"/>
  <c r="IM5" i="8"/>
  <c r="FK3" i="8"/>
  <c r="IM2" i="8"/>
  <c r="CK2" i="8"/>
  <c r="CZ2" i="8" s="1"/>
  <c r="CI2" i="8"/>
  <c r="CX2" i="8" s="1"/>
  <c r="DM2" i="8" a="1"/>
  <c r="DM2" i="8" s="1"/>
  <c r="CH2" i="8"/>
  <c r="CW2" i="8" s="1"/>
  <c r="DL2" i="8"/>
  <c r="FO2" i="8"/>
  <c r="FL2" i="8"/>
  <c r="DL6" i="8"/>
  <c r="CH6" i="8"/>
  <c r="CW6" i="8" s="1"/>
  <c r="IN6" i="8"/>
  <c r="IX6" i="8" s="1"/>
  <c r="DM6" i="8" a="1"/>
  <c r="DM6" i="8" s="1"/>
  <c r="CJ6" i="8"/>
  <c r="CY6" i="8" s="1"/>
  <c r="CK6" i="8"/>
  <c r="CZ6" i="8" s="1"/>
  <c r="CI6" i="8"/>
  <c r="CX6" i="8" s="1"/>
  <c r="FO6" i="8"/>
  <c r="FN6" i="8"/>
  <c r="FL6" i="8"/>
  <c r="HC6" i="8"/>
  <c r="FN4" i="7"/>
  <c r="FN20" i="7"/>
  <c r="FN22" i="7"/>
  <c r="HI29" i="7"/>
  <c r="HI31" i="7"/>
  <c r="FN15" i="7"/>
  <c r="FN33" i="7"/>
  <c r="FO19" i="7"/>
  <c r="DL26" i="7"/>
  <c r="HI7" i="7"/>
  <c r="HI21" i="7"/>
  <c r="HI27" i="7"/>
  <c r="FK28" i="7"/>
  <c r="FL29" i="7"/>
  <c r="HI3" i="7"/>
  <c r="HI30" i="7"/>
  <c r="HI25" i="7"/>
  <c r="FM25" i="7"/>
  <c r="CK25" i="7"/>
  <c r="CZ25" i="7" s="1"/>
  <c r="HI32" i="7"/>
  <c r="HI6" i="7"/>
  <c r="FK25" i="7"/>
  <c r="FN31" i="7"/>
  <c r="FL25" i="7"/>
  <c r="FK31" i="7"/>
  <c r="HI13" i="7"/>
  <c r="HI19" i="7"/>
  <c r="FK23" i="7"/>
  <c r="FK4" i="7"/>
  <c r="FL28" i="7"/>
  <c r="HI5" i="7"/>
  <c r="IM16" i="7"/>
  <c r="FO22" i="7"/>
  <c r="FO31" i="7"/>
  <c r="FM23" i="7"/>
  <c r="HI9" i="7"/>
  <c r="FO9" i="7"/>
  <c r="FO18" i="7"/>
  <c r="FO25" i="7"/>
  <c r="HI11" i="7"/>
  <c r="HI33" i="7"/>
  <c r="HI2" i="7"/>
  <c r="FK8" i="7"/>
  <c r="CJ25" i="7"/>
  <c r="CY25" i="7" s="1"/>
  <c r="DL25" i="7"/>
  <c r="FK32" i="7"/>
  <c r="HI24" i="7"/>
  <c r="FL32" i="7"/>
  <c r="HI15" i="7"/>
  <c r="FK5" i="7"/>
  <c r="FL9" i="7"/>
  <c r="FL15" i="7"/>
  <c r="HI18" i="7"/>
  <c r="IM19" i="7"/>
  <c r="HI26" i="7"/>
  <c r="FK29" i="7"/>
  <c r="CI3" i="7"/>
  <c r="CX3" i="7" s="1"/>
  <c r="FL5" i="7"/>
  <c r="FO13" i="7"/>
  <c r="HI23" i="7"/>
  <c r="FN32" i="7"/>
  <c r="HI20" i="7"/>
  <c r="FM29" i="7"/>
  <c r="FO8" i="7"/>
  <c r="FM28" i="7"/>
  <c r="FO33" i="7"/>
  <c r="FK33" i="7"/>
  <c r="CJ18" i="7"/>
  <c r="CY18" i="7" s="1"/>
  <c r="IN18" i="7"/>
  <c r="IX18" i="7" s="1"/>
  <c r="IM18" i="7"/>
  <c r="IM24" i="7"/>
  <c r="CI24" i="7"/>
  <c r="CX24" i="7" s="1"/>
  <c r="CK8" i="7"/>
  <c r="CZ8" i="7" s="1"/>
  <c r="IM8" i="7"/>
  <c r="CH12" i="7"/>
  <c r="CW12" i="7" s="1"/>
  <c r="FK20" i="7"/>
  <c r="FL17" i="7"/>
  <c r="FL20" i="7"/>
  <c r="FM16" i="7"/>
  <c r="CK11" i="7"/>
  <c r="CZ11" i="7" s="1"/>
  <c r="FM20" i="7"/>
  <c r="DM12" i="7" a="1"/>
  <c r="DM12" i="7" s="1"/>
  <c r="IN12" i="7"/>
  <c r="IX12" i="7" s="1"/>
  <c r="CJ12" i="7"/>
  <c r="CY12" i="7" s="1"/>
  <c r="HC24" i="7"/>
  <c r="FL33" i="7"/>
  <c r="HC32" i="7"/>
  <c r="HC14" i="7"/>
  <c r="FM33" i="7"/>
  <c r="CJ19" i="7"/>
  <c r="CY19" i="7" s="1"/>
  <c r="FK17" i="7"/>
  <c r="FM32" i="7"/>
  <c r="HI16" i="7"/>
  <c r="FK16" i="7"/>
  <c r="HI28" i="7"/>
  <c r="FO4" i="7"/>
  <c r="CI10" i="7"/>
  <c r="CX10" i="7" s="1"/>
  <c r="FL10" i="7"/>
  <c r="IN10" i="7"/>
  <c r="IX10" i="7" s="1"/>
  <c r="HI17" i="7"/>
  <c r="FK24" i="7"/>
  <c r="CH3" i="7"/>
  <c r="CW3" i="7" s="1"/>
  <c r="FL3" i="7"/>
  <c r="HC4" i="7"/>
  <c r="CK10" i="7"/>
  <c r="CZ10" i="7" s="1"/>
  <c r="FK19" i="7"/>
  <c r="FM3" i="7"/>
  <c r="FL4" i="7"/>
  <c r="DL10" i="7"/>
  <c r="FO15" i="7"/>
  <c r="FL19" i="7"/>
  <c r="CK3" i="7"/>
  <c r="CZ3" i="7" s="1"/>
  <c r="DL3" i="7"/>
  <c r="FK13" i="7"/>
  <c r="FM19" i="7"/>
  <c r="IN5" i="7"/>
  <c r="IX5" i="7" s="1"/>
  <c r="DM5" i="7" a="1"/>
  <c r="DM5" i="7" s="1"/>
  <c r="CJ5" i="7"/>
  <c r="CY5" i="7" s="1"/>
  <c r="DL5" i="7"/>
  <c r="CI5" i="7"/>
  <c r="CX5" i="7" s="1"/>
  <c r="HC3" i="7"/>
  <c r="CH5" i="7"/>
  <c r="CW5" i="7" s="1"/>
  <c r="HC33" i="7"/>
  <c r="CJ23" i="7"/>
  <c r="CY23" i="7" s="1"/>
  <c r="CI23" i="7"/>
  <c r="CX23" i="7" s="1"/>
  <c r="DL17" i="7"/>
  <c r="CJ17" i="7"/>
  <c r="CY17" i="7" s="1"/>
  <c r="CI17" i="7"/>
  <c r="CX17" i="7" s="1"/>
  <c r="CK14" i="7"/>
  <c r="CZ14" i="7" s="1"/>
  <c r="IM14" i="7"/>
  <c r="IN14" i="7"/>
  <c r="IX14" i="7" s="1"/>
  <c r="HC31" i="7"/>
  <c r="FO7" i="7"/>
  <c r="FN7" i="7"/>
  <c r="HC21" i="7"/>
  <c r="FO24" i="7"/>
  <c r="FO2" i="7"/>
  <c r="FL13" i="7"/>
  <c r="FK7" i="7"/>
  <c r="CH16" i="7"/>
  <c r="CW16" i="7" s="1"/>
  <c r="IN16" i="7"/>
  <c r="IX16" i="7" s="1"/>
  <c r="DL16" i="7"/>
  <c r="CJ16" i="7"/>
  <c r="CY16" i="7" s="1"/>
  <c r="DL22" i="7"/>
  <c r="CH22" i="7"/>
  <c r="CW22" i="7" s="1"/>
  <c r="DM22" i="7" a="1"/>
  <c r="DM22" i="7" s="1"/>
  <c r="FO10" i="7"/>
  <c r="CI16" i="7"/>
  <c r="CX16" i="7" s="1"/>
  <c r="CK22" i="7"/>
  <c r="CZ22" i="7" s="1"/>
  <c r="FO27" i="7"/>
  <c r="FM7" i="7"/>
  <c r="FL11" i="7"/>
  <c r="FM11" i="7"/>
  <c r="FN21" i="7"/>
  <c r="FO21" i="7"/>
  <c r="FK3" i="7"/>
  <c r="HI4" i="7"/>
  <c r="HC6" i="7"/>
  <c r="FN10" i="7"/>
  <c r="FP10" i="7"/>
  <c r="HI12" i="7"/>
  <c r="FN13" i="7"/>
  <c r="HC20" i="7"/>
  <c r="FL22" i="7"/>
  <c r="HC22" i="7"/>
  <c r="FN3" i="7"/>
  <c r="FM5" i="7"/>
  <c r="HC5" i="7"/>
  <c r="FL7" i="7"/>
  <c r="FK11" i="7"/>
  <c r="FP3" i="7"/>
  <c r="FL8" i="7"/>
  <c r="FK14" i="7"/>
  <c r="CH8" i="7"/>
  <c r="CW8" i="7" s="1"/>
  <c r="FM8" i="7"/>
  <c r="HC11" i="7"/>
  <c r="FK9" i="7"/>
  <c r="DL13" i="7"/>
  <c r="CK13" i="7"/>
  <c r="CZ13" i="7" s="1"/>
  <c r="CH13" i="7"/>
  <c r="CW13" i="7" s="1"/>
  <c r="DL24" i="7"/>
  <c r="DM24" i="7" a="1"/>
  <c r="DM24" i="7" s="1"/>
  <c r="CK24" i="7"/>
  <c r="CZ24" i="7" s="1"/>
  <c r="IN24" i="7"/>
  <c r="IX24" i="7" s="1"/>
  <c r="CJ24" i="7"/>
  <c r="CY24" i="7" s="1"/>
  <c r="CH24" i="7"/>
  <c r="CW24" i="7" s="1"/>
  <c r="FK26" i="7"/>
  <c r="FM9" i="7"/>
  <c r="HC23" i="7"/>
  <c r="FL24" i="7"/>
  <c r="FL26" i="7"/>
  <c r="FL27" i="7"/>
  <c r="FK21" i="7"/>
  <c r="FP21" i="7"/>
  <c r="HC26" i="7"/>
  <c r="FO3" i="7"/>
  <c r="CI19" i="7"/>
  <c r="CX19" i="7" s="1"/>
  <c r="FM27" i="7"/>
  <c r="FM13" i="7"/>
  <c r="FM15" i="7"/>
  <c r="HC15" i="7"/>
  <c r="FL16" i="7"/>
  <c r="FL23" i="7"/>
  <c r="FM24" i="7"/>
  <c r="FN25" i="7"/>
  <c r="CK32" i="7"/>
  <c r="CZ32" i="7" s="1"/>
  <c r="DM32" i="7" a="1"/>
  <c r="DM32" i="7" s="1"/>
  <c r="DL32" i="7"/>
  <c r="CJ32" i="7"/>
  <c r="CY32" i="7" s="1"/>
  <c r="IM32" i="7"/>
  <c r="CI32" i="7"/>
  <c r="CX32" i="7" s="1"/>
  <c r="CH32" i="7"/>
  <c r="CW32" i="7" s="1"/>
  <c r="IN32" i="7"/>
  <c r="IX32" i="7" s="1"/>
  <c r="HC2" i="7"/>
  <c r="CH2" i="7"/>
  <c r="CW2" i="7" s="1"/>
  <c r="DM2" i="7" a="1"/>
  <c r="DM2" i="7" s="1"/>
  <c r="IN2" i="7"/>
  <c r="IX2" i="7" s="1"/>
  <c r="DL2" i="7"/>
  <c r="IM2" i="7"/>
  <c r="CK2" i="7"/>
  <c r="CZ2" i="7" s="1"/>
  <c r="CJ2" i="7"/>
  <c r="CY2" i="7" s="1"/>
  <c r="CI2" i="7"/>
  <c r="CX2" i="7" s="1"/>
  <c r="CJ33" i="7"/>
  <c r="CY33" i="7" s="1"/>
  <c r="CI33" i="7"/>
  <c r="CX33" i="7" s="1"/>
  <c r="DM33" i="7" a="1"/>
  <c r="DM33" i="7" s="1"/>
  <c r="DL33" i="7"/>
  <c r="IN33" i="7"/>
  <c r="IX33" i="7" s="1"/>
  <c r="IM33" i="7"/>
  <c r="FK30" i="7"/>
  <c r="FN30" i="7"/>
  <c r="FL30" i="7"/>
  <c r="FM30" i="7"/>
  <c r="FP30" i="7"/>
  <c r="CH33" i="7"/>
  <c r="CW33" i="7" s="1"/>
  <c r="CK33" i="7"/>
  <c r="CZ33" i="7" s="1"/>
  <c r="IN31" i="7"/>
  <c r="IX31" i="7" s="1"/>
  <c r="DM31" i="7" a="1"/>
  <c r="DM31" i="7" s="1"/>
  <c r="IM31" i="7"/>
  <c r="DL31" i="7"/>
  <c r="CH31" i="7"/>
  <c r="CW31" i="7" s="1"/>
  <c r="FO11" i="7"/>
  <c r="FN11" i="7"/>
  <c r="CI31" i="7"/>
  <c r="CX31" i="7" s="1"/>
  <c r="CJ31" i="7"/>
  <c r="CY31" i="7" s="1"/>
  <c r="IN6" i="7"/>
  <c r="IX6" i="7" s="1"/>
  <c r="DM6" i="7" a="1"/>
  <c r="DM6" i="7" s="1"/>
  <c r="DL6" i="7"/>
  <c r="CJ6" i="7"/>
  <c r="CY6" i="7" s="1"/>
  <c r="CH6" i="7"/>
  <c r="CW6" i="7" s="1"/>
  <c r="CK6" i="7"/>
  <c r="CZ6" i="7" s="1"/>
  <c r="IM6" i="7"/>
  <c r="CK31" i="7"/>
  <c r="CZ31" i="7" s="1"/>
  <c r="CI6" i="7"/>
  <c r="CX6" i="7" s="1"/>
  <c r="HC16" i="7"/>
  <c r="FN2" i="7"/>
  <c r="FM2" i="7"/>
  <c r="FP2" i="7"/>
  <c r="CH4" i="7"/>
  <c r="CW4" i="7" s="1"/>
  <c r="CK4" i="7"/>
  <c r="CZ4" i="7" s="1"/>
  <c r="CJ4" i="7"/>
  <c r="CY4" i="7" s="1"/>
  <c r="DL4" i="7"/>
  <c r="IM4" i="7"/>
  <c r="DM4" i="7" a="1"/>
  <c r="DM4" i="7" s="1"/>
  <c r="FK2" i="7"/>
  <c r="IN29" i="7"/>
  <c r="IX29" i="7" s="1"/>
  <c r="DL29" i="7"/>
  <c r="CH29" i="7"/>
  <c r="CW29" i="7" s="1"/>
  <c r="CI29" i="7"/>
  <c r="CX29" i="7" s="1"/>
  <c r="IM29" i="7"/>
  <c r="CJ29" i="7"/>
  <c r="CY29" i="7" s="1"/>
  <c r="DM29" i="7" a="1"/>
  <c r="DM29" i="7" s="1"/>
  <c r="CK29" i="7"/>
  <c r="CZ29" i="7" s="1"/>
  <c r="FL2" i="7"/>
  <c r="FL6" i="7"/>
  <c r="FM6" i="7"/>
  <c r="FP6" i="7"/>
  <c r="FN12" i="7"/>
  <c r="FO12" i="7"/>
  <c r="FL31" i="7"/>
  <c r="CH9" i="7"/>
  <c r="CW9" i="7" s="1"/>
  <c r="IN9" i="7"/>
  <c r="IX9" i="7" s="1"/>
  <c r="DL9" i="7"/>
  <c r="CI9" i="7"/>
  <c r="CX9" i="7" s="1"/>
  <c r="CK9" i="7"/>
  <c r="CZ9" i="7" s="1"/>
  <c r="CJ9" i="7"/>
  <c r="CY9" i="7" s="1"/>
  <c r="IM9" i="7"/>
  <c r="DM9" i="7" a="1"/>
  <c r="DM9" i="7" s="1"/>
  <c r="HC9" i="7"/>
  <c r="FL18" i="7"/>
  <c r="FN18" i="7"/>
  <c r="FK18" i="7"/>
  <c r="FP18" i="7"/>
  <c r="FM31" i="7"/>
  <c r="IN4" i="7"/>
  <c r="IX4" i="7" s="1"/>
  <c r="HC13" i="7"/>
  <c r="HC30" i="7"/>
  <c r="FK12" i="7"/>
  <c r="FP12" i="7"/>
  <c r="FM12" i="7"/>
  <c r="FO28" i="7"/>
  <c r="FN28" i="7"/>
  <c r="FK6" i="7"/>
  <c r="FO16" i="7"/>
  <c r="FN16" i="7"/>
  <c r="HI22" i="7"/>
  <c r="FO29" i="7"/>
  <c r="FN29" i="7"/>
  <c r="AX2" i="7"/>
  <c r="FP14" i="7"/>
  <c r="FL14" i="7"/>
  <c r="FM14" i="7"/>
  <c r="FO5" i="7"/>
  <c r="FN5" i="7"/>
  <c r="DL7" i="7"/>
  <c r="CH7" i="7"/>
  <c r="CW7" i="7" s="1"/>
  <c r="CK7" i="7"/>
  <c r="CZ7" i="7" s="1"/>
  <c r="CI7" i="7"/>
  <c r="CX7" i="7" s="1"/>
  <c r="IM7" i="7"/>
  <c r="CJ7" i="7"/>
  <c r="CY7" i="7" s="1"/>
  <c r="DM7" i="7" a="1"/>
  <c r="DM7" i="7" s="1"/>
  <c r="HC19" i="7"/>
  <c r="CH21" i="7"/>
  <c r="CW21" i="7" s="1"/>
  <c r="DM21" i="7" a="1"/>
  <c r="DM21" i="7" s="1"/>
  <c r="CJ21" i="7"/>
  <c r="CY21" i="7" s="1"/>
  <c r="IN21" i="7"/>
  <c r="IX21" i="7" s="1"/>
  <c r="IM21" i="7"/>
  <c r="CK21" i="7"/>
  <c r="CZ21" i="7" s="1"/>
  <c r="CI21" i="7"/>
  <c r="CX21" i="7" s="1"/>
  <c r="DL21" i="7"/>
  <c r="FN6" i="7"/>
  <c r="FO6" i="7"/>
  <c r="DM16" i="7" a="1"/>
  <c r="DM16" i="7" s="1"/>
  <c r="IN17" i="7"/>
  <c r="IX17" i="7" s="1"/>
  <c r="CH17" i="7"/>
  <c r="CW17" i="7" s="1"/>
  <c r="DM17" i="7" a="1"/>
  <c r="DM17" i="7" s="1"/>
  <c r="CK17" i="7"/>
  <c r="CZ17" i="7" s="1"/>
  <c r="IM17" i="7"/>
  <c r="FO23" i="7"/>
  <c r="FN23" i="7"/>
  <c r="HC28" i="7"/>
  <c r="CJ30" i="7"/>
  <c r="CY30" i="7" s="1"/>
  <c r="DM30" i="7" a="1"/>
  <c r="DM30" i="7" s="1"/>
  <c r="CK30" i="7"/>
  <c r="CZ30" i="7" s="1"/>
  <c r="CI30" i="7"/>
  <c r="CX30" i="7" s="1"/>
  <c r="IN30" i="7"/>
  <c r="IX30" i="7" s="1"/>
  <c r="DL30" i="7"/>
  <c r="FL12" i="7"/>
  <c r="CJ8" i="7"/>
  <c r="CY8" i="7" s="1"/>
  <c r="DM8" i="7" a="1"/>
  <c r="DM8" i="7" s="1"/>
  <c r="DL8" i="7"/>
  <c r="CI8" i="7"/>
  <c r="CX8" i="7" s="1"/>
  <c r="FP8" i="7"/>
  <c r="FN8" i="7"/>
  <c r="IN8" i="7"/>
  <c r="IX8" i="7" s="1"/>
  <c r="CH30" i="7"/>
  <c r="CW30" i="7" s="1"/>
  <c r="IM30" i="7"/>
  <c r="HC10" i="7"/>
  <c r="HC18" i="7"/>
  <c r="CH27" i="7"/>
  <c r="CW27" i="7" s="1"/>
  <c r="DM27" i="7" a="1"/>
  <c r="DM27" i="7" s="1"/>
  <c r="CK27" i="7"/>
  <c r="CZ27" i="7" s="1"/>
  <c r="CJ27" i="7"/>
  <c r="CY27" i="7" s="1"/>
  <c r="DL27" i="7"/>
  <c r="CI27" i="7"/>
  <c r="CX27" i="7" s="1"/>
  <c r="IM27" i="7"/>
  <c r="IM28" i="7"/>
  <c r="DL28" i="7"/>
  <c r="IN28" i="7"/>
  <c r="IX28" i="7" s="1"/>
  <c r="CI28" i="7"/>
  <c r="CX28" i="7" s="1"/>
  <c r="CH28" i="7"/>
  <c r="CW28" i="7" s="1"/>
  <c r="DM28" i="7" a="1"/>
  <c r="DM28" i="7" s="1"/>
  <c r="CK28" i="7"/>
  <c r="CZ28" i="7" s="1"/>
  <c r="CJ3" i="7"/>
  <c r="CY3" i="7" s="1"/>
  <c r="DM3" i="7" a="1"/>
  <c r="DM3" i="7" s="1"/>
  <c r="IN3" i="7"/>
  <c r="IX3" i="7" s="1"/>
  <c r="IN11" i="7"/>
  <c r="IX11" i="7" s="1"/>
  <c r="DM11" i="7" a="1"/>
  <c r="DM11" i="7" s="1"/>
  <c r="DL11" i="7"/>
  <c r="CH11" i="7"/>
  <c r="CW11" i="7" s="1"/>
  <c r="IM11" i="7"/>
  <c r="CJ11" i="7"/>
  <c r="CY11" i="7" s="1"/>
  <c r="CJ14" i="7"/>
  <c r="CY14" i="7" s="1"/>
  <c r="DM14" i="7" a="1"/>
  <c r="DM14" i="7" s="1"/>
  <c r="CI14" i="7"/>
  <c r="CX14" i="7" s="1"/>
  <c r="CH14" i="7"/>
  <c r="CW14" i="7" s="1"/>
  <c r="DL14" i="7"/>
  <c r="HC7" i="7"/>
  <c r="HI10" i="7"/>
  <c r="FM10" i="7"/>
  <c r="FO14" i="7"/>
  <c r="FN14" i="7"/>
  <c r="CH15" i="7"/>
  <c r="CW15" i="7" s="1"/>
  <c r="CI15" i="7"/>
  <c r="CX15" i="7" s="1"/>
  <c r="CJ15" i="7"/>
  <c r="CY15" i="7" s="1"/>
  <c r="DM15" i="7" a="1"/>
  <c r="DM15" i="7" s="1"/>
  <c r="IN15" i="7"/>
  <c r="IX15" i="7" s="1"/>
  <c r="IM15" i="7"/>
  <c r="CK15" i="7"/>
  <c r="CZ15" i="7" s="1"/>
  <c r="CH25" i="7"/>
  <c r="CW25" i="7" s="1"/>
  <c r="IN25" i="7"/>
  <c r="IX25" i="7" s="1"/>
  <c r="DM25" i="7" a="1"/>
  <c r="DM25" i="7" s="1"/>
  <c r="CI25" i="7"/>
  <c r="CX25" i="7" s="1"/>
  <c r="HC17" i="7"/>
  <c r="CJ20" i="7"/>
  <c r="CY20" i="7" s="1"/>
  <c r="IM20" i="7"/>
  <c r="CK20" i="7"/>
  <c r="CZ20" i="7" s="1"/>
  <c r="CI20" i="7"/>
  <c r="CX20" i="7" s="1"/>
  <c r="IN20" i="7"/>
  <c r="IX20" i="7" s="1"/>
  <c r="DL20" i="7"/>
  <c r="CH20" i="7"/>
  <c r="CW20" i="7" s="1"/>
  <c r="CJ26" i="7"/>
  <c r="CY26" i="7" s="1"/>
  <c r="CI26" i="7"/>
  <c r="CX26" i="7" s="1"/>
  <c r="CK26" i="7"/>
  <c r="CZ26" i="7" s="1"/>
  <c r="IN26" i="7"/>
  <c r="IX26" i="7" s="1"/>
  <c r="DM26" i="7" a="1"/>
  <c r="DM26" i="7" s="1"/>
  <c r="HI8" i="7"/>
  <c r="HC8" i="7"/>
  <c r="IN23" i="7"/>
  <c r="IX23" i="7" s="1"/>
  <c r="DL23" i="7"/>
  <c r="CH23" i="7"/>
  <c r="CW23" i="7" s="1"/>
  <c r="IM23" i="7"/>
  <c r="DM23" i="7" a="1"/>
  <c r="DM23" i="7" s="1"/>
  <c r="CK23" i="7"/>
  <c r="CZ23" i="7" s="1"/>
  <c r="HC25" i="7"/>
  <c r="CH26" i="7"/>
  <c r="CW26" i="7" s="1"/>
  <c r="FO17" i="7"/>
  <c r="FN17" i="7"/>
  <c r="DL18" i="7"/>
  <c r="CI18" i="7"/>
  <c r="CX18" i="7" s="1"/>
  <c r="DM18" i="7" a="1"/>
  <c r="DM18" i="7" s="1"/>
  <c r="CK18" i="7"/>
  <c r="CZ18" i="7" s="1"/>
  <c r="CH18" i="7"/>
  <c r="CW18" i="7" s="1"/>
  <c r="FL21" i="7"/>
  <c r="FK22" i="7"/>
  <c r="HC12" i="7"/>
  <c r="FP17" i="7"/>
  <c r="FM17" i="7"/>
  <c r="FM18" i="7"/>
  <c r="FM21" i="7"/>
  <c r="FP27" i="7"/>
  <c r="FK27" i="7"/>
  <c r="FN27" i="7"/>
  <c r="FM22" i="7"/>
  <c r="FM26" i="7"/>
  <c r="DM10" i="7" a="1"/>
  <c r="DM10" i="7" s="1"/>
  <c r="IM10" i="7"/>
  <c r="CJ10" i="7"/>
  <c r="CY10" i="7" s="1"/>
  <c r="IM5" i="7"/>
  <c r="CK5" i="7"/>
  <c r="CZ5" i="7" s="1"/>
  <c r="IN13" i="7"/>
  <c r="IX13" i="7" s="1"/>
  <c r="DM13" i="7" a="1"/>
  <c r="DM13" i="7" s="1"/>
  <c r="CJ13" i="7"/>
  <c r="CY13" i="7" s="1"/>
  <c r="CI13" i="7"/>
  <c r="CX13" i="7" s="1"/>
  <c r="IM13" i="7"/>
  <c r="CK19" i="7"/>
  <c r="CZ19" i="7" s="1"/>
  <c r="DM19" i="7" a="1"/>
  <c r="DM19" i="7" s="1"/>
  <c r="IN19" i="7"/>
  <c r="IX19" i="7" s="1"/>
  <c r="CH19" i="7"/>
  <c r="CW19" i="7" s="1"/>
  <c r="FP19" i="7"/>
  <c r="FN19" i="7"/>
  <c r="CJ22" i="7"/>
  <c r="CY22" i="7" s="1"/>
  <c r="IN22" i="7"/>
  <c r="IX22" i="7" s="1"/>
  <c r="CI22" i="7"/>
  <c r="CX22" i="7" s="1"/>
  <c r="IM22" i="7"/>
  <c r="HC27" i="7"/>
  <c r="FK15" i="7"/>
  <c r="IM12" i="7"/>
  <c r="DL12" i="7"/>
  <c r="HC29" i="7"/>
  <c r="FN9" i="7"/>
  <c r="CK12" i="7"/>
  <c r="CZ12" i="7" s="1"/>
  <c r="FN24" i="7"/>
  <c r="FO26" i="7"/>
  <c r="FN26" i="7"/>
  <c r="FM4" i="7"/>
  <c r="FO30" i="7"/>
  <c r="FK10" i="7"/>
  <c r="FO20" i="7"/>
  <c r="FO20" i="3"/>
  <c r="FN20" i="3"/>
  <c r="FK20" i="3"/>
  <c r="FL20" i="3"/>
  <c r="HC20" i="3"/>
  <c r="FM20" i="3"/>
  <c r="DL20" i="3"/>
  <c r="CK20" i="3"/>
  <c r="CZ20" i="3" s="1"/>
  <c r="CI20" i="3"/>
  <c r="CX20" i="3" s="1"/>
  <c r="CH20" i="3"/>
  <c r="CW20" i="3" s="1"/>
  <c r="IN20" i="3"/>
  <c r="IX20" i="3" s="1"/>
  <c r="IM20" i="3"/>
  <c r="DM20" i="3" a="1"/>
  <c r="DM20" i="3" s="1"/>
  <c r="CJ20" i="3"/>
  <c r="CY20" i="3" s="1"/>
  <c r="GS3" i="8" l="1"/>
  <c r="HM3" i="8" s="1"/>
  <c r="GS6" i="8"/>
  <c r="HF6" i="8" s="1"/>
  <c r="GS4" i="8"/>
  <c r="GS2" i="8"/>
  <c r="HN3" i="8"/>
  <c r="GS5" i="8"/>
  <c r="GS7" i="7"/>
  <c r="HM7" i="7" s="1"/>
  <c r="GS10" i="7"/>
  <c r="HN10" i="7" s="1"/>
  <c r="GS20" i="7"/>
  <c r="HM20" i="7" s="1"/>
  <c r="GS6" i="7"/>
  <c r="HF6" i="7" s="1"/>
  <c r="GS5" i="7"/>
  <c r="HM5" i="7" s="1"/>
  <c r="GS32" i="7"/>
  <c r="HN32" i="7" s="1"/>
  <c r="GS12" i="7"/>
  <c r="HG12" i="7" s="1"/>
  <c r="GS3" i="7"/>
  <c r="HM3" i="7" s="1"/>
  <c r="GS8" i="7"/>
  <c r="HF8" i="7" s="1"/>
  <c r="GS16" i="7"/>
  <c r="HF16" i="7" s="1"/>
  <c r="GS24" i="7"/>
  <c r="HM24" i="7" s="1"/>
  <c r="GS13" i="7"/>
  <c r="HM13" i="7" s="1"/>
  <c r="GS22" i="7"/>
  <c r="HM22" i="7" s="1"/>
  <c r="GS14" i="7"/>
  <c r="GS27" i="7"/>
  <c r="HN27" i="7" s="1"/>
  <c r="GS17" i="7"/>
  <c r="HG17" i="7" s="1"/>
  <c r="GS33" i="7"/>
  <c r="GS15" i="7"/>
  <c r="GS29" i="7"/>
  <c r="HF29" i="7" s="1"/>
  <c r="GS26" i="7"/>
  <c r="GS28" i="7"/>
  <c r="HM28" i="7" s="1"/>
  <c r="GS30" i="7"/>
  <c r="GS25" i="7"/>
  <c r="HF25" i="7" s="1"/>
  <c r="GS31" i="7"/>
  <c r="GS19" i="7"/>
  <c r="HN19" i="7" s="1"/>
  <c r="GS21" i="7"/>
  <c r="HN7" i="7"/>
  <c r="GS9" i="7"/>
  <c r="HN9" i="7" s="1"/>
  <c r="GS23" i="7"/>
  <c r="GS18" i="7"/>
  <c r="HM18" i="7" s="1"/>
  <c r="GS4" i="7"/>
  <c r="GS11" i="7"/>
  <c r="GS2" i="7"/>
  <c r="GS20" i="3"/>
  <c r="HF7" i="7" l="1"/>
  <c r="HG7" i="7"/>
  <c r="HG6" i="8"/>
  <c r="HN6" i="8"/>
  <c r="HM6" i="8"/>
  <c r="HG3" i="8"/>
  <c r="HF3" i="8"/>
  <c r="HG2" i="8"/>
  <c r="HM2" i="8"/>
  <c r="HF2" i="8"/>
  <c r="HN2" i="8"/>
  <c r="HG4" i="8"/>
  <c r="HF4" i="8"/>
  <c r="HN4" i="8"/>
  <c r="HM4" i="8"/>
  <c r="HF5" i="8"/>
  <c r="HN5" i="8"/>
  <c r="HM5" i="8"/>
  <c r="HG5" i="8"/>
  <c r="HN28" i="7"/>
  <c r="HN8" i="7"/>
  <c r="HG8" i="7"/>
  <c r="HG3" i="7"/>
  <c r="HF3" i="7"/>
  <c r="HG28" i="7"/>
  <c r="HF22" i="7"/>
  <c r="HG13" i="7"/>
  <c r="HG24" i="7"/>
  <c r="HM10" i="7"/>
  <c r="HF24" i="7"/>
  <c r="HF5" i="7"/>
  <c r="HN16" i="7"/>
  <c r="HM16" i="7"/>
  <c r="HG5" i="7"/>
  <c r="HN5" i="7"/>
  <c r="HG16" i="7"/>
  <c r="HN6" i="7"/>
  <c r="HN12" i="7"/>
  <c r="HM6" i="7"/>
  <c r="HG6" i="7"/>
  <c r="HG32" i="7"/>
  <c r="HM32" i="7"/>
  <c r="HM12" i="7"/>
  <c r="HF12" i="7"/>
  <c r="HG20" i="7"/>
  <c r="HF32" i="7"/>
  <c r="HG29" i="7"/>
  <c r="HN13" i="7"/>
  <c r="HN3" i="7"/>
  <c r="HG10" i="7"/>
  <c r="HG22" i="7"/>
  <c r="HN20" i="7"/>
  <c r="HF20" i="7"/>
  <c r="HG9" i="7"/>
  <c r="HN29" i="7"/>
  <c r="HF13" i="7"/>
  <c r="HF9" i="7"/>
  <c r="HM29" i="7"/>
  <c r="HN24" i="7"/>
  <c r="HM8" i="7"/>
  <c r="HM9" i="7"/>
  <c r="HM19" i="7"/>
  <c r="HG25" i="7"/>
  <c r="HF10" i="7"/>
  <c r="HN22" i="7"/>
  <c r="HF15" i="7"/>
  <c r="HM15" i="7"/>
  <c r="HG15" i="7"/>
  <c r="HN15" i="7"/>
  <c r="HM27" i="7"/>
  <c r="HG27" i="7"/>
  <c r="HN18" i="7"/>
  <c r="HN17" i="7"/>
  <c r="HM17" i="7"/>
  <c r="HN14" i="7"/>
  <c r="HM14" i="7"/>
  <c r="HF14" i="7"/>
  <c r="HG14" i="7"/>
  <c r="HG11" i="7"/>
  <c r="HN11" i="7"/>
  <c r="HF11" i="7"/>
  <c r="HM11" i="7"/>
  <c r="HM23" i="7"/>
  <c r="HN23" i="7"/>
  <c r="HF23" i="7"/>
  <c r="HG23" i="7"/>
  <c r="HF31" i="7"/>
  <c r="HG31" i="7"/>
  <c r="HM31" i="7"/>
  <c r="HN31" i="7"/>
  <c r="HF18" i="7"/>
  <c r="HN26" i="7"/>
  <c r="HF26" i="7"/>
  <c r="HM26" i="7"/>
  <c r="HG26" i="7"/>
  <c r="HM25" i="7"/>
  <c r="HG4" i="7"/>
  <c r="HM4" i="7"/>
  <c r="HF4" i="7"/>
  <c r="HN4" i="7"/>
  <c r="HM33" i="7"/>
  <c r="HG33" i="7"/>
  <c r="HF33" i="7"/>
  <c r="HN33" i="7"/>
  <c r="HF17" i="7"/>
  <c r="HF28" i="7"/>
  <c r="HG30" i="7"/>
  <c r="HN30" i="7"/>
  <c r="HM30" i="7"/>
  <c r="HF30" i="7"/>
  <c r="HM21" i="7"/>
  <c r="HG21" i="7"/>
  <c r="HF21" i="7"/>
  <c r="HN21" i="7"/>
  <c r="HN2" i="7"/>
  <c r="HF2" i="7"/>
  <c r="HG2" i="7"/>
  <c r="HM2" i="7"/>
  <c r="HF27" i="7"/>
  <c r="HF19" i="7"/>
  <c r="HG19" i="7"/>
  <c r="HG18" i="7"/>
  <c r="HN25" i="7"/>
  <c r="HN20" i="3"/>
  <c r="HM20" i="3"/>
  <c r="HF20" i="3"/>
  <c r="HG20" i="3"/>
  <c r="IL22" i="3" l="1"/>
  <c r="HX22" i="3" a="1"/>
  <c r="HX22" i="3" s="1"/>
  <c r="IW22" i="3" s="1"/>
  <c r="HW22" i="3" a="1"/>
  <c r="HW22" i="3" s="1"/>
  <c r="IV22" i="3" s="1"/>
  <c r="HV22" i="3" a="1"/>
  <c r="HV22" i="3" s="1"/>
  <c r="IU22" i="3" s="1"/>
  <c r="HU22" i="3" a="1"/>
  <c r="HU22" i="3" s="1"/>
  <c r="IT22" i="3" s="1"/>
  <c r="HT22" i="3" a="1"/>
  <c r="HT22" i="3" s="1"/>
  <c r="IS22" i="3" s="1"/>
  <c r="HS22" i="3" a="1"/>
  <c r="HS22" i="3" s="1"/>
  <c r="IR22" i="3" s="1"/>
  <c r="HR22" i="3" a="1"/>
  <c r="HR22" i="3" s="1"/>
  <c r="IQ22" i="3" s="1"/>
  <c r="HQ22" i="3" a="1"/>
  <c r="HQ22" i="3" s="1"/>
  <c r="IP22" i="3" s="1"/>
  <c r="HP22" i="3" a="1"/>
  <c r="HP22" i="3" s="1"/>
  <c r="IO22" i="3" s="1"/>
  <c r="HL22" i="3"/>
  <c r="HJ22" i="3"/>
  <c r="HH22" i="3"/>
  <c r="HB22" i="3"/>
  <c r="HA22" i="3"/>
  <c r="GZ22" i="3"/>
  <c r="GY22" i="3"/>
  <c r="GX22" i="3"/>
  <c r="GW22" i="3"/>
  <c r="GV22" i="3"/>
  <c r="GU22" i="3"/>
  <c r="GT22" i="3"/>
  <c r="GP22" i="3"/>
  <c r="GI22" i="3"/>
  <c r="GH22" i="3"/>
  <c r="GG22" i="3"/>
  <c r="GF22" i="3"/>
  <c r="GE22" i="3"/>
  <c r="GD22" i="3"/>
  <c r="GC22" i="3"/>
  <c r="GB22" i="3"/>
  <c r="GA22" i="3"/>
  <c r="FZ22" i="3"/>
  <c r="FY22" i="3"/>
  <c r="FX22" i="3"/>
  <c r="FW22" i="3"/>
  <c r="FV22" i="3"/>
  <c r="FU22" i="3"/>
  <c r="FT22" i="3"/>
  <c r="FS22" i="3"/>
  <c r="FR22" i="3"/>
  <c r="FQ22" i="3"/>
  <c r="FJ22" i="3"/>
  <c r="FI22" i="3"/>
  <c r="FH22" i="3"/>
  <c r="FG22" i="3"/>
  <c r="FF22" i="3"/>
  <c r="FP22" i="3" s="1"/>
  <c r="FE22" i="3"/>
  <c r="FD22" i="3"/>
  <c r="FC22" i="3"/>
  <c r="FB22" i="3"/>
  <c r="FA22" i="3"/>
  <c r="EZ22" i="3"/>
  <c r="EY22" i="3"/>
  <c r="EX22" i="3"/>
  <c r="EW22" i="3"/>
  <c r="EV22" i="3"/>
  <c r="EU22" i="3"/>
  <c r="ET22" i="3"/>
  <c r="ES22" i="3"/>
  <c r="ER22" i="3"/>
  <c r="EQ22" i="3"/>
  <c r="EP22" i="3"/>
  <c r="EO22" i="3"/>
  <c r="EN22" i="3"/>
  <c r="EM22" i="3"/>
  <c r="EL22" i="3"/>
  <c r="EK22" i="3"/>
  <c r="EJ22" i="3"/>
  <c r="EI22" i="3"/>
  <c r="EH22" i="3"/>
  <c r="EG22" i="3"/>
  <c r="EF22" i="3"/>
  <c r="EE22" i="3"/>
  <c r="ED22" i="3"/>
  <c r="EC22" i="3"/>
  <c r="EB22" i="3"/>
  <c r="EA22" i="3"/>
  <c r="DV22" i="3"/>
  <c r="DU22" i="3"/>
  <c r="DT22" i="3"/>
  <c r="DS22" i="3"/>
  <c r="DR22" i="3"/>
  <c r="DQ22" i="3"/>
  <c r="DP22" i="3"/>
  <c r="DO22" i="3"/>
  <c r="DN22" i="3"/>
  <c r="DK22" i="3"/>
  <c r="DJ22" i="3"/>
  <c r="DI22" i="3"/>
  <c r="DH22" i="3"/>
  <c r="DG22" i="3"/>
  <c r="DF22" i="3"/>
  <c r="DE22" i="3"/>
  <c r="DD22" i="3"/>
  <c r="DC22" i="3"/>
  <c r="DB22" i="3"/>
  <c r="DA22" i="3"/>
  <c r="CV22" i="3"/>
  <c r="CU22" i="3"/>
  <c r="CT22" i="3"/>
  <c r="CS22" i="3"/>
  <c r="GN22" i="3" s="1"/>
  <c r="CR22" i="3"/>
  <c r="GM22" i="3" s="1"/>
  <c r="CQ22" i="3"/>
  <c r="GL22" i="3" s="1"/>
  <c r="CP22" i="3"/>
  <c r="GJ22" i="3" s="1"/>
  <c r="GK22" i="3" s="1"/>
  <c r="CO22" i="3"/>
  <c r="DZ22" i="3" s="1"/>
  <c r="CN22" i="3"/>
  <c r="DY22" i="3" s="1"/>
  <c r="CM22" i="3"/>
  <c r="DX22" i="3" s="1"/>
  <c r="CL22" i="3"/>
  <c r="DW22" i="3" s="1"/>
  <c r="CG22" i="3" a="1"/>
  <c r="CG22" i="3" s="1"/>
  <c r="AV22" i="3"/>
  <c r="J22" i="3"/>
  <c r="HI22" i="3" s="1"/>
  <c r="G22" i="3"/>
  <c r="HX21" i="3" a="1"/>
  <c r="HX21" i="3" s="1"/>
  <c r="IW21" i="3" s="1"/>
  <c r="HW21" i="3" a="1"/>
  <c r="HW21" i="3" s="1"/>
  <c r="IV21" i="3" s="1"/>
  <c r="HV21" i="3" a="1"/>
  <c r="HV21" i="3" s="1"/>
  <c r="IU21" i="3" s="1"/>
  <c r="HU21" i="3" a="1"/>
  <c r="HU21" i="3" s="1"/>
  <c r="IT21" i="3" s="1"/>
  <c r="HT21" i="3" a="1"/>
  <c r="HT21" i="3" s="1"/>
  <c r="IS21" i="3" s="1"/>
  <c r="HS21" i="3" a="1"/>
  <c r="HS21" i="3" s="1"/>
  <c r="IR21" i="3" s="1"/>
  <c r="HR21" i="3" a="1"/>
  <c r="HR21" i="3" s="1"/>
  <c r="IQ21" i="3" s="1"/>
  <c r="HQ21" i="3" a="1"/>
  <c r="HQ21" i="3" s="1"/>
  <c r="IP21" i="3" s="1"/>
  <c r="HP21" i="3" a="1"/>
  <c r="HP21" i="3" s="1"/>
  <c r="HL21" i="3"/>
  <c r="HJ21" i="3"/>
  <c r="HH21" i="3"/>
  <c r="HB21" i="3"/>
  <c r="HA21" i="3"/>
  <c r="GZ21" i="3"/>
  <c r="GY21" i="3"/>
  <c r="GX21" i="3"/>
  <c r="GW21" i="3"/>
  <c r="GV21" i="3"/>
  <c r="GU21" i="3"/>
  <c r="GT21" i="3"/>
  <c r="GP21" i="3"/>
  <c r="GI21" i="3"/>
  <c r="GH21" i="3"/>
  <c r="GG21" i="3"/>
  <c r="GF21" i="3"/>
  <c r="GE21" i="3"/>
  <c r="GB21" i="3"/>
  <c r="GA21" i="3"/>
  <c r="FZ21" i="3"/>
  <c r="FY21" i="3"/>
  <c r="FW21" i="3"/>
  <c r="FV21" i="3"/>
  <c r="FU21" i="3"/>
  <c r="FT21" i="3"/>
  <c r="FS21" i="3"/>
  <c r="FR21" i="3"/>
  <c r="FQ21" i="3"/>
  <c r="FJ21" i="3"/>
  <c r="FI21" i="3"/>
  <c r="FH21" i="3"/>
  <c r="FG21" i="3"/>
  <c r="FF21" i="3"/>
  <c r="FE21" i="3"/>
  <c r="FD21" i="3"/>
  <c r="FB21" i="3"/>
  <c r="FA21" i="3"/>
  <c r="EZ21" i="3"/>
  <c r="EY21" i="3"/>
  <c r="EX21" i="3"/>
  <c r="EW21" i="3"/>
  <c r="EV21" i="3"/>
  <c r="EU21" i="3"/>
  <c r="ET21" i="3"/>
  <c r="ES21" i="3"/>
  <c r="ER21" i="3"/>
  <c r="EQ21" i="3"/>
  <c r="EP21" i="3"/>
  <c r="EO21" i="3"/>
  <c r="EN21" i="3"/>
  <c r="EM21" i="3"/>
  <c r="EL21" i="3"/>
  <c r="EK21" i="3"/>
  <c r="EJ21" i="3"/>
  <c r="EI21" i="3"/>
  <c r="EH21" i="3"/>
  <c r="EG21" i="3"/>
  <c r="EF21" i="3"/>
  <c r="EE21" i="3"/>
  <c r="ED21" i="3"/>
  <c r="EC21" i="3"/>
  <c r="EB21" i="3"/>
  <c r="EA21" i="3"/>
  <c r="DU21" i="3"/>
  <c r="DT21" i="3"/>
  <c r="DS21" i="3"/>
  <c r="DR21" i="3"/>
  <c r="DQ21" i="3"/>
  <c r="DP21" i="3"/>
  <c r="DO21" i="3"/>
  <c r="DN21" i="3"/>
  <c r="DK21" i="3"/>
  <c r="DJ21" i="3"/>
  <c r="DI21" i="3"/>
  <c r="DH21" i="3"/>
  <c r="DG21" i="3"/>
  <c r="DF21" i="3"/>
  <c r="DE21" i="3"/>
  <c r="DD21" i="3"/>
  <c r="DB21" i="3"/>
  <c r="DA21" i="3"/>
  <c r="CV21" i="3"/>
  <c r="CU21" i="3"/>
  <c r="CT21" i="3"/>
  <c r="CS21" i="3"/>
  <c r="GN21" i="3" s="1"/>
  <c r="CR21" i="3"/>
  <c r="GM21" i="3" s="1"/>
  <c r="CQ21" i="3"/>
  <c r="GL21" i="3" s="1"/>
  <c r="CP21" i="3"/>
  <c r="GJ21" i="3" s="1"/>
  <c r="GK21" i="3" s="1"/>
  <c r="CO21" i="3"/>
  <c r="DZ21" i="3" s="1"/>
  <c r="CN21" i="3"/>
  <c r="DY21" i="3" s="1"/>
  <c r="CM21" i="3"/>
  <c r="DX21" i="3" s="1"/>
  <c r="CL21" i="3"/>
  <c r="DW21" i="3" s="1"/>
  <c r="CG21" i="3" a="1"/>
  <c r="CG21" i="3" s="1"/>
  <c r="CH21" i="3" s="1"/>
  <c r="CW21" i="3" s="1"/>
  <c r="AV21" i="3"/>
  <c r="J21" i="3"/>
  <c r="G21" i="3"/>
  <c r="HX19" i="3" a="1"/>
  <c r="HX19" i="3" s="1"/>
  <c r="IW19" i="3" s="1"/>
  <c r="HW19" i="3" a="1"/>
  <c r="HW19" i="3" s="1"/>
  <c r="IV19" i="3" s="1"/>
  <c r="HV19" i="3" a="1"/>
  <c r="HV19" i="3" s="1"/>
  <c r="IU19" i="3" s="1"/>
  <c r="HU19" i="3" a="1"/>
  <c r="HU19" i="3" s="1"/>
  <c r="IT19" i="3" s="1"/>
  <c r="HT19" i="3" a="1"/>
  <c r="HT19" i="3" s="1"/>
  <c r="IS19" i="3" s="1"/>
  <c r="HS19" i="3" a="1"/>
  <c r="HS19" i="3" s="1"/>
  <c r="IR19" i="3" s="1"/>
  <c r="HR19" i="3" a="1"/>
  <c r="HR19" i="3" s="1"/>
  <c r="IQ19" i="3" s="1"/>
  <c r="HQ19" i="3" a="1"/>
  <c r="HQ19" i="3" s="1"/>
  <c r="IP19" i="3" s="1"/>
  <c r="HP19" i="3" a="1"/>
  <c r="HP19" i="3" s="1"/>
  <c r="IO19" i="3" s="1"/>
  <c r="HL19" i="3"/>
  <c r="HJ19" i="3"/>
  <c r="HH19" i="3"/>
  <c r="HB19" i="3"/>
  <c r="HA19" i="3"/>
  <c r="GZ19" i="3"/>
  <c r="GY19" i="3"/>
  <c r="GX19" i="3"/>
  <c r="GW19" i="3"/>
  <c r="GV19" i="3"/>
  <c r="GU19" i="3"/>
  <c r="GT19" i="3"/>
  <c r="GP19" i="3"/>
  <c r="GI19" i="3"/>
  <c r="GH19" i="3"/>
  <c r="GG19" i="3"/>
  <c r="GF19" i="3"/>
  <c r="GE19" i="3"/>
  <c r="GB19" i="3"/>
  <c r="GA19" i="3"/>
  <c r="FZ19" i="3"/>
  <c r="FY19" i="3"/>
  <c r="FW19" i="3"/>
  <c r="FV19" i="3"/>
  <c r="FU19" i="3"/>
  <c r="FT19" i="3"/>
  <c r="FS19" i="3"/>
  <c r="FR19" i="3"/>
  <c r="FQ19" i="3"/>
  <c r="FJ19" i="3"/>
  <c r="FI19" i="3"/>
  <c r="FH19" i="3"/>
  <c r="FG19" i="3"/>
  <c r="FF19" i="3"/>
  <c r="FP19" i="3" s="1"/>
  <c r="FE19" i="3"/>
  <c r="FD19" i="3"/>
  <c r="FB19" i="3"/>
  <c r="FA19" i="3"/>
  <c r="EZ19" i="3"/>
  <c r="EY19" i="3"/>
  <c r="EX19" i="3"/>
  <c r="EW19" i="3"/>
  <c r="EV19" i="3"/>
  <c r="EU19" i="3"/>
  <c r="ET19" i="3"/>
  <c r="ES19" i="3"/>
  <c r="ER19" i="3"/>
  <c r="EQ19" i="3"/>
  <c r="EP19" i="3"/>
  <c r="EO19" i="3"/>
  <c r="EN19" i="3"/>
  <c r="EM19" i="3"/>
  <c r="EL19" i="3"/>
  <c r="EK19" i="3"/>
  <c r="EJ19" i="3"/>
  <c r="EI19" i="3"/>
  <c r="EH19" i="3"/>
  <c r="EG19" i="3"/>
  <c r="EF19" i="3"/>
  <c r="EE19" i="3"/>
  <c r="ED19" i="3"/>
  <c r="EC19" i="3"/>
  <c r="EB19" i="3"/>
  <c r="EA19" i="3"/>
  <c r="DU19" i="3"/>
  <c r="DT19" i="3"/>
  <c r="DS19" i="3"/>
  <c r="DR19" i="3"/>
  <c r="DQ19" i="3"/>
  <c r="DP19" i="3"/>
  <c r="DO19" i="3"/>
  <c r="DN19" i="3"/>
  <c r="DK19" i="3"/>
  <c r="DJ19" i="3"/>
  <c r="DI19" i="3"/>
  <c r="DH19" i="3"/>
  <c r="DG19" i="3"/>
  <c r="DF19" i="3"/>
  <c r="DE19" i="3"/>
  <c r="DD19" i="3"/>
  <c r="DB19" i="3"/>
  <c r="DA19" i="3"/>
  <c r="CV19" i="3"/>
  <c r="CU19" i="3"/>
  <c r="CT19" i="3"/>
  <c r="CS19" i="3"/>
  <c r="GN19" i="3" s="1"/>
  <c r="CR19" i="3"/>
  <c r="GM19" i="3" s="1"/>
  <c r="CQ19" i="3"/>
  <c r="GL19" i="3" s="1"/>
  <c r="CP19" i="3"/>
  <c r="GJ19" i="3" s="1"/>
  <c r="GK19" i="3" s="1"/>
  <c r="CO19" i="3"/>
  <c r="DZ19" i="3" s="1"/>
  <c r="CN19" i="3"/>
  <c r="DY19" i="3" s="1"/>
  <c r="CM19" i="3"/>
  <c r="DX19" i="3" s="1"/>
  <c r="CL19" i="3"/>
  <c r="DW19" i="3" s="1"/>
  <c r="CG19" i="3" a="1"/>
  <c r="CG19" i="3" s="1"/>
  <c r="AV19" i="3"/>
  <c r="J19" i="3"/>
  <c r="G19" i="3"/>
  <c r="HX18" i="3" a="1"/>
  <c r="HX18" i="3" s="1"/>
  <c r="IW18" i="3" s="1"/>
  <c r="HW18" i="3" a="1"/>
  <c r="HW18" i="3" s="1"/>
  <c r="IV18" i="3" s="1"/>
  <c r="HV18" i="3" a="1"/>
  <c r="HV18" i="3" s="1"/>
  <c r="IU18" i="3" s="1"/>
  <c r="HU18" i="3" a="1"/>
  <c r="HU18" i="3" s="1"/>
  <c r="IT18" i="3" s="1"/>
  <c r="HT18" i="3" a="1"/>
  <c r="HT18" i="3" s="1"/>
  <c r="IS18" i="3" s="1"/>
  <c r="HS18" i="3" a="1"/>
  <c r="HS18" i="3" s="1"/>
  <c r="IR18" i="3" s="1"/>
  <c r="HR18" i="3" a="1"/>
  <c r="HR18" i="3" s="1"/>
  <c r="IQ18" i="3" s="1"/>
  <c r="HQ18" i="3" a="1"/>
  <c r="HQ18" i="3" s="1"/>
  <c r="IP18" i="3" s="1"/>
  <c r="HP18" i="3" a="1"/>
  <c r="HP18" i="3" s="1"/>
  <c r="IO18" i="3" s="1"/>
  <c r="HL18" i="3"/>
  <c r="HJ18" i="3"/>
  <c r="HH18" i="3"/>
  <c r="HB18" i="3"/>
  <c r="HA18" i="3"/>
  <c r="GZ18" i="3"/>
  <c r="GY18" i="3"/>
  <c r="GX18" i="3"/>
  <c r="GW18" i="3"/>
  <c r="GV18" i="3"/>
  <c r="GU18" i="3"/>
  <c r="GT18" i="3"/>
  <c r="GP18" i="3"/>
  <c r="GI18" i="3"/>
  <c r="GH18" i="3"/>
  <c r="GG18" i="3"/>
  <c r="GF18" i="3"/>
  <c r="GE18" i="3"/>
  <c r="GB18" i="3"/>
  <c r="GA18" i="3"/>
  <c r="FZ18" i="3"/>
  <c r="FY18" i="3"/>
  <c r="FW18" i="3"/>
  <c r="FV18" i="3"/>
  <c r="FU18" i="3"/>
  <c r="FT18" i="3"/>
  <c r="FS18" i="3"/>
  <c r="FR18" i="3"/>
  <c r="FQ18" i="3"/>
  <c r="FJ18" i="3"/>
  <c r="FI18" i="3"/>
  <c r="FH18" i="3"/>
  <c r="FG18" i="3"/>
  <c r="FF18" i="3"/>
  <c r="FP18" i="3" s="1"/>
  <c r="FE18" i="3"/>
  <c r="FD18" i="3"/>
  <c r="FB18" i="3"/>
  <c r="FA18" i="3"/>
  <c r="EZ18" i="3"/>
  <c r="EY18" i="3"/>
  <c r="EX18" i="3"/>
  <c r="EW18" i="3"/>
  <c r="EV18" i="3"/>
  <c r="EU18" i="3"/>
  <c r="ET18" i="3"/>
  <c r="ES18" i="3"/>
  <c r="ER18" i="3"/>
  <c r="EQ18" i="3"/>
  <c r="EP18" i="3"/>
  <c r="EO18" i="3"/>
  <c r="EN18" i="3"/>
  <c r="EM18" i="3"/>
  <c r="EL18" i="3"/>
  <c r="EK18" i="3"/>
  <c r="EJ18" i="3"/>
  <c r="EI18" i="3"/>
  <c r="EH18" i="3"/>
  <c r="EG18" i="3"/>
  <c r="EF18" i="3"/>
  <c r="EE18" i="3"/>
  <c r="ED18" i="3"/>
  <c r="EC18" i="3"/>
  <c r="EB18" i="3"/>
  <c r="EA18" i="3"/>
  <c r="DU18" i="3"/>
  <c r="DT18" i="3"/>
  <c r="DS18" i="3"/>
  <c r="DR18" i="3"/>
  <c r="DQ18" i="3"/>
  <c r="DP18" i="3"/>
  <c r="DO18" i="3"/>
  <c r="DN18" i="3"/>
  <c r="DK18" i="3"/>
  <c r="DJ18" i="3"/>
  <c r="DI18" i="3"/>
  <c r="DH18" i="3"/>
  <c r="DG18" i="3"/>
  <c r="DF18" i="3"/>
  <c r="DE18" i="3"/>
  <c r="DD18" i="3"/>
  <c r="DB18" i="3"/>
  <c r="DA18" i="3"/>
  <c r="CV18" i="3"/>
  <c r="CU18" i="3"/>
  <c r="CT18" i="3"/>
  <c r="CS18" i="3"/>
  <c r="GN18" i="3" s="1"/>
  <c r="CR18" i="3"/>
  <c r="GM18" i="3" s="1"/>
  <c r="CQ18" i="3"/>
  <c r="GL18" i="3" s="1"/>
  <c r="CP18" i="3"/>
  <c r="GJ18" i="3" s="1"/>
  <c r="GK18" i="3" s="1"/>
  <c r="CO18" i="3"/>
  <c r="DZ18" i="3" s="1"/>
  <c r="CN18" i="3"/>
  <c r="DY18" i="3" s="1"/>
  <c r="CM18" i="3"/>
  <c r="DX18" i="3" s="1"/>
  <c r="CL18" i="3"/>
  <c r="DW18" i="3" s="1"/>
  <c r="CG18" i="3" a="1"/>
  <c r="CG18" i="3" s="1"/>
  <c r="AV18" i="3"/>
  <c r="J18" i="3"/>
  <c r="G18" i="3"/>
  <c r="HX17" i="3" a="1"/>
  <c r="HX17" i="3" s="1"/>
  <c r="IW17" i="3" s="1"/>
  <c r="HW17" i="3" a="1"/>
  <c r="HW17" i="3" s="1"/>
  <c r="IV17" i="3" s="1"/>
  <c r="HV17" i="3" a="1"/>
  <c r="HV17" i="3" s="1"/>
  <c r="IU17" i="3" s="1"/>
  <c r="HU17" i="3" a="1"/>
  <c r="HU17" i="3" s="1"/>
  <c r="IT17" i="3" s="1"/>
  <c r="HT17" i="3" a="1"/>
  <c r="HT17" i="3" s="1"/>
  <c r="IS17" i="3" s="1"/>
  <c r="HS17" i="3" a="1"/>
  <c r="HS17" i="3" s="1"/>
  <c r="IR17" i="3" s="1"/>
  <c r="HR17" i="3" a="1"/>
  <c r="HR17" i="3" s="1"/>
  <c r="IQ17" i="3" s="1"/>
  <c r="HQ17" i="3" a="1"/>
  <c r="HQ17" i="3" s="1"/>
  <c r="IP17" i="3" s="1"/>
  <c r="HP17" i="3" a="1"/>
  <c r="HP17" i="3" s="1"/>
  <c r="IO17" i="3" s="1"/>
  <c r="HL17" i="3"/>
  <c r="HJ17" i="3"/>
  <c r="HH17" i="3"/>
  <c r="HB17" i="3"/>
  <c r="HA17" i="3"/>
  <c r="GZ17" i="3"/>
  <c r="GY17" i="3"/>
  <c r="GX17" i="3"/>
  <c r="GW17" i="3"/>
  <c r="GV17" i="3"/>
  <c r="GU17" i="3"/>
  <c r="GT17" i="3"/>
  <c r="GP17" i="3"/>
  <c r="GI17" i="3"/>
  <c r="GH17" i="3"/>
  <c r="GG17" i="3"/>
  <c r="GF17" i="3"/>
  <c r="GE17" i="3"/>
  <c r="GB17" i="3"/>
  <c r="GA17" i="3"/>
  <c r="FZ17" i="3"/>
  <c r="FY17" i="3"/>
  <c r="FW17" i="3"/>
  <c r="FV17" i="3"/>
  <c r="FU17" i="3"/>
  <c r="FT17" i="3"/>
  <c r="FS17" i="3"/>
  <c r="FR17" i="3"/>
  <c r="FQ17" i="3"/>
  <c r="FJ17" i="3"/>
  <c r="FI17" i="3"/>
  <c r="FH17" i="3"/>
  <c r="FG17" i="3"/>
  <c r="FF17" i="3"/>
  <c r="FE17" i="3"/>
  <c r="FD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U17" i="3"/>
  <c r="DT17" i="3"/>
  <c r="DS17" i="3"/>
  <c r="DR17" i="3"/>
  <c r="DQ17" i="3"/>
  <c r="DP17" i="3"/>
  <c r="DO17" i="3"/>
  <c r="DN17" i="3"/>
  <c r="DK17" i="3"/>
  <c r="DJ17" i="3"/>
  <c r="DI17" i="3"/>
  <c r="DH17" i="3"/>
  <c r="DG17" i="3"/>
  <c r="DF17" i="3"/>
  <c r="DE17" i="3"/>
  <c r="DD17" i="3"/>
  <c r="DB17" i="3"/>
  <c r="DA17" i="3"/>
  <c r="CV17" i="3"/>
  <c r="CU17" i="3"/>
  <c r="CT17" i="3"/>
  <c r="CS17" i="3"/>
  <c r="GN17" i="3" s="1"/>
  <c r="CR17" i="3"/>
  <c r="GM17" i="3" s="1"/>
  <c r="CQ17" i="3"/>
  <c r="GL17" i="3" s="1"/>
  <c r="CP17" i="3"/>
  <c r="GJ17" i="3" s="1"/>
  <c r="GK17" i="3" s="1"/>
  <c r="CO17" i="3"/>
  <c r="DZ17" i="3" s="1"/>
  <c r="CN17" i="3"/>
  <c r="DY17" i="3" s="1"/>
  <c r="CM17" i="3"/>
  <c r="DX17" i="3" s="1"/>
  <c r="CL17" i="3"/>
  <c r="DW17" i="3" s="1"/>
  <c r="CG17" i="3" a="1"/>
  <c r="CG17" i="3" s="1"/>
  <c r="IN17" i="3" s="1"/>
  <c r="IX17" i="3" s="1"/>
  <c r="AV17" i="3"/>
  <c r="J17" i="3"/>
  <c r="G17" i="3"/>
  <c r="HX16" i="3" a="1"/>
  <c r="HX16" i="3" s="1"/>
  <c r="IW16" i="3" s="1"/>
  <c r="HW16" i="3" a="1"/>
  <c r="HW16" i="3" s="1"/>
  <c r="IV16" i="3" s="1"/>
  <c r="HV16" i="3" a="1"/>
  <c r="HV16" i="3" s="1"/>
  <c r="IU16" i="3" s="1"/>
  <c r="HU16" i="3" a="1"/>
  <c r="HU16" i="3" s="1"/>
  <c r="IT16" i="3" s="1"/>
  <c r="HT16" i="3" a="1"/>
  <c r="HT16" i="3" s="1"/>
  <c r="IS16" i="3" s="1"/>
  <c r="HS16" i="3" a="1"/>
  <c r="HS16" i="3" s="1"/>
  <c r="IR16" i="3" s="1"/>
  <c r="HR16" i="3" a="1"/>
  <c r="HR16" i="3" s="1"/>
  <c r="IQ16" i="3" s="1"/>
  <c r="HQ16" i="3" a="1"/>
  <c r="HQ16" i="3" s="1"/>
  <c r="IP16" i="3" s="1"/>
  <c r="HP16" i="3" a="1"/>
  <c r="HP16" i="3" s="1"/>
  <c r="IO16" i="3" s="1"/>
  <c r="HL16" i="3"/>
  <c r="HJ16" i="3"/>
  <c r="HH16" i="3"/>
  <c r="HB16" i="3"/>
  <c r="HA16" i="3"/>
  <c r="GZ16" i="3"/>
  <c r="GY16" i="3"/>
  <c r="GX16" i="3"/>
  <c r="GW16" i="3"/>
  <c r="GV16" i="3"/>
  <c r="GU16" i="3"/>
  <c r="GT16" i="3"/>
  <c r="GP16" i="3"/>
  <c r="GI16" i="3"/>
  <c r="GH16" i="3"/>
  <c r="GG16" i="3"/>
  <c r="GF16" i="3"/>
  <c r="GE16" i="3"/>
  <c r="GB16" i="3"/>
  <c r="GA16" i="3"/>
  <c r="FZ16" i="3"/>
  <c r="FY16" i="3"/>
  <c r="FW16" i="3"/>
  <c r="FV16" i="3"/>
  <c r="FU16" i="3"/>
  <c r="FT16" i="3"/>
  <c r="FS16" i="3"/>
  <c r="FR16" i="3"/>
  <c r="FQ16" i="3"/>
  <c r="FJ16" i="3"/>
  <c r="FI16" i="3"/>
  <c r="FH16" i="3"/>
  <c r="FG16" i="3"/>
  <c r="FF16" i="3"/>
  <c r="FP16" i="3" s="1"/>
  <c r="FE16" i="3"/>
  <c r="FD16" i="3"/>
  <c r="FB16" i="3"/>
  <c r="FA16" i="3"/>
  <c r="EZ16" i="3"/>
  <c r="EY16" i="3"/>
  <c r="EX16" i="3"/>
  <c r="EW16" i="3"/>
  <c r="EV16" i="3"/>
  <c r="EU16" i="3"/>
  <c r="ET16" i="3"/>
  <c r="ES16" i="3"/>
  <c r="ER16" i="3"/>
  <c r="EQ16" i="3"/>
  <c r="EP16" i="3"/>
  <c r="EO16" i="3"/>
  <c r="EN16" i="3"/>
  <c r="EM16" i="3"/>
  <c r="EL16" i="3"/>
  <c r="EK16" i="3"/>
  <c r="EJ16" i="3"/>
  <c r="EI16" i="3"/>
  <c r="EH16" i="3"/>
  <c r="EG16" i="3"/>
  <c r="EF16" i="3"/>
  <c r="EE16" i="3"/>
  <c r="ED16" i="3"/>
  <c r="EC16" i="3"/>
  <c r="EB16" i="3"/>
  <c r="EA16" i="3"/>
  <c r="DU16" i="3"/>
  <c r="DT16" i="3"/>
  <c r="DS16" i="3"/>
  <c r="DR16" i="3"/>
  <c r="DQ16" i="3"/>
  <c r="DP16" i="3"/>
  <c r="DO16" i="3"/>
  <c r="DN16" i="3"/>
  <c r="DK16" i="3"/>
  <c r="DJ16" i="3"/>
  <c r="DI16" i="3"/>
  <c r="DH16" i="3"/>
  <c r="DG16" i="3"/>
  <c r="DF16" i="3"/>
  <c r="DE16" i="3"/>
  <c r="DD16" i="3"/>
  <c r="DB16" i="3"/>
  <c r="DA16" i="3"/>
  <c r="CV16" i="3"/>
  <c r="CU16" i="3"/>
  <c r="CT16" i="3"/>
  <c r="CS16" i="3"/>
  <c r="GN16" i="3" s="1"/>
  <c r="CR16" i="3"/>
  <c r="GM16" i="3" s="1"/>
  <c r="CQ16" i="3"/>
  <c r="GL16" i="3" s="1"/>
  <c r="CP16" i="3"/>
  <c r="GJ16" i="3" s="1"/>
  <c r="GK16" i="3" s="1"/>
  <c r="CO16" i="3"/>
  <c r="DZ16" i="3" s="1"/>
  <c r="CN16" i="3"/>
  <c r="DY16" i="3" s="1"/>
  <c r="CM16" i="3"/>
  <c r="DX16" i="3" s="1"/>
  <c r="CL16" i="3"/>
  <c r="DW16" i="3" s="1"/>
  <c r="CG16" i="3" a="1"/>
  <c r="CG16" i="3" s="1"/>
  <c r="IN16" i="3" s="1"/>
  <c r="IX16" i="3" s="1"/>
  <c r="AV16" i="3"/>
  <c r="J16" i="3"/>
  <c r="G16" i="3"/>
  <c r="HX15" i="3" a="1"/>
  <c r="HX15" i="3" s="1"/>
  <c r="IW15" i="3" s="1"/>
  <c r="HW15" i="3" a="1"/>
  <c r="HW15" i="3" s="1"/>
  <c r="IV15" i="3" s="1"/>
  <c r="HV15" i="3" a="1"/>
  <c r="HV15" i="3" s="1"/>
  <c r="IU15" i="3" s="1"/>
  <c r="HU15" i="3" a="1"/>
  <c r="HU15" i="3" s="1"/>
  <c r="IT15" i="3" s="1"/>
  <c r="HT15" i="3" a="1"/>
  <c r="HT15" i="3" s="1"/>
  <c r="IS15" i="3" s="1"/>
  <c r="HS15" i="3" a="1"/>
  <c r="HS15" i="3" s="1"/>
  <c r="IR15" i="3" s="1"/>
  <c r="HR15" i="3" a="1"/>
  <c r="HR15" i="3" s="1"/>
  <c r="IQ15" i="3" s="1"/>
  <c r="HQ15" i="3" a="1"/>
  <c r="HQ15" i="3" s="1"/>
  <c r="IP15" i="3" s="1"/>
  <c r="HP15" i="3" a="1"/>
  <c r="HP15" i="3" s="1"/>
  <c r="IO15" i="3" s="1"/>
  <c r="HL15" i="3"/>
  <c r="HJ15" i="3"/>
  <c r="HH15" i="3"/>
  <c r="HB15" i="3"/>
  <c r="HA15" i="3"/>
  <c r="GZ15" i="3"/>
  <c r="GY15" i="3"/>
  <c r="GX15" i="3"/>
  <c r="GW15" i="3"/>
  <c r="GV15" i="3"/>
  <c r="GU15" i="3"/>
  <c r="GT15" i="3"/>
  <c r="GP15" i="3"/>
  <c r="GI15" i="3"/>
  <c r="GH15" i="3"/>
  <c r="GG15" i="3"/>
  <c r="GF15" i="3"/>
  <c r="GE15" i="3"/>
  <c r="GB15" i="3"/>
  <c r="GA15" i="3"/>
  <c r="FZ15" i="3"/>
  <c r="FY15" i="3"/>
  <c r="FW15" i="3"/>
  <c r="FV15" i="3"/>
  <c r="FU15" i="3"/>
  <c r="FT15" i="3"/>
  <c r="FS15" i="3"/>
  <c r="FR15" i="3"/>
  <c r="FQ15" i="3"/>
  <c r="FJ15" i="3"/>
  <c r="FI15" i="3"/>
  <c r="FH15" i="3"/>
  <c r="FG15" i="3"/>
  <c r="FF15" i="3"/>
  <c r="FP15" i="3" s="1"/>
  <c r="FE15" i="3"/>
  <c r="FD15" i="3"/>
  <c r="FB15" i="3"/>
  <c r="FA15" i="3"/>
  <c r="EZ15" i="3"/>
  <c r="EY15" i="3"/>
  <c r="EX15" i="3"/>
  <c r="EW15" i="3"/>
  <c r="EV15" i="3"/>
  <c r="EU15" i="3"/>
  <c r="ET15" i="3"/>
  <c r="ES15" i="3"/>
  <c r="ER15" i="3"/>
  <c r="EQ15" i="3"/>
  <c r="EP15" i="3"/>
  <c r="EO15" i="3"/>
  <c r="EN15" i="3"/>
  <c r="EM15" i="3"/>
  <c r="EL15" i="3"/>
  <c r="EK15" i="3"/>
  <c r="EJ15" i="3"/>
  <c r="EI15" i="3"/>
  <c r="EH15" i="3"/>
  <c r="EG15" i="3"/>
  <c r="EF15" i="3"/>
  <c r="EE15" i="3"/>
  <c r="ED15" i="3"/>
  <c r="EC15" i="3"/>
  <c r="EB15" i="3"/>
  <c r="EA15" i="3"/>
  <c r="DU15" i="3"/>
  <c r="DT15" i="3"/>
  <c r="DS15" i="3"/>
  <c r="DR15" i="3"/>
  <c r="DQ15" i="3"/>
  <c r="DP15" i="3"/>
  <c r="DO15" i="3"/>
  <c r="DN15" i="3"/>
  <c r="DK15" i="3"/>
  <c r="DJ15" i="3"/>
  <c r="DI15" i="3"/>
  <c r="DH15" i="3"/>
  <c r="DG15" i="3"/>
  <c r="DF15" i="3"/>
  <c r="DE15" i="3"/>
  <c r="DD15" i="3"/>
  <c r="DB15" i="3"/>
  <c r="DA15" i="3"/>
  <c r="CV15" i="3"/>
  <c r="CU15" i="3"/>
  <c r="CT15" i="3"/>
  <c r="CS15" i="3"/>
  <c r="GN15" i="3" s="1"/>
  <c r="CR15" i="3"/>
  <c r="GM15" i="3" s="1"/>
  <c r="CQ15" i="3"/>
  <c r="GL15" i="3" s="1"/>
  <c r="CP15" i="3"/>
  <c r="GJ15" i="3" s="1"/>
  <c r="GK15" i="3" s="1"/>
  <c r="CO15" i="3"/>
  <c r="DZ15" i="3" s="1"/>
  <c r="CN15" i="3"/>
  <c r="DY15" i="3" s="1"/>
  <c r="CM15" i="3"/>
  <c r="DX15" i="3" s="1"/>
  <c r="CL15" i="3"/>
  <c r="DW15" i="3" s="1"/>
  <c r="CG15" i="3" a="1"/>
  <c r="CG15" i="3" s="1"/>
  <c r="AV15" i="3"/>
  <c r="J15" i="3"/>
  <c r="G15" i="3"/>
  <c r="IL14" i="3"/>
  <c r="HX14" i="3" a="1"/>
  <c r="HX14" i="3" s="1"/>
  <c r="IW14" i="3" s="1"/>
  <c r="HW14" i="3" a="1"/>
  <c r="HW14" i="3" s="1"/>
  <c r="IV14" i="3" s="1"/>
  <c r="HV14" i="3" a="1"/>
  <c r="HV14" i="3" s="1"/>
  <c r="IU14" i="3" s="1"/>
  <c r="HU14" i="3" a="1"/>
  <c r="HU14" i="3" s="1"/>
  <c r="IT14" i="3" s="1"/>
  <c r="HT14" i="3" a="1"/>
  <c r="HT14" i="3" s="1"/>
  <c r="IS14" i="3" s="1"/>
  <c r="HS14" i="3" a="1"/>
  <c r="HS14" i="3" s="1"/>
  <c r="IR14" i="3" s="1"/>
  <c r="HR14" i="3" a="1"/>
  <c r="HR14" i="3" s="1"/>
  <c r="IQ14" i="3" s="1"/>
  <c r="HQ14" i="3" a="1"/>
  <c r="HQ14" i="3" s="1"/>
  <c r="IP14" i="3" s="1"/>
  <c r="HP14" i="3" a="1"/>
  <c r="HP14" i="3" s="1"/>
  <c r="IO14" i="3" s="1"/>
  <c r="HL14" i="3"/>
  <c r="HJ14" i="3"/>
  <c r="HH14" i="3"/>
  <c r="HB14" i="3"/>
  <c r="HA14" i="3"/>
  <c r="GZ14" i="3"/>
  <c r="GY14" i="3"/>
  <c r="GX14" i="3"/>
  <c r="GW14" i="3"/>
  <c r="GV14" i="3"/>
  <c r="GU14" i="3"/>
  <c r="GT14" i="3"/>
  <c r="GP14" i="3"/>
  <c r="GI14" i="3"/>
  <c r="GH14" i="3"/>
  <c r="GG14" i="3"/>
  <c r="GF14" i="3"/>
  <c r="GE14" i="3"/>
  <c r="GD14" i="3"/>
  <c r="GC14" i="3"/>
  <c r="GB14" i="3"/>
  <c r="GA14" i="3"/>
  <c r="FZ14" i="3"/>
  <c r="FY14" i="3"/>
  <c r="FX14" i="3"/>
  <c r="FW14" i="3"/>
  <c r="FV14" i="3"/>
  <c r="FU14" i="3"/>
  <c r="FT14" i="3"/>
  <c r="FS14" i="3"/>
  <c r="FR14" i="3"/>
  <c r="FQ14" i="3"/>
  <c r="FJ14" i="3"/>
  <c r="FI14" i="3"/>
  <c r="FH14" i="3"/>
  <c r="FG14" i="3"/>
  <c r="FF14" i="3"/>
  <c r="FP14" i="3" s="1"/>
  <c r="FE14" i="3"/>
  <c r="FD14" i="3"/>
  <c r="FC14" i="3"/>
  <c r="FB14" i="3"/>
  <c r="FA14" i="3"/>
  <c r="EZ14" i="3"/>
  <c r="EY14" i="3"/>
  <c r="EX14" i="3"/>
  <c r="EW14" i="3"/>
  <c r="EV14" i="3"/>
  <c r="EU14" i="3"/>
  <c r="ET14" i="3"/>
  <c r="ES14" i="3"/>
  <c r="ER14" i="3"/>
  <c r="EQ14" i="3"/>
  <c r="EP14" i="3"/>
  <c r="EO14" i="3"/>
  <c r="EN14" i="3"/>
  <c r="EM14" i="3"/>
  <c r="EL14" i="3"/>
  <c r="EK14" i="3"/>
  <c r="EJ14" i="3"/>
  <c r="EI14" i="3"/>
  <c r="EH14" i="3"/>
  <c r="EG14" i="3"/>
  <c r="EF14" i="3"/>
  <c r="EE14" i="3"/>
  <c r="ED14" i="3"/>
  <c r="EC14" i="3"/>
  <c r="EB14" i="3"/>
  <c r="EA14" i="3"/>
  <c r="DV14" i="3"/>
  <c r="DU14" i="3"/>
  <c r="DT14" i="3"/>
  <c r="DS14" i="3"/>
  <c r="DR14" i="3"/>
  <c r="DQ14" i="3"/>
  <c r="DP14" i="3"/>
  <c r="DO14" i="3"/>
  <c r="DN14" i="3"/>
  <c r="DK14" i="3"/>
  <c r="DJ14" i="3"/>
  <c r="DI14" i="3"/>
  <c r="DH14" i="3"/>
  <c r="DG14" i="3"/>
  <c r="DF14" i="3"/>
  <c r="DE14" i="3"/>
  <c r="DD14" i="3"/>
  <c r="DC14" i="3"/>
  <c r="DB14" i="3"/>
  <c r="DA14" i="3"/>
  <c r="CV14" i="3"/>
  <c r="CU14" i="3"/>
  <c r="CT14" i="3"/>
  <c r="CS14" i="3"/>
  <c r="GN14" i="3" s="1"/>
  <c r="CR14" i="3"/>
  <c r="GM14" i="3" s="1"/>
  <c r="CQ14" i="3"/>
  <c r="GL14" i="3" s="1"/>
  <c r="CP14" i="3"/>
  <c r="GJ14" i="3" s="1"/>
  <c r="GK14" i="3" s="1"/>
  <c r="CO14" i="3"/>
  <c r="DZ14" i="3" s="1"/>
  <c r="CN14" i="3"/>
  <c r="DY14" i="3" s="1"/>
  <c r="CM14" i="3"/>
  <c r="DX14" i="3" s="1"/>
  <c r="CL14" i="3"/>
  <c r="DW14" i="3" s="1"/>
  <c r="CG14" i="3" a="1"/>
  <c r="CG14" i="3" s="1"/>
  <c r="IN14" i="3" s="1"/>
  <c r="IX14" i="3" s="1"/>
  <c r="AV14" i="3"/>
  <c r="J14" i="3"/>
  <c r="G14" i="3"/>
  <c r="HX13" i="3" a="1"/>
  <c r="HX13" i="3" s="1"/>
  <c r="IW13" i="3" s="1"/>
  <c r="HW13" i="3" a="1"/>
  <c r="HW13" i="3" s="1"/>
  <c r="IV13" i="3" s="1"/>
  <c r="HV13" i="3" a="1"/>
  <c r="HV13" i="3" s="1"/>
  <c r="IU13" i="3" s="1"/>
  <c r="HU13" i="3" a="1"/>
  <c r="HU13" i="3" s="1"/>
  <c r="IT13" i="3" s="1"/>
  <c r="HT13" i="3" a="1"/>
  <c r="HT13" i="3" s="1"/>
  <c r="IS13" i="3" s="1"/>
  <c r="HS13" i="3" a="1"/>
  <c r="HS13" i="3" s="1"/>
  <c r="IR13" i="3" s="1"/>
  <c r="HR13" i="3" a="1"/>
  <c r="HR13" i="3" s="1"/>
  <c r="IQ13" i="3" s="1"/>
  <c r="HQ13" i="3" a="1"/>
  <c r="HQ13" i="3" s="1"/>
  <c r="IP13" i="3" s="1"/>
  <c r="HP13" i="3" a="1"/>
  <c r="HP13" i="3" s="1"/>
  <c r="IO13" i="3" s="1"/>
  <c r="HL13" i="3"/>
  <c r="HJ13" i="3"/>
  <c r="HH13" i="3"/>
  <c r="HB13" i="3"/>
  <c r="HA13" i="3"/>
  <c r="GZ13" i="3"/>
  <c r="GY13" i="3"/>
  <c r="GX13" i="3"/>
  <c r="GW13" i="3"/>
  <c r="GV13" i="3"/>
  <c r="GU13" i="3"/>
  <c r="GT13" i="3"/>
  <c r="GP13" i="3"/>
  <c r="GI13" i="3"/>
  <c r="GH13" i="3"/>
  <c r="GG13" i="3"/>
  <c r="GF13" i="3"/>
  <c r="GE13" i="3"/>
  <c r="GB13" i="3"/>
  <c r="GA13" i="3"/>
  <c r="FZ13" i="3"/>
  <c r="FY13" i="3"/>
  <c r="FW13" i="3"/>
  <c r="FV13" i="3"/>
  <c r="FU13" i="3"/>
  <c r="FT13" i="3"/>
  <c r="FS13" i="3"/>
  <c r="FR13" i="3"/>
  <c r="FQ13" i="3"/>
  <c r="FJ13" i="3"/>
  <c r="FI13" i="3"/>
  <c r="FH13" i="3"/>
  <c r="FG13" i="3"/>
  <c r="FF13" i="3"/>
  <c r="FP13" i="3" s="1"/>
  <c r="FE13" i="3"/>
  <c r="FD13" i="3"/>
  <c r="FB13" i="3"/>
  <c r="FA13" i="3"/>
  <c r="EZ13" i="3"/>
  <c r="EY13" i="3"/>
  <c r="EX13" i="3"/>
  <c r="EW13" i="3"/>
  <c r="EV13" i="3"/>
  <c r="EU13" i="3"/>
  <c r="ET13" i="3"/>
  <c r="ES13" i="3"/>
  <c r="ER13" i="3"/>
  <c r="EQ13" i="3"/>
  <c r="EP13" i="3"/>
  <c r="EO13" i="3"/>
  <c r="EN13" i="3"/>
  <c r="EM13" i="3"/>
  <c r="EL13" i="3"/>
  <c r="EK13" i="3"/>
  <c r="EJ13" i="3"/>
  <c r="EI13" i="3"/>
  <c r="EH13" i="3"/>
  <c r="EG13" i="3"/>
  <c r="EF13" i="3"/>
  <c r="EE13" i="3"/>
  <c r="ED13" i="3"/>
  <c r="EC13" i="3"/>
  <c r="EB13" i="3"/>
  <c r="EA13" i="3"/>
  <c r="DU13" i="3"/>
  <c r="DT13" i="3"/>
  <c r="DS13" i="3"/>
  <c r="DR13" i="3"/>
  <c r="DQ13" i="3"/>
  <c r="DP13" i="3"/>
  <c r="DO13" i="3"/>
  <c r="DN13" i="3"/>
  <c r="DK13" i="3"/>
  <c r="DJ13" i="3"/>
  <c r="DI13" i="3"/>
  <c r="DH13" i="3"/>
  <c r="DG13" i="3"/>
  <c r="DF13" i="3"/>
  <c r="DE13" i="3"/>
  <c r="DD13" i="3"/>
  <c r="DB13" i="3"/>
  <c r="DA13" i="3"/>
  <c r="CV13" i="3"/>
  <c r="CU13" i="3"/>
  <c r="CT13" i="3"/>
  <c r="CS13" i="3"/>
  <c r="GN13" i="3" s="1"/>
  <c r="CR13" i="3"/>
  <c r="GM13" i="3" s="1"/>
  <c r="CQ13" i="3"/>
  <c r="GL13" i="3" s="1"/>
  <c r="CP13" i="3"/>
  <c r="GJ13" i="3" s="1"/>
  <c r="GK13" i="3" s="1"/>
  <c r="CO13" i="3"/>
  <c r="DZ13" i="3" s="1"/>
  <c r="CN13" i="3"/>
  <c r="DY13" i="3" s="1"/>
  <c r="CM13" i="3"/>
  <c r="DX13" i="3" s="1"/>
  <c r="CL13" i="3"/>
  <c r="DW13" i="3" s="1"/>
  <c r="CG13" i="3" a="1"/>
  <c r="CG13" i="3" s="1"/>
  <c r="IN13" i="3" s="1"/>
  <c r="IX13" i="3" s="1"/>
  <c r="AV13" i="3"/>
  <c r="J13" i="3"/>
  <c r="G13" i="3"/>
  <c r="IL12" i="3"/>
  <c r="HX12" i="3" a="1"/>
  <c r="HX12" i="3" s="1"/>
  <c r="IW12" i="3" s="1"/>
  <c r="HW12" i="3" a="1"/>
  <c r="HW12" i="3" s="1"/>
  <c r="IV12" i="3" s="1"/>
  <c r="HV12" i="3" a="1"/>
  <c r="HV12" i="3" s="1"/>
  <c r="IU12" i="3" s="1"/>
  <c r="HU12" i="3" a="1"/>
  <c r="HU12" i="3" s="1"/>
  <c r="IT12" i="3" s="1"/>
  <c r="HT12" i="3" a="1"/>
  <c r="HT12" i="3" s="1"/>
  <c r="IS12" i="3" s="1"/>
  <c r="HS12" i="3" a="1"/>
  <c r="HS12" i="3" s="1"/>
  <c r="IR12" i="3" s="1"/>
  <c r="HR12" i="3" a="1"/>
  <c r="HR12" i="3" s="1"/>
  <c r="IQ12" i="3" s="1"/>
  <c r="HQ12" i="3" a="1"/>
  <c r="HQ12" i="3" s="1"/>
  <c r="IP12" i="3" s="1"/>
  <c r="HP12" i="3" a="1"/>
  <c r="HP12" i="3" s="1"/>
  <c r="IO12" i="3" s="1"/>
  <c r="HL12" i="3"/>
  <c r="HJ12" i="3"/>
  <c r="HH12" i="3"/>
  <c r="HB12" i="3"/>
  <c r="HA12" i="3"/>
  <c r="GZ12" i="3"/>
  <c r="GY12" i="3"/>
  <c r="GX12" i="3"/>
  <c r="GW12" i="3"/>
  <c r="GV12" i="3"/>
  <c r="GU12" i="3"/>
  <c r="GT12" i="3"/>
  <c r="GP12" i="3"/>
  <c r="GI12" i="3"/>
  <c r="GH12" i="3"/>
  <c r="GG12" i="3"/>
  <c r="GF12" i="3"/>
  <c r="GE12" i="3"/>
  <c r="GD12" i="3"/>
  <c r="GC12" i="3"/>
  <c r="GB12" i="3"/>
  <c r="GA12" i="3"/>
  <c r="FZ12" i="3"/>
  <c r="FY12" i="3"/>
  <c r="FX12" i="3"/>
  <c r="FW12" i="3"/>
  <c r="FV12" i="3"/>
  <c r="FU12" i="3"/>
  <c r="FT12" i="3"/>
  <c r="FS12" i="3"/>
  <c r="FR12" i="3"/>
  <c r="FQ12" i="3"/>
  <c r="FJ12" i="3"/>
  <c r="FI12" i="3"/>
  <c r="FH12" i="3"/>
  <c r="FG12" i="3"/>
  <c r="FF12" i="3"/>
  <c r="FP12" i="3" s="1"/>
  <c r="FE12" i="3"/>
  <c r="FD12" i="3"/>
  <c r="FC12" i="3"/>
  <c r="FB12" i="3"/>
  <c r="FA12" i="3"/>
  <c r="EZ12" i="3"/>
  <c r="EY12" i="3"/>
  <c r="EX12" i="3"/>
  <c r="EW12" i="3"/>
  <c r="EV12" i="3"/>
  <c r="EU12" i="3"/>
  <c r="ET12" i="3"/>
  <c r="ES12" i="3"/>
  <c r="ER12" i="3"/>
  <c r="EQ12" i="3"/>
  <c r="EP12" i="3"/>
  <c r="EO12" i="3"/>
  <c r="EN12" i="3"/>
  <c r="EM12" i="3"/>
  <c r="EL12" i="3"/>
  <c r="EK12" i="3"/>
  <c r="EJ12" i="3"/>
  <c r="EI12" i="3"/>
  <c r="EH12" i="3"/>
  <c r="EG12" i="3"/>
  <c r="EF12" i="3"/>
  <c r="EE12" i="3"/>
  <c r="ED12" i="3"/>
  <c r="EC12" i="3"/>
  <c r="EB12" i="3"/>
  <c r="EA12" i="3"/>
  <c r="DV12" i="3"/>
  <c r="DU12" i="3"/>
  <c r="DT12" i="3"/>
  <c r="DS12" i="3"/>
  <c r="DR12" i="3"/>
  <c r="DQ12" i="3"/>
  <c r="DP12" i="3"/>
  <c r="DO12" i="3"/>
  <c r="DN12" i="3"/>
  <c r="DK12" i="3"/>
  <c r="DJ12" i="3"/>
  <c r="DI12" i="3"/>
  <c r="DH12" i="3"/>
  <c r="DG12" i="3"/>
  <c r="DF12" i="3"/>
  <c r="DE12" i="3"/>
  <c r="DD12" i="3"/>
  <c r="DC12" i="3"/>
  <c r="DB12" i="3"/>
  <c r="DA12" i="3"/>
  <c r="CV12" i="3"/>
  <c r="CU12" i="3"/>
  <c r="CT12" i="3"/>
  <c r="CS12" i="3"/>
  <c r="GN12" i="3" s="1"/>
  <c r="CR12" i="3"/>
  <c r="GM12" i="3" s="1"/>
  <c r="CQ12" i="3"/>
  <c r="GL12" i="3" s="1"/>
  <c r="CP12" i="3"/>
  <c r="GJ12" i="3" s="1"/>
  <c r="GK12" i="3" s="1"/>
  <c r="CO12" i="3"/>
  <c r="DZ12" i="3" s="1"/>
  <c r="CN12" i="3"/>
  <c r="DY12" i="3" s="1"/>
  <c r="CM12" i="3"/>
  <c r="DX12" i="3" s="1"/>
  <c r="CL12" i="3"/>
  <c r="DW12" i="3" s="1"/>
  <c r="CG12" i="3" a="1"/>
  <c r="CG12" i="3" s="1"/>
  <c r="IM12" i="3" s="1"/>
  <c r="AV12" i="3"/>
  <c r="J12" i="3"/>
  <c r="G12" i="3"/>
  <c r="HX11" i="3" a="1"/>
  <c r="HX11" i="3" s="1"/>
  <c r="IW11" i="3" s="1"/>
  <c r="HW11" i="3" a="1"/>
  <c r="HW11" i="3" s="1"/>
  <c r="IV11" i="3" s="1"/>
  <c r="HV11" i="3" a="1"/>
  <c r="HV11" i="3" s="1"/>
  <c r="IU11" i="3" s="1"/>
  <c r="HU11" i="3" a="1"/>
  <c r="HU11" i="3" s="1"/>
  <c r="IT11" i="3" s="1"/>
  <c r="HT11" i="3" a="1"/>
  <c r="HT11" i="3" s="1"/>
  <c r="IS11" i="3" s="1"/>
  <c r="HS11" i="3" a="1"/>
  <c r="HS11" i="3" s="1"/>
  <c r="IR11" i="3" s="1"/>
  <c r="HR11" i="3" a="1"/>
  <c r="HR11" i="3" s="1"/>
  <c r="IQ11" i="3" s="1"/>
  <c r="HQ11" i="3" a="1"/>
  <c r="HQ11" i="3" s="1"/>
  <c r="IP11" i="3" s="1"/>
  <c r="HP11" i="3" a="1"/>
  <c r="HP11" i="3" s="1"/>
  <c r="IO11" i="3" s="1"/>
  <c r="HL11" i="3"/>
  <c r="HJ11" i="3"/>
  <c r="HH11" i="3"/>
  <c r="HB11" i="3"/>
  <c r="HA11" i="3"/>
  <c r="GZ11" i="3"/>
  <c r="GY11" i="3"/>
  <c r="GX11" i="3"/>
  <c r="GW11" i="3"/>
  <c r="GV11" i="3"/>
  <c r="GU11" i="3"/>
  <c r="GT11" i="3"/>
  <c r="GP11" i="3"/>
  <c r="GI11" i="3"/>
  <c r="GH11" i="3"/>
  <c r="GG11" i="3"/>
  <c r="GF11" i="3"/>
  <c r="GE11" i="3"/>
  <c r="GB11" i="3"/>
  <c r="GA11" i="3"/>
  <c r="FZ11" i="3"/>
  <c r="FY11" i="3"/>
  <c r="FW11" i="3"/>
  <c r="FV11" i="3"/>
  <c r="FU11" i="3"/>
  <c r="FT11" i="3"/>
  <c r="FS11" i="3"/>
  <c r="FR11" i="3"/>
  <c r="FQ11" i="3"/>
  <c r="FJ11" i="3"/>
  <c r="FI11" i="3"/>
  <c r="FH11" i="3"/>
  <c r="FG11" i="3"/>
  <c r="FF11" i="3"/>
  <c r="FP11" i="3" s="1"/>
  <c r="FE11" i="3"/>
  <c r="FD11" i="3"/>
  <c r="FB11" i="3"/>
  <c r="FA11" i="3"/>
  <c r="EZ11" i="3"/>
  <c r="EY11" i="3"/>
  <c r="EX11" i="3"/>
  <c r="EW11" i="3"/>
  <c r="EV11" i="3"/>
  <c r="EU11" i="3"/>
  <c r="ET11" i="3"/>
  <c r="ES11" i="3"/>
  <c r="ER11" i="3"/>
  <c r="EQ11" i="3"/>
  <c r="EP11" i="3"/>
  <c r="EO11" i="3"/>
  <c r="EN11" i="3"/>
  <c r="EM11" i="3"/>
  <c r="EL11" i="3"/>
  <c r="EK11" i="3"/>
  <c r="EJ11" i="3"/>
  <c r="EI11" i="3"/>
  <c r="EH11" i="3"/>
  <c r="EG11" i="3"/>
  <c r="EF11" i="3"/>
  <c r="EE11" i="3"/>
  <c r="ED11" i="3"/>
  <c r="EC11" i="3"/>
  <c r="EB11" i="3"/>
  <c r="EA11" i="3"/>
  <c r="DU11" i="3"/>
  <c r="DT11" i="3"/>
  <c r="DS11" i="3"/>
  <c r="DR11" i="3"/>
  <c r="DQ11" i="3"/>
  <c r="DP11" i="3"/>
  <c r="DO11" i="3"/>
  <c r="DN11" i="3"/>
  <c r="DK11" i="3"/>
  <c r="DJ11" i="3"/>
  <c r="DI11" i="3"/>
  <c r="DH11" i="3"/>
  <c r="DG11" i="3"/>
  <c r="DF11" i="3"/>
  <c r="DE11" i="3"/>
  <c r="DD11" i="3"/>
  <c r="DB11" i="3"/>
  <c r="DA11" i="3"/>
  <c r="CV11" i="3"/>
  <c r="CU11" i="3"/>
  <c r="CT11" i="3"/>
  <c r="CS11" i="3"/>
  <c r="GN11" i="3" s="1"/>
  <c r="CR11" i="3"/>
  <c r="GM11" i="3" s="1"/>
  <c r="CQ11" i="3"/>
  <c r="GL11" i="3" s="1"/>
  <c r="CP11" i="3"/>
  <c r="GJ11" i="3" s="1"/>
  <c r="GK11" i="3" s="1"/>
  <c r="CO11" i="3"/>
  <c r="DZ11" i="3" s="1"/>
  <c r="CN11" i="3"/>
  <c r="DY11" i="3" s="1"/>
  <c r="CM11" i="3"/>
  <c r="DX11" i="3" s="1"/>
  <c r="CL11" i="3"/>
  <c r="DW11" i="3" s="1"/>
  <c r="CG11" i="3" a="1"/>
  <c r="CG11" i="3" s="1"/>
  <c r="AV11" i="3"/>
  <c r="J11" i="3"/>
  <c r="G11" i="3"/>
  <c r="HX10" i="3" a="1"/>
  <c r="HX10" i="3" s="1"/>
  <c r="IW10" i="3" s="1"/>
  <c r="HW10" i="3" a="1"/>
  <c r="HW10" i="3" s="1"/>
  <c r="IV10" i="3" s="1"/>
  <c r="HV10" i="3" a="1"/>
  <c r="HV10" i="3" s="1"/>
  <c r="IU10" i="3" s="1"/>
  <c r="HU10" i="3" a="1"/>
  <c r="HU10" i="3" s="1"/>
  <c r="IT10" i="3" s="1"/>
  <c r="HT10" i="3" a="1"/>
  <c r="HT10" i="3" s="1"/>
  <c r="IS10" i="3" s="1"/>
  <c r="HS10" i="3" a="1"/>
  <c r="HS10" i="3" s="1"/>
  <c r="IR10" i="3" s="1"/>
  <c r="HR10" i="3" a="1"/>
  <c r="HR10" i="3" s="1"/>
  <c r="IQ10" i="3" s="1"/>
  <c r="HQ10" i="3" a="1"/>
  <c r="HQ10" i="3" s="1"/>
  <c r="IP10" i="3" s="1"/>
  <c r="HP10" i="3" a="1"/>
  <c r="HP10" i="3" s="1"/>
  <c r="IO10" i="3" s="1"/>
  <c r="HL10" i="3"/>
  <c r="HJ10" i="3"/>
  <c r="HH10" i="3"/>
  <c r="HB10" i="3"/>
  <c r="HA10" i="3"/>
  <c r="GZ10" i="3"/>
  <c r="GY10" i="3"/>
  <c r="GX10" i="3"/>
  <c r="GW10" i="3"/>
  <c r="GV10" i="3"/>
  <c r="GU10" i="3"/>
  <c r="GT10" i="3"/>
  <c r="GP10" i="3"/>
  <c r="GI10" i="3"/>
  <c r="GH10" i="3"/>
  <c r="GG10" i="3"/>
  <c r="GF10" i="3"/>
  <c r="GE10" i="3"/>
  <c r="GB10" i="3"/>
  <c r="GA10" i="3"/>
  <c r="FZ10" i="3"/>
  <c r="FY10" i="3"/>
  <c r="FW10" i="3"/>
  <c r="FV10" i="3"/>
  <c r="FU10" i="3"/>
  <c r="FT10" i="3"/>
  <c r="FS10" i="3"/>
  <c r="FR10" i="3"/>
  <c r="FQ10" i="3"/>
  <c r="FJ10" i="3"/>
  <c r="FI10" i="3"/>
  <c r="FH10" i="3"/>
  <c r="FG10" i="3"/>
  <c r="FF10" i="3"/>
  <c r="FP10" i="3" s="1"/>
  <c r="FE10" i="3"/>
  <c r="FD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U10" i="3"/>
  <c r="DT10" i="3"/>
  <c r="DS10" i="3"/>
  <c r="DR10" i="3"/>
  <c r="DQ10" i="3"/>
  <c r="DP10" i="3"/>
  <c r="DO10" i="3"/>
  <c r="DN10" i="3"/>
  <c r="DK10" i="3"/>
  <c r="DJ10" i="3"/>
  <c r="DI10" i="3"/>
  <c r="DH10" i="3"/>
  <c r="DG10" i="3"/>
  <c r="DF10" i="3"/>
  <c r="DE10" i="3"/>
  <c r="DD10" i="3"/>
  <c r="DB10" i="3"/>
  <c r="DA10" i="3"/>
  <c r="CV10" i="3"/>
  <c r="CU10" i="3"/>
  <c r="CT10" i="3"/>
  <c r="CS10" i="3"/>
  <c r="GN10" i="3" s="1"/>
  <c r="CR10" i="3"/>
  <c r="GM10" i="3" s="1"/>
  <c r="CQ10" i="3"/>
  <c r="GL10" i="3" s="1"/>
  <c r="CP10" i="3"/>
  <c r="GJ10" i="3" s="1"/>
  <c r="GK10" i="3" s="1"/>
  <c r="CO10" i="3"/>
  <c r="DZ10" i="3" s="1"/>
  <c r="CN10" i="3"/>
  <c r="DY10" i="3" s="1"/>
  <c r="CM10" i="3"/>
  <c r="DX10" i="3" s="1"/>
  <c r="CL10" i="3"/>
  <c r="DW10" i="3" s="1"/>
  <c r="CG10" i="3" a="1"/>
  <c r="CG10" i="3" s="1"/>
  <c r="AV10" i="3"/>
  <c r="J10" i="3"/>
  <c r="G10" i="3"/>
  <c r="HX9" i="3" a="1"/>
  <c r="HX9" i="3" s="1"/>
  <c r="IW9" i="3" s="1"/>
  <c r="HW9" i="3" a="1"/>
  <c r="HW9" i="3" s="1"/>
  <c r="IV9" i="3" s="1"/>
  <c r="HV9" i="3" a="1"/>
  <c r="HV9" i="3" s="1"/>
  <c r="IU9" i="3" s="1"/>
  <c r="HU9" i="3" a="1"/>
  <c r="HU9" i="3" s="1"/>
  <c r="IT9" i="3" s="1"/>
  <c r="HT9" i="3" a="1"/>
  <c r="HT9" i="3" s="1"/>
  <c r="IS9" i="3" s="1"/>
  <c r="HS9" i="3" a="1"/>
  <c r="HS9" i="3" s="1"/>
  <c r="IR9" i="3" s="1"/>
  <c r="HR9" i="3" a="1"/>
  <c r="HR9" i="3" s="1"/>
  <c r="IQ9" i="3" s="1"/>
  <c r="HQ9" i="3" a="1"/>
  <c r="HQ9" i="3" s="1"/>
  <c r="IP9" i="3" s="1"/>
  <c r="HP9" i="3" a="1"/>
  <c r="HP9" i="3" s="1"/>
  <c r="IO9" i="3" s="1"/>
  <c r="HL9" i="3"/>
  <c r="HJ9" i="3"/>
  <c r="HH9" i="3"/>
  <c r="HB9" i="3"/>
  <c r="HA9" i="3"/>
  <c r="GZ9" i="3"/>
  <c r="GY9" i="3"/>
  <c r="GX9" i="3"/>
  <c r="GW9" i="3"/>
  <c r="GV9" i="3"/>
  <c r="GU9" i="3"/>
  <c r="GT9" i="3"/>
  <c r="GP9" i="3"/>
  <c r="GI9" i="3"/>
  <c r="GH9" i="3"/>
  <c r="GG9" i="3"/>
  <c r="GF9" i="3"/>
  <c r="GE9" i="3"/>
  <c r="GB9" i="3"/>
  <c r="GA9" i="3"/>
  <c r="FZ9" i="3"/>
  <c r="FY9" i="3"/>
  <c r="FW9" i="3"/>
  <c r="FV9" i="3"/>
  <c r="FU9" i="3"/>
  <c r="FT9" i="3"/>
  <c r="FS9" i="3"/>
  <c r="FR9" i="3"/>
  <c r="FQ9" i="3"/>
  <c r="FJ9" i="3"/>
  <c r="FI9" i="3"/>
  <c r="FH9" i="3"/>
  <c r="FG9" i="3"/>
  <c r="FF9" i="3"/>
  <c r="FE9" i="3"/>
  <c r="FD9" i="3"/>
  <c r="FB9" i="3"/>
  <c r="FA9" i="3"/>
  <c r="EZ9" i="3"/>
  <c r="EY9" i="3"/>
  <c r="EX9" i="3"/>
  <c r="EW9" i="3"/>
  <c r="EV9" i="3"/>
  <c r="EU9" i="3"/>
  <c r="ET9" i="3"/>
  <c r="ES9" i="3"/>
  <c r="ER9" i="3"/>
  <c r="EQ9" i="3"/>
  <c r="EP9" i="3"/>
  <c r="EO9" i="3"/>
  <c r="EN9" i="3"/>
  <c r="EM9" i="3"/>
  <c r="EL9" i="3"/>
  <c r="EK9" i="3"/>
  <c r="EJ9" i="3"/>
  <c r="EI9" i="3"/>
  <c r="EH9" i="3"/>
  <c r="EG9" i="3"/>
  <c r="EF9" i="3"/>
  <c r="EE9" i="3"/>
  <c r="ED9" i="3"/>
  <c r="EC9" i="3"/>
  <c r="EB9" i="3"/>
  <c r="EA9" i="3"/>
  <c r="DU9" i="3"/>
  <c r="DT9" i="3"/>
  <c r="DS9" i="3"/>
  <c r="DR9" i="3"/>
  <c r="DQ9" i="3"/>
  <c r="DP9" i="3"/>
  <c r="DO9" i="3"/>
  <c r="DN9" i="3"/>
  <c r="DK9" i="3"/>
  <c r="DJ9" i="3"/>
  <c r="DI9" i="3"/>
  <c r="DH9" i="3"/>
  <c r="DG9" i="3"/>
  <c r="DF9" i="3"/>
  <c r="DE9" i="3"/>
  <c r="DD9" i="3"/>
  <c r="CV9" i="3"/>
  <c r="CT9" i="3"/>
  <c r="CS9" i="3"/>
  <c r="GN9" i="3" s="1"/>
  <c r="CR9" i="3"/>
  <c r="GM9" i="3" s="1"/>
  <c r="CQ9" i="3"/>
  <c r="GL9" i="3" s="1"/>
  <c r="CP9" i="3"/>
  <c r="GJ9" i="3" s="1"/>
  <c r="GK9" i="3" s="1"/>
  <c r="CO9" i="3"/>
  <c r="DZ9" i="3" s="1"/>
  <c r="CN9" i="3"/>
  <c r="DY9" i="3" s="1"/>
  <c r="CM9" i="3"/>
  <c r="DX9" i="3" s="1"/>
  <c r="CL9" i="3"/>
  <c r="DW9" i="3" s="1"/>
  <c r="CG9" i="3" a="1"/>
  <c r="CG9" i="3" s="1"/>
  <c r="IM9" i="3" s="1"/>
  <c r="AV9" i="3"/>
  <c r="CU9" i="3"/>
  <c r="Q9" i="3"/>
  <c r="J9" i="3"/>
  <c r="G9" i="3"/>
  <c r="HX8" i="3" a="1"/>
  <c r="HX8" i="3" s="1"/>
  <c r="IW8" i="3" s="1"/>
  <c r="HW8" i="3" a="1"/>
  <c r="HW8" i="3" s="1"/>
  <c r="IV8" i="3" s="1"/>
  <c r="HV8" i="3" a="1"/>
  <c r="HV8" i="3" s="1"/>
  <c r="IU8" i="3" s="1"/>
  <c r="HU8" i="3" a="1"/>
  <c r="HU8" i="3" s="1"/>
  <c r="IT8" i="3" s="1"/>
  <c r="HT8" i="3" a="1"/>
  <c r="HT8" i="3" s="1"/>
  <c r="IS8" i="3" s="1"/>
  <c r="HS8" i="3" a="1"/>
  <c r="HS8" i="3" s="1"/>
  <c r="IR8" i="3" s="1"/>
  <c r="HR8" i="3" a="1"/>
  <c r="HR8" i="3" s="1"/>
  <c r="IQ8" i="3" s="1"/>
  <c r="HQ8" i="3" a="1"/>
  <c r="HQ8" i="3" s="1"/>
  <c r="IP8" i="3" s="1"/>
  <c r="HP8" i="3" a="1"/>
  <c r="HP8" i="3" s="1"/>
  <c r="IO8" i="3" s="1"/>
  <c r="HL8" i="3"/>
  <c r="HJ8" i="3"/>
  <c r="HH8" i="3"/>
  <c r="HB8" i="3"/>
  <c r="HA8" i="3"/>
  <c r="GZ8" i="3"/>
  <c r="GY8" i="3"/>
  <c r="GX8" i="3"/>
  <c r="GW8" i="3"/>
  <c r="GV8" i="3"/>
  <c r="GU8" i="3"/>
  <c r="GT8" i="3"/>
  <c r="GP8" i="3"/>
  <c r="GI8" i="3"/>
  <c r="GH8" i="3"/>
  <c r="GG8" i="3"/>
  <c r="GF8" i="3"/>
  <c r="GE8" i="3"/>
  <c r="GB8" i="3"/>
  <c r="GA8" i="3"/>
  <c r="FZ8" i="3"/>
  <c r="FY8" i="3"/>
  <c r="FW8" i="3"/>
  <c r="FV8" i="3"/>
  <c r="FU8" i="3"/>
  <c r="FT8" i="3"/>
  <c r="FS8" i="3"/>
  <c r="FR8" i="3"/>
  <c r="FQ8" i="3"/>
  <c r="FJ8" i="3"/>
  <c r="FI8" i="3"/>
  <c r="FH8" i="3"/>
  <c r="FG8" i="3"/>
  <c r="FF8" i="3"/>
  <c r="FP8" i="3" s="1"/>
  <c r="FE8" i="3"/>
  <c r="FD8" i="3"/>
  <c r="FB8" i="3"/>
  <c r="FA8" i="3"/>
  <c r="EZ8" i="3"/>
  <c r="EY8" i="3"/>
  <c r="EX8" i="3"/>
  <c r="EW8" i="3"/>
  <c r="EV8" i="3"/>
  <c r="EU8" i="3"/>
  <c r="ET8" i="3"/>
  <c r="ES8" i="3"/>
  <c r="ER8" i="3"/>
  <c r="EQ8" i="3"/>
  <c r="EP8" i="3"/>
  <c r="EO8" i="3"/>
  <c r="EN8" i="3"/>
  <c r="EM8" i="3"/>
  <c r="EL8" i="3"/>
  <c r="EK8" i="3"/>
  <c r="EJ8" i="3"/>
  <c r="EI8" i="3"/>
  <c r="EH8" i="3"/>
  <c r="EG8" i="3"/>
  <c r="EF8" i="3"/>
  <c r="EE8" i="3"/>
  <c r="ED8" i="3"/>
  <c r="EC8" i="3"/>
  <c r="EB8" i="3"/>
  <c r="EA8" i="3"/>
  <c r="DU8" i="3"/>
  <c r="DT8" i="3"/>
  <c r="DS8" i="3"/>
  <c r="DR8" i="3"/>
  <c r="DQ8" i="3"/>
  <c r="DP8" i="3"/>
  <c r="DO8" i="3"/>
  <c r="DN8" i="3"/>
  <c r="DK8" i="3"/>
  <c r="DJ8" i="3"/>
  <c r="DI8" i="3"/>
  <c r="DH8" i="3"/>
  <c r="DG8" i="3"/>
  <c r="DF8" i="3"/>
  <c r="DE8" i="3"/>
  <c r="DD8" i="3"/>
  <c r="DB8" i="3"/>
  <c r="DA8" i="3"/>
  <c r="CV8" i="3"/>
  <c r="CT8" i="3"/>
  <c r="CS8" i="3"/>
  <c r="GN8" i="3" s="1"/>
  <c r="CR8" i="3"/>
  <c r="GM8" i="3" s="1"/>
  <c r="CQ8" i="3"/>
  <c r="GL8" i="3" s="1"/>
  <c r="CP8" i="3"/>
  <c r="GJ8" i="3" s="1"/>
  <c r="GK8" i="3" s="1"/>
  <c r="CO8" i="3"/>
  <c r="DZ8" i="3" s="1"/>
  <c r="CN8" i="3"/>
  <c r="DY8" i="3" s="1"/>
  <c r="CM8" i="3"/>
  <c r="DX8" i="3" s="1"/>
  <c r="CL8" i="3"/>
  <c r="DW8" i="3" s="1"/>
  <c r="CG8" i="3" a="1"/>
  <c r="CG8" i="3" s="1"/>
  <c r="AV8" i="3"/>
  <c r="CU8" i="3"/>
  <c r="J8" i="3"/>
  <c r="G8" i="3"/>
  <c r="IL7" i="3"/>
  <c r="HX7" i="3" a="1"/>
  <c r="HX7" i="3" s="1"/>
  <c r="IW7" i="3" s="1"/>
  <c r="HW7" i="3" a="1"/>
  <c r="HW7" i="3" s="1"/>
  <c r="IV7" i="3" s="1"/>
  <c r="HV7" i="3" a="1"/>
  <c r="HV7" i="3" s="1"/>
  <c r="IU7" i="3" s="1"/>
  <c r="HU7" i="3" a="1"/>
  <c r="HU7" i="3" s="1"/>
  <c r="IT7" i="3" s="1"/>
  <c r="HT7" i="3" a="1"/>
  <c r="HT7" i="3" s="1"/>
  <c r="IS7" i="3" s="1"/>
  <c r="HS7" i="3" a="1"/>
  <c r="HS7" i="3" s="1"/>
  <c r="IR7" i="3" s="1"/>
  <c r="HR7" i="3" a="1"/>
  <c r="HR7" i="3" s="1"/>
  <c r="IQ7" i="3" s="1"/>
  <c r="HQ7" i="3" a="1"/>
  <c r="HQ7" i="3" s="1"/>
  <c r="IP7" i="3" s="1"/>
  <c r="HP7" i="3" a="1"/>
  <c r="HP7" i="3" s="1"/>
  <c r="IO7" i="3" s="1"/>
  <c r="HL7" i="3"/>
  <c r="HJ7" i="3"/>
  <c r="HH7" i="3"/>
  <c r="HB7" i="3"/>
  <c r="HA7" i="3"/>
  <c r="GZ7" i="3"/>
  <c r="GY7" i="3"/>
  <c r="GX7" i="3"/>
  <c r="GW7" i="3"/>
  <c r="GV7" i="3"/>
  <c r="GU7" i="3"/>
  <c r="GT7" i="3"/>
  <c r="GP7" i="3"/>
  <c r="GI7" i="3"/>
  <c r="GH7" i="3"/>
  <c r="GG7" i="3"/>
  <c r="GF7" i="3"/>
  <c r="GE7" i="3"/>
  <c r="GD7" i="3"/>
  <c r="GC7" i="3"/>
  <c r="GB7" i="3"/>
  <c r="GA7" i="3"/>
  <c r="FZ7" i="3"/>
  <c r="FY7" i="3"/>
  <c r="FX7" i="3"/>
  <c r="FW7" i="3"/>
  <c r="FV7" i="3"/>
  <c r="FU7" i="3"/>
  <c r="FT7" i="3"/>
  <c r="FS7" i="3"/>
  <c r="FR7" i="3"/>
  <c r="FQ7" i="3"/>
  <c r="FJ7" i="3"/>
  <c r="FI7" i="3"/>
  <c r="FH7" i="3"/>
  <c r="FG7" i="3"/>
  <c r="FF7" i="3"/>
  <c r="FE7" i="3"/>
  <c r="FD7" i="3"/>
  <c r="FC7" i="3"/>
  <c r="FB7" i="3"/>
  <c r="FA7" i="3"/>
  <c r="EZ7" i="3"/>
  <c r="EY7" i="3"/>
  <c r="EX7" i="3"/>
  <c r="EW7" i="3"/>
  <c r="EV7" i="3"/>
  <c r="EU7" i="3"/>
  <c r="ET7" i="3"/>
  <c r="ES7" i="3"/>
  <c r="ER7" i="3"/>
  <c r="EQ7" i="3"/>
  <c r="EP7" i="3"/>
  <c r="EO7" i="3"/>
  <c r="EN7" i="3"/>
  <c r="EM7" i="3"/>
  <c r="EL7" i="3"/>
  <c r="EK7" i="3"/>
  <c r="EJ7" i="3"/>
  <c r="EI7" i="3"/>
  <c r="EH7" i="3"/>
  <c r="EG7" i="3"/>
  <c r="EF7" i="3"/>
  <c r="EE7" i="3"/>
  <c r="ED7" i="3"/>
  <c r="EC7" i="3"/>
  <c r="EB7" i="3"/>
  <c r="EA7" i="3"/>
  <c r="DV7" i="3"/>
  <c r="DU7" i="3"/>
  <c r="DT7" i="3"/>
  <c r="DS7" i="3"/>
  <c r="DR7" i="3"/>
  <c r="DQ7" i="3"/>
  <c r="DP7" i="3"/>
  <c r="DO7" i="3"/>
  <c r="DN7" i="3"/>
  <c r="DK7" i="3"/>
  <c r="DJ7" i="3"/>
  <c r="DI7" i="3"/>
  <c r="DH7" i="3"/>
  <c r="DG7" i="3"/>
  <c r="DF7" i="3"/>
  <c r="DE7" i="3"/>
  <c r="DD7" i="3"/>
  <c r="DC7" i="3"/>
  <c r="DB7" i="3"/>
  <c r="DA7" i="3"/>
  <c r="CV7" i="3"/>
  <c r="CU7" i="3"/>
  <c r="CT7" i="3"/>
  <c r="CS7" i="3"/>
  <c r="GN7" i="3" s="1"/>
  <c r="CR7" i="3"/>
  <c r="GM7" i="3" s="1"/>
  <c r="CQ7" i="3"/>
  <c r="GL7" i="3" s="1"/>
  <c r="CP7" i="3"/>
  <c r="GJ7" i="3" s="1"/>
  <c r="GK7" i="3" s="1"/>
  <c r="CO7" i="3"/>
  <c r="DZ7" i="3" s="1"/>
  <c r="CN7" i="3"/>
  <c r="DY7" i="3" s="1"/>
  <c r="CM7" i="3"/>
  <c r="DX7" i="3" s="1"/>
  <c r="CL7" i="3"/>
  <c r="DW7" i="3" s="1"/>
  <c r="CG7" i="3" a="1"/>
  <c r="CG7" i="3" s="1"/>
  <c r="AV7" i="3"/>
  <c r="J7" i="3"/>
  <c r="G7" i="3"/>
  <c r="HX6" i="3" a="1"/>
  <c r="HX6" i="3" s="1"/>
  <c r="IW6" i="3" s="1"/>
  <c r="HW6" i="3" a="1"/>
  <c r="HW6" i="3" s="1"/>
  <c r="IV6" i="3" s="1"/>
  <c r="HV6" i="3" a="1"/>
  <c r="HV6" i="3" s="1"/>
  <c r="IU6" i="3" s="1"/>
  <c r="HU6" i="3" a="1"/>
  <c r="HU6" i="3" s="1"/>
  <c r="IT6" i="3" s="1"/>
  <c r="HT6" i="3" a="1"/>
  <c r="HT6" i="3" s="1"/>
  <c r="IS6" i="3" s="1"/>
  <c r="HS6" i="3" a="1"/>
  <c r="HS6" i="3" s="1"/>
  <c r="IR6" i="3" s="1"/>
  <c r="HR6" i="3" a="1"/>
  <c r="HR6" i="3" s="1"/>
  <c r="IQ6" i="3" s="1"/>
  <c r="HQ6" i="3" a="1"/>
  <c r="HQ6" i="3" s="1"/>
  <c r="IP6" i="3" s="1"/>
  <c r="HP6" i="3" a="1"/>
  <c r="HP6" i="3" s="1"/>
  <c r="IO6" i="3" s="1"/>
  <c r="HL6" i="3"/>
  <c r="HJ6" i="3"/>
  <c r="HH6" i="3"/>
  <c r="HB6" i="3"/>
  <c r="HA6" i="3"/>
  <c r="GZ6" i="3"/>
  <c r="GY6" i="3"/>
  <c r="GX6" i="3"/>
  <c r="GW6" i="3"/>
  <c r="GV6" i="3"/>
  <c r="GU6" i="3"/>
  <c r="GT6" i="3"/>
  <c r="GP6" i="3"/>
  <c r="GI6" i="3"/>
  <c r="GH6" i="3"/>
  <c r="GG6" i="3"/>
  <c r="GF6" i="3"/>
  <c r="GE6" i="3"/>
  <c r="GB6" i="3"/>
  <c r="GA6" i="3"/>
  <c r="FZ6" i="3"/>
  <c r="FY6" i="3"/>
  <c r="FW6" i="3"/>
  <c r="FV6" i="3"/>
  <c r="FU6" i="3"/>
  <c r="FT6" i="3"/>
  <c r="FS6" i="3"/>
  <c r="FR6" i="3"/>
  <c r="FQ6" i="3"/>
  <c r="FJ6" i="3"/>
  <c r="FI6" i="3"/>
  <c r="FH6" i="3"/>
  <c r="FG6" i="3"/>
  <c r="FF6" i="3"/>
  <c r="FP6" i="3" s="1"/>
  <c r="FE6" i="3"/>
  <c r="FD6" i="3"/>
  <c r="FB6" i="3"/>
  <c r="FA6" i="3"/>
  <c r="EZ6" i="3"/>
  <c r="EY6" i="3"/>
  <c r="EX6" i="3"/>
  <c r="EW6" i="3"/>
  <c r="EV6" i="3"/>
  <c r="EU6" i="3"/>
  <c r="ET6" i="3"/>
  <c r="ES6" i="3"/>
  <c r="ER6" i="3"/>
  <c r="EQ6" i="3"/>
  <c r="EP6" i="3"/>
  <c r="EO6" i="3"/>
  <c r="EN6" i="3"/>
  <c r="EM6" i="3"/>
  <c r="EL6" i="3"/>
  <c r="EK6" i="3"/>
  <c r="EJ6" i="3"/>
  <c r="EI6" i="3"/>
  <c r="EH6" i="3"/>
  <c r="EG6" i="3"/>
  <c r="EF6" i="3"/>
  <c r="EE6" i="3"/>
  <c r="ED6" i="3"/>
  <c r="EC6" i="3"/>
  <c r="EB6" i="3"/>
  <c r="EA6" i="3"/>
  <c r="DU6" i="3"/>
  <c r="DT6" i="3"/>
  <c r="DS6" i="3"/>
  <c r="DR6" i="3"/>
  <c r="DQ6" i="3"/>
  <c r="DP6" i="3"/>
  <c r="DO6" i="3"/>
  <c r="DN6" i="3"/>
  <c r="DK6" i="3"/>
  <c r="DJ6" i="3"/>
  <c r="DI6" i="3"/>
  <c r="DH6" i="3"/>
  <c r="DG6" i="3"/>
  <c r="DF6" i="3"/>
  <c r="DE6" i="3"/>
  <c r="DD6" i="3"/>
  <c r="DB6" i="3"/>
  <c r="DA6" i="3"/>
  <c r="CV6" i="3"/>
  <c r="CT6" i="3"/>
  <c r="CS6" i="3"/>
  <c r="GN6" i="3" s="1"/>
  <c r="CR6" i="3"/>
  <c r="GM6" i="3" s="1"/>
  <c r="CQ6" i="3"/>
  <c r="GL6" i="3" s="1"/>
  <c r="CP6" i="3"/>
  <c r="GJ6" i="3" s="1"/>
  <c r="GK6" i="3" s="1"/>
  <c r="CO6" i="3"/>
  <c r="DZ6" i="3" s="1"/>
  <c r="CN6" i="3"/>
  <c r="DY6" i="3" s="1"/>
  <c r="CM6" i="3"/>
  <c r="DX6" i="3" s="1"/>
  <c r="CL6" i="3"/>
  <c r="DW6" i="3" s="1"/>
  <c r="CG6" i="3" a="1"/>
  <c r="CG6" i="3" s="1"/>
  <c r="AV6" i="3"/>
  <c r="CU6" i="3"/>
  <c r="J6" i="3"/>
  <c r="G6" i="3"/>
  <c r="IL5" i="3"/>
  <c r="HX5" i="3" a="1"/>
  <c r="HX5" i="3" s="1"/>
  <c r="IW5" i="3" s="1"/>
  <c r="HW5" i="3" a="1"/>
  <c r="HW5" i="3" s="1"/>
  <c r="IV5" i="3" s="1"/>
  <c r="HV5" i="3" a="1"/>
  <c r="HV5" i="3" s="1"/>
  <c r="IU5" i="3" s="1"/>
  <c r="HU5" i="3" a="1"/>
  <c r="HU5" i="3" s="1"/>
  <c r="IT5" i="3" s="1"/>
  <c r="HT5" i="3" a="1"/>
  <c r="HT5" i="3" s="1"/>
  <c r="IS5" i="3" s="1"/>
  <c r="HS5" i="3" a="1"/>
  <c r="HS5" i="3" s="1"/>
  <c r="IR5" i="3" s="1"/>
  <c r="HR5" i="3" a="1"/>
  <c r="HR5" i="3" s="1"/>
  <c r="IQ5" i="3" s="1"/>
  <c r="HQ5" i="3" a="1"/>
  <c r="HQ5" i="3" s="1"/>
  <c r="IP5" i="3" s="1"/>
  <c r="HP5" i="3" a="1"/>
  <c r="HP5" i="3" s="1"/>
  <c r="IO5" i="3" s="1"/>
  <c r="HL5" i="3"/>
  <c r="HJ5" i="3"/>
  <c r="HH5" i="3"/>
  <c r="HB5" i="3"/>
  <c r="HA5" i="3"/>
  <c r="GZ5" i="3"/>
  <c r="GY5" i="3"/>
  <c r="GX5" i="3"/>
  <c r="GW5" i="3"/>
  <c r="GV5" i="3"/>
  <c r="GU5" i="3"/>
  <c r="GT5" i="3"/>
  <c r="GP5" i="3"/>
  <c r="GI5" i="3"/>
  <c r="GH5" i="3"/>
  <c r="GG5" i="3"/>
  <c r="GF5" i="3"/>
  <c r="GE5" i="3"/>
  <c r="GD5" i="3"/>
  <c r="GC5" i="3"/>
  <c r="GB5" i="3"/>
  <c r="GA5" i="3"/>
  <c r="FZ5" i="3"/>
  <c r="FY5" i="3"/>
  <c r="FX5" i="3"/>
  <c r="FW5" i="3"/>
  <c r="FV5" i="3"/>
  <c r="FU5" i="3"/>
  <c r="FT5" i="3"/>
  <c r="FS5" i="3"/>
  <c r="FR5" i="3"/>
  <c r="FQ5" i="3"/>
  <c r="FJ5" i="3"/>
  <c r="FI5" i="3"/>
  <c r="FH5" i="3"/>
  <c r="FG5" i="3"/>
  <c r="FF5" i="3"/>
  <c r="FE5" i="3"/>
  <c r="FD5" i="3"/>
  <c r="FC5" i="3"/>
  <c r="FB5" i="3"/>
  <c r="FA5" i="3"/>
  <c r="EZ5" i="3"/>
  <c r="EY5" i="3"/>
  <c r="EX5" i="3"/>
  <c r="EW5" i="3"/>
  <c r="EV5" i="3"/>
  <c r="EU5" i="3"/>
  <c r="ET5" i="3"/>
  <c r="ES5" i="3"/>
  <c r="ER5" i="3"/>
  <c r="EQ5" i="3"/>
  <c r="EP5" i="3"/>
  <c r="EO5" i="3"/>
  <c r="EN5" i="3"/>
  <c r="EM5" i="3"/>
  <c r="EL5" i="3"/>
  <c r="EK5" i="3"/>
  <c r="EJ5" i="3"/>
  <c r="EI5" i="3"/>
  <c r="EH5" i="3"/>
  <c r="EG5" i="3"/>
  <c r="EF5" i="3"/>
  <c r="EE5" i="3"/>
  <c r="ED5" i="3"/>
  <c r="EC5" i="3"/>
  <c r="EB5" i="3"/>
  <c r="EA5" i="3"/>
  <c r="DV5" i="3"/>
  <c r="DU5" i="3"/>
  <c r="DT5" i="3"/>
  <c r="DS5" i="3"/>
  <c r="DR5" i="3"/>
  <c r="DQ5" i="3"/>
  <c r="DP5" i="3"/>
  <c r="DO5" i="3"/>
  <c r="DN5" i="3"/>
  <c r="DK5" i="3"/>
  <c r="DJ5" i="3"/>
  <c r="DI5" i="3"/>
  <c r="DH5" i="3"/>
  <c r="DG5" i="3"/>
  <c r="DF5" i="3"/>
  <c r="DE5" i="3"/>
  <c r="DD5" i="3"/>
  <c r="DC5" i="3"/>
  <c r="DB5" i="3"/>
  <c r="DA5" i="3"/>
  <c r="CV5" i="3"/>
  <c r="CU5" i="3"/>
  <c r="CT5" i="3"/>
  <c r="CS5" i="3"/>
  <c r="GN5" i="3" s="1"/>
  <c r="CR5" i="3"/>
  <c r="GM5" i="3" s="1"/>
  <c r="CQ5" i="3"/>
  <c r="GL5" i="3" s="1"/>
  <c r="CP5" i="3"/>
  <c r="GJ5" i="3" s="1"/>
  <c r="GK5" i="3" s="1"/>
  <c r="CO5" i="3"/>
  <c r="DZ5" i="3" s="1"/>
  <c r="CN5" i="3"/>
  <c r="DY5" i="3" s="1"/>
  <c r="CM5" i="3"/>
  <c r="DX5" i="3" s="1"/>
  <c r="CL5" i="3"/>
  <c r="DW5" i="3" s="1"/>
  <c r="CG5" i="3" a="1"/>
  <c r="CG5" i="3" s="1"/>
  <c r="CJ5" i="3" s="1"/>
  <c r="CY5" i="3" s="1"/>
  <c r="AV5" i="3"/>
  <c r="J5" i="3"/>
  <c r="G5" i="3"/>
  <c r="HX4" i="3" a="1"/>
  <c r="HX4" i="3" s="1"/>
  <c r="IW4" i="3" s="1"/>
  <c r="HW4" i="3" a="1"/>
  <c r="HW4" i="3" s="1"/>
  <c r="IV4" i="3" s="1"/>
  <c r="HV4" i="3" a="1"/>
  <c r="HV4" i="3" s="1"/>
  <c r="IU4" i="3" s="1"/>
  <c r="HU4" i="3" a="1"/>
  <c r="HU4" i="3" s="1"/>
  <c r="IT4" i="3" s="1"/>
  <c r="HT4" i="3" a="1"/>
  <c r="HT4" i="3" s="1"/>
  <c r="IS4" i="3" s="1"/>
  <c r="HS4" i="3" a="1"/>
  <c r="HS4" i="3" s="1"/>
  <c r="IR4" i="3" s="1"/>
  <c r="HR4" i="3" a="1"/>
  <c r="HR4" i="3" s="1"/>
  <c r="IQ4" i="3" s="1"/>
  <c r="HQ4" i="3" a="1"/>
  <c r="HQ4" i="3" s="1"/>
  <c r="IP4" i="3" s="1"/>
  <c r="HP4" i="3" a="1"/>
  <c r="HP4" i="3" s="1"/>
  <c r="IO4" i="3" s="1"/>
  <c r="HL4" i="3"/>
  <c r="HJ4" i="3"/>
  <c r="HH4" i="3"/>
  <c r="HB4" i="3"/>
  <c r="HA4" i="3"/>
  <c r="GZ4" i="3"/>
  <c r="GY4" i="3"/>
  <c r="GX4" i="3"/>
  <c r="GW4" i="3"/>
  <c r="GV4" i="3"/>
  <c r="GU4" i="3"/>
  <c r="GT4" i="3"/>
  <c r="GP4" i="3"/>
  <c r="GI4" i="3"/>
  <c r="GH4" i="3"/>
  <c r="GG4" i="3"/>
  <c r="GF4" i="3"/>
  <c r="GE4" i="3"/>
  <c r="GB4" i="3"/>
  <c r="GA4" i="3"/>
  <c r="FZ4" i="3"/>
  <c r="FY4" i="3"/>
  <c r="FW4" i="3"/>
  <c r="FV4" i="3"/>
  <c r="FU4" i="3"/>
  <c r="FT4" i="3"/>
  <c r="FS4" i="3"/>
  <c r="FR4" i="3"/>
  <c r="FQ4" i="3"/>
  <c r="FJ4" i="3"/>
  <c r="FI4" i="3"/>
  <c r="FH4" i="3"/>
  <c r="FG4" i="3"/>
  <c r="FF4" i="3"/>
  <c r="FP4" i="3" s="1"/>
  <c r="FE4" i="3"/>
  <c r="FD4" i="3"/>
  <c r="FB4" i="3"/>
  <c r="FA4" i="3"/>
  <c r="EZ4" i="3"/>
  <c r="EY4" i="3"/>
  <c r="EX4" i="3"/>
  <c r="EW4" i="3"/>
  <c r="EV4" i="3"/>
  <c r="EU4" i="3"/>
  <c r="ET4" i="3"/>
  <c r="ES4" i="3"/>
  <c r="ER4" i="3"/>
  <c r="EQ4" i="3"/>
  <c r="EP4" i="3"/>
  <c r="EO4" i="3"/>
  <c r="EN4" i="3"/>
  <c r="EM4" i="3"/>
  <c r="EL4" i="3"/>
  <c r="EK4" i="3"/>
  <c r="EJ4" i="3"/>
  <c r="EI4" i="3"/>
  <c r="EH4" i="3"/>
  <c r="EG4" i="3"/>
  <c r="EF4" i="3"/>
  <c r="EE4" i="3"/>
  <c r="ED4" i="3"/>
  <c r="EC4" i="3"/>
  <c r="EB4" i="3"/>
  <c r="EA4" i="3"/>
  <c r="DU4" i="3"/>
  <c r="DT4" i="3"/>
  <c r="DS4" i="3"/>
  <c r="DR4" i="3"/>
  <c r="DQ4" i="3"/>
  <c r="DP4" i="3"/>
  <c r="DO4" i="3"/>
  <c r="DN4" i="3"/>
  <c r="DK4" i="3"/>
  <c r="DJ4" i="3"/>
  <c r="DI4" i="3"/>
  <c r="DH4" i="3"/>
  <c r="DG4" i="3"/>
  <c r="DF4" i="3"/>
  <c r="DE4" i="3"/>
  <c r="DD4" i="3"/>
  <c r="DB4" i="3"/>
  <c r="DA4" i="3"/>
  <c r="CV4" i="3"/>
  <c r="CT4" i="3"/>
  <c r="CS4" i="3"/>
  <c r="GN4" i="3" s="1"/>
  <c r="CR4" i="3"/>
  <c r="GM4" i="3" s="1"/>
  <c r="CQ4" i="3"/>
  <c r="GL4" i="3" s="1"/>
  <c r="CP4" i="3"/>
  <c r="GJ4" i="3" s="1"/>
  <c r="GK4" i="3" s="1"/>
  <c r="CO4" i="3"/>
  <c r="DZ4" i="3" s="1"/>
  <c r="CN4" i="3"/>
  <c r="DY4" i="3" s="1"/>
  <c r="CM4" i="3"/>
  <c r="DX4" i="3" s="1"/>
  <c r="CL4" i="3"/>
  <c r="DW4" i="3" s="1"/>
  <c r="CG4" i="3" a="1"/>
  <c r="CG4" i="3" s="1"/>
  <c r="AV4" i="3"/>
  <c r="CU4" i="3"/>
  <c r="J4" i="3"/>
  <c r="G4" i="3"/>
  <c r="HX3" i="3" a="1"/>
  <c r="HX3" i="3" s="1"/>
  <c r="IW3" i="3" s="1"/>
  <c r="HW3" i="3" a="1"/>
  <c r="HW3" i="3" s="1"/>
  <c r="IV3" i="3" s="1"/>
  <c r="HV3" i="3" a="1"/>
  <c r="HV3" i="3" s="1"/>
  <c r="IU3" i="3" s="1"/>
  <c r="HU3" i="3" a="1"/>
  <c r="HU3" i="3" s="1"/>
  <c r="IT3" i="3" s="1"/>
  <c r="HT3" i="3" a="1"/>
  <c r="HT3" i="3" s="1"/>
  <c r="IS3" i="3" s="1"/>
  <c r="HS3" i="3" a="1"/>
  <c r="HS3" i="3" s="1"/>
  <c r="IR3" i="3" s="1"/>
  <c r="HR3" i="3" a="1"/>
  <c r="HR3" i="3" s="1"/>
  <c r="IQ3" i="3" s="1"/>
  <c r="HQ3" i="3" a="1"/>
  <c r="HQ3" i="3" s="1"/>
  <c r="IP3" i="3" s="1"/>
  <c r="HP3" i="3" a="1"/>
  <c r="HP3" i="3" s="1"/>
  <c r="IO3" i="3" s="1"/>
  <c r="HL3" i="3"/>
  <c r="HJ3" i="3"/>
  <c r="HH3" i="3"/>
  <c r="HB3" i="3"/>
  <c r="HA3" i="3"/>
  <c r="GZ3" i="3"/>
  <c r="GY3" i="3"/>
  <c r="GX3" i="3"/>
  <c r="GW3" i="3"/>
  <c r="GV3" i="3"/>
  <c r="GU3" i="3"/>
  <c r="GT3" i="3"/>
  <c r="GP3" i="3"/>
  <c r="GI3" i="3"/>
  <c r="GH3" i="3"/>
  <c r="GG3" i="3"/>
  <c r="GF3" i="3"/>
  <c r="GE3" i="3"/>
  <c r="GB3" i="3"/>
  <c r="GA3" i="3"/>
  <c r="FZ3" i="3"/>
  <c r="FY3" i="3"/>
  <c r="FW3" i="3"/>
  <c r="FV3" i="3"/>
  <c r="FU3" i="3"/>
  <c r="FT3" i="3"/>
  <c r="FS3" i="3"/>
  <c r="FR3" i="3"/>
  <c r="FQ3" i="3"/>
  <c r="FJ3" i="3"/>
  <c r="FI3" i="3"/>
  <c r="FH3" i="3"/>
  <c r="FG3" i="3"/>
  <c r="FF3" i="3"/>
  <c r="FP3" i="3" s="1"/>
  <c r="FE3" i="3"/>
  <c r="FD3" i="3"/>
  <c r="FB3" i="3"/>
  <c r="FA3" i="3"/>
  <c r="EZ3" i="3"/>
  <c r="EY3" i="3"/>
  <c r="EX3" i="3"/>
  <c r="EW3" i="3"/>
  <c r="EV3" i="3"/>
  <c r="EU3" i="3"/>
  <c r="ET3" i="3"/>
  <c r="ES3" i="3"/>
  <c r="ER3" i="3"/>
  <c r="EQ3" i="3"/>
  <c r="EP3" i="3"/>
  <c r="EO3" i="3"/>
  <c r="EN3" i="3"/>
  <c r="EM3" i="3"/>
  <c r="EL3" i="3"/>
  <c r="EK3" i="3"/>
  <c r="EJ3" i="3"/>
  <c r="EI3" i="3"/>
  <c r="EH3" i="3"/>
  <c r="EG3" i="3"/>
  <c r="EF3" i="3"/>
  <c r="EE3" i="3"/>
  <c r="ED3" i="3"/>
  <c r="EC3" i="3"/>
  <c r="EB3" i="3"/>
  <c r="EA3" i="3"/>
  <c r="DU3" i="3"/>
  <c r="DT3" i="3"/>
  <c r="DS3" i="3"/>
  <c r="DR3" i="3"/>
  <c r="DQ3" i="3"/>
  <c r="DP3" i="3"/>
  <c r="DO3" i="3"/>
  <c r="DN3" i="3"/>
  <c r="DK3" i="3"/>
  <c r="DJ3" i="3"/>
  <c r="DI3" i="3"/>
  <c r="DH3" i="3"/>
  <c r="DG3" i="3"/>
  <c r="DF3" i="3"/>
  <c r="DE3" i="3"/>
  <c r="DD3" i="3"/>
  <c r="DB3" i="3"/>
  <c r="DA3" i="3"/>
  <c r="CV3" i="3"/>
  <c r="CT3" i="3"/>
  <c r="CS3" i="3"/>
  <c r="GN3" i="3" s="1"/>
  <c r="CR3" i="3"/>
  <c r="GM3" i="3" s="1"/>
  <c r="CQ3" i="3"/>
  <c r="GL3" i="3" s="1"/>
  <c r="CP3" i="3"/>
  <c r="GJ3" i="3" s="1"/>
  <c r="GK3" i="3" s="1"/>
  <c r="CO3" i="3"/>
  <c r="DZ3" i="3" s="1"/>
  <c r="CN3" i="3"/>
  <c r="DY3" i="3" s="1"/>
  <c r="CM3" i="3"/>
  <c r="DX3" i="3" s="1"/>
  <c r="CL3" i="3"/>
  <c r="DW3" i="3" s="1"/>
  <c r="CG3" i="3" a="1"/>
  <c r="CG3" i="3" s="1"/>
  <c r="AV3" i="3"/>
  <c r="CU3" i="3"/>
  <c r="J3" i="3"/>
  <c r="G3" i="3"/>
  <c r="IL2" i="3"/>
  <c r="HX2" i="3" a="1"/>
  <c r="HX2" i="3" s="1"/>
  <c r="IW2" i="3" s="1"/>
  <c r="HW2" i="3" a="1"/>
  <c r="HW2" i="3" s="1"/>
  <c r="IV2" i="3" s="1"/>
  <c r="HV2" i="3" a="1"/>
  <c r="HV2" i="3" s="1"/>
  <c r="IU2" i="3" s="1"/>
  <c r="HU2" i="3" a="1"/>
  <c r="HU2" i="3" s="1"/>
  <c r="IT2" i="3" s="1"/>
  <c r="HT2" i="3" a="1"/>
  <c r="HT2" i="3" s="1"/>
  <c r="IS2" i="3" s="1"/>
  <c r="HS2" i="3" a="1"/>
  <c r="HS2" i="3" s="1"/>
  <c r="IR2" i="3" s="1"/>
  <c r="HR2" i="3" a="1"/>
  <c r="HR2" i="3" s="1"/>
  <c r="IQ2" i="3" s="1"/>
  <c r="HQ2" i="3" a="1"/>
  <c r="HQ2" i="3" s="1"/>
  <c r="IP2" i="3" s="1"/>
  <c r="HP2" i="3" a="1"/>
  <c r="HP2" i="3" s="1"/>
  <c r="IO2" i="3" s="1"/>
  <c r="HL2" i="3"/>
  <c r="HJ2" i="3"/>
  <c r="HH2" i="3"/>
  <c r="HB2" i="3"/>
  <c r="HA2" i="3"/>
  <c r="GZ2" i="3"/>
  <c r="GY2" i="3"/>
  <c r="GX2" i="3"/>
  <c r="GW2" i="3"/>
  <c r="GV2" i="3"/>
  <c r="GU2" i="3"/>
  <c r="GT2" i="3"/>
  <c r="GP2" i="3"/>
  <c r="GI2" i="3"/>
  <c r="GH2" i="3"/>
  <c r="GG2" i="3"/>
  <c r="GF2" i="3"/>
  <c r="GE2" i="3"/>
  <c r="GD2" i="3"/>
  <c r="GC2" i="3"/>
  <c r="GB2" i="3"/>
  <c r="GA2" i="3"/>
  <c r="FZ2" i="3"/>
  <c r="FY2" i="3"/>
  <c r="FX2" i="3"/>
  <c r="FW2" i="3"/>
  <c r="FV2" i="3"/>
  <c r="FU2" i="3"/>
  <c r="FT2" i="3"/>
  <c r="FS2" i="3"/>
  <c r="FR2" i="3"/>
  <c r="FQ2" i="3"/>
  <c r="FJ2" i="3"/>
  <c r="FI2" i="3"/>
  <c r="FH2" i="3"/>
  <c r="FG2" i="3"/>
  <c r="FF2" i="3"/>
  <c r="FE2" i="3"/>
  <c r="FD2" i="3"/>
  <c r="FC2" i="3"/>
  <c r="FB2" i="3"/>
  <c r="FA2" i="3"/>
  <c r="EZ2" i="3"/>
  <c r="EY2" i="3"/>
  <c r="EX2" i="3"/>
  <c r="EW2" i="3"/>
  <c r="EV2" i="3"/>
  <c r="EU2" i="3"/>
  <c r="ET2" i="3"/>
  <c r="ES2" i="3"/>
  <c r="ER2" i="3"/>
  <c r="EQ2" i="3"/>
  <c r="EP2" i="3"/>
  <c r="EO2" i="3"/>
  <c r="EN2" i="3"/>
  <c r="EM2" i="3"/>
  <c r="EL2" i="3"/>
  <c r="EK2" i="3"/>
  <c r="EJ2" i="3"/>
  <c r="EI2" i="3"/>
  <c r="EH2" i="3"/>
  <c r="EG2" i="3"/>
  <c r="EF2" i="3"/>
  <c r="EE2" i="3"/>
  <c r="ED2" i="3"/>
  <c r="EC2" i="3"/>
  <c r="EB2" i="3"/>
  <c r="EA2" i="3"/>
  <c r="DV2" i="3"/>
  <c r="DU2" i="3"/>
  <c r="DT2" i="3"/>
  <c r="DS2" i="3"/>
  <c r="DR2" i="3"/>
  <c r="DQ2" i="3"/>
  <c r="DP2" i="3"/>
  <c r="DO2" i="3"/>
  <c r="DN2" i="3"/>
  <c r="DK2" i="3"/>
  <c r="DJ2" i="3"/>
  <c r="DI2" i="3"/>
  <c r="DH2" i="3"/>
  <c r="DG2" i="3"/>
  <c r="DF2" i="3"/>
  <c r="DE2" i="3"/>
  <c r="DD2" i="3"/>
  <c r="DC2" i="3"/>
  <c r="DB2" i="3"/>
  <c r="DA2" i="3"/>
  <c r="CV2" i="3"/>
  <c r="CU2" i="3"/>
  <c r="CT2" i="3"/>
  <c r="CS2" i="3"/>
  <c r="GN2" i="3" s="1"/>
  <c r="CR2" i="3"/>
  <c r="GM2" i="3" s="1"/>
  <c r="CQ2" i="3"/>
  <c r="GL2" i="3" s="1"/>
  <c r="CP2" i="3"/>
  <c r="GJ2" i="3" s="1"/>
  <c r="GK2" i="3" s="1"/>
  <c r="CO2" i="3"/>
  <c r="DZ2" i="3" s="1"/>
  <c r="CN2" i="3"/>
  <c r="DY2" i="3" s="1"/>
  <c r="CM2" i="3"/>
  <c r="DX2" i="3" s="1"/>
  <c r="CL2" i="3"/>
  <c r="DW2" i="3" s="1"/>
  <c r="CG2" i="3" a="1"/>
  <c r="CG2" i="3" s="1"/>
  <c r="AV2" i="3"/>
  <c r="J2" i="3"/>
  <c r="G2" i="3"/>
  <c r="FM22" i="3" l="1"/>
  <c r="HI16" i="3"/>
  <c r="FK12" i="3"/>
  <c r="FL12" i="3"/>
  <c r="FO22" i="3"/>
  <c r="FO13" i="3"/>
  <c r="FK22" i="3"/>
  <c r="FL22" i="3"/>
  <c r="FN16" i="3"/>
  <c r="FN22" i="3"/>
  <c r="HC22" i="3"/>
  <c r="FN15" i="3"/>
  <c r="HI12" i="3"/>
  <c r="DL22" i="3"/>
  <c r="CK22" i="3"/>
  <c r="CZ22" i="3" s="1"/>
  <c r="CJ22" i="3"/>
  <c r="CY22" i="3" s="1"/>
  <c r="IN22" i="3"/>
  <c r="IX22" i="3" s="1"/>
  <c r="DM22" i="3" a="1"/>
  <c r="DM22" i="3" s="1"/>
  <c r="CI22" i="3"/>
  <c r="CX22" i="3" s="1"/>
  <c r="CH22" i="3"/>
  <c r="CW22" i="3" s="1"/>
  <c r="IM22" i="3"/>
  <c r="HI11" i="3"/>
  <c r="HI6" i="3"/>
  <c r="FN6" i="3"/>
  <c r="FO14" i="3"/>
  <c r="FL14" i="3"/>
  <c r="DM21" i="3" a="1"/>
  <c r="DM21" i="3" s="1"/>
  <c r="FK14" i="3"/>
  <c r="FK18" i="3"/>
  <c r="FL18" i="3"/>
  <c r="FM18" i="3"/>
  <c r="FK2" i="3"/>
  <c r="IN5" i="3"/>
  <c r="IX5" i="3" s="1"/>
  <c r="FO15" i="3"/>
  <c r="HI19" i="3"/>
  <c r="HI2" i="3"/>
  <c r="HI10" i="3"/>
  <c r="FL15" i="3"/>
  <c r="FK13" i="3"/>
  <c r="FL13" i="3"/>
  <c r="HC6" i="3"/>
  <c r="FM13" i="3"/>
  <c r="FM12" i="3"/>
  <c r="FN18" i="3"/>
  <c r="FO19" i="3"/>
  <c r="CI3" i="3"/>
  <c r="CX3" i="3" s="1"/>
  <c r="CK3" i="3"/>
  <c r="CZ3" i="3" s="1"/>
  <c r="DM3" i="3" a="1"/>
  <c r="DM3" i="3" s="1"/>
  <c r="CJ3" i="3"/>
  <c r="CY3" i="3" s="1"/>
  <c r="CH3" i="3"/>
  <c r="CW3" i="3" s="1"/>
  <c r="HC18" i="3"/>
  <c r="FO2" i="3"/>
  <c r="FK10" i="3"/>
  <c r="FL10" i="3"/>
  <c r="HC8" i="3"/>
  <c r="FO4" i="3"/>
  <c r="FN4" i="3"/>
  <c r="FO8" i="3"/>
  <c r="FN8" i="3"/>
  <c r="HI17" i="3"/>
  <c r="FL8" i="3"/>
  <c r="FK16" i="3"/>
  <c r="FK4" i="3"/>
  <c r="FK8" i="3"/>
  <c r="FL4" i="3"/>
  <c r="FO21" i="3"/>
  <c r="FK21" i="3"/>
  <c r="FP21" i="3"/>
  <c r="FM4" i="3"/>
  <c r="FO6" i="3"/>
  <c r="FK7" i="3"/>
  <c r="FM8" i="3"/>
  <c r="FM10" i="3"/>
  <c r="FM16" i="3"/>
  <c r="FO3" i="3"/>
  <c r="HI8" i="3"/>
  <c r="FN9" i="3"/>
  <c r="HI14" i="3"/>
  <c r="FM2" i="3"/>
  <c r="HI7" i="3"/>
  <c r="HI21" i="3"/>
  <c r="HI4" i="3"/>
  <c r="CK5" i="3"/>
  <c r="CZ5" i="3" s="1"/>
  <c r="DL5" i="3"/>
  <c r="CI7" i="3"/>
  <c r="CX7" i="3" s="1"/>
  <c r="IM7" i="3"/>
  <c r="DM7" i="3" a="1"/>
  <c r="DM7" i="3" s="1"/>
  <c r="CK7" i="3"/>
  <c r="CZ7" i="3" s="1"/>
  <c r="CH7" i="3"/>
  <c r="CW7" i="3" s="1"/>
  <c r="IN6" i="3"/>
  <c r="IX6" i="3" s="1"/>
  <c r="IM6" i="3"/>
  <c r="CK6" i="3"/>
  <c r="CZ6" i="3" s="1"/>
  <c r="DL19" i="3"/>
  <c r="CK19" i="3"/>
  <c r="CZ19" i="3" s="1"/>
  <c r="IM19" i="3"/>
  <c r="CJ19" i="3"/>
  <c r="CY19" i="3" s="1"/>
  <c r="CH19" i="3"/>
  <c r="CW19" i="3" s="1"/>
  <c r="DM13" i="3" a="1"/>
  <c r="DM13" i="3" s="1"/>
  <c r="CK13" i="3"/>
  <c r="CZ13" i="3" s="1"/>
  <c r="CJ17" i="3"/>
  <c r="CY17" i="3" s="1"/>
  <c r="DL17" i="3"/>
  <c r="FK9" i="3"/>
  <c r="CK12" i="3"/>
  <c r="CZ12" i="3" s="1"/>
  <c r="HC5" i="3"/>
  <c r="HI13" i="3"/>
  <c r="FL2" i="3"/>
  <c r="FN2" i="3"/>
  <c r="FO7" i="3"/>
  <c r="HC13" i="3"/>
  <c r="CH18" i="3"/>
  <c r="CW18" i="3" s="1"/>
  <c r="CK18" i="3"/>
  <c r="CZ18" i="3" s="1"/>
  <c r="DL18" i="3"/>
  <c r="CJ18" i="3"/>
  <c r="CY18" i="3" s="1"/>
  <c r="IM18" i="3"/>
  <c r="CI18" i="3"/>
  <c r="CX18" i="3" s="1"/>
  <c r="FN21" i="3"/>
  <c r="DL12" i="3"/>
  <c r="HC2" i="3"/>
  <c r="FP2" i="3"/>
  <c r="HI3" i="3"/>
  <c r="FM6" i="3"/>
  <c r="FM7" i="3"/>
  <c r="CJ12" i="3"/>
  <c r="CY12" i="3" s="1"/>
  <c r="FL6" i="3"/>
  <c r="FO9" i="3"/>
  <c r="CK16" i="3"/>
  <c r="CZ16" i="3" s="1"/>
  <c r="CH16" i="3"/>
  <c r="CW16" i="3" s="1"/>
  <c r="HI18" i="3"/>
  <c r="FO18" i="3"/>
  <c r="FL3" i="3"/>
  <c r="FM3" i="3"/>
  <c r="CH5" i="3"/>
  <c r="CW5" i="3" s="1"/>
  <c r="IM3" i="3"/>
  <c r="CI5" i="3"/>
  <c r="CX5" i="3" s="1"/>
  <c r="HI9" i="3"/>
  <c r="FK11" i="3"/>
  <c r="FN13" i="3"/>
  <c r="FL21" i="3"/>
  <c r="IN3" i="3"/>
  <c r="IX3" i="3" s="1"/>
  <c r="FL11" i="3"/>
  <c r="FO16" i="3"/>
  <c r="FM21" i="3"/>
  <c r="FM11" i="3"/>
  <c r="FN14" i="3"/>
  <c r="FL16" i="3"/>
  <c r="HC16" i="3"/>
  <c r="CJ4" i="3"/>
  <c r="CY4" i="3" s="1"/>
  <c r="DL4" i="3"/>
  <c r="DM4" i="3" a="1"/>
  <c r="DM4" i="3" s="1"/>
  <c r="CK4" i="3"/>
  <c r="CZ4" i="3" s="1"/>
  <c r="IN4" i="3"/>
  <c r="IX4" i="3" s="1"/>
  <c r="CI4" i="3"/>
  <c r="CX4" i="3" s="1"/>
  <c r="IM4" i="3"/>
  <c r="CH4" i="3"/>
  <c r="CW4" i="3" s="1"/>
  <c r="CH11" i="3"/>
  <c r="CW11" i="3" s="1"/>
  <c r="DM11" i="3" a="1"/>
  <c r="DM11" i="3" s="1"/>
  <c r="DL11" i="3"/>
  <c r="CJ11" i="3"/>
  <c r="CY11" i="3" s="1"/>
  <c r="CI11" i="3"/>
  <c r="CX11" i="3" s="1"/>
  <c r="CK11" i="3"/>
  <c r="CZ11" i="3" s="1"/>
  <c r="IN11" i="3"/>
  <c r="IX11" i="3" s="1"/>
  <c r="IM11" i="3"/>
  <c r="DM8" i="3" a="1"/>
  <c r="DM8" i="3" s="1"/>
  <c r="IM8" i="3"/>
  <c r="CI8" i="3"/>
  <c r="CX8" i="3" s="1"/>
  <c r="IN8" i="3"/>
  <c r="IX8" i="3" s="1"/>
  <c r="CJ8" i="3"/>
  <c r="CY8" i="3" s="1"/>
  <c r="DL8" i="3"/>
  <c r="CK8" i="3"/>
  <c r="CZ8" i="3" s="1"/>
  <c r="CH8" i="3"/>
  <c r="CW8" i="3" s="1"/>
  <c r="FO12" i="3"/>
  <c r="FN12" i="3"/>
  <c r="FN5" i="3"/>
  <c r="FO5" i="3"/>
  <c r="CJ2" i="3"/>
  <c r="CY2" i="3" s="1"/>
  <c r="DM2" i="3" a="1"/>
  <c r="DM2" i="3" s="1"/>
  <c r="IN2" i="3"/>
  <c r="IX2" i="3" s="1"/>
  <c r="CK2" i="3"/>
  <c r="CZ2" i="3" s="1"/>
  <c r="IM2" i="3"/>
  <c r="CI2" i="3"/>
  <c r="CX2" i="3" s="1"/>
  <c r="DL2" i="3"/>
  <c r="CH2" i="3"/>
  <c r="CW2" i="3" s="1"/>
  <c r="DB9" i="3"/>
  <c r="DA9" i="3"/>
  <c r="IO21" i="3"/>
  <c r="DL21" i="3"/>
  <c r="IN15" i="3"/>
  <c r="IX15" i="3" s="1"/>
  <c r="CI15" i="3"/>
  <c r="CX15" i="3" s="1"/>
  <c r="DL15" i="3"/>
  <c r="DM15" i="3" a="1"/>
  <c r="DM15" i="3" s="1"/>
  <c r="CK15" i="3"/>
  <c r="CZ15" i="3" s="1"/>
  <c r="CJ15" i="3"/>
  <c r="CY15" i="3" s="1"/>
  <c r="IM15" i="3"/>
  <c r="DM6" i="3" a="1"/>
  <c r="DM6" i="3" s="1"/>
  <c r="HC10" i="3"/>
  <c r="CH15" i="3"/>
  <c r="CW15" i="3" s="1"/>
  <c r="FK17" i="3"/>
  <c r="FL5" i="3"/>
  <c r="FO10" i="3"/>
  <c r="FN10" i="3"/>
  <c r="FL17" i="3"/>
  <c r="FP5" i="3"/>
  <c r="FM5" i="3"/>
  <c r="FL7" i="3"/>
  <c r="FP17" i="3"/>
  <c r="FN17" i="3"/>
  <c r="FM17" i="3"/>
  <c r="FP7" i="3"/>
  <c r="FN7" i="3"/>
  <c r="FO11" i="3"/>
  <c r="FN11" i="3"/>
  <c r="HC3" i="3"/>
  <c r="FK5" i="3"/>
  <c r="HC12" i="3"/>
  <c r="HC7" i="3"/>
  <c r="DM9" i="3" a="1"/>
  <c r="DM9" i="3" s="1"/>
  <c r="IN9" i="3"/>
  <c r="IX9" i="3" s="1"/>
  <c r="CJ9" i="3"/>
  <c r="CY9" i="3" s="1"/>
  <c r="DL9" i="3"/>
  <c r="CK9" i="3"/>
  <c r="CZ9" i="3" s="1"/>
  <c r="CI9" i="3"/>
  <c r="CX9" i="3" s="1"/>
  <c r="CH9" i="3"/>
  <c r="CW9" i="3" s="1"/>
  <c r="CK14" i="3"/>
  <c r="CZ14" i="3" s="1"/>
  <c r="CJ14" i="3"/>
  <c r="CY14" i="3" s="1"/>
  <c r="IM14" i="3"/>
  <c r="CH14" i="3"/>
  <c r="CW14" i="3" s="1"/>
  <c r="FL9" i="3"/>
  <c r="FP9" i="3"/>
  <c r="HC11" i="3"/>
  <c r="CI14" i="3"/>
  <c r="CX14" i="3" s="1"/>
  <c r="DL14" i="3"/>
  <c r="HC15" i="3"/>
  <c r="CJ21" i="3"/>
  <c r="CY21" i="3" s="1"/>
  <c r="CK21" i="3"/>
  <c r="CZ21" i="3" s="1"/>
  <c r="CI21" i="3"/>
  <c r="CX21" i="3" s="1"/>
  <c r="IN21" i="3"/>
  <c r="IX21" i="3" s="1"/>
  <c r="IM21" i="3"/>
  <c r="CI6" i="3"/>
  <c r="CX6" i="3" s="1"/>
  <c r="CJ6" i="3"/>
  <c r="CY6" i="3" s="1"/>
  <c r="DL6" i="3"/>
  <c r="CH6" i="3"/>
  <c r="CW6" i="3" s="1"/>
  <c r="HC9" i="3"/>
  <c r="DM14" i="3" a="1"/>
  <c r="DM14" i="3" s="1"/>
  <c r="HC14" i="3"/>
  <c r="DL3" i="3"/>
  <c r="FK6" i="3"/>
  <c r="DL7" i="3"/>
  <c r="HC21" i="3"/>
  <c r="FN3" i="3"/>
  <c r="IN7" i="3"/>
  <c r="IX7" i="3" s="1"/>
  <c r="CJ10" i="3"/>
  <c r="CY10" i="3" s="1"/>
  <c r="DM10" i="3" a="1"/>
  <c r="DM10" i="3" s="1"/>
  <c r="IM10" i="3"/>
  <c r="IN10" i="3"/>
  <c r="IX10" i="3" s="1"/>
  <c r="CK10" i="3"/>
  <c r="CZ10" i="3" s="1"/>
  <c r="DM12" i="3" a="1"/>
  <c r="DM12" i="3" s="1"/>
  <c r="FK15" i="3"/>
  <c r="FK19" i="3"/>
  <c r="IM5" i="3"/>
  <c r="DM5" i="3" a="1"/>
  <c r="DM5" i="3" s="1"/>
  <c r="CJ7" i="3"/>
  <c r="CY7" i="3" s="1"/>
  <c r="CH10" i="3"/>
  <c r="CW10" i="3" s="1"/>
  <c r="CJ13" i="3"/>
  <c r="CY13" i="3" s="1"/>
  <c r="IM13" i="3"/>
  <c r="DL13" i="3"/>
  <c r="CI13" i="3"/>
  <c r="CX13" i="3" s="1"/>
  <c r="CH13" i="3"/>
  <c r="CW13" i="3" s="1"/>
  <c r="CI17" i="3"/>
  <c r="CX17" i="3" s="1"/>
  <c r="CH17" i="3"/>
  <c r="CW17" i="3" s="1"/>
  <c r="IM17" i="3"/>
  <c r="DM17" i="3" a="1"/>
  <c r="DM17" i="3" s="1"/>
  <c r="CK17" i="3"/>
  <c r="CZ17" i="3" s="1"/>
  <c r="HC17" i="3"/>
  <c r="IN19" i="3"/>
  <c r="IX19" i="3" s="1"/>
  <c r="DM19" i="3" a="1"/>
  <c r="DM19" i="3" s="1"/>
  <c r="CI19" i="3"/>
  <c r="CX19" i="3" s="1"/>
  <c r="FL19" i="3"/>
  <c r="FK3" i="3"/>
  <c r="HC4" i="3"/>
  <c r="CI10" i="3"/>
  <c r="CX10" i="3" s="1"/>
  <c r="DL10" i="3"/>
  <c r="FN19" i="3"/>
  <c r="CH12" i="3"/>
  <c r="CW12" i="3" s="1"/>
  <c r="CI12" i="3"/>
  <c r="CX12" i="3" s="1"/>
  <c r="IN12" i="3"/>
  <c r="IX12" i="3" s="1"/>
  <c r="FM15" i="3"/>
  <c r="DM18" i="3" a="1"/>
  <c r="DM18" i="3" s="1"/>
  <c r="FM19" i="3"/>
  <c r="DM16" i="3" a="1"/>
  <c r="DM16" i="3" s="1"/>
  <c r="CJ16" i="3"/>
  <c r="CY16" i="3" s="1"/>
  <c r="CI16" i="3"/>
  <c r="CX16" i="3" s="1"/>
  <c r="HC19" i="3"/>
  <c r="HI5" i="3"/>
  <c r="HI15" i="3"/>
  <c r="DL16" i="3"/>
  <c r="IM16" i="3"/>
  <c r="IN18" i="3"/>
  <c r="IX18" i="3" s="1"/>
  <c r="FM14" i="3"/>
  <c r="FM9" i="3"/>
  <c r="FO17" i="3"/>
  <c r="GS22" i="3" l="1"/>
  <c r="HN22" i="3" s="1"/>
  <c r="GS19" i="3"/>
  <c r="HF19" i="3" s="1"/>
  <c r="GS8" i="3"/>
  <c r="HG8" i="3" s="1"/>
  <c r="GS16" i="3"/>
  <c r="HF16" i="3" s="1"/>
  <c r="GS5" i="3"/>
  <c r="HM5" i="3" s="1"/>
  <c r="GS7" i="3"/>
  <c r="HN7" i="3" s="1"/>
  <c r="GS18" i="3"/>
  <c r="HM18" i="3" s="1"/>
  <c r="GS3" i="3"/>
  <c r="HN3" i="3" s="1"/>
  <c r="GS15" i="3"/>
  <c r="HM15" i="3" s="1"/>
  <c r="GS2" i="3"/>
  <c r="GS10" i="3"/>
  <c r="HN10" i="3" s="1"/>
  <c r="GS9" i="3"/>
  <c r="HG9" i="3" s="1"/>
  <c r="GS17" i="3"/>
  <c r="HM17" i="3" s="1"/>
  <c r="GS6" i="3"/>
  <c r="GS12" i="3"/>
  <c r="HM12" i="3" s="1"/>
  <c r="GS13" i="3"/>
  <c r="GS21" i="3"/>
  <c r="HG21" i="3" s="1"/>
  <c r="GS14" i="3"/>
  <c r="HN14" i="3" s="1"/>
  <c r="GS4" i="3"/>
  <c r="HN4" i="3" s="1"/>
  <c r="HM19" i="3"/>
  <c r="GS11" i="3"/>
  <c r="HM11" i="3" s="1"/>
  <c r="HM22" i="3" l="1"/>
  <c r="HG22" i="3"/>
  <c r="HF22" i="3"/>
  <c r="HN18" i="3"/>
  <c r="HN21" i="3"/>
  <c r="HG5" i="3"/>
  <c r="HG17" i="3"/>
  <c r="HF17" i="3"/>
  <c r="HF5" i="3"/>
  <c r="HG19" i="3"/>
  <c r="HM8" i="3"/>
  <c r="HN19" i="3"/>
  <c r="HM3" i="3"/>
  <c r="HN17" i="3"/>
  <c r="HF3" i="3"/>
  <c r="HG3" i="3"/>
  <c r="HF18" i="3"/>
  <c r="HF9" i="3"/>
  <c r="HN11" i="3"/>
  <c r="HF8" i="3"/>
  <c r="HN8" i="3"/>
  <c r="HG11" i="3"/>
  <c r="HN9" i="3"/>
  <c r="HF21" i="3"/>
  <c r="HN5" i="3"/>
  <c r="HG15" i="3"/>
  <c r="HM7" i="3"/>
  <c r="HG7" i="3"/>
  <c r="HM16" i="3"/>
  <c r="HF7" i="3"/>
  <c r="HG16" i="3"/>
  <c r="HG18" i="3"/>
  <c r="HN16" i="3"/>
  <c r="HM14" i="3"/>
  <c r="HF11" i="3"/>
  <c r="HM9" i="3"/>
  <c r="HN12" i="3"/>
  <c r="HG2" i="3"/>
  <c r="HF2" i="3"/>
  <c r="HN2" i="3"/>
  <c r="HM2" i="3"/>
  <c r="HF13" i="3"/>
  <c r="HM13" i="3"/>
  <c r="HG13" i="3"/>
  <c r="HN13" i="3"/>
  <c r="HF12" i="3"/>
  <c r="HF15" i="3"/>
  <c r="HN15" i="3"/>
  <c r="HM21" i="3"/>
  <c r="HG12" i="3"/>
  <c r="HF4" i="3"/>
  <c r="HM4" i="3"/>
  <c r="HG4" i="3"/>
  <c r="HN6" i="3"/>
  <c r="HF6" i="3"/>
  <c r="HG6" i="3"/>
  <c r="HM6" i="3"/>
  <c r="HF10" i="3"/>
  <c r="HG10" i="3"/>
  <c r="HG14" i="3"/>
  <c r="HF14" i="3"/>
  <c r="HM10"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futureMetadata>
  <cellMetadata count="1">
    <bk>
      <rc t="1" v="0"/>
    </bk>
  </cellMetadata>
  <valueMetadata count="12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valueMetadata>
</metadata>
</file>

<file path=xl/sharedStrings.xml><?xml version="1.0" encoding="utf-8"?>
<sst xmlns="http://schemas.openxmlformats.org/spreadsheetml/2006/main" count="10370" uniqueCount="1974">
  <si>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</si>
  <si>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</si>
  <si>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</si>
  <si>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</si>
  <si>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</si>
  <si>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</si>
  <si>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</si>
  <si>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</si>
  <si>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</si>
  <si>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</si>
  <si>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</si>
  <si>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</si>
  <si>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</si>
  <si>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</si>
  <si>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</si>
  <si>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</si>
  <si>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</si>
  <si>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</si>
  <si>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</si>
  <si>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</si>
  <si>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</si>
  <si>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</si>
  <si>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</si>
  <si>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</si>
  <si>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</si>
  <si>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</si>
  <si>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</si>
  <si>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</si>
  <si>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</si>
  <si>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</si>
  <si>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</si>
  <si>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</si>
  <si>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</si>
  <si>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</si>
  <si>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</si>
  <si>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</si>
  <si>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</si>
  <si>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</si>
  <si>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</si>
  <si>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</si>
  <si>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</si>
  <si>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</si>
  <si>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</si>
  <si>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</si>
  <si>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</si>
  <si>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</si>
  <si>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</si>
  <si>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</si>
  <si>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</si>
  <si>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</si>
  <si>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</si>
  <si>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</si>
  <si>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</si>
  <si>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</si>
  <si>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</si>
  <si>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</si>
  <si>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</si>
  <si>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</si>
  <si>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</si>
  <si>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</si>
  <si>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</si>
  <si>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</si>
  <si>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</si>
  <si>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</si>
  <si>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</si>
  <si>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</si>
  <si>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</si>
  <si>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</si>
  <si>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</si>
  <si>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</si>
  <si>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</si>
  <si>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</si>
  <si>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</si>
  <si>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</si>
  <si>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</si>
  <si>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</si>
  <si>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</si>
  <si>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</si>
  <si>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</si>
  <si>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</si>
  <si>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</si>
  <si>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</si>
  <si>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</si>
  <si>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</si>
  <si>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</si>
  <si>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</si>
  <si>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</si>
  <si>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</si>
  <si>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</si>
  <si>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</si>
  <si>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</si>
  <si>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</si>
  <si>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</si>
  <si>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</si>
  <si>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</si>
  <si>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</si>
  <si>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</si>
  <si>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</si>
  <si>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</si>
  <si>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</si>
  <si>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</si>
  <si>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</si>
  <si>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</si>
  <si>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</si>
  <si>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</si>
  <si>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</si>
  <si>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</si>
  <si>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</si>
  <si>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</si>
  <si>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</si>
  <si>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</si>
  <si>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</si>
  <si>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</si>
  <si>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</si>
  <si>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</si>
  <si>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</si>
  <si>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</si>
  <si>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</si>
  <si>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</si>
  <si>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</si>
  <si>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</si>
  <si>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</si>
  <si>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</si>
  <si>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</si>
  <si>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</si>
  <si>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</si>
  <si>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</si>
  <si>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</si>
  <si>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</si>
  <si>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</si>
  <si>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</si>
  <si>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</si>
  <si>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</si>
  <si>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</si>
  <si>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</si>
  <si>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</si>
  <si>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</si>
  <si>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</si>
  <si>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</si>
  <si>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</si>
  <si>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</si>
  <si>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</si>
  <si>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</si>
  <si>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</si>
  <si>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</si>
  <si>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</si>
  <si>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</si>
  <si>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</si>
  <si>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</si>
  <si>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</si>
  <si>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</si>
  <si>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</si>
  <si>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</si>
  <si>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</si>
  <si>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</si>
  <si>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</si>
  <si>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</si>
  <si>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</si>
  <si>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</si>
  <si>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</si>
  <si>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</si>
  <si>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</si>
  <si>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</si>
  <si>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t>
  </si>
  <si>
    <t>n</t>
  </si>
  <si>
    <t>y</t>
  </si>
  <si>
    <t>nc</t>
  </si>
  <si>
    <t>EQ</t>
  </si>
  <si>
    <t>nn</t>
  </si>
  <si>
    <t xml:space="preserve">1960 </t>
  </si>
  <si>
    <t xml:space="preserve">1975 </t>
  </si>
  <si>
    <t>Argentina</t>
  </si>
  <si>
    <t>https://upload.wikimedia.org/wikipedia/commons/thumb/1/1a/Flag_of_Argentina.svg/320px-Flag_of_Argentina.svg.png</t>
  </si>
  <si>
    <t>https://upload.wikimedia.org/wikipedia/commons/thumb/1/1a/Flag_of_Argentina.svg/2560px-Flag_of_Argentina.svg.png</t>
  </si>
  <si>
    <t>https://en.wikipedia.org/wiki/Flag_of_Argentina</t>
  </si>
  <si>
    <t xml:space="preserve">1818, 1861, 2010 </t>
  </si>
  <si>
    <t>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t>
  </si>
  <si>
    <t>South America</t>
  </si>
  <si>
    <t xml:space="preserve">1966 </t>
  </si>
  <si>
    <t>yy</t>
  </si>
  <si>
    <t xml:space="preserve">1999 </t>
  </si>
  <si>
    <t xml:space="preserve">1969 </t>
  </si>
  <si>
    <t>Bolivia</t>
  </si>
  <si>
    <t>https://i.ibb.co/DG7Drzn/Bolivia-Flag.png</t>
  </si>
  <si>
    <t>https://upload.wikimedia.org/wikipedia/commons/thumb/4/48/Flag_of_Bolivia.svg/2560px-Flag_of_Bolivia.svg.png</t>
  </si>
  <si>
    <t>https://en.wikipedia.org/wiki/Flag_of_Bolivia</t>
  </si>
  <si>
    <t xml:space="preserve">1851 </t>
  </si>
  <si>
    <t xml:space="preserve">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t>
  </si>
  <si>
    <t xml:space="preserve">1981 </t>
  </si>
  <si>
    <t>Brazil</t>
  </si>
  <si>
    <t>https://i.ibb.co/M5577xy/Brazil-Flag.png</t>
  </si>
  <si>
    <t>https://upload.wikimedia.org/wikipedia/en/thumb/0/05/Flag_of_Brazil.svg/2560px-Flag_of_Brazil.svg.png</t>
  </si>
  <si>
    <t>https://en.wikipedia.org/wiki/Flag_of_Brazil</t>
  </si>
  <si>
    <t xml:space="preserve">1889, 1992 </t>
  </si>
  <si>
    <t>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t>
  </si>
  <si>
    <t xml:space="preserve">1984 </t>
  </si>
  <si>
    <t xml:space="preserve">1965 </t>
  </si>
  <si>
    <t xml:space="preserve">1992 </t>
  </si>
  <si>
    <t>Chile</t>
  </si>
  <si>
    <t>https://i.ibb.co/YWTPJTk/Chile-Flag.png</t>
  </si>
  <si>
    <t>https://upload.wikimedia.org/wikipedia/commons/thumb/7/78/Flag_of_Chile.svg/2560px-Flag_of_Chile.svg.png</t>
  </si>
  <si>
    <t>https://en.wikipedia.org/wiki/Flag_of_Chile</t>
  </si>
  <si>
    <t xml:space="preserve">1817 </t>
  </si>
  <si>
    <t xml:space="preserve">The blue square represents the sky and the Pacific Ocean, the white stripe symbolizes the snow-covered Andes mountains, and the red stripe stands for the bloodshed during the fight for independence from Spain. The white star represents Venus and it is a symbol of guidance and honor​ </t>
  </si>
  <si>
    <t>Colombia</t>
  </si>
  <si>
    <t>https://i.ibb.co/xj0RpQG/Colombia-Flag.png</t>
  </si>
  <si>
    <t>https://upload.wikimedia.org/wikipedia/commons/thumb/2/21/Flag_of_Colombia.svg/2560px-Flag_of_Colombia.svg.png</t>
  </si>
  <si>
    <t>https://en.wikipedia.org/wiki/Flag_of_Colombia</t>
  </si>
  <si>
    <t xml:space="preserve">1861 </t>
  </si>
  <si>
    <t>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t>
  </si>
  <si>
    <t xml:space="preserve">1979 </t>
  </si>
  <si>
    <t xml:space="preserve">2006 </t>
  </si>
  <si>
    <t>Ecuador</t>
  </si>
  <si>
    <t>https://i.ibb.co/TbYwmWF/Ecuador-Flag.png</t>
  </si>
  <si>
    <t>https://upload.wikimedia.org/wikipedia/commons/thumb/e/e8/Flag_of_Ecuador.svg/2560px-Flag_of_Ecuador.svg.png</t>
  </si>
  <si>
    <t>https://en.wikipedia.org/wiki/Flag_of_Ecuador</t>
  </si>
  <si>
    <t xml:space="preserve">1860, 1900, 2009 </t>
  </si>
  <si>
    <t>\n • Yellow: The crops and the fertile soil.\n\n • Blue: The ocean and the clear skies\n\n • Red: The blood spilled by the heroes who died in the name of their countrymen's Fatherland and Freedom.</t>
  </si>
  <si>
    <t>GRA</t>
  </si>
  <si>
    <t xml:space="preserve">1995 </t>
  </si>
  <si>
    <t>Falkland Islands</t>
  </si>
  <si>
    <t>https://upload.wikimedia.org/wikipedia/commons/thumb/8/83/Flag_of_the_Falkland_Islands.svg/383px-Flag_of_the_Falkland_Islands.svg.png</t>
  </si>
  <si>
    <t>https://upload.wikimedia.org/wikipedia/commons/thumb/8/83/Flag_of_the_Falkland_Islands.svg/2560px-Flag_of_the_Falkland_Islands.svg.png</t>
  </si>
  <si>
    <t>https://en.wikipedia.org/wiki/Flag_of_the_Falkland_Islands</t>
  </si>
  <si>
    <t>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t>
  </si>
  <si>
    <t>French Guiana</t>
  </si>
  <si>
    <t>https://upload.wikimedia.org/wikipedia/commons/thumb/2/29/Flag_of_French_Guiana.svg/375px-Flag_of_French_Guiana.svg.png</t>
  </si>
  <si>
    <t>https://upload.wikimedia.org/wikipedia/commons/thumb/2/29/Flag_of_French_Guiana.svg/2560px-Flag_of_French_Guiana.svg.png</t>
  </si>
  <si>
    <t>https://en.wikipedia.org/wiki/Flag_of_French_Guiana</t>
  </si>
  <si>
    <t xml:space="preserve">2010 </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</si>
  <si>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t>
  </si>
  <si>
    <t xml:space="preserve">1957 </t>
  </si>
  <si>
    <t xml:space="preserve">1982 </t>
  </si>
  <si>
    <t>???</t>
  </si>
  <si>
    <t/>
  </si>
  <si>
    <t>Guyana</t>
  </si>
  <si>
    <t>https://i.ibb.co/XY6jnk1/Guyana-Flag.png</t>
  </si>
  <si>
    <t>https://upload.wikimedia.org/wikipedia/commons/thumb/9/99/Flag_of_Guyana.svg/2560px-Flag_of_Guyana.svg.png</t>
  </si>
  <si>
    <t>https://en.wikipedia.org/wiki/Flag_of_Guyana</t>
  </si>
  <si>
    <t>Red for zeal and dynamism, gold for mineral wealth, green for agriculture and forests, black for endurance, white for rivers and water.</t>
  </si>
  <si>
    <t xml:space="preserve">1947 </t>
  </si>
  <si>
    <t xml:space="preserve">1922 </t>
  </si>
  <si>
    <t xml:space="preserve">1946 </t>
  </si>
  <si>
    <t xml:space="preserve">1963 </t>
  </si>
  <si>
    <t>Paraguay</t>
  </si>
  <si>
    <t>https://i.ibb.co/fvh22wm/Paraguay-Flag.png</t>
  </si>
  <si>
    <t>https://upload.wikimedia.org/wikipedia/commons/thumb/2/27/Flag_of_Paraguay.svg/2560px-Flag_of_Paraguay.svg.png</t>
  </si>
  <si>
    <t>https://en.wikipedia.org/wiki/Flag_of_Paraguay</t>
  </si>
  <si>
    <t xml:space="preserve">1842, 2013 </t>
  </si>
  <si>
    <t>The colours of the flag are believed to be inspired from the flag of France to show independence and liberty, and the coat of arms represents the independence of Paraguay.</t>
  </si>
  <si>
    <t>Spanish, Guaraní</t>
  </si>
  <si>
    <t>Peru</t>
  </si>
  <si>
    <t>https://i.ibb.co/YNcYq42/Peru-Flag.png</t>
  </si>
  <si>
    <t>https://upload.wikimedia.org/wikipedia/commons/thumb/c/cf/Flag_of_Peru.svg/2560px-Flag_of_Peru.svg.png</t>
  </si>
  <si>
    <t>https://en.wikipedia.org/wiki/Flag_of_Peru</t>
  </si>
  <si>
    <t xml:space="preserve">1825, 1950 </t>
  </si>
  <si>
    <t>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t>
  </si>
  <si>
    <t xml:space="preserve">1996 </t>
  </si>
  <si>
    <t>Suriname</t>
  </si>
  <si>
    <t>https://i.ibb.co/5Ks9qPr/Suriname-Flag.png</t>
  </si>
  <si>
    <t>https://upload.wikimedia.org/wikipedia/commons/thumb/6/60/Flag_of_Suriname.svg/2560px-Flag_of_Suriname.svg.png</t>
  </si>
  <si>
    <t>https://en.wikipedia.org/wiki/Flag_of_Suriname</t>
  </si>
  <si>
    <t>The color red represents progress, white represents freedom and justice and the green represents the fertility of the land. The yellow star represents unity and a golden future.</t>
  </si>
  <si>
    <t xml:space="preserve">1917 </t>
  </si>
  <si>
    <t>Uruguay</t>
  </si>
  <si>
    <t>https://i.ibb.co/cLPFZhg/Uruguay-Flag.png</t>
  </si>
  <si>
    <t>https://upload.wikimedia.org/wikipedia/commons/thumb/f/fe/Flag_of_Uruguay.svg/2560px-Flag_of_Uruguay.svg.png</t>
  </si>
  <si>
    <t>https://en.wikipedia.org/wiki/Flag_of_Uruguay</t>
  </si>
  <si>
    <t xml:space="preserve">1828, 1830 </t>
  </si>
  <si>
    <t>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t>
  </si>
  <si>
    <t>Venezuela</t>
  </si>
  <si>
    <t>https://i.ibb.co/FnjCzQh/Venezuela-Flag.png</t>
  </si>
  <si>
    <t>https://upload.wikimedia.org/wikipedia/commons/thumb/0/06/Flag_of_Venezuela.svg/2560px-Flag_of_Venezuela.svg.png</t>
  </si>
  <si>
    <t>https://en.wikipedia.org/wiki/Flag_of_Venezuela</t>
  </si>
  <si>
    <t>\n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t>
  </si>
  <si>
    <t>Historical</t>
  </si>
  <si>
    <t>People</t>
  </si>
  <si>
    <t>Capital City</t>
  </si>
  <si>
    <t xml:space="preserve">2007 </t>
  </si>
  <si>
    <t>[ARG] Mapuche-Tehuelche</t>
  </si>
  <si>
    <t>https://upload.wikimedia.org/wikipedia/commons/thumb/2/25/Tehuelche_flag.svg/320px-Tehuelche_flag.svg.png</t>
  </si>
  <si>
    <t>https://upload.wikimedia.org/wikipedia/commons/thumb/2/25/Tehuelche_flag.svg/800px-Tehuelche_flag.svg.png</t>
  </si>
  <si>
    <t>https://en.wikipedia.org/wiki/Flag_of_the_Mapuches#In_Argentina</t>
  </si>
  <si>
    <t>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t>
  </si>
  <si>
    <t>Province</t>
  </si>
  <si>
    <t>[ARG] Chaco</t>
  </si>
  <si>
    <t>https://upload.wikimedia.org/wikipedia/commons/thumb/3/33/Bandera_de_la_Provincia_del_Chaco.svg/640px-Bandera_de_la_Provincia_del_Chaco.svg.png</t>
  </si>
  <si>
    <t>https://upload.wikimedia.org/wikipedia/commons/thumb/3/33/Bandera_de_la_Provincia_del_Chaco.svg/2560px-Bandera_de_la_Provincia_del_Chaco.svg.png</t>
  </si>
  <si>
    <t>https://es.wikipedia.org/wiki/Bandera_de_la_provincia_del_Chaco</t>
  </si>
  <si>
    <t>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t>
  </si>
  <si>
    <t>[ARG] Cordoba</t>
  </si>
  <si>
    <t>https://upload.wikimedia.org/wikipedia/commons/thumb/f/f6/Bandera_de_la_Provincia_de_C%C3%B3rdoba_2014.svg/640px-Bandera_de_la_Provincia_de_C%C3%B3rdoba_2014.svg.png</t>
  </si>
  <si>
    <t>https://upload.wikimedia.org/wikipedia/commons/thumb/f/f6/Bandera_de_la_Provincia_de_C%C3%B3rdoba_2014.svg/2560px-Bandera_de_la_Provincia_de_C%C3%B3rdoba_2014.svg.png</t>
  </si>
  <si>
    <t>https://es.wikipedia.org/wiki/Bandera_de_la_provincia_de_Córdoba_(Argentina)</t>
  </si>
  <si>
    <t>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t>
  </si>
  <si>
    <t>[ARG] Misiones</t>
  </si>
  <si>
    <t>https://upload.wikimedia.org/wikipedia/commons/thumb/c/ce/Bandera_de_la_Provincia_de_Misiones.svg/640px-Bandera_de_la_Provincia_de_Misiones.svg.png</t>
  </si>
  <si>
    <t>https://upload.wikimedia.org/wikipedia/commons/thumb/c/ce/Bandera_de_la_Provincia_de_Misiones.svg/2560px-Bandera_de_la_Provincia_de_Misiones.svg.png</t>
  </si>
  <si>
    <t>https://es.wikipedia.org/wiki/Bandera_de_Misiones</t>
  </si>
  <si>
    <t>According to José Artigas himself, the meaning of the flag is as follows:\n\n • Red: for the blood spilled to sustain our freedom and independence.\n\n • Blue: of our decision for the Republic.\n\n • White: of our distinction and greatness.</t>
  </si>
  <si>
    <t>[ARG] Rio Negro</t>
  </si>
  <si>
    <t>https://upload.wikimedia.org/wikipedia/commons/thumb/5/5d/Bandera_de_la_Provincia_del_R%C3%ADo_Negro.svg/320px-Bandera_de_la_Provincia_del_R%C3%ADo_Negro.svg.png</t>
  </si>
  <si>
    <t>https://upload.wikimedia.org/wikipedia/commons/thumb/5/5d/Bandera_de_la_Provincia_del_R%C3%ADo_Negro.svg/2560px-Bandera_de_la_Provincia_del_R%C3%ADo_Negro.svg.png</t>
  </si>
  <si>
    <t>https://es.wikipedia.org/wiki/Bandera_de_la_provincia_del_Río_Negro</t>
  </si>
  <si>
    <t xml:space="preserve">2009 </t>
  </si>
  <si>
    <t>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t>
  </si>
  <si>
    <t>Municipality</t>
  </si>
  <si>
    <t>City</t>
  </si>
  <si>
    <t>State</t>
  </si>
  <si>
    <t>Region</t>
  </si>
  <si>
    <t>[BRA] Empire of Brazil (1853-1889)</t>
  </si>
  <si>
    <t>https://upload.wikimedia.org/wikipedia/commons/thumb/e/ea/Bandeira_do_Imp%C3%A9rio_do_Brasil_com_n%C3%B3_e_cores_corretos.png/320px-Bandeira_do_Imp%C3%A9rio_do_Brasil_com_n%C3%B3_e_cores_corretos.png</t>
  </si>
  <si>
    <t>https://upload.wikimedia.org/wikipedia/commons/thumb/e/ea/Bandeira_do_Imp%C3%A9rio_do_Brasil_com_n%C3%B3_e_cores_corretos.png/800px-Bandeira_do_Imp%C3%A9rio_do_Brasil_com_n%C3%B3_e_cores_corretos.png</t>
  </si>
  <si>
    <t>https://en.wikipedia.org/wiki/Flag_of_Brazil#Empire_of_Brazil_(1822%E2%80%931889)</t>
  </si>
  <si>
    <t>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t>
  </si>
  <si>
    <t>[BRA] Acre</t>
  </si>
  <si>
    <t>https://upload.wikimedia.org/wikipedia/commons/thumb/4/4c/Bandeira_do_Acre.svg/640px-Bandeira_do_Acre.svg.png</t>
  </si>
  <si>
    <t>https://upload.wikimedia.org/wikipedia/commons/thumb/4/4c/Bandeira_do_Acre.svg/2560px-Bandeira_do_Acre.svg.png</t>
  </si>
  <si>
    <t>https://en.wikipedia.org/wiki/Flag_of_Acre</t>
  </si>
  <si>
    <t xml:space="preserve">The yellow represents the riches of the earth, the green represents hope, the red star in the upper left, called the Altaneira Star, represents the blood of those who fought for the annexation of the current state of Acre to Brazil. </t>
  </si>
  <si>
    <t>[BRA] Alagoas</t>
  </si>
  <si>
    <t>https://upload.wikimedia.org/wikipedia/commons/thumb/8/88/Bandeira_de_Alagoas.svg/640px-Bandeira_de_Alagoas.svg.png</t>
  </si>
  <si>
    <t>https://upload.wikimedia.org/wikipedia/commons/thumb/8/88/Bandeira_de_Alagoas.svg/2560px-Bandeira_de_Alagoas.svg.png</t>
  </si>
  <si>
    <t>https://en.wikipedia.org/wiki/Flag_of_Alagoas</t>
  </si>
  <si>
    <t>3 Fishes</t>
  </si>
  <si>
    <t>[BRA] Amapá</t>
  </si>
  <si>
    <t>https://upload.wikimedia.org/wikipedia/commons/thumb/0/0c/Bandeira_do_Amap%C3%A1.svg/640px-Bandeira_do_Amap%C3%A1.svg.png</t>
  </si>
  <si>
    <t>https://upload.wikimedia.org/wikipedia/commons/thumb/0/0c/Bandeira_do_Amap%C3%A1.svg/2560px-Bandeira_do_Amap%C3%A1.svg.png</t>
  </si>
  <si>
    <t>https://en.wikipedia.org/wiki/Flag_of_Amapá</t>
  </si>
  <si>
    <t>The green represents the forests; the yellow represents mineral wealth; the blue represents the sky; the white represents peace; black symbolizes the respect for those who died fighting for the state.</t>
  </si>
  <si>
    <t>[BRA] Amazonas</t>
  </si>
  <si>
    <t>https://upload.wikimedia.org/wikipedia/commons/thumb/6/6b/Bandeira_do_Amazonas.svg/640px-Bandeira_do_Amazonas.svg.png</t>
  </si>
  <si>
    <t>https://upload.wikimedia.org/wikipedia/commons/thumb/6/6b/Bandeira_do_Amazonas.svg/2560px-Bandeira_do_Amazonas.svg.png</t>
  </si>
  <si>
    <t>https://en.wikipedia.org/wiki/Flag_of_Amazonas_(Brazilian_state)</t>
  </si>
  <si>
    <t>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t>
  </si>
  <si>
    <t>[BRA] Bahia</t>
  </si>
  <si>
    <t>https://upload.wikimedia.org/wikipedia/commons/thumb/2/28/Bandeira_da_Bahia.svg/640px-Bandeira_da_Bahia.svg.png</t>
  </si>
  <si>
    <t>https://upload.wikimedia.org/wikipedia/commons/thumb/2/28/Bandeira_da_Bahia.svg/2560px-Bandeira_da_Bahia.svg.png</t>
  </si>
  <si>
    <t>https://en.wikipedia.org/wiki/Flag_of_Bahia</t>
  </si>
  <si>
    <t>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t>
  </si>
  <si>
    <t>[BRA] Ceará</t>
  </si>
  <si>
    <t>https://upload.wikimedia.org/wikipedia/commons/thumb/2/2e/Bandeira_do_Cear%C3%A1.svg/640px-Bandeira_do_Cear%C3%A1.svg.png</t>
  </si>
  <si>
    <t>https://upload.wikimedia.org/wikipedia/commons/thumb/2/2e/Bandeira_do_Cear%C3%A1.svg/2560px-Bandeira_do_Cear%C3%A1.svg.png</t>
  </si>
  <si>
    <t>https://en.wikipedia.org/wiki/Flag_of_Ceará</t>
  </si>
  <si>
    <t>Bottom-right: The Carnaúba tree is the state tree of Ceará and represents earth.\nBottom-left: The jangada boat represents water.\nTop-right: The dove and mountains represent air.\nTop-left: The sun represents fire.</t>
  </si>
  <si>
    <t>1 Seagull</t>
  </si>
  <si>
    <t>[BRA] Espirito Santo</t>
  </si>
  <si>
    <t>https://upload.wikimedia.org/wikipedia/commons/thumb/4/43/Bandeira_do_Esp%C3%ADrito_Santo.svg/640px-Bandeira_do_Esp%C3%ADrito_Santo.svg.png</t>
  </si>
  <si>
    <t>https://upload.wikimedia.org/wikipedia/commons/thumb/4/43/Bandeira_do_Esp%C3%ADrito_Santo.svg/2560px-Bandeira_do_Esp%C3%ADrito_Santo.svg.png</t>
  </si>
  <si>
    <t>https://en.wikipedia.org/wiki/Flag_of_Espírito_Santo</t>
  </si>
  <si>
    <t>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t>
  </si>
  <si>
    <t>[BRA] Federal District</t>
  </si>
  <si>
    <t>https://upload.wikimedia.org/wikipedia/commons/thumb/3/3c/Bandeira_do_Distrito_Federal_%28Brasil%29.svg/640px-Bandeira_do_Distrito_Federal_%28Brasil%29.svg.png</t>
  </si>
  <si>
    <t>https://upload.wikimedia.org/wikipedia/commons/thumb/3/3c/Bandeira_do_Distrito_Federal_%28Brasil%29.svg/2560px-Bandeira_do_Distrito_Federal_%28Brasil%29.svg.png</t>
  </si>
  <si>
    <t>https://en.wikipedia.org/wiki/Flag_of_the_Federal_District_(Brazil)</t>
  </si>
  <si>
    <t xml:space="preserve">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t>
  </si>
  <si>
    <t>[BRA] Goias</t>
  </si>
  <si>
    <t>https://upload.wikimedia.org/wikipedia/commons/thumb/b/be/Flag_of_Goi%C3%A1s.svg/640px-Flag_of_Goi%C3%A1s.svg.png</t>
  </si>
  <si>
    <t>https://upload.wikimedia.org/wikipedia/commons/thumb/b/be/Flag_of_Goi%C3%A1s.svg/2560px-Flag_of_Goi%C3%A1s.svg.png</t>
  </si>
  <si>
    <t>https://en.wikipedia.org/wiki/Flag_of_Goiás</t>
  </si>
  <si>
    <t xml:space="preserve">1919 </t>
  </si>
  <si>
    <t>The yellow represents the gold, the green represents the forests, and the five white stars in the upper left hoist represent the Southern Cross. The Southern Cross was the constellation that gave Brazil its primitive names, Ilha de Vera Cruz and Terra de Santa Cruz.</t>
  </si>
  <si>
    <t>[BRA] Maranhao</t>
  </si>
  <si>
    <t>https://upload.wikimedia.org/wikipedia/commons/thumb/4/45/Bandeira_do_Maranh%C3%A3o.svg/640px-Bandeira_do_Maranh%C3%A3o.svg.png</t>
  </si>
  <si>
    <t>https://upload.wikimedia.org/wikipedia/commons/thumb/4/45/Bandeira_do_Maranh%C3%A3o.svg/2560px-Bandeira_do_Maranh%C3%A3o.svg.png</t>
  </si>
  <si>
    <t>https://en.wikipedia.org/wiki/Flag_of_Maranhão</t>
  </si>
  <si>
    <t xml:space="preserve">1889 </t>
  </si>
  <si>
    <t>The three colors of the stripes represent the ethnic composition of the population of Maranhão (Indigenous, black, and white people), while the star represents Beta Scorpii, which inturn represents the state of Maranhão on the Flag of Brazil.</t>
  </si>
  <si>
    <t>[BRA] Matto Grosso</t>
  </si>
  <si>
    <t>https://upload.wikimedia.org/wikipedia/commons/thumb/0/0b/Bandeira_de_Mato_Grosso.svg/640px-Bandeira_de_Mato_Grosso.svg.png</t>
  </si>
  <si>
    <t>https://upload.wikimedia.org/wikipedia/commons/thumb/0/0b/Bandeira_de_Mato_Grosso.svg/2560px-Bandeira_de_Mato_Grosso.svg.png</t>
  </si>
  <si>
    <t>https://en.wikipedia.org/wiki/Flag_of_Mato_Grosso</t>
  </si>
  <si>
    <t xml:space="preserve">1890 </t>
  </si>
  <si>
    <t>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t>
  </si>
  <si>
    <t>[BRA] Matto Grosso do Sul</t>
  </si>
  <si>
    <t>https://upload.wikimedia.org/wikipedia/commons/thumb/6/64/Bandeira_de_Mato_Grosso_do_Sul.svg/640px-Bandeira_de_Mato_Grosso_do_Sul.svg.png</t>
  </si>
  <si>
    <t>https://upload.wikimedia.org/wikipedia/commons/thumb/6/64/Bandeira_de_Mato_Grosso_do_Sul.svg/2560px-Bandeira_de_Mato_Grosso_do_Sul.svg.png</t>
  </si>
  <si>
    <t>https://en.wikipedia.org/wiki/Flag_of_Mato_Grosso_do_Sul</t>
  </si>
  <si>
    <t>Green represents the richness of the forests and fields; White symbolizes peace and friendship; Blue represents the sky of the state of Mato Grosso and the hope of the people; Yellow symbolizes the wealth acquired through the people's work.</t>
  </si>
  <si>
    <t>[BRA] Minas Gerais</t>
  </si>
  <si>
    <t>https://upload.wikimedia.org/wikipedia/commons/thumb/f/f4/Bandeira_de_Minas_Gerais.svg/640px-Bandeira_de_Minas_Gerais.svg.png</t>
  </si>
  <si>
    <t>https://upload.wikimedia.org/wikipedia/commons/thumb/f/f4/Bandeira_de_Minas_Gerais.svg/2560px-Bandeira_de_Minas_Gerais.svg.png</t>
  </si>
  <si>
    <t>https://en.wikipedia.org/wiki/Flag_of_Minas_Gerais</t>
  </si>
  <si>
    <t>The flag is based on the flag of the separatist Inconfidência Mineira movement, which sought to make the captaincy of Minas Gerais independent from then colonial Brazil. The equilateral triangle symbolizes the Holy Trinity and its color represents revolution.</t>
  </si>
  <si>
    <t>[BRA] Pará</t>
  </si>
  <si>
    <t>https://upload.wikimedia.org/wikipedia/commons/thumb/4/44/Bandeira_do_par%C3%A1.png/640px-Bandeira_do_par%C3%A1.png</t>
  </si>
  <si>
    <t>https://upload.wikimedia.org/wikipedia/commons/4/44/Bandeira_do_par%C3%A1.png</t>
  </si>
  <si>
    <t>https://en.wikipedia.org/wiki/Flag_of_Pará</t>
  </si>
  <si>
    <t>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t>
  </si>
  <si>
    <t>[BRA] Paraiba</t>
  </si>
  <si>
    <t>https://upload.wikimedia.org/wikipedia/commons/thumb/b/bb/Bandeira_da_Para%C3%ADba.svg/640px-Bandeira_da_Para%C3%ADba.svg.png</t>
  </si>
  <si>
    <t>https://upload.wikimedia.org/wikipedia/commons/thumb/b/bb/Bandeira_da_Para%C3%ADba.svg/2560px-Bandeira_da_Para%C3%ADba.svg.png</t>
  </si>
  <si>
    <t>https://en.wikipedia.org/wiki/Paraíba</t>
  </si>
  <si>
    <t>The word nego on the state flag is Portuguese for I deny or I refuse, referring to the events that led to the Brazilian Revolution of 1930. The red color stands for the blood of João Pessoa after his assassination, while the black color represents mourning.</t>
  </si>
  <si>
    <t>[BRA] Paraná</t>
  </si>
  <si>
    <t>https://upload.wikimedia.org/wikipedia/commons/thumb/9/93/Bandeira_do_Paran%C3%A1.svg/640px-Bandeira_do_Paran%C3%A1.svg.png</t>
  </si>
  <si>
    <t>https://upload.wikimedia.org/wikipedia/commons/thumb/9/93/Bandeira_do_Paran%C3%A1.svg/2560px-Bandeira_do_Paran%C3%A1.svg.png</t>
  </si>
  <si>
    <t>https://en.wikipedia.org/wiki/Flag_of_Paraná_(state)</t>
  </si>
  <si>
    <t xml:space="preserve">1892 </t>
  </si>
  <si>
    <t>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t>
  </si>
  <si>
    <t>[BRA] Pernambuco</t>
  </si>
  <si>
    <t>https://upload.wikimedia.org/wikipedia/commons/thumb/5/59/Bandeira_de_Pernambuco.svg/640px-Bandeira_de_Pernambuco.svg.png</t>
  </si>
  <si>
    <t>https://upload.wikimedia.org/wikipedia/commons/thumb/5/59/Bandeira_de_Pernambuco.svg/2560px-Bandeira_de_Pernambuco.svg.png</t>
  </si>
  <si>
    <t>https://en.wikipedia.org/wiki/Flag_of_Pernambuco</t>
  </si>
  <si>
    <t>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t>
  </si>
  <si>
    <t>[BRA] Piauí</t>
  </si>
  <si>
    <t>https://upload.wikimedia.org/wikipedia/commons/thumb/3/33/Bandeira_do_Piau%C3%AD.svg/640px-Bandeira_do_Piau%C3%AD.svg.png</t>
  </si>
  <si>
    <t>https://upload.wikimedia.org/wikipedia/commons/thumb/3/33/Bandeira_do_Piau%C3%AD.svg/2560px-Bandeira_do_Piau%C3%AD.svg.png</t>
  </si>
  <si>
    <t>https://en.wikipedia.org/wiki/Flag_of_Piauí</t>
  </si>
  <si>
    <t>Yellow represents the mineral wealth, green represents hope. The star represents Antares, which in the Brazilian flag symbolizes the state of Piauí. The inscription inside the blue rectangle: 13 DE MARÇO DE 1823, was the day of the Battle of Jenipapo, in the state's territory.</t>
  </si>
  <si>
    <t>[BRA] Rio de Janeiro (State)</t>
  </si>
  <si>
    <t>https://upload.wikimedia.org/wikipedia/commons/thumb/7/73/Bandeira_do_estado_do_Rio_de_Janeiro.svg/640px-Bandeira_do_estado_do_Rio_de_Janeiro.svg.png</t>
  </si>
  <si>
    <t>https://upload.wikimedia.org/wikipedia/commons/thumb/7/73/Bandeira_do_estado_do_Rio_de_Janeiro.svg/2560px-Bandeira_do_estado_do_Rio_de_Janeiro.svg.png</t>
  </si>
  <si>
    <t>https://www.fotw.info/flags/br-rj.html</t>
  </si>
  <si>
    <t>Not available</t>
  </si>
  <si>
    <t>1 Eagle</t>
  </si>
  <si>
    <t>[BRA] Rio Grande do Norte</t>
  </si>
  <si>
    <t>https://upload.wikimedia.org/wikipedia/commons/thumb/3/30/Bandeira_do_Rio_Grande_do_Norte.svg/640px-Bandeira_do_Rio_Grande_do_Norte.svg.png</t>
  </si>
  <si>
    <t>https://upload.wikimedia.org/wikipedia/commons/thumb/3/30/Bandeira_do_Rio_Grande_do_Norte.svg/2560px-Bandeira_do_Rio_Grande_do_Norte.svg.png</t>
  </si>
  <si>
    <t>https://en.wikipedia.org/wiki/Flag_of_Rio_Grande_do_Norte</t>
  </si>
  <si>
    <t>The arms features the basic elements that best represents Rio Grande do Norte: the coconut tree on the left, the Copernicia prunifera on the right, the sugarcane and the cotton, represents the flora. The sea with the jangada stands for the fishing and the salt extraction.</t>
  </si>
  <si>
    <t>[BRA] Rio Grande do Sul</t>
  </si>
  <si>
    <t>https://upload.wikimedia.org/wikipedia/commons/thumb/6/63/Bandeira_do_Rio_Grande_do_Sul.svg/640px-Bandeira_do_Rio_Grande_do_Sul.svg.png</t>
  </si>
  <si>
    <t>https://upload.wikimedia.org/wikipedia/commons/thumb/6/63/Bandeira_do_Rio_Grande_do_Sul.svg/2560px-Bandeira_do_Rio_Grande_do_Sul.svg.png</t>
  </si>
  <si>
    <t>https://pt.wikipedia.org/wiki/Bandeira_do_Rio_Grande_do_Sul</t>
  </si>
  <si>
    <t>Mansueto Bernardi said: Is identified with the green of our landscapes, the gold of the ground we walk on, and the red of the modesty that makes us honorable and always prepared to defend our land.</t>
  </si>
  <si>
    <t>[BRA] Rondonia</t>
  </si>
  <si>
    <t>https://upload.wikimedia.org/wikipedia/commons/thumb/f/fa/Bandeira_de_Rond%C3%B4nia.svg/640px-Bandeira_de_Rond%C3%B4nia.svg.png</t>
  </si>
  <si>
    <t>https://upload.wikimedia.org/wikipedia/commons/thumb/f/fa/Bandeira_de_Rond%C3%B4nia.svg/2560px-Bandeira_de_Rond%C3%B4nia.svg.png</t>
  </si>
  <si>
    <t>https://en.wikipedia.org/wiki/Flag_of_Rondônia</t>
  </si>
  <si>
    <t>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t>
  </si>
  <si>
    <t>[BRA] Roraima</t>
  </si>
  <si>
    <t>https://upload.wikimedia.org/wikipedia/commons/thumb/9/98/Bandeira_de_Roraima.svg/640px-Bandeira_de_Roraima.svg.png</t>
  </si>
  <si>
    <t>https://upload.wikimedia.org/wikipedia/commons/thumb/9/98/Bandeira_de_Roraima.svg/2560px-Bandeira_de_Roraima.svg.png</t>
  </si>
  <si>
    <t>https://en.wikipedia.org/wiki/Flag_of_Roraima</t>
  </si>
  <si>
    <t>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t>
  </si>
  <si>
    <t>[BRA] Santa Catarina</t>
  </si>
  <si>
    <t>https://upload.wikimedia.org/wikipedia/commons/thumb/1/1a/Bandeira_de_Santa_Catarina.svg/640px-Bandeira_de_Santa_Catarina.svg.png</t>
  </si>
  <si>
    <t>https://upload.wikimedia.org/wikipedia/commons/thumb/1/1a/Bandeira_de_Santa_Catarina.svg/2560px-Bandeira_de_Santa_Catarina.svg.png</t>
  </si>
  <si>
    <t>https://vexillology.fandom.com/wiki/Santa_Catarina</t>
  </si>
  <si>
    <t xml:space="preserve">1953 </t>
  </si>
  <si>
    <t>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t>
  </si>
  <si>
    <t>[BRA] Sao Paulo</t>
  </si>
  <si>
    <t>https://upload.wikimedia.org/wikipedia/commons/thumb/2/2b/Bandeira_do_estado_de_S%C3%A3o_Paulo.svg/640px-Bandeira_do_estado_de_S%C3%A3o_Paulo.svg.png</t>
  </si>
  <si>
    <t>https://upload.wikimedia.org/wikipedia/commons/thumb/2/2b/Bandeira_do_estado_de_S%C3%A3o_Paulo.svg/2560px-Bandeira_do_estado_de_S%C3%A3o_Paulo.svg.png</t>
  </si>
  <si>
    <t>https://en.wikipedia.org/wiki/Flag_of_São_Paulo_(state)</t>
  </si>
  <si>
    <t>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t>
  </si>
  <si>
    <t>[BRA] Sergipe</t>
  </si>
  <si>
    <t>https://upload.wikimedia.org/wikipedia/commons/thumb/b/be/Bandeira_de_Sergipe.svg/640px-Bandeira_de_Sergipe.svg.png</t>
  </si>
  <si>
    <t>https://upload.wikimedia.org/wikipedia/commons/thumb/b/be/Bandeira_de_Sergipe.svg/2560px-Bandeira_de_Sergipe.svg.png</t>
  </si>
  <si>
    <t>https://en.wikipedia.org/wiki/Sergipe</t>
  </si>
  <si>
    <t xml:space="preserve">1952 </t>
  </si>
  <si>
    <t>The stars on the flag of Sergipe represent the number of river estuaries in the state, and the green and yellow stripes represent Sergipe's union with the rest of Brazil.</t>
  </si>
  <si>
    <t>[BRA] Tocantins</t>
  </si>
  <si>
    <t>https://upload.wikimedia.org/wikipedia/commons/thumb/f/ff/Bandeira_do_Tocantins.svg/640px-Bandeira_do_Tocantins.svg.png</t>
  </si>
  <si>
    <t>https://upload.wikimedia.org/wikipedia/commons/thumb/f/ff/Bandeira_do_Tocantins.svg/2560px-Bandeira_do_Tocantins.svg.png</t>
  </si>
  <si>
    <t>https://en.wikipedia.org/wiki/Flag_of_Tocantins</t>
  </si>
  <si>
    <t xml:space="preserve">1989 </t>
  </si>
  <si>
    <t>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t>
  </si>
  <si>
    <t>[CHL] Wenufoye</t>
  </si>
  <si>
    <t>https://upload.wikimedia.org/wikipedia/commons/thumb/2/20/Flag_of_the_Mapuches_%281992%29.svg/320px-Flag_of_the_Mapuches_%281992%29.svg.png</t>
  </si>
  <si>
    <t>https://upload.wikimedia.org/wikipedia/commons/thumb/2/20/Flag_of_the_Mapuches_%281992%29.svg/800px-Flag_of_the_Mapuches_%281992%29.svg.png</t>
  </si>
  <si>
    <t>https://en.wikipedia.org/wiki/Flag_of_the_Mapuches</t>
  </si>
  <si>
    <t>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t>
  </si>
  <si>
    <t>[CHL] Easter Island</t>
  </si>
  <si>
    <t>https://upload.wikimedia.org/wikipedia/commons/thumb/d/d8/Flag_of_Rapa_Nui%2C_Chile.svg/383px-Flag_of_Rapa_Nui%2C_Chile.svg.png</t>
  </si>
  <si>
    <t>https://upload.wikimedia.org/wikipedia/commons/thumb/d/d8/Flag_of_Rapa_Nui%2C_Chile.svg/2560px-Flag_of_Rapa_Nui%2C_Chile.svg.png</t>
  </si>
  <si>
    <t>https://en.wikipedia.org/wiki/Flag_of_Easter_Island</t>
  </si>
  <si>
    <t>It is a white flag featuring in center a reimiro (a wooden pectoral ornament once worn by the people of Rapa Nui) painted in red (mana), a symbol of power, with two anthropomorphic figures at its edges, representing the Ariki ('chiefs, nobles')</t>
  </si>
  <si>
    <t>South America, rgn_Oceania</t>
  </si>
  <si>
    <t>Special Territory</t>
  </si>
  <si>
    <t>[COL] San Andres and Providencia</t>
  </si>
  <si>
    <t>https://upload.wikimedia.org/wikipedia/commons/thumb/3/36/Flag_of_San_Andr%C3%A9s_y_Providencia.svg/300px-Flag_of_San_Andr%C3%A9s_y_Providencia.svg.png</t>
  </si>
  <si>
    <t>https://upload.wikimedia.org/wikipedia/commons/thumb/3/36/Flag_of_San_Andr%C3%A9s_y_Providencia.svg/2560px-Flag_of_San_Andr%C3%A9s_y_Providencia.svg.png</t>
  </si>
  <si>
    <t>https://en.wikipedia.org/wiki/Archipelago_of_San_Andrés,_Providencia_and_Santa_Catalina</t>
  </si>
  <si>
    <t>Department</t>
  </si>
  <si>
    <t>[COL] Andalucia</t>
  </si>
  <si>
    <t>https://upload.wikimedia.org/wikipedia/en/thumb/2/2f/Flag_of_Andaluc%C3%ADa_%28Col%C3%B3mbia%29.svg/640px-Flag_of_Andaluc%C3%ADa_%28Col%C3%B3mbia%29.svg.png</t>
  </si>
  <si>
    <t>https://upload.wikimedia.org/wikipedia/en/thumb/2/2f/Flag_of_Andaluc%C3%ADa_%28Col%C3%B3mbia%29.svg/2560px-Flag_of_Andaluc%C3%ADa_%28Col%C3%B3mbia%29.svg.png</t>
  </si>
  <si>
    <t>https://en.wikipedia.org/wiki/Andalucía,_Valle_del_Cauca</t>
  </si>
  <si>
    <t>[ECU] Galapagos Islands</t>
  </si>
  <si>
    <t>https://upload.wikimedia.org/wikipedia/commons/thumb/0/0f/Flag_of_the_Galapagos_Islands.svg/640px-Flag_of_the_Galapagos_Islands.svg.png</t>
  </si>
  <si>
    <t>https://upload.wikimedia.org/wikipedia/commons/thumb/0/0f/Flag_of_the_Galapagos_Islands.svg/2560px-Flag_of_the_Galapagos_Islands.svg.png</t>
  </si>
  <si>
    <t>https://www.crwflags.com/fotw/flags/ec-w.html</t>
  </si>
  <si>
    <t>The flag of Galápagos islands is green over white over blue tricolor.</t>
  </si>
  <si>
    <t>2015</t>
  </si>
  <si>
    <t>1975</t>
  </si>
  <si>
    <t>[PER] Lima</t>
  </si>
  <si>
    <t>https://upload.wikimedia.org/wikipedia/commons/thumb/c/c2/Flag_of_Lima.svg/255px-Flag_of_Lima.svg.png</t>
  </si>
  <si>
    <t>https://upload.wikimedia.org/wikipedia/commons/thumb/c/c2/Flag_of_Lima.svg/2560px-Flag_of_Lima.svg.png</t>
  </si>
  <si>
    <t>https://en.wikipedia.org/wiki/Flag_of_Lima</t>
  </si>
  <si>
    <t>It consists of a gold background with the coat of arms in the center. The coat of arms consists of a blue shield with tree crowns and a star, surrounded by a red border with the motto Hoc signum vere regum est, loosely translated from Latin as Truly this is the sign of the king.</t>
  </si>
  <si>
    <t>[PER] Cusco</t>
  </si>
  <si>
    <t>https://upload.wikimedia.org/wikipedia/commons/thumb/f/ff/Flag_of_Cusco_%282021%29.svg/640px-Flag_of_Cusco_%282021%29.svg.png</t>
  </si>
  <si>
    <t>https://upload.wikimedia.org/wikipedia/commons/thumb/f/ff/Flag_of_Cusco_%282021%29.svg/2560px-Flag_of_Cusco_%282021%29.svg.png</t>
  </si>
  <si>
    <t>https://en.wikipedia.org/wiki/Flag_of_Cusco</t>
  </si>
  <si>
    <t>It's a rainbow flag formed by 7 horizontal stripes. It was first introduced in 1973 and officially adopted in 1978. Since 2021, the flag has also featured the golden Echenique's sun.</t>
  </si>
  <si>
    <t>Naval Jack</t>
  </si>
  <si>
    <t>[URU] Canelones</t>
  </si>
  <si>
    <t>https://upload.wikimedia.org/wikipedia/commons/thumb/6/6f/Flag_of_Canelones_Department.svg/640px-Flag_of_Canelones_Department.svg.png</t>
  </si>
  <si>
    <t>https://vexillology.fandom.com/wiki/Canelones_Department</t>
  </si>
  <si>
    <t>Has a white field with nine blue stripes representing the first flag and a red stripe running through the banner, just like the band that crosses the Artigas flag, for would therefore be a combination of the first flag with the flag of Artigas.</t>
  </si>
  <si>
    <t>[URU] Cerro Largo</t>
  </si>
  <si>
    <t>https://upload.wikimedia.org/wikipedia/commons/thumb/2/2f/Flag_of_Cerro_Largo_Department.svg/640px-Flag_of_Cerro_Largo_Department.svg.png</t>
  </si>
  <si>
    <t>https://upload.wikimedia.org/wikipedia/commons/thumb/2/2f/Flag_of_Cerro_Largo_Department.svg/2560px-Flag_of_Cerro_Largo_Department.svg.png</t>
  </si>
  <si>
    <t>https://vexillology.fandom.com/wiki/Cerro_Largo_Department</t>
  </si>
  <si>
    <t>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t>
  </si>
  <si>
    <t>[URU] Durazno</t>
  </si>
  <si>
    <t>https://upload.wikimedia.org/wikipedia/commons/thumb/5/5c/Flag_of_Durazno_Department.svg/1024px-Flag_of_Durazno_Department.svg.png</t>
  </si>
  <si>
    <t>https://upload.wikimedia.org/wikipedia/commons/thumb/5/5c/Flag_of_Durazno_Department.svg/2560px-Flag_of_Durazno_Department.svg.png</t>
  </si>
  <si>
    <t>https://www.crwflags.com/fotw/flags/uy-du.html</t>
  </si>
  <si>
    <t>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t>
  </si>
  <si>
    <t>[URU] Maldonado</t>
  </si>
  <si>
    <t>https://upload.wikimedia.org/wikipedia/commons/5/52/Flag_of_Maldonado_Department.png</t>
  </si>
  <si>
    <t>https://vexillology.fandom.com/wiki/Maldonado_Department</t>
  </si>
  <si>
    <t>The flag of the department is white with the historical coat of arms of the town of Maldonado in the middle.</t>
  </si>
  <si>
    <t>[URU] Artigas</t>
  </si>
  <si>
    <t>https://upload.wikimedia.org/wikipedia/commons/thumb/d/d1/Flag_of_Artigas.svg/640px-Flag_of_Artigas.svg.png</t>
  </si>
  <si>
    <t>https://upload.wikimedia.org/wikipedia/commons/thumb/d/d1/Flag_of_Artigas.svg/2560px-Flag_of_Artigas.svg.png</t>
  </si>
  <si>
    <t>https://en.wikipedia.org/wiki/Flag_of_Artigas</t>
  </si>
  <si>
    <t>It has three horizontal stripes inspired by the Belgrano's flag, the top and bottom being blue, and the central one white. On top of them, it is crossed by a diagonal red stripe, a symbol of federalism.</t>
  </si>
  <si>
    <t>National Symbol</t>
  </si>
  <si>
    <t>[URU] Treinta y Tres</t>
  </si>
  <si>
    <t>https://upload.wikimedia.org/wikipedia/commons/thumb/f/ff/Flag_of_the_Treinta_y_Tres.svg/640px-Flag_of_the_Treinta_y_Tres.svg.png</t>
  </si>
  <si>
    <t>https://upload.wikimedia.org/wikipedia/commons/thumb/f/ff/Flag_of_the_Treinta_y_Tres.svg/2560px-Flag_of_the_Treinta_y_Tres.svg.png</t>
  </si>
  <si>
    <t>https://en.wikipedia.org/wiki/Flag_of_the_Treinta_y_Tres</t>
  </si>
  <si>
    <t>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t>
  </si>
  <si>
    <t>[ARG] Salta</t>
  </si>
  <si>
    <t>https://upload.wikimedia.org/wikipedia/commons/thumb/6/6a/Bandera_de_la_Provincia_de_Salta.svg/320px-Bandera_de_la_Provincia_de_Salta.svg.png</t>
  </si>
  <si>
    <t>https://upload.wikimedia.org/wikipedia/commons/thumb/6/6a/Bandera_de_la_Provincia_de_Salta.svg/640px-Bandera_de_la_Provincia_de_Salta.svg.png</t>
  </si>
  <si>
    <t>https://en.wikipedia.org/wiki/Flag_of_Salta</t>
  </si>
  <si>
    <t>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t>
  </si>
  <si>
    <t>[ARG] Santa Fe</t>
  </si>
  <si>
    <t>https://upload.wikimedia.org/wikipedia/commons/thumb/8/84/Bandera_de_la_Provincia_de_Santa_Fe.svg/320px-Bandera_de_la_Provincia_de_Santa_Fe.svg.png</t>
  </si>
  <si>
    <t>https://upload.wikimedia.org/wikipedia/commons/thumb/8/84/Bandera_de_la_Provincia_de_Santa_Fe.svg/2560px-Bandera_de_la_Provincia_de_Santa_Fe.svg.png</t>
  </si>
  <si>
    <t>https://en.wikipedia.org/wiki/Flag_of_Santa_Fe_Province</t>
  </si>
  <si>
    <t>1822, 1986</t>
  </si>
  <si>
    <t>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t>
  </si>
  <si>
    <t>[ARG] Santiago del Estero</t>
  </si>
  <si>
    <t>https://upload.wikimedia.org/wikipedia/commons/thumb/0/07/Bandera_de_la_Provincia_de_Santiago_del_Estero.svg/320px-Bandera_de_la_Provincia_de_Santiago_del_Estero.svg.png</t>
  </si>
  <si>
    <t>https://upload.wikimedia.org/wikipedia/commons/thumb/0/07/Bandera_de_la_Provincia_de_Santiago_del_Estero.svg/2560px-Bandera_de_la_Provincia_de_Santiago_del_Estero.svg.png</t>
  </si>
  <si>
    <t>https://en.wikipedia.org/wiki/Flag_of_Santiago_del_Estero_Province</t>
  </si>
  <si>
    <t>Light blue and white are the Argentine national colors, while red represents the Federalist Party to which the province owes its autonomy. The sun refers to the Sun of May present on the national flag. The cross represents the Catholic and Spanish heritage of the region.</t>
  </si>
  <si>
    <t>[ARG] Tucumán</t>
  </si>
  <si>
    <t>https://upload.wikimedia.org/wikipedia/commons/thumb/c/ce/Bandera_de_la_Provincia_de_Tucum%C3%A1n.svg/320px-Bandera_de_la_Provincia_de_Tucum%C3%A1n.svg.png</t>
  </si>
  <si>
    <t>https://upload.wikimedia.org/wikipedia/commons/thumb/c/ce/Bandera_de_la_Provincia_de_Tucum%C3%A1n.svg/2560px-Bandera_de_la_Provincia_de_Tucum%C3%A1n.svg.png</t>
  </si>
  <si>
    <t>https://en.wikipedia.org/wiki/Flag_of_Tucum%C3%A1n</t>
  </si>
  <si>
    <t>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t>
  </si>
  <si>
    <t>https://upload.wikimedia.org/wikipedia/commons/thumb/3/38/Flag_of_Atacama%2C_Chile.svg/640px-Flag_of_Atacama%2C_Chile.svg.png</t>
  </si>
  <si>
    <t>https://upload.wikimedia.org/wikipedia/commons/thumb/3/38/Flag_of_Atacama%2C_Chile.svg/2560px-Flag_of_Atacama%2C_Chile.svg.png</t>
  </si>
  <si>
    <t xml:space="preserve">https://www.crwflags.com/fotw/flags/cl-03.html#about </t>
  </si>
  <si>
    <t>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t>
  </si>
  <si>
    <t>[CHL] Chile (1812-1814)</t>
  </si>
  <si>
    <t>https://upload.wikimedia.org/wikipedia/commons/thumb/3/35/Flag_of_Chile_%281812-1814%29.svg/1024px-Flag_of_Chile_%281812-1814%29.svg.png</t>
  </si>
  <si>
    <t>https://www.crwflags.com/fotw/flags/cl_hist.html</t>
  </si>
  <si>
    <t>Chile’s first national flag was a tricolor of blue, white and yellow. According to Camilo Henríquez, who is considered the founding father of the Republic of Chile, the flag “represented the three values of the State: majesty, law and force.'</t>
  </si>
  <si>
    <t>[CHL] Aysén Region</t>
  </si>
  <si>
    <t>https://www.crwflags.com/fotw/images/c/cl-11.gif</t>
  </si>
  <si>
    <t xml:space="preserve">https://www.crwflags.com/fotw/flags/cl-11.html </t>
  </si>
  <si>
    <t>XI Region Aysén does not appear to have an official flag. The de facto flag consists of the regional coat of arms on a white field. It is similar to the previous flag, which was also unofficial.</t>
  </si>
  <si>
    <t>[CHL] Biobío Region</t>
  </si>
  <si>
    <t>https://www.crwflags.com/fotw/images/c/cl-08t.gif</t>
  </si>
  <si>
    <t>https://www.crwflags.com/fotw/flags/cl-08.html</t>
  </si>
  <si>
    <t>It is white with coat of arms.\n</t>
  </si>
  <si>
    <t>[CHL] Coquimbo Region</t>
  </si>
  <si>
    <t>https://www.crwflags.com/fotw/images/c/cl-04.gif</t>
  </si>
  <si>
    <t>https://www.crwflags.com/fotw/flags/cl-04.html</t>
  </si>
  <si>
    <t>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t>
  </si>
  <si>
    <t>[CHL] Libertador General Bernardo O'Higgins Region</t>
  </si>
  <si>
    <t>https://www.crwflags.com/fotw/images/c/cl-06.gif</t>
  </si>
  <si>
    <t>https://www.crwflags.com/fotw/flags/cl-06.html#about</t>
  </si>
  <si>
    <t>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t>
  </si>
  <si>
    <t>[CHL] Maule Region</t>
  </si>
  <si>
    <t>https://www.crwflags.com/fotw/images/c/cl-07a.gif</t>
  </si>
  <si>
    <t>https://www.crwflags.com/fotw/flags/cl-07.html</t>
  </si>
  <si>
    <t>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t>
  </si>
  <si>
    <t>[CHL] Tarapacá Region</t>
  </si>
  <si>
    <t>https://www.crwflags.com/fotw/images/c/cl-01.gif</t>
  </si>
  <si>
    <t xml:space="preserve">https://www.crwflags.com/fotw/flags/cl-01.html </t>
  </si>
  <si>
    <t>The flag of Tarapacá region is the coat of arms on a white field.</t>
  </si>
  <si>
    <t>[CHL] Valparaíso Region</t>
  </si>
  <si>
    <t>https://www.crwflags.com/fotw/images/c/cl-05.gif</t>
  </si>
  <si>
    <t>https://www.crwflags.com/fotw/flags/cl-05.html</t>
  </si>
  <si>
    <t>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t>
  </si>
  <si>
    <t>[COL] Quindío</t>
  </si>
  <si>
    <t>https://upload.wikimedia.org/wikipedia/commons/thumb/2/29/Flag_of_Quindío.svg/640px-Flag_of_Quindío.svg.png</t>
  </si>
  <si>
    <t>https://upload.wikimedia.org/wikipedia/commons/thumb/2/29/Flag_of_Quindío.svg/1280px-Flag_of_Quindío.svg.png</t>
  </si>
  <si>
    <t>https://en.wikipedia.org/wiki/Flag_of_Quindío_Department</t>
  </si>
  <si>
    <t>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t>
  </si>
  <si>
    <t>[PRY] Asunción</t>
  </si>
  <si>
    <t>https://upload.wikimedia.org/wikipedia/commons/thumb/d/d5/Flag_of_Asunci%C3%B3n.svg/320px-Flag_of_Asunci%C3%B3n.svg.png</t>
  </si>
  <si>
    <t>https://upload.wikimedia.org/wikipedia/commons/thumb/d/d5/Flag_of_Asunci%C3%B3n.svg/640px-Flag_of_Asunci%C3%B3n.svg.png</t>
  </si>
  <si>
    <t>https://www.crwflags.com/fotw/flags/py-as.html</t>
  </si>
  <si>
    <t>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t>
  </si>
  <si>
    <t>[ARG] Buenos Aires Province</t>
  </si>
  <si>
    <t>https://upload.wikimedia.org/wikipedia/commons/thumb/1/15/Bandera_de_la_Provincia_de_Buenos_Aires.svg/320px-Bandera_de_la_Provincia_de_Buenos_Aires.svg.png</t>
  </si>
  <si>
    <t>https://upload.wikimedia.org/wikipedia/commons/thumb/1/15/Bandera_de_la_Provincia_de_Buenos_Aires.svg/800px-Bandera_de_la_Provincia_de_Buenos_Aires.svg.png</t>
  </si>
  <si>
    <t>https://en.wikipedia.org/wiki/Flag_of_Buenos_Aires_Province</t>
  </si>
  <si>
    <t>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t>
  </si>
  <si>
    <t>[ARG] Catamarca</t>
  </si>
  <si>
    <t>https://upload.wikimedia.org/wikipedia/commons/thumb/7/7b/Bandera_de_la_Provincia_de_Catamarca.svg/320px-Bandera_de_la_Provincia_de_Catamarca.svg.png</t>
  </si>
  <si>
    <t>https://upload.wikimedia.org/wikipedia/commons/thumb/7/7b/Bandera_de_la_Provincia_de_Catamarca.svg/640px-Bandera_de_la_Provincia_de_Catamarca.svg.png</t>
  </si>
  <si>
    <t>https://en.wikipedia.org/wiki/Flag_of_Catamarca</t>
  </si>
  <si>
    <t>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t>
  </si>
  <si>
    <t>[ARG] Chubut</t>
  </si>
  <si>
    <t>https://upload.wikimedia.org/wikipedia/commons/thumb/8/88/Bandera_de_la_Provincia_del_Chubut.svg/320px-Bandera_de_la_Provincia_del_Chubut.svg.png</t>
  </si>
  <si>
    <t>https://upload.wikimedia.org/wikipedia/commons/thumb/8/88/Bandera_de_la_Provincia_del_Chubut.svg/800px-Bandera_de_la_Provincia_del_Chubut.svg.png</t>
  </si>
  <si>
    <t>https://www.crwflags.com/fotw/flags/ar-u.html</t>
  </si>
  <si>
    <t>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t>
  </si>
  <si>
    <t>[ARG] Corrientes</t>
  </si>
  <si>
    <t>https://upload.wikimedia.org/wikipedia/commons/thumb/4/46/Bandera_de_la_Provincia_de_Corrientes.svg/320px-Bandera_de_la_Provincia_de_Corrientes.svg.png</t>
  </si>
  <si>
    <t>https://upload.wikimedia.org/wikipedia/commons/thumb/4/46/Bandera_de_la_Provincia_de_Corrientes.svg/800px-Bandera_de_la_Provincia_de_Corrientes.svg.png</t>
  </si>
  <si>
    <t>https://www.crwflags.com/fotw/flags/ar-w.html#1823</t>
  </si>
  <si>
    <t>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t>
  </si>
  <si>
    <t>[ARG] Formosa</t>
  </si>
  <si>
    <t>https://upload.wikimedia.org/wikipedia/commons/thumb/4/42/Bandera_de_la_Provincia_de_Formosa.svg/320px-Bandera_de_la_Provincia_de_Formosa.svg.png</t>
  </si>
  <si>
    <t>https://upload.wikimedia.org/wikipedia/commons/thumb/4/42/Bandera_de_la_Provincia_de_Formosa.svg/640px-Bandera_de_la_Provincia_de_Formosa.svg.png</t>
  </si>
  <si>
    <t>https://www.crwflags.com/fotw/flags/ar-p.html</t>
  </si>
  <si>
    <t>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t>
  </si>
  <si>
    <t>[ARG] La Pampa</t>
  </si>
  <si>
    <t>https://upload.wikimedia.org/wikipedia/commons/thumb/8/81/Bandera_de_la_Provincia_de_La_Pampa.svg/320px-Bandera_de_la_Provincia_de_La_Pampa.svg.png</t>
  </si>
  <si>
    <t>https://upload.wikimedia.org/wikipedia/commons/thumb/8/81/Bandera_de_la_Provincia_de_La_Pampa.svg/800px-Bandera_de_la_Provincia_de_La_Pampa.svg.png</t>
  </si>
  <si>
    <t>https://www.crwflags.com/fotw/flags/ar-l.html</t>
  </si>
  <si>
    <t>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t>
  </si>
  <si>
    <t>[ARG] La Rioja</t>
  </si>
  <si>
    <t>https://upload.wikimedia.org/wikipedia/commons/thumb/6/60/Bandera_de_la_Provincia_de_La_Rioja.svg/320px-Bandera_de_la_Provincia_de_La_Rioja.svg.png</t>
  </si>
  <si>
    <t>https://upload.wikimedia.org/wikipedia/commons/thumb/6/60/Bandera_de_la_Provincia_de_La_Rioja.svg/700px-Bandera_de_la_Provincia_de_La_Rioja.svg.png</t>
  </si>
  <si>
    <t>https://www.crwflags.com/fotw/flags/ar-f.html</t>
  </si>
  <si>
    <t>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t>
  </si>
  <si>
    <t>[ARG] Neuquén</t>
  </si>
  <si>
    <t>https://upload.wikimedia.org/wikipedia/commons/thumb/b/bc/Bandera_de_la_Provincia_de_Neuqu%C3%A9n.svg/301px-Bandera_de_la_Provincia_de_Neuqu%C3%A9n.svg.png</t>
  </si>
  <si>
    <t>https://upload.wikimedia.org/wikipedia/commons/thumb/b/bc/Bandera_de_la_Provincia_de_Neuqu%C3%A9n.svg/664px-Bandera_de_la_Provincia_de_Neuqu%C3%A9n.svg.png</t>
  </si>
  <si>
    <t>https://www.crwflags.com/fotw/flags/ar-q.html</t>
  </si>
  <si>
    <t>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t>
  </si>
  <si>
    <t>[ARG] San Luis</t>
  </si>
  <si>
    <t>https://upload.wikimedia.org/wikipedia/commons/thumb/0/0e/Bandera_de_la_Provincia_de_San_Luis.svg/320px-Bandera_de_la_Provincia_de_San_Luis.svg.png</t>
  </si>
  <si>
    <t>https://upload.wikimedia.org/wikipedia/commons/thumb/0/0e/Bandera_de_la_Provincia_de_San_Luis.svg/640px-Bandera_de_la_Provincia_de_San_Luis.svg.png</t>
  </si>
  <si>
    <t>https://www.crwflags.com/fotw/flags/ar-d.html</t>
  </si>
  <si>
    <t>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t>
  </si>
  <si>
    <t>[ARG] Santa Cruz</t>
  </si>
  <si>
    <t>https://upload.wikimedia.org/wikipedia/commons/thumb/4/45/Bandera_de_la_Provincia_de_Santa_Cruz.svg/320px-Bandera_de_la_Provincia_de_Santa_Cruz.svg.png</t>
  </si>
  <si>
    <t>https://upload.wikimedia.org/wikipedia/commons/thumb/4/45/Bandera_de_la_Provincia_de_Santa_Cruz.svg/765px-Bandera_de_la_Provincia_de_Santa_Cruz.svg.png</t>
  </si>
  <si>
    <t>https://www.crwflags.com/fotw/flags/ar-z.html</t>
  </si>
  <si>
    <t>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t>
  </si>
  <si>
    <t>N/A</t>
  </si>
  <si>
    <t>www</t>
  </si>
  <si>
    <t>[BOL] Patujú Florette</t>
  </si>
  <si>
    <t>https://upload.wikimedia.org/wikipedia/commons/a/ac/Flag_of_the_Patuj%C3%BA_flower.svg</t>
  </si>
  <si>
    <t>https://en.wikipedia.org/wiki/Flag_of_the_patuj%C3%BA_flower</t>
  </si>
  <si>
    <t>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t>
  </si>
  <si>
    <t>Civil flag</t>
  </si>
  <si>
    <t>[BOL] Bolivia (State Flag)</t>
  </si>
  <si>
    <t>https://upload.wikimedia.org/wikipedia/commons/thumb/b/b3/Bandera_de_Bolivia_%28Estado%29.svg/640px-Bandera_de_Bolivia_%28Estado%29.svg.png</t>
  </si>
  <si>
    <t>https://upload.wikimedia.org/wikipedia/commons/thumb/b/b3/Bandera_de_Bolivia_%28Estado%29.svg/2560px-Bandera_de_Bolivia_%28Estado%29.svg.png</t>
  </si>
  <si>
    <t>1851</t>
  </si>
  <si>
    <t>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t>
  </si>
  <si>
    <t>[BRA] Joao Pessoa</t>
  </si>
  <si>
    <t>https://upload.wikimedia.org/wikipedia/commons/thumb/d/d9/Bandeira_de_Jo%C3%A3o_Pessoa.svg/640px-Bandeira_de_Jo%C3%A3o_Pessoa.svg.png</t>
  </si>
  <si>
    <t>https://upload.wikimedia.org/wikipedia/commons/thumb/d/d9/Bandeira_de_Jo%C3%A3o_Pessoa.svg/1280px-Bandeira_de_Jo%C3%A3o_Pessoa.svg.png</t>
  </si>
  <si>
    <t>https://en.m.wikipedia.org/wiki/Jo%C3%A3o_Pessoa,_Para%C3%ADba</t>
  </si>
  <si>
    <t>Seven horizontal bands alternating white and red with black bands between each white and red band. In the center a vertical black band with three castles.</t>
  </si>
  <si>
    <t>City, State Capital</t>
  </si>
  <si>
    <t>[BRA] Rio de Janeiro (City)</t>
  </si>
  <si>
    <t>https://upload.wikimedia.org/wikipedia/commons/thumb/a/a9/Bandeira_da_cidade_do_Rio_de_Janeiro.svg/640px-Bandeira_da_cidade_do_Rio_de_Janeiro.svg.png</t>
  </si>
  <si>
    <t>https://upload.wikimedia.org/wikipedia/commons/thumb/a/a9/Bandeira_da_cidade_do_Rio_de_Janeiro.svg/1280px-Bandeira_da_cidade_do_Rio_de_Janeiro.svg.png</t>
  </si>
  <si>
    <t>https://en.m.wikipedia.org/wiki/Flag_of_Rio_de_Janeiro</t>
  </si>
  <si>
    <t>A white rectangle with a blue saltire behind the city's coat of arms displayed red in the center</t>
  </si>
  <si>
    <t>[BRA] Sao Paulo (City)</t>
  </si>
  <si>
    <t>https://upload.wikimedia.org/wikipedia/commons/thumb/4/4b/Bandeira_da_cidade_de_S%C3%A3o_Paulo.svg/640px-Bandeira_da_cidade_de_S%C3%A3o_Paulo.svg.png</t>
  </si>
  <si>
    <t>https://upload.wikimedia.org/wikipedia/commons/thumb/4/4b/Bandeira_da_cidade_de_S%C3%A3o_Paulo.svg/1280px-Bandeira_da_cidade_de_S%C3%A3o_Paulo.svg.png</t>
  </si>
  <si>
    <t>https://simple.m.wikipedia.org/wiki/Flag_of_S%C3%A3o_Paulo_City</t>
  </si>
  <si>
    <t>A red nordic cross on a white field with the city's coat of arms over the cross section of the cross.</t>
  </si>
  <si>
    <t>Government</t>
  </si>
  <si>
    <t>[CHL] Santiago Metropolitan Region</t>
  </si>
  <si>
    <t>https://upload.wikimedia.org/wikipedia/commons/thumb/8/8d/Flag_of_the_Metropolitan_Region%2C_Chile.svg/640px-Flag_of_the_Metropolitan_Region%2C_Chile.svg.png</t>
  </si>
  <si>
    <t>https://upload.wikimedia.org/wikipedia/commons/thumb/8/8d/Flag_of_the_Metropolitan_Region%2C_Chile.svg/2560px-Flag_of_the_Metropolitan_Region%2C_Chile.svg.png</t>
  </si>
  <si>
    <t>https://www.crwflags.com/fotw/flags/cl-13.html</t>
  </si>
  <si>
    <t>The flag appears to feature the logo of the Santiago Metropolitan Regional Government on a dark grey field.\nRandy Young, 23 August 2018</t>
  </si>
  <si>
    <t xml:space="preserve">[CHL] Los Lagos Region </t>
  </si>
  <si>
    <t>https://upload.wikimedia.org/wikipedia/commons/thumb/1/16/Flag_of_Los_Lagos_Region%2C_Chile.svg/640px-Flag_of_Los_Lagos_Region%2C_Chile.svg.png</t>
  </si>
  <si>
    <t>https://upload.wikimedia.org/wikipedia/commons/thumb/1/16/Flag_of_Los_Lagos_Region%2C_Chile.svg/2560px-Flag_of_Los_Lagos_Region%2C_Chile.svg.png</t>
  </si>
  <si>
    <t>https://www.crwflags.com/fotw/flags/cl-10.html</t>
  </si>
  <si>
    <t>The flag is divided per fess (two horizontal stripes) of green over blue; in canton are four stars representing the Southern Cross constellation. The new flag was adopted on 23 October 2013 to coincide with the anniversary of the regional government system in Chile.</t>
  </si>
  <si>
    <t>[ECU] Azuay</t>
  </si>
  <si>
    <t>https://upload.wikimedia.org/wikipedia/commons/thumb/a/aa/Bandera_Provincia_Azuay.svg/300px-Bandera_Provincia_Azuay.svg.png</t>
  </si>
  <si>
    <t>https://upload.wikimedia.org/wikipedia/commons/thumb/a/aa/Bandera_Provincia_Azuay.svg/2560px-Bandera_Provincia_Azuay.svg.png</t>
  </si>
  <si>
    <t>https://www.crwflags.com/fotw/flags/ec-a-cue.html?utm_source=chatgpt.com</t>
  </si>
  <si>
    <t>The flag is from the capital city of the province, Cuenca. The colors are from the flag of Spain, reflecting its historical ties to Spain. The red symbolizes the bloodshed for independence and the yellow represents the region's wealth and abundance.</t>
  </si>
  <si>
    <t>[ECU] Bolívar</t>
  </si>
  <si>
    <t>https://upload.wikimedia.org/wikipedia/commons/thumb/5/5e/Bandera_Provincia_Bol%C3%ADvar.svg/320px-Bandera_Provincia_Bol%C3%ADvar.svg.png</t>
  </si>
  <si>
    <t>https://upload.wikimedia.org/wikipedia/commons/thumb/5/5e/Bandera_Provincia_Bol%C3%ADvar.svg/2560px-Bandera_Provincia_Bol%C3%ADvar.svg.png</t>
  </si>
  <si>
    <t>https://flags.fandom.com/wiki/Bol%C3%ADvar,_Ecuador?utm_source=chatgpt.com</t>
  </si>
  <si>
    <t>The red symbolizes the blood of those who fought for independence, while the green represents the province's fertile lands and agricultural productivity.</t>
  </si>
  <si>
    <t>[ECU] Cañar</t>
  </si>
  <si>
    <t>https://upload.wikimedia.org/wikipedia/commons/thumb/8/85/Bandera_Provincia_Ca%C3%B1ar.svg/320px-Bandera_Provincia_Ca%C3%B1ar.svg.png</t>
  </si>
  <si>
    <t>https://upload.wikimedia.org/wikipedia/commons/thumb/8/85/Bandera_Provincia_Ca%C3%B1ar.svg/2560px-Bandera_Provincia_Ca%C3%B1ar.svg.png</t>
  </si>
  <si>
    <t>https://www.crwflags.com/fotw/flags/ec-f.html</t>
  </si>
  <si>
    <t>The flag was adopted in 1954. The blue symbolizes the region's high ideals, the yellow represents the agricultural and mineral resources inside the land, and the red represents the inhabitants' hearts full of enthusiasm and faith in a glorious future.</t>
  </si>
  <si>
    <t>[FLK] British Forces South Atlantic Islands</t>
  </si>
  <si>
    <t>https://www.fotw.info/images/g/gb%5Ejs-fk.gif</t>
  </si>
  <si>
    <t>https://www.fotw.info/flags/fk.html#malv</t>
  </si>
  <si>
    <t>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t>
  </si>
  <si>
    <t>Army</t>
  </si>
  <si>
    <t>[GUF] Territorial Collectivity of French Guiana</t>
  </si>
  <si>
    <t>https://upload.wikimedia.org/wikipedia/commons/thumb/6/65/Flag_of_French_Guiana_%28Local%29.svg/640px-Flag_of_French_Guiana_%28Local%29.svg.png</t>
  </si>
  <si>
    <t>https://upload.wikimedia.org/wikipedia/commons/thumb/6/65/Flag_of_French_Guiana_%28Local%29.svg/2560px-Flag_of_French_Guiana_%28Local%29.svg.png</t>
  </si>
  <si>
    <t>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t>
  </si>
  <si>
    <t>[GUY] Cuyuni-Mazaruni</t>
  </si>
  <si>
    <t>https://upload.wikimedia.org/wikipedia/commons/thumb/7/7f/Yellow%2C_white%2C_green_flag.svg/800px-Yellow%2C_white%2C_green_flag.svg.png</t>
  </si>
  <si>
    <t>https://upload.wikimedia.org/wikipedia/commons/thumb/7/7f/Yellow%2C_white%2C_green_flag.svg/1500px-Yellow%2C_white%2C_green_flag.svg.png</t>
  </si>
  <si>
    <t>https://en.wikipedia.org/wiki/Cuyuni-Mazaruni</t>
  </si>
  <si>
    <t>[PRY] Paraguay (Reverse)</t>
  </si>
  <si>
    <t>https://upload.wikimedia.org/wikipedia/commons/thumb/f/f1/Flag_of_Paraguay_%28reverse%29.svg/2560px-Flag_of_Paraguay_%28reverse%29.svg.png</t>
  </si>
  <si>
    <t>The emblem on the reverse side is the seal of the treasury: a yellow lion below a red Phrygian cap on the top of a pole (symbolising courage) and the words Paz y Justicia ('Peace and Justice').</t>
  </si>
  <si>
    <t>Other</t>
  </si>
  <si>
    <t>[SUR] People's Armed Forces of Suriname</t>
  </si>
  <si>
    <t>https://upload.wikimedia.org/wikipedia/commons/thumb/7/78/People%27s_Armed_Forces_of_Suriname_flag.png/640px-People%27s_Armed_Forces_of_Suriname_flag.png</t>
  </si>
  <si>
    <t>https://upload.wikimedia.org/wikipedia/commons/7/78/People%27s_Armed_Forces_of_Suriname_flag.png</t>
  </si>
  <si>
    <t>https://en.wikipedia.org/wiki/List_of_Surinamese_flags</t>
  </si>
  <si>
    <t>A horizontal tricolour of blue, red and blue with the large yellow five-pointed star centered on the red band.</t>
  </si>
  <si>
    <t>[URU] Uruguay Naval Jack</t>
  </si>
  <si>
    <t>https://upload.wikimedia.org/wikipedia/commons/thumb/1/14/Naval_Jack_of_Uruguay.svg/640px-Naval_Jack_of_Uruguay.svg.png</t>
  </si>
  <si>
    <t>https://upload.wikimedia.org/wikipedia/commons/thumb/1/14/Naval_Jack_of_Uruguay.svg/1280px-Naval_Jack_of_Uruguay.svg.png</t>
  </si>
  <si>
    <t>https://en.m.wikipedia.org/wiki/List_of_Uruguayan_flags</t>
  </si>
  <si>
    <t>A White Field with a blue saltire that extends to the corners of the flag and the Sun of May in the center.</t>
  </si>
  <si>
    <t>[VEN] Amazonas</t>
  </si>
  <si>
    <t>https://upload.wikimedia.org/wikipedia/commons/thumb/7/7f/Flag_of_Amazonas_Indigenous_State.svg/320px-Flag_of_Amazonas_Indigenous_State.svg.png</t>
  </si>
  <si>
    <t>https://upload.wikimedia.org/wikipedia/commons/thumb/7/7f/Flag_of_Amazonas_Indigenous_State.svg/800px-Flag_of_Amazonas_Indigenous_State.svg.png</t>
  </si>
  <si>
    <t>https://www.crwflags.com/fotw/flags/ve-z.html</t>
  </si>
  <si>
    <t>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t>
  </si>
  <si>
    <t>[VEN] Anzoátegui</t>
  </si>
  <si>
    <t>https://upload.wikimedia.org/wikipedia/commons/thumb/0/03/Flag_of_Anzo%C3%A1tegui_State_%28original_version%29.svg/320px-Flag_of_Anzo%C3%A1tegui_State_%28original_version%29.svg.png</t>
  </si>
  <si>
    <t>https://upload.wikimedia.org/wikipedia/commons/thumb/0/03/Flag_of_Anzo%C3%A1tegui_State_%28original_version%29.svg/800px-Flag_of_Anzo%C3%A1tegui_State_%28original_version%29.svg.png</t>
  </si>
  <si>
    <t>https://en.wikipedia.org/wiki/Flag_of_Anzo%C3%A1tegui</t>
  </si>
  <si>
    <t>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t>
  </si>
  <si>
    <t>[VEN] Apure</t>
  </si>
  <si>
    <t>https://upload.wikimedia.org/wikipedia/commons/thumb/1/1a/Flag_of_Apure_State.svg/320px-Flag_of_Apure_State.svg.png</t>
  </si>
  <si>
    <t>https://upload.wikimedia.org/wikipedia/commons/thumb/1/1a/Flag_of_Apure_State.svg/847px-Flag_of_Apure_State.svg.png</t>
  </si>
  <si>
    <t>https://www.crwflags.com/fotw/flags/ve-c.html</t>
  </si>
  <si>
    <t>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t>
  </si>
  <si>
    <t>[VEN] Aragua</t>
  </si>
  <si>
    <t>https://upload.wikimedia.org/wikipedia/commons/thumb/4/4f/Flag_of_Aragua_State.svg/320px-Flag_of_Aragua_State.svg.png</t>
  </si>
  <si>
    <t>https://upload.wikimedia.org/wikipedia/commons/thumb/4/4f/Flag_of_Aragua_State.svg/800px-Flag_of_Aragua_State.svg.png</t>
  </si>
  <si>
    <t>https://en.wikipedia.org/wiki/Flag_of_Aragua</t>
  </si>
  <si>
    <t>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t>
  </si>
  <si>
    <t>[VEN] Barinas</t>
  </si>
  <si>
    <t>https://upload.wikimedia.org/wikipedia/commons/thumb/5/5e/Flag_of_Barinas_State.svg/320px-Flag_of_Barinas_State.svg.png</t>
  </si>
  <si>
    <t>https://upload.wikimedia.org/wikipedia/commons/thumb/5/5e/Flag_of_Barinas_State.svg/800px-Flag_of_Barinas_State.svg.png</t>
  </si>
  <si>
    <t>https://www.crwflags.com/fotw/flags/ve-e.html</t>
  </si>
  <si>
    <t>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t>
  </si>
  <si>
    <t>[VEN] Bolívar</t>
  </si>
  <si>
    <t>https://upload.wikimedia.org/wikipedia/commons/thumb/0/06/Flag_of_Bol%C3%ADvar_State.svg/320px-Flag_of_Bol%C3%ADvar_State.svg.png</t>
  </si>
  <si>
    <t>https://upload.wikimedia.org/wikipedia/commons/thumb/0/06/Flag_of_Bol%C3%ADvar_State.svg/800px-Flag_of_Bol%C3%ADvar_State.svg.png</t>
  </si>
  <si>
    <t>https://en.wikipedia.org/wiki/Flag_of_Bol%C3%ADvar_State</t>
  </si>
  <si>
    <t>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t>
  </si>
  <si>
    <t>[VEN] Capital District (Caracas)</t>
  </si>
  <si>
    <t>https://upload.wikimedia.org/wikipedia/commons/thumb/0/08/Flag_of_Caracas_%282022%29.svg/320px-Flag_of_Caracas_%282022%29.svg.png</t>
  </si>
  <si>
    <t>https://upload.wikimedia.org/wikipedia/commons/thumb/0/08/Flag_of_Caracas_%282022%29.svg/800px-Flag_of_Caracas_%282022%29.svg.png</t>
  </si>
  <si>
    <t>https://en.wikipedia.org/wiki/List_of_flags_of_Venezuela#Administrative_divisions_flags</t>
  </si>
  <si>
    <t>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t>
  </si>
  <si>
    <t>[VEN] Carabobo</t>
  </si>
  <si>
    <t>https://upload.wikimedia.org/wikipedia/commons/thumb/5/52/Flag_of_Carabobo_State.svg/320px-Flag_of_Carabobo_State.svg.png</t>
  </si>
  <si>
    <t>https://upload.wikimedia.org/wikipedia/commons/thumb/5/52/Flag_of_Carabobo_State.svg/640px-Flag_of_Carabobo_State.svg.png</t>
  </si>
  <si>
    <t>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t>
  </si>
  <si>
    <t>[VEN] Cojedes</t>
  </si>
  <si>
    <t>https://upload.wikimedia.org/wikipedia/commons/thumb/7/7d/Flag_of_Cojedes_State.svg/320px-Flag_of_Cojedes_State.svg.png</t>
  </si>
  <si>
    <t>https://upload.wikimedia.org/wikipedia/commons/thumb/7/7d/Flag_of_Cojedes_State.svg/800px-Flag_of_Cojedes_State.svg.png</t>
  </si>
  <si>
    <t>https://www.crwflags.com/fotw/flags/ve-h.html</t>
  </si>
  <si>
    <t>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t>
  </si>
  <si>
    <t>[VEN] Delta Amacuro</t>
  </si>
  <si>
    <t>https://upload.wikimedia.org/wikipedia/commons/thumb/2/20/Flag_of_Delta_Amacuro_State.svg/320px-Flag_of_Delta_Amacuro_State.svg.png</t>
  </si>
  <si>
    <t>https://upload.wikimedia.org/wikipedia/commons/thumb/2/20/Flag_of_Delta_Amacuro_State.svg/640px-Flag_of_Delta_Amacuro_State.svg.png</t>
  </si>
  <si>
    <t>https://www.crwflags.com/fotw/flags/ve-y.html</t>
  </si>
  <si>
    <t xml:space="preserve">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t>
  </si>
  <si>
    <t>[VEN] Falcón</t>
  </si>
  <si>
    <t>https://upload.wikimedia.org/wikipedia/commons/thumb/0/0e/Flag_of_Falc%C3%B3n.svg/320px-Flag_of_Falc%C3%B3n.svg.png</t>
  </si>
  <si>
    <t>https://upload.wikimedia.org/wikipedia/commons/thumb/0/0e/Flag_of_Falc%C3%B3n.svg/800px-Flag_of_Falc%C3%B3n.svg.png</t>
  </si>
  <si>
    <t>https://en.wikipedia.org/wiki/Flag_of_Falc%C3%B3n</t>
  </si>
  <si>
    <t>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t>
  </si>
  <si>
    <t>[VEN] Guárico</t>
  </si>
  <si>
    <t>https://upload.wikimedia.org/wikipedia/commons/thumb/a/a2/Flag_of_Gu%C3%A1rico_State.svg/320px-Flag_of_Gu%C3%A1rico_State.svg.png</t>
  </si>
  <si>
    <t>https://upload.wikimedia.org/wikipedia/commons/thumb/a/a2/Flag_of_Gu%C3%A1rico_State.svg/800px-Flag_of_Gu%C3%A1rico_State.svg.png</t>
  </si>
  <si>
    <t>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t>
  </si>
  <si>
    <t>[VEN] La Guaira</t>
  </si>
  <si>
    <t>https://upload.wikimedia.org/wikipedia/commons/thumb/a/a9/Flag_of_Vargas_State.svg/320px-Flag_of_Vargas_State.svg.png</t>
  </si>
  <si>
    <t>https://upload.wikimedia.org/wikipedia/commons/thumb/a/a9/Flag_of_Vargas_State.svg/800px-Flag_of_Vargas_State.svg.png</t>
  </si>
  <si>
    <t>https://en.wikipedia.org/wiki/Flag_of_La_Guaira</t>
  </si>
  <si>
    <t>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t>
  </si>
  <si>
    <t>[VEN] Lara</t>
  </si>
  <si>
    <t>https://upload.wikimedia.org/wikipedia/commons/thumb/4/4b/Flag_of_Lara_State.svg/320px-Flag_of_Lara_State.svg.png</t>
  </si>
  <si>
    <t>https://upload.wikimedia.org/wikipedia/commons/thumb/4/4b/Flag_of_Lara_State.svg/800px-Flag_of_Lara_State.svg.png</t>
  </si>
  <si>
    <t>https://www.crwflags.com/fotw/flags/ve-k.html#:~:text=Urdaneta%20(Siquisique)-,Overview,-Flag%20of%20the</t>
  </si>
  <si>
    <t>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t>
  </si>
  <si>
    <t>[VEN] Mérida</t>
  </si>
  <si>
    <t>https://upload.wikimedia.org/wikipedia/commons/thumb/9/9f/Flag_of_M%C3%A9rida_State.svg/320px-Flag_of_M%C3%A9rida_State.svg.png</t>
  </si>
  <si>
    <t>https://upload.wikimedia.org/wikipedia/commons/thumb/9/9f/Flag_of_M%C3%A9rida_State.svg/800px-Flag_of_M%C3%A9rida_State.svg.png</t>
  </si>
  <si>
    <t>https://www.crwflags.com/fotw/flags/ve-l.html#:~:text=(in%20Spanish)-,Overview,-The%20M%C3%A9rida%20flag</t>
  </si>
  <si>
    <t>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t>
  </si>
  <si>
    <t>[VEN] Miranda</t>
  </si>
  <si>
    <t>https://upload.wikimedia.org/wikipedia/commons/thumb/9/92/Flag_of_Miranda_state.svg/320px-Flag_of_Miranda_state.svg.png</t>
  </si>
  <si>
    <t>https://upload.wikimedia.org/wikipedia/commons/thumb/9/92/Flag_of_Miranda_state.svg/800px-Flag_of_Miranda_state.svg.png</t>
  </si>
  <si>
    <t>https://www.crwflags.com/fotw/flags/ve-m.html#:~:text=(previous%20symbols)-,Overview,-According%20to%20report</t>
  </si>
  <si>
    <t>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t>
  </si>
  <si>
    <t>[VEN] Monagas</t>
  </si>
  <si>
    <t>https://upload.wikimedia.org/wikipedia/commons/thumb/3/31/Flag_of_Monagas_State.svg/320px-Flag_of_Monagas_State.svg.png</t>
  </si>
  <si>
    <t>https://upload.wikimedia.org/wikipedia/commons/thumb/3/31/Flag_of_Monagas_State.svg/800px-Flag_of_Monagas_State.svg.png</t>
  </si>
  <si>
    <t>https://venezuela.justia.com/estatales/monagas/leyes/reforma-de-la-ley-de-simbolos-y-sellos-del-estado-monagas/gdoc/</t>
  </si>
  <si>
    <t>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t>
  </si>
  <si>
    <t>[VEN] Nueva Esparta</t>
  </si>
  <si>
    <t>https://upload.wikimedia.org/wikipedia/commons/thumb/6/6a/Flag_of_Nueva_Esparta.svg/320px-Flag_of_Nueva_Esparta.svg.png</t>
  </si>
  <si>
    <t>https://upload.wikimedia.org/wikipedia/commons/thumb/6/6a/Flag_of_Nueva_Esparta.svg/800px-Flag_of_Nueva_Esparta.svg.png</t>
  </si>
  <si>
    <t>https://www.crwflags.com/fotw/flags/ve-o.html</t>
  </si>
  <si>
    <t>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t>
  </si>
  <si>
    <t>[VEN] Portuguesa</t>
  </si>
  <si>
    <t>https://upload.wikimedia.org/wikipedia/commons/thumb/8/81/Flag_of_Portuguesa.svg/320px-Flag_of_Portuguesa.svg.png</t>
  </si>
  <si>
    <t>https://upload.wikimedia.org/wikipedia/commons/thumb/8/81/Flag_of_Portuguesa.svg/800px-Flag_of_Portuguesa.svg.png</t>
  </si>
  <si>
    <t>https://www.crwflags.com/fotw/flags/ve-p.html</t>
  </si>
  <si>
    <t>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t>
  </si>
  <si>
    <t>[VEN] Sucre</t>
  </si>
  <si>
    <t>https://upload.wikimedia.org/wikipedia/commons/thumb/c/c1/Flag_of_Sucre_State.svg/320px-Flag_of_Sucre_State.svg.png</t>
  </si>
  <si>
    <t>https://upload.wikimedia.org/wikipedia/commons/thumb/c/c1/Flag_of_Sucre_State.svg/800px-Flag_of_Sucre_State.svg.png</t>
  </si>
  <si>
    <t>https://www.crwflags.com/fotw/flags/ve-r.html</t>
  </si>
  <si>
    <t>1996, 2002</t>
  </si>
  <si>
    <t>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t>
  </si>
  <si>
    <t>[VEN] Táchira</t>
  </si>
  <si>
    <t>https://upload.wikimedia.org/wikipedia/commons/thumb/0/01/Flag_of_T%C3%A1chira.svg/320px-Flag_of_T%C3%A1chira.svg.png</t>
  </si>
  <si>
    <t>https://upload.wikimedia.org/wikipedia/commons/thumb/0/01/Flag_of_T%C3%A1chira.svg/640px-Flag_of_T%C3%A1chira.svg.png</t>
  </si>
  <si>
    <t>https://www.crwflags.com/fotw/flags/ve-s.html</t>
  </si>
  <si>
    <t>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t>
  </si>
  <si>
    <t>[VEN] Trujillo</t>
  </si>
  <si>
    <t>https://upload.wikimedia.org/wikipedia/commons/thumb/b/b0/Flag_of_Trujillo_State.svg/320px-Flag_of_Trujillo_State.svg.png</t>
  </si>
  <si>
    <t>https://upload.wikimedia.org/wikipedia/commons/thumb/b/b0/Flag_of_Trujillo_State.svg/800px-Flag_of_Trujillo_State.svg.png</t>
  </si>
  <si>
    <t>https://www.crwflags.com/fotw/flags/ve-t.html</t>
  </si>
  <si>
    <t>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t>
  </si>
  <si>
    <t>[VEN] Yaracuy</t>
  </si>
  <si>
    <t>https://upload.wikimedia.org/wikipedia/commons/thumb/1/15/Flag_of_Yaracuy_State.svg/320px-Flag_of_Yaracuy_State.svg.png</t>
  </si>
  <si>
    <t>https://upload.wikimedia.org/wikipedia/commons/thumb/1/15/Flag_of_Yaracuy_State.svg/640px-Flag_of_Yaracuy_State.svg.png</t>
  </si>
  <si>
    <t>https://www.crwflags.com/fotw/flags/ve-u.html</t>
  </si>
  <si>
    <t>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t>
  </si>
  <si>
    <t>[VEN] Zulia</t>
  </si>
  <si>
    <t>https://upload.wikimedia.org/wikipedia/commons/thumb/c/c6/Flag_of_Zulia_State.svg/640px-Flag_of_Zulia_State.svg.png</t>
  </si>
  <si>
    <t>https://upload.wikimedia.org/wikipedia/commons/thumb/c/c6/Flag_of_Zulia_State.svg/2560px-Flag_of_Zulia_State.svg.png</t>
  </si>
  <si>
    <t>https://en.wikipedia.org/wiki/Zulia</t>
  </si>
  <si>
    <t>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t>
  </si>
  <si>
    <t>[ARG] [ANT] Tierra del Fuego</t>
  </si>
  <si>
    <t>https://upload.wikimedia.org/wikipedia/commons/thumb/9/94/Bandera_de_la_Provincia_de_Tierra_del_Fuego.svg/640px-Bandera_de_la_Provincia_de_Tierra_del_Fuego.svg.png</t>
  </si>
  <si>
    <t>https://upload.wikimedia.org/wikipedia/commons/thumb/9/94/Bandera_de_la_Provincia_de_Tierra_del_Fuego.svg/2560px-Bandera_de_la_Provincia_de_Tierra_del_Fuego.svg.png</t>
  </si>
  <si>
    <t>[·] Antarctica</t>
  </si>
  <si>
    <t>https://en.wikipedia.org/wiki/Flag_of_the_Tierra_del_Fuego_Province,_Argentina</t>
  </si>
  <si>
    <t>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t>
  </si>
  <si>
    <t>Antarctica, rgn_South America</t>
  </si>
  <si>
    <t>[ARG] Other</t>
  </si>
  <si>
    <t>Buenos Aires</t>
  </si>
  <si>
    <t>Autonomous City of</t>
  </si>
  <si>
    <t>DF</t>
  </si>
  <si>
    <t>3,120,612</t>
  </si>
  <si>
    <t>203 km2</t>
  </si>
  <si>
    <t>15372.47</t>
  </si>
  <si>
    <t>La Plata</t>
  </si>
  <si>
    <t>La Matanza and General Pueyrredón</t>
  </si>
  <si>
    <t>BA</t>
  </si>
  <si>
    <t>17,569,053</t>
  </si>
  <si>
    <t>307,571 km2</t>
  </si>
  <si>
    <t>57.12</t>
  </si>
  <si>
    <t>Catamarca</t>
  </si>
  <si>
    <t>San Fernando del Valle de Catamarca</t>
  </si>
  <si>
    <t>Tinogasta</t>
  </si>
  <si>
    <t>CT</t>
  </si>
  <si>
    <t>102,602 km2</t>
  </si>
  <si>
    <t>4.18</t>
  </si>
  <si>
    <t>Chaco</t>
  </si>
  <si>
    <t>Resistencia</t>
  </si>
  <si>
    <t>Presidencia Roque Sáenz Peña</t>
  </si>
  <si>
    <t>CC</t>
  </si>
  <si>
    <t>1,142,963</t>
  </si>
  <si>
    <t>99,633 km2</t>
  </si>
  <si>
    <t>11.47</t>
  </si>
  <si>
    <t>Chubut</t>
  </si>
  <si>
    <t>Rawson</t>
  </si>
  <si>
    <t>Comodoro Rivadavia</t>
  </si>
  <si>
    <t>CH</t>
  </si>
  <si>
    <t>224,686 km2</t>
  </si>
  <si>
    <t>2.68</t>
  </si>
  <si>
    <t>Córdoba</t>
  </si>
  <si>
    <t>Río Cuarto</t>
  </si>
  <si>
    <t>CB</t>
  </si>
  <si>
    <t>3,978,984</t>
  </si>
  <si>
    <t>165,321 km2</t>
  </si>
  <si>
    <t>24.06</t>
  </si>
  <si>
    <t>Corrientes</t>
  </si>
  <si>
    <t>Goya</t>
  </si>
  <si>
    <t>CN</t>
  </si>
  <si>
    <t>1,197,553</t>
  </si>
  <si>
    <t>88,199 km2</t>
  </si>
  <si>
    <t>13.57</t>
  </si>
  <si>
    <t>Entre Ríos</t>
  </si>
  <si>
    <t>Paraná</t>
  </si>
  <si>
    <t>Concordia</t>
  </si>
  <si>
    <t>ER</t>
  </si>
  <si>
    <t>1,426,426</t>
  </si>
  <si>
    <t>78,781 km2</t>
  </si>
  <si>
    <t>18.10</t>
  </si>
  <si>
    <t>Formosa</t>
  </si>
  <si>
    <t>FM</t>
  </si>
  <si>
    <t>72,066 km2</t>
  </si>
  <si>
    <t>8.42</t>
  </si>
  <si>
    <t>Jujuy</t>
  </si>
  <si>
    <t>San Salvador de Jujuy</t>
  </si>
  <si>
    <t>San Pedro de Jujuy</t>
  </si>
  <si>
    <t>JY</t>
  </si>
  <si>
    <t>53,219 km2</t>
  </si>
  <si>
    <t>14.99</t>
  </si>
  <si>
    <t>La Pampa</t>
  </si>
  <si>
    <t>Santa Rosa</t>
  </si>
  <si>
    <t>General Pico</t>
  </si>
  <si>
    <t>LP</t>
  </si>
  <si>
    <t>143,440 km2</t>
  </si>
  <si>
    <t>2.55</t>
  </si>
  <si>
    <t>La Rioja</t>
  </si>
  <si>
    <t>Chilecito</t>
  </si>
  <si>
    <t>LR</t>
  </si>
  <si>
    <t>89,680 km2</t>
  </si>
  <si>
    <t>4.28</t>
  </si>
  <si>
    <t>Mendoza</t>
  </si>
  <si>
    <t>Guaymallén</t>
  </si>
  <si>
    <t>MZ</t>
  </si>
  <si>
    <t>2,014,533</t>
  </si>
  <si>
    <t>148,827 km2</t>
  </si>
  <si>
    <t>13.53</t>
  </si>
  <si>
    <t>Misiones</t>
  </si>
  <si>
    <t>Posadas</t>
  </si>
  <si>
    <t>Oberá</t>
  </si>
  <si>
    <t>MN</t>
  </si>
  <si>
    <t>1,280,960</t>
  </si>
  <si>
    <t>29,801 km2</t>
  </si>
  <si>
    <t>42.98</t>
  </si>
  <si>
    <t>Neuquén</t>
  </si>
  <si>
    <t>Cutral Có</t>
  </si>
  <si>
    <t>NQ</t>
  </si>
  <si>
    <t>94,078 km2</t>
  </si>
  <si>
    <t>7.72</t>
  </si>
  <si>
    <t>Río Negro</t>
  </si>
  <si>
    <t>Viedma</t>
  </si>
  <si>
    <t>San Carlos de Bariloche</t>
  </si>
  <si>
    <t>RN</t>
  </si>
  <si>
    <t>203,013 km2</t>
  </si>
  <si>
    <t>3.75</t>
  </si>
  <si>
    <t>Salta</t>
  </si>
  <si>
    <t>San Ramón de la Nueva Orán</t>
  </si>
  <si>
    <t>SA</t>
  </si>
  <si>
    <t>1,440,672</t>
  </si>
  <si>
    <t>155,488 km2</t>
  </si>
  <si>
    <t>9.26</t>
  </si>
  <si>
    <t>San Juan</t>
  </si>
  <si>
    <t>Caucete</t>
  </si>
  <si>
    <t>SJ</t>
  </si>
  <si>
    <t>89,651 km2</t>
  </si>
  <si>
    <t>9.12</t>
  </si>
  <si>
    <t>San Luis</t>
  </si>
  <si>
    <t>SL</t>
  </si>
  <si>
    <t>76,748 km2</t>
  </si>
  <si>
    <t>7.04</t>
  </si>
  <si>
    <t>Santa Cruz</t>
  </si>
  <si>
    <t>Río Gallegos</t>
  </si>
  <si>
    <t>Caleta Olivia</t>
  </si>
  <si>
    <t>SC</t>
  </si>
  <si>
    <t>243,943 km2</t>
  </si>
  <si>
    <t>1.36</t>
  </si>
  <si>
    <t>Santa Fe</t>
  </si>
  <si>
    <t>Rosario</t>
  </si>
  <si>
    <t>SF</t>
  </si>
  <si>
    <t>3,556,522</t>
  </si>
  <si>
    <t>133,007 km2</t>
  </si>
  <si>
    <t>26.73</t>
  </si>
  <si>
    <t>Santiago del Estero</t>
  </si>
  <si>
    <t>La Banda</t>
  </si>
  <si>
    <t>SE</t>
  </si>
  <si>
    <t>1,054,028</t>
  </si>
  <si>
    <t>136,351 km2</t>
  </si>
  <si>
    <t>7.73</t>
  </si>
  <si>
    <t>Tierra del Fuego</t>
  </si>
  <si>
    <t>Ushuaia</t>
  </si>
  <si>
    <t>Río Grande</t>
  </si>
  <si>
    <t>TF</t>
  </si>
  <si>
    <t>21,263 km2</t>
  </si>
  <si>
    <t>8.96</t>
  </si>
  <si>
    <t>Tucumán</t>
  </si>
  <si>
    <t>San Miguel de Tucumán</t>
  </si>
  <si>
    <t>Monteros</t>
  </si>
  <si>
    <t>TM</t>
  </si>
  <si>
    <t>1,703,186</t>
  </si>
  <si>
    <t>22,524 km2</t>
  </si>
  <si>
    <t>75.61</t>
  </si>
  <si>
    <t>Capital</t>
  </si>
  <si>
    <t>Secondary capital[18][B]</t>
  </si>
  <si>
    <t>HASC subdivision code</t>
  </si>
  <si>
    <t>Population (2022)[19]</t>
  </si>
  <si>
    <t>Area</t>
  </si>
  <si>
    <t>Density per</t>
  </si>
  <si>
    <t>km2</t>
  </si>
  <si>
    <t> Acre</t>
  </si>
  <si>
    <t>AC</t>
  </si>
  <si>
    <t>Rio Branco</t>
  </si>
  <si>
    <t>6.34</t>
  </si>
  <si>
    <t>16.4</t>
  </si>
  <si>
    <t>0.719</t>
  </si>
  <si>
    <t> Alagoas</t>
  </si>
  <si>
    <t>AL</t>
  </si>
  <si>
    <t>Maceió</t>
  </si>
  <si>
    <t>3,127,683</t>
  </si>
  <si>
    <t>125.52</t>
  </si>
  <si>
    <t>325.1</t>
  </si>
  <si>
    <t>0.683</t>
  </si>
  <si>
    <t> Amapá</t>
  </si>
  <si>
    <t>AP</t>
  </si>
  <si>
    <t>Macapá</t>
  </si>
  <si>
    <t>2.63</t>
  </si>
  <si>
    <t>6.8</t>
  </si>
  <si>
    <t>0.740</t>
  </si>
  <si>
    <t> Amazonas</t>
  </si>
  <si>
    <t>AM</t>
  </si>
  <si>
    <t>Manaus</t>
  </si>
  <si>
    <t>1,559,159</t>
  </si>
  <si>
    <t>3,941,613</t>
  </si>
  <si>
    <t>2.58</t>
  </si>
  <si>
    <t>6.7</t>
  </si>
  <si>
    <t>0.733</t>
  </si>
  <si>
    <t> Bahia</t>
  </si>
  <si>
    <t>Salvador</t>
  </si>
  <si>
    <t>14,141,626</t>
  </si>
  <si>
    <t>30.52</t>
  </si>
  <si>
    <t>79.0</t>
  </si>
  <si>
    <t>0.714</t>
  </si>
  <si>
    <t> Ceará</t>
  </si>
  <si>
    <t>CE</t>
  </si>
  <si>
    <t>Fortaleza</t>
  </si>
  <si>
    <t>8,794,957</t>
  </si>
  <si>
    <t>60.33</t>
  </si>
  <si>
    <t>156.3</t>
  </si>
  <si>
    <t>0.735</t>
  </si>
  <si>
    <t> Distrito Federal</t>
  </si>
  <si>
    <t>Brasília</t>
  </si>
  <si>
    <t>2,817,381</t>
  </si>
  <si>
    <t>493.00</t>
  </si>
  <si>
    <t>1,276.9</t>
  </si>
  <si>
    <t>0.850</t>
  </si>
  <si>
    <t> Espírito Santo</t>
  </si>
  <si>
    <t>ES</t>
  </si>
  <si>
    <t>Vitória</t>
  </si>
  <si>
    <t>Serra</t>
  </si>
  <si>
    <t>3,833,712</t>
  </si>
  <si>
    <t>80.63</t>
  </si>
  <si>
    <t>208.8</t>
  </si>
  <si>
    <t>0.772</t>
  </si>
  <si>
    <t> Goiás</t>
  </si>
  <si>
    <t>GO</t>
  </si>
  <si>
    <t>Goiânia</t>
  </si>
  <si>
    <t>7,056,495</t>
  </si>
  <si>
    <t>18.46</t>
  </si>
  <si>
    <t>47.8</t>
  </si>
  <si>
    <t>0.769</t>
  </si>
  <si>
    <t> Maranhão</t>
  </si>
  <si>
    <t>MA</t>
  </si>
  <si>
    <t>São Luís</t>
  </si>
  <si>
    <t>6,776,699</t>
  </si>
  <si>
    <t>19.03</t>
  </si>
  <si>
    <t>49.3</t>
  </si>
  <si>
    <t>0.687</t>
  </si>
  <si>
    <t> Mato Grosso</t>
  </si>
  <si>
    <t>MT</t>
  </si>
  <si>
    <t>Cuiabá</t>
  </si>
  <si>
    <t>3,658,649</t>
  </si>
  <si>
    <t>4.01</t>
  </si>
  <si>
    <t>10.4</t>
  </si>
  <si>
    <t>0.774</t>
  </si>
  <si>
    <t> Mato Grosso do Sul</t>
  </si>
  <si>
    <t>MS</t>
  </si>
  <si>
    <t>Campo Grande</t>
  </si>
  <si>
    <t>2,880,308</t>
  </si>
  <si>
    <t>7.83</t>
  </si>
  <si>
    <t>20.3</t>
  </si>
  <si>
    <t>0.766</t>
  </si>
  <si>
    <t> Minas Gerais</t>
  </si>
  <si>
    <t>MG</t>
  </si>
  <si>
    <t>Belo Horizonte</t>
  </si>
  <si>
    <t>21,279,353</t>
  </si>
  <si>
    <t>31.72</t>
  </si>
  <si>
    <t>82.2</t>
  </si>
  <si>
    <t>0.787</t>
  </si>
  <si>
    <t> Pará</t>
  </si>
  <si>
    <t>PA</t>
  </si>
  <si>
    <t>Belém</t>
  </si>
  <si>
    <t>1,247,955</t>
  </si>
  <si>
    <t>8,639,532</t>
  </si>
  <si>
    <t>7.02</t>
  </si>
  <si>
    <t>18.2</t>
  </si>
  <si>
    <t>0.698</t>
  </si>
  <si>
    <t> Paraíba</t>
  </si>
  <si>
    <t>PB</t>
  </si>
  <si>
    <t>João Pessoa</t>
  </si>
  <si>
    <t>4,175,326</t>
  </si>
  <si>
    <t>78.93</t>
  </si>
  <si>
    <t>204.4</t>
  </si>
  <si>
    <t>0.722</t>
  </si>
  <si>
    <t> Paraná</t>
  </si>
  <si>
    <t>PR</t>
  </si>
  <si>
    <t>Curitiba</t>
  </si>
  <si>
    <t>11,623,091</t>
  </si>
  <si>
    <t>43.46</t>
  </si>
  <si>
    <t>112.6</t>
  </si>
  <si>
    <t>0.792</t>
  </si>
  <si>
    <t> Pernambuco</t>
  </si>
  <si>
    <t>PE</t>
  </si>
  <si>
    <t>Recife</t>
  </si>
  <si>
    <t>9,645,321</t>
  </si>
  <si>
    <t>103.83</t>
  </si>
  <si>
    <t>268.9</t>
  </si>
  <si>
    <t>0.727</t>
  </si>
  <si>
    <t> Piauí</t>
  </si>
  <si>
    <t>PI</t>
  </si>
  <si>
    <t>Teresina</t>
  </si>
  <si>
    <t>3,341,352</t>
  </si>
  <si>
    <t>9.73</t>
  </si>
  <si>
    <t>25.2</t>
  </si>
  <si>
    <t>0.697</t>
  </si>
  <si>
    <t> Rio de Janeiro</t>
  </si>
  <si>
    <t>RJ</t>
  </si>
  <si>
    <t>Rio de Janeiro</t>
  </si>
  <si>
    <t>16,055,174</t>
  </si>
  <si>
    <t>387.46</t>
  </si>
  <si>
    <t>1,003.5</t>
  </si>
  <si>
    <t>0.796</t>
  </si>
  <si>
    <t> Rio Grande do Norte</t>
  </si>
  <si>
    <t>Natal</t>
  </si>
  <si>
    <t>3,619,619</t>
  </si>
  <si>
    <t>62.74</t>
  </si>
  <si>
    <t>162.5</t>
  </si>
  <si>
    <t>0.731</t>
  </si>
  <si>
    <t> Rio Grande do Sul</t>
  </si>
  <si>
    <t>RS</t>
  </si>
  <si>
    <t>Porto Alegre</t>
  </si>
  <si>
    <t>10,882,965</t>
  </si>
  <si>
    <t>36.84</t>
  </si>
  <si>
    <t>95.4</t>
  </si>
  <si>
    <t> Rondônia</t>
  </si>
  <si>
    <t>RO</t>
  </si>
  <si>
    <t>Porto Velho</t>
  </si>
  <si>
    <t>1,837,905</t>
  </si>
  <si>
    <t>7.34</t>
  </si>
  <si>
    <t>19.0</t>
  </si>
  <si>
    <t>0.725</t>
  </si>
  <si>
    <t> Roraima</t>
  </si>
  <si>
    <t>RR</t>
  </si>
  <si>
    <t>Boa Vista</t>
  </si>
  <si>
    <t>2.54</t>
  </si>
  <si>
    <t>6.6</t>
  </si>
  <si>
    <t>0.752</t>
  </si>
  <si>
    <t> Santa Catarina</t>
  </si>
  <si>
    <t>Florianópolis</t>
  </si>
  <si>
    <t>Joinville</t>
  </si>
  <si>
    <t>7,218,704</t>
  </si>
  <si>
    <t>69.74</t>
  </si>
  <si>
    <t>180.6</t>
  </si>
  <si>
    <t>0.808</t>
  </si>
  <si>
    <t> São Paulo</t>
  </si>
  <si>
    <t>SP</t>
  </si>
  <si>
    <t>São Paulo</t>
  </si>
  <si>
    <t>44,411,238</t>
  </si>
  <si>
    <t>175.73</t>
  </si>
  <si>
    <t>455.1</t>
  </si>
  <si>
    <t>1,964,000</t>
  </si>
  <si>
    <t>0.826</t>
  </si>
  <si>
    <t> Sergipe</t>
  </si>
  <si>
    <t>Aracaju</t>
  </si>
  <si>
    <t>2,403,563</t>
  </si>
  <si>
    <t>97.64</t>
  </si>
  <si>
    <t>252.9</t>
  </si>
  <si>
    <t>0.702</t>
  </si>
  <si>
    <t> Tocantins</t>
  </si>
  <si>
    <t>TO</t>
  </si>
  <si>
    <t>Palmas</t>
  </si>
  <si>
    <t>1,692,452</t>
  </si>
  <si>
    <t>5.74</t>
  </si>
  <si>
    <t>14.9</t>
  </si>
  <si>
    <t>0.743</t>
  </si>
  <si>
    <t>Flag and name</t>
  </si>
  <si>
    <t>Code</t>
  </si>
  <si>
    <t>Largest city</t>
  </si>
  <si>
    <t>Population</t>
  </si>
  <si>
    <t>(May 2023)[21]</t>
  </si>
  <si>
    <t>Density 2022</t>
  </si>
  <si>
    <t>millions, 2022)[22]</t>
  </si>
  <si>
    <t>HDI</t>
  </si>
  <si>
    <t>(2022)[23]</t>
  </si>
  <si>
    <t>Area[20]</t>
  </si>
  <si>
    <t>GDP (R$</t>
  </si>
  <si>
    <t>[BRA] Other</t>
  </si>
  <si>
    <t>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t>
  </si>
  <si>
    <t> Azuay</t>
  </si>
  <si>
    <t>Cuenca</t>
  </si>
  <si>
    <t> Bolívar</t>
  </si>
  <si>
    <t>Guaranda</t>
  </si>
  <si>
    <t> Cañar</t>
  </si>
  <si>
    <t>Azogues</t>
  </si>
  <si>
    <t>La Troncal</t>
  </si>
  <si>
    <t> Carchi</t>
  </si>
  <si>
    <t>Tulcán</t>
  </si>
  <si>
    <t> Chimborazo</t>
  </si>
  <si>
    <t>Riobamba</t>
  </si>
  <si>
    <t> Cotopaxi</t>
  </si>
  <si>
    <t>Latacunga</t>
  </si>
  <si>
    <t> El Oro</t>
  </si>
  <si>
    <t>Machala</t>
  </si>
  <si>
    <t> Esmeraldas</t>
  </si>
  <si>
    <t>Esmeraldas</t>
  </si>
  <si>
    <t> Galápagos</t>
  </si>
  <si>
    <t>Puerto Baquerizo Moreno</t>
  </si>
  <si>
    <t>Puerto Ayora</t>
  </si>
  <si>
    <t> Guayas</t>
  </si>
  <si>
    <t>Guayaquil</t>
  </si>
  <si>
    <t>4,391,923</t>
  </si>
  <si>
    <t> Imbabura</t>
  </si>
  <si>
    <t>Ibarra</t>
  </si>
  <si>
    <t> Loja</t>
  </si>
  <si>
    <t>Loja</t>
  </si>
  <si>
    <t> Los Ríos</t>
  </si>
  <si>
    <t>Babahoyo</t>
  </si>
  <si>
    <t>Quevedo</t>
  </si>
  <si>
    <t> Manabí</t>
  </si>
  <si>
    <t>Portoviejo</t>
  </si>
  <si>
    <t>Manta</t>
  </si>
  <si>
    <t>1,592,840</t>
  </si>
  <si>
    <t> Morona Santiago</t>
  </si>
  <si>
    <t>Macas</t>
  </si>
  <si>
    <t> Napo</t>
  </si>
  <si>
    <t>Tena</t>
  </si>
  <si>
    <t> Orellana</t>
  </si>
  <si>
    <t>Puerto Francisco de Orellana</t>
  </si>
  <si>
    <t> Pastaza</t>
  </si>
  <si>
    <t>Puyo</t>
  </si>
  <si>
    <t> Pichincha</t>
  </si>
  <si>
    <t>Quito</t>
  </si>
  <si>
    <t>3,089,473</t>
  </si>
  <si>
    <t> Santa Elena</t>
  </si>
  <si>
    <t>Santa Elena</t>
  </si>
  <si>
    <t>La Libertad</t>
  </si>
  <si>
    <t> Santo Domingo de los Tsáchilas</t>
  </si>
  <si>
    <t>Santo Domingo</t>
  </si>
  <si>
    <t> Sucumbíos</t>
  </si>
  <si>
    <t>Nueva Loja</t>
  </si>
  <si>
    <t> Tungurahua</t>
  </si>
  <si>
    <t>Ambato</t>
  </si>
  <si>
    <t> Zamora Chinchipe</t>
  </si>
  <si>
    <t>Zamora</t>
  </si>
  <si>
    <t>Map key</t>
  </si>
  <si>
    <t>Largest City [1]</t>
  </si>
  <si>
    <t>Population (2022 census)[2]</t>
  </si>
  <si>
    <t>Established</t>
  </si>
  <si>
    <t>Area (km2)</t>
  </si>
  <si>
    <t>(2021)[4]</t>
  </si>
  <si>
    <t>(km2)</t>
  </si>
  <si>
    <t>Density per km2 (2021)</t>
  </si>
  <si>
    <t>Density per km2 (2011)</t>
  </si>
  <si>
    <t>Map</t>
  </si>
  <si>
    <t>Amazonas</t>
  </si>
  <si>
    <t>Puerto Ayacucho</t>
  </si>
  <si>
    <t>0.99</t>
  </si>
  <si>
    <t>0.81</t>
  </si>
  <si>
    <t>Guayana</t>
  </si>
  <si>
    <t>Anzoátegui</t>
  </si>
  <si>
    <t>Barcelona</t>
  </si>
  <si>
    <t>1,570,000</t>
  </si>
  <si>
    <t>1,469,747</t>
  </si>
  <si>
    <t>36.26</t>
  </si>
  <si>
    <t>33.94</t>
  </si>
  <si>
    <t>Eastern</t>
  </si>
  <si>
    <t>Apure</t>
  </si>
  <si>
    <t>San Fernando de Apure</t>
  </si>
  <si>
    <t>7.45</t>
  </si>
  <si>
    <t>6.00</t>
  </si>
  <si>
    <t>Llanos</t>
  </si>
  <si>
    <t>Aragua</t>
  </si>
  <si>
    <t>Maracay</t>
  </si>
  <si>
    <t>1,640,000</t>
  </si>
  <si>
    <t>1,630,308</t>
  </si>
  <si>
    <t>233.82</t>
  </si>
  <si>
    <t>232.44</t>
  </si>
  <si>
    <t>Central</t>
  </si>
  <si>
    <t>Barinas</t>
  </si>
  <si>
    <t>23.58</t>
  </si>
  <si>
    <t>23.19</t>
  </si>
  <si>
    <t>Andean</t>
  </si>
  <si>
    <t>Bolívar</t>
  </si>
  <si>
    <t>Ciudad Bolívar</t>
  </si>
  <si>
    <t>Ciudad Guayana</t>
  </si>
  <si>
    <t>1,730,000</t>
  </si>
  <si>
    <t>1,410,964</t>
  </si>
  <si>
    <t>7.27</t>
  </si>
  <si>
    <t>5.93</t>
  </si>
  <si>
    <t>Carabobo</t>
  </si>
  <si>
    <t>Valencia</t>
  </si>
  <si>
    <t>2,240,000</t>
  </si>
  <si>
    <t>2,245,744</t>
  </si>
  <si>
    <t>481.72</t>
  </si>
  <si>
    <t>482.96</t>
  </si>
  <si>
    <t>Cojedes</t>
  </si>
  <si>
    <t>San Carlos</t>
  </si>
  <si>
    <t>22.29</t>
  </si>
  <si>
    <t>21.84</t>
  </si>
  <si>
    <t>Delta Amacuro</t>
  </si>
  <si>
    <t>Tucupita</t>
  </si>
  <si>
    <t>4.72</t>
  </si>
  <si>
    <t>4.17</t>
  </si>
  <si>
    <t>Falcón</t>
  </si>
  <si>
    <t>Coro</t>
  </si>
  <si>
    <t>Punto Fijo</t>
  </si>
  <si>
    <t>39.92</t>
  </si>
  <si>
    <t>36.41</t>
  </si>
  <si>
    <t>Central-Western</t>
  </si>
  <si>
    <t>Guárico</t>
  </si>
  <si>
    <t>San Juan de los Morros</t>
  </si>
  <si>
    <t>Calabozo</t>
  </si>
  <si>
    <t>12.77</t>
  </si>
  <si>
    <t>11.51</t>
  </si>
  <si>
    <t>La Guaira</t>
  </si>
  <si>
    <t>227.27</t>
  </si>
  <si>
    <t>235.91</t>
  </si>
  <si>
    <t>Lara</t>
  </si>
  <si>
    <t>Barquisimeto</t>
  </si>
  <si>
    <t>1,870,000</t>
  </si>
  <si>
    <t>1,774,867</t>
  </si>
  <si>
    <t>94.44</t>
  </si>
  <si>
    <t>89.64</t>
  </si>
  <si>
    <t>Mérida</t>
  </si>
  <si>
    <t>77.88</t>
  </si>
  <si>
    <t>73.33</t>
  </si>
  <si>
    <t>Miranda</t>
  </si>
  <si>
    <t>Los Teques</t>
  </si>
  <si>
    <t>2,970,000</t>
  </si>
  <si>
    <t>2,675,165</t>
  </si>
  <si>
    <t>373.58</t>
  </si>
  <si>
    <t>336.50</t>
  </si>
  <si>
    <t>Monagas</t>
  </si>
  <si>
    <t>Maturín</t>
  </si>
  <si>
    <t>32.15</t>
  </si>
  <si>
    <t>31.30</t>
  </si>
  <si>
    <t>Nueva Esparta</t>
  </si>
  <si>
    <t>La Asunción</t>
  </si>
  <si>
    <t>Porlamar</t>
  </si>
  <si>
    <t>495.65</t>
  </si>
  <si>
    <t>427.90</t>
  </si>
  <si>
    <t>Insular</t>
  </si>
  <si>
    <t>Portuguesa</t>
  </si>
  <si>
    <t>Guanare</t>
  </si>
  <si>
    <t>61.18</t>
  </si>
  <si>
    <t>57.66</t>
  </si>
  <si>
    <t>Sucre</t>
  </si>
  <si>
    <t>Cumaná</t>
  </si>
  <si>
    <t>83.90</t>
  </si>
  <si>
    <t>75.96</t>
  </si>
  <si>
    <t>Táchira</t>
  </si>
  <si>
    <t>San Cristóbal</t>
  </si>
  <si>
    <t>1,030,000</t>
  </si>
  <si>
    <t>1,168,908</t>
  </si>
  <si>
    <t>92.79</t>
  </si>
  <si>
    <t>105.31</t>
  </si>
  <si>
    <t>Trujillo</t>
  </si>
  <si>
    <t>Valera</t>
  </si>
  <si>
    <t>104.05</t>
  </si>
  <si>
    <t>92.75</t>
  </si>
  <si>
    <t>Yaracuy</t>
  </si>
  <si>
    <t>San Felipe</t>
  </si>
  <si>
    <t>94.37</t>
  </si>
  <si>
    <t>84.63</t>
  </si>
  <si>
    <t>Zulia</t>
  </si>
  <si>
    <t>Maracaibo</t>
  </si>
  <si>
    <t>3,830,000</t>
  </si>
  <si>
    <t>3,704,404</t>
  </si>
  <si>
    <t>60.70</t>
  </si>
  <si>
    <t>58.71</t>
  </si>
  <si>
    <t>Zulian</t>
  </si>
  <si>
    <t>Capital District</t>
  </si>
  <si>
    <t>Caracas</t>
  </si>
  <si>
    <t>[URU] Other</t>
  </si>
  <si>
    <t>Artigas</t>
  </si>
  <si>
    <t>UY-AR</t>
  </si>
  <si>
    <t>6.15</t>
  </si>
  <si>
    <t>Canelones</t>
  </si>
  <si>
    <t>UY-CA</t>
  </si>
  <si>
    <t>114.68</t>
  </si>
  <si>
    <t>Cerro Largo</t>
  </si>
  <si>
    <t>UY-CL</t>
  </si>
  <si>
    <t>6.21</t>
  </si>
  <si>
    <t>Melo</t>
  </si>
  <si>
    <t>Colonia</t>
  </si>
  <si>
    <t>UY-CO</t>
  </si>
  <si>
    <t>20.18</t>
  </si>
  <si>
    <t>Colonia del Sacramento  </t>
  </si>
  <si>
    <t>Durazno</t>
  </si>
  <si>
    <t>UY-DU</t>
  </si>
  <si>
    <t>4.90</t>
  </si>
  <si>
    <t>Flores</t>
  </si>
  <si>
    <t>UY-FS</t>
  </si>
  <si>
    <t>4.87</t>
  </si>
  <si>
    <t>Trinidad</t>
  </si>
  <si>
    <t>Florida</t>
  </si>
  <si>
    <t>UY-FD</t>
  </si>
  <si>
    <t>6.44</t>
  </si>
  <si>
    <t>Lavalleja</t>
  </si>
  <si>
    <t>UY-LA</t>
  </si>
  <si>
    <t>5.87</t>
  </si>
  <si>
    <t>Minas</t>
  </si>
  <si>
    <t>Maldonado</t>
  </si>
  <si>
    <t>UY-MA</t>
  </si>
  <si>
    <t>34.28</t>
  </si>
  <si>
    <t>Montevideo</t>
  </si>
  <si>
    <t>UY-MO</t>
  </si>
  <si>
    <t>1,319,108</t>
  </si>
  <si>
    <t>Paysandú</t>
  </si>
  <si>
    <t>UY-PA</t>
  </si>
  <si>
    <t>8.13</t>
  </si>
  <si>
    <t>UY-RN</t>
  </si>
  <si>
    <t>5.90</t>
  </si>
  <si>
    <t>Fray Bentos</t>
  </si>
  <si>
    <t>Rivera</t>
  </si>
  <si>
    <t>UY-RV</t>
  </si>
  <si>
    <t>11.04</t>
  </si>
  <si>
    <t>Rocha</t>
  </si>
  <si>
    <t>UY-RO</t>
  </si>
  <si>
    <t>6.45</t>
  </si>
  <si>
    <t>Salto</t>
  </si>
  <si>
    <t>UY-SA</t>
  </si>
  <si>
    <t>8.82</t>
  </si>
  <si>
    <t>San José</t>
  </si>
  <si>
    <t>UY-SJ</t>
  </si>
  <si>
    <t>21.70</t>
  </si>
  <si>
    <t>San José de Mayo</t>
  </si>
  <si>
    <t>Soriano</t>
  </si>
  <si>
    <t>UY-SO</t>
  </si>
  <si>
    <t>9.17</t>
  </si>
  <si>
    <t>Mercedes</t>
  </si>
  <si>
    <t>Tacuarembó</t>
  </si>
  <si>
    <t>UY-TA</t>
  </si>
  <si>
    <t>5.83</t>
  </si>
  <si>
    <t>Treinta y Tres  </t>
  </si>
  <si>
    <t>UY-TT</t>
  </si>
  <si>
    <t>4.97</t>
  </si>
  <si>
    <t>Treinta y Tres</t>
  </si>
  <si>
    <t>Flag or</t>
  </si>
  <si>
    <t>COA</t>
  </si>
  <si>
    <t>ISO 3166-2</t>
  </si>
  <si>
    <t>code</t>
  </si>
  <si>
    <t>Formation</t>
  </si>
  <si>
    <t>(2011)[1]</t>
  </si>
  <si>
    <t>Density</t>
  </si>
  <si>
    <t>(/km2)</t>
  </si>
  <si>
    <t>Capital population</t>
  </si>
  <si>
    <t>Bogotá</t>
  </si>
  <si>
    <t>8,906,342</t>
  </si>
  <si>
    <t>4670.80</t>
  </si>
  <si>
    <t>DC</t>
  </si>
  <si>
    <t>Carlos Fernando Galán</t>
  </si>
  <si>
    <t>New Liberalism</t>
  </si>
  <si>
    <t>Leticia</t>
  </si>
  <si>
    <t>0.7</t>
  </si>
  <si>
    <t>Óscar Enrique Sánchez Guerrero</t>
  </si>
  <si>
    <t>Historic Pact for Colombia</t>
  </si>
  <si>
    <t>Antioquia</t>
  </si>
  <si>
    <t>Medellín</t>
  </si>
  <si>
    <t>6,887,306</t>
  </si>
  <si>
    <t>100.72</t>
  </si>
  <si>
    <t>AN</t>
  </si>
  <si>
    <t>Andrés Julián Rendón Cardona</t>
  </si>
  <si>
    <t>Por Antioquia Firme</t>
  </si>
  <si>
    <t>Arauca</t>
  </si>
  <si>
    <t>11.01</t>
  </si>
  <si>
    <t>AR</t>
  </si>
  <si>
    <t>Manuel Alexander Pérez Rueda</t>
  </si>
  <si>
    <t>Democratic Center</t>
  </si>
  <si>
    <t>Atlántico</t>
  </si>
  <si>
    <t>Barranquilla</t>
  </si>
  <si>
    <t>2,804,025</t>
  </si>
  <si>
    <t>748.38</t>
  </si>
  <si>
    <t>AT</t>
  </si>
  <si>
    <t>Eduardo Verano de la Rosa</t>
  </si>
  <si>
    <t>Colombian Liberal Party</t>
  </si>
  <si>
    <t>Cartagena</t>
  </si>
  <si>
    <t>2,236,603</t>
  </si>
  <si>
    <t>79.69</t>
  </si>
  <si>
    <t>BL</t>
  </si>
  <si>
    <t>Yamil Hernando Arana Padaui</t>
  </si>
  <si>
    <t>Bolivar Mejor</t>
  </si>
  <si>
    <t>Boyacá</t>
  </si>
  <si>
    <t>Tunja</t>
  </si>
  <si>
    <t>1,259,601</t>
  </si>
  <si>
    <t>52.50</t>
  </si>
  <si>
    <t>BY</t>
  </si>
  <si>
    <t>Carlos Andrés Amaya Rodriguez</t>
  </si>
  <si>
    <t>Boyacá Grande</t>
  </si>
  <si>
    <t>Caldas</t>
  </si>
  <si>
    <t>Manizales</t>
  </si>
  <si>
    <t>1,036,455</t>
  </si>
  <si>
    <t>126.55</t>
  </si>
  <si>
    <t>CL</t>
  </si>
  <si>
    <t>Henry Gutiérrez Angel</t>
  </si>
  <si>
    <t>Por El Caldas Que Quiere La Gente</t>
  </si>
  <si>
    <t>Caquetá</t>
  </si>
  <si>
    <t>Florencia</t>
  </si>
  <si>
    <t>4.52</t>
  </si>
  <si>
    <t>CQ</t>
  </si>
  <si>
    <t>Luis Francisco Ruiz Aguilar</t>
  </si>
  <si>
    <t>Coalición Revive Caqueta</t>
  </si>
  <si>
    <t>Casanare</t>
  </si>
  <si>
    <t>Yopal</t>
  </si>
  <si>
    <t>9.42</t>
  </si>
  <si>
    <t>CS</t>
  </si>
  <si>
    <t>César Augusto Ortiz Zorro</t>
  </si>
  <si>
    <t>Coalición Por Casanare</t>
  </si>
  <si>
    <t>Cauca</t>
  </si>
  <si>
    <t>Popayán</t>
  </si>
  <si>
    <t>1,516,018</t>
  </si>
  <si>
    <t>49.97</t>
  </si>
  <si>
    <t>CA</t>
  </si>
  <si>
    <t>Jorge Octavio Guzmán Gutiérrez</t>
  </si>
  <si>
    <t>La Fuerza Del Pueblo</t>
  </si>
  <si>
    <t>Cesar</t>
  </si>
  <si>
    <t>Valledupar</t>
  </si>
  <si>
    <t>1,341,697</t>
  </si>
  <si>
    <t>52.42</t>
  </si>
  <si>
    <t>Elvia Milena Sanjuán Dávila</t>
  </si>
  <si>
    <t>El Cesar En Marcha</t>
  </si>
  <si>
    <t>Chocó</t>
  </si>
  <si>
    <t>Quibdó</t>
  </si>
  <si>
    <t>11.49</t>
  </si>
  <si>
    <t>Nubia Carolina Córdoba Curi</t>
  </si>
  <si>
    <t>Montería</t>
  </si>
  <si>
    <t>1,856,496</t>
  </si>
  <si>
    <t>71.33</t>
  </si>
  <si>
    <t>CO</t>
  </si>
  <si>
    <t>Erasmo Elías Zuleta Bechara</t>
  </si>
  <si>
    <t>Cordoba Pr1mero</t>
  </si>
  <si>
    <t>Cundinamarca</t>
  </si>
  <si>
    <t>2,473,634</t>
  </si>
  <si>
    <t>120.57</t>
  </si>
  <si>
    <t>CU</t>
  </si>
  <si>
    <t>Jorge Emilio Rey Ángel</t>
  </si>
  <si>
    <t>Caminando, Escuchando, Gobernando</t>
  </si>
  <si>
    <t>Guainía</t>
  </si>
  <si>
    <t>Inirida</t>
  </si>
  <si>
    <t>0.67</t>
  </si>
  <si>
    <t>GN</t>
  </si>
  <si>
    <t>Arnulfo Rivera Naranjo</t>
  </si>
  <si>
    <t>Coalición Trabajemos Guainía</t>
  </si>
  <si>
    <t>Guaviare</t>
  </si>
  <si>
    <t>San José del Guaviare  </t>
  </si>
  <si>
    <t>1.55</t>
  </si>
  <si>
    <t>GV</t>
  </si>
  <si>
    <t>Yeison Ferney Rojas Martínez</t>
  </si>
  <si>
    <t>Guaviare Seguimos Avanzando</t>
  </si>
  <si>
    <t>Huila</t>
  </si>
  <si>
    <t>Neiva</t>
  </si>
  <si>
    <t>1,140,932</t>
  </si>
  <si>
    <t>55.32</t>
  </si>
  <si>
    <t>HU</t>
  </si>
  <si>
    <t>Rodrigo Villaba Mosquera</t>
  </si>
  <si>
    <t>Por Un Huila Grande</t>
  </si>
  <si>
    <t>La Guajira</t>
  </si>
  <si>
    <t>Riohacha</t>
  </si>
  <si>
    <t>1,002,394</t>
  </si>
  <si>
    <t>42.24</t>
  </si>
  <si>
    <t>LG</t>
  </si>
  <si>
    <t>Jairo Alfonso Aguilar Deluque</t>
  </si>
  <si>
    <t>Union Party for the People, Radical Change, Independent Social Alliance, La Fuerza de la Paz and Partido Demócrata</t>
  </si>
  <si>
    <t>Magdalena</t>
  </si>
  <si>
    <t>Santa Marta</t>
  </si>
  <si>
    <t>1,463,427</t>
  </si>
  <si>
    <t>57.86</t>
  </si>
  <si>
    <t>Rafael Alejandro Martínez</t>
  </si>
  <si>
    <t>Fuerza Ciudadana</t>
  </si>
  <si>
    <t>Meta</t>
  </si>
  <si>
    <t>Villavicencio</t>
  </si>
  <si>
    <t>1,080,706</t>
  </si>
  <si>
    <t>12.14</t>
  </si>
  <si>
    <t>ME</t>
  </si>
  <si>
    <t>Rafaela Cortés Zambrano</t>
  </si>
  <si>
    <t>Coalición Fe y Firmeza</t>
  </si>
  <si>
    <t>Nariño</t>
  </si>
  <si>
    <t>Pasto</t>
  </si>
  <si>
    <t>1,629,181</t>
  </si>
  <si>
    <t>49.01</t>
  </si>
  <si>
    <t>NA</t>
  </si>
  <si>
    <t>Luis Alfonso Escobar Jaramillo</t>
  </si>
  <si>
    <t>Norte de Santander</t>
  </si>
  <si>
    <t>Cúcuta</t>
  </si>
  <si>
    <t>1,651,278</t>
  </si>
  <si>
    <t>68.87</t>
  </si>
  <si>
    <t>NS</t>
  </si>
  <si>
    <t>William Villamizar Laguado</t>
  </si>
  <si>
    <t>Coalición Por Amor A Nuestra Gente Del Norte</t>
  </si>
  <si>
    <t>Putumayo</t>
  </si>
  <si>
    <t>Mocoa</t>
  </si>
  <si>
    <t>13.99</t>
  </si>
  <si>
    <t>PU</t>
  </si>
  <si>
    <t>Carlos Andrés Marroquín Luna</t>
  </si>
  <si>
    <t>Coalición Somos La Fuerza De La Gente</t>
  </si>
  <si>
    <t>Quindío</t>
  </si>
  <si>
    <t>Armenia</t>
  </si>
  <si>
    <t>292.63</t>
  </si>
  <si>
    <t>QD</t>
  </si>
  <si>
    <t>Juan Miguel Galvis Bedoya</t>
  </si>
  <si>
    <t>Creemos Colombia</t>
  </si>
  <si>
    <t>Risaralda</t>
  </si>
  <si>
    <t>Pereira</t>
  </si>
  <si>
    <t>227.87</t>
  </si>
  <si>
    <t>RI</t>
  </si>
  <si>
    <t>Juan Diego Patiño Ochoa</t>
  </si>
  <si>
    <t>San Andrés y Providencia  </t>
  </si>
  <si>
    <t>San Andrés</t>
  </si>
  <si>
    <t>1178.46</t>
  </si>
  <si>
    <t>Nicolas Iván Gallardo Vásquez</t>
  </si>
  <si>
    <t>Coalición Avanzar es Posible</t>
  </si>
  <si>
    <t>Santander</t>
  </si>
  <si>
    <t>Bucaramanga</t>
  </si>
  <si>
    <t>2,324,090</t>
  </si>
  <si>
    <t>71.55</t>
  </si>
  <si>
    <t>ST</t>
  </si>
  <si>
    <t>Juvenal Díaz Mateus</t>
  </si>
  <si>
    <t>Coalición Es Tiempo Juvenal Gobernador</t>
  </si>
  <si>
    <t>Sincelejo</t>
  </si>
  <si>
    <t>82.89</t>
  </si>
  <si>
    <t>SU</t>
  </si>
  <si>
    <t>Lucy Inés García Montes</t>
  </si>
  <si>
    <t>Coalición Mujer de Resultados</t>
  </si>
  <si>
    <t>Tolima</t>
  </si>
  <si>
    <t>Ibagué</t>
  </si>
  <si>
    <t>1,346,935</t>
  </si>
  <si>
    <t>56.45</t>
  </si>
  <si>
    <t>Adriana Magali Matiz Vargas</t>
  </si>
  <si>
    <t>Coalición Con Seguridad en el Territorio</t>
  </si>
  <si>
    <t>Valle del Cauca</t>
  </si>
  <si>
    <t>Cali</t>
  </si>
  <si>
    <t>4,589,278</t>
  </si>
  <si>
    <t>202.16</t>
  </si>
  <si>
    <t>VC</t>
  </si>
  <si>
    <t>Dilian Francisca Toro Torres</t>
  </si>
  <si>
    <t>Coalición Unidos por el Valle</t>
  </si>
  <si>
    <t>Vaupés</t>
  </si>
  <si>
    <t>Mitú</t>
  </si>
  <si>
    <t>0.75</t>
  </si>
  <si>
    <t>VP</t>
  </si>
  <si>
    <t>Luis Alfredo Gutiérrez García</t>
  </si>
  <si>
    <t>Gente en Movimiento</t>
  </si>
  <si>
    <t>Vichada</t>
  </si>
  <si>
    <t>Puerto Carreño</t>
  </si>
  <si>
    <t>1.08</t>
  </si>
  <si>
    <t>VD</t>
  </si>
  <si>
    <t>Hecson Alexys Benito Castro</t>
  </si>
  <si>
    <t>Union Party for the People</t>
  </si>
  <si>
    <t>Population (December 2022)[2]</t>
  </si>
  <si>
    <t>Established as a department</t>
  </si>
  <si>
    <t>Governor (2024–2027)[3]</t>
  </si>
  <si>
    <t>Party or Coalition[3]</t>
  </si>
  <si>
    <t>[COL] Valle del Cauca</t>
  </si>
  <si>
    <t>Subdivision name</t>
  </si>
  <si>
    <t>(es)</t>
  </si>
  <si>
    <t>Subdivision name (qu)</t>
  </si>
  <si>
    <t>Subdivision name (ay)</t>
  </si>
  <si>
    <t>Subdivision category</t>
  </si>
  <si>
    <t>PE-AMA</t>
  </si>
  <si>
    <t>Amarumayu</t>
  </si>
  <si>
    <t>Amasunu</t>
  </si>
  <si>
    <t>region</t>
  </si>
  <si>
    <t>PE-ANC</t>
  </si>
  <si>
    <t>Ancash</t>
  </si>
  <si>
    <t>Anqash</t>
  </si>
  <si>
    <t>Ankashu</t>
  </si>
  <si>
    <t>PE-APU</t>
  </si>
  <si>
    <t>Apurímac</t>
  </si>
  <si>
    <t>Apurimaq</t>
  </si>
  <si>
    <t>PE-ARE</t>
  </si>
  <si>
    <t>Arequipa</t>
  </si>
  <si>
    <t>Ariqipa</t>
  </si>
  <si>
    <t>Arikipa</t>
  </si>
  <si>
    <t>PE-AYA</t>
  </si>
  <si>
    <t>Ayacucho</t>
  </si>
  <si>
    <t>Ayakuchu</t>
  </si>
  <si>
    <t>Ayaquchu</t>
  </si>
  <si>
    <t>PE-CAJ</t>
  </si>
  <si>
    <t>Cajamarca</t>
  </si>
  <si>
    <t>Kashamarka</t>
  </si>
  <si>
    <t>Qajamarka</t>
  </si>
  <si>
    <t>PE-CUS</t>
  </si>
  <si>
    <t>Cusco (local variant: Cuzco)</t>
  </si>
  <si>
    <t>Qusqu</t>
  </si>
  <si>
    <t>Kusku</t>
  </si>
  <si>
    <t>PE-CAL</t>
  </si>
  <si>
    <t>El Callao</t>
  </si>
  <si>
    <t>Qallaw</t>
  </si>
  <si>
    <t>Kallao</t>
  </si>
  <si>
    <t>PE-HUV</t>
  </si>
  <si>
    <t>Huancavelica</t>
  </si>
  <si>
    <t>Wankawillka</t>
  </si>
  <si>
    <t>Wankawelika</t>
  </si>
  <si>
    <t>PE-HUC</t>
  </si>
  <si>
    <t>Huánuco</t>
  </si>
  <si>
    <t>Wanuku</t>
  </si>
  <si>
    <t>PE-ICA</t>
  </si>
  <si>
    <t>Ica</t>
  </si>
  <si>
    <t>Ika</t>
  </si>
  <si>
    <t>PE-JUN</t>
  </si>
  <si>
    <t>Junín</t>
  </si>
  <si>
    <t>Hunin</t>
  </si>
  <si>
    <t>Junin</t>
  </si>
  <si>
    <t>PE-LAL</t>
  </si>
  <si>
    <t>Qispi kay</t>
  </si>
  <si>
    <t>PE-LAM</t>
  </si>
  <si>
    <t>Lambayeque</t>
  </si>
  <si>
    <t>Lampalliqi</t>
  </si>
  <si>
    <t>PE-LIM</t>
  </si>
  <si>
    <t>Lima</t>
  </si>
  <si>
    <t>PE-LOR</t>
  </si>
  <si>
    <t>Loreto</t>
  </si>
  <si>
    <t>Luritu</t>
  </si>
  <si>
    <t>PE-MDD</t>
  </si>
  <si>
    <t>Madre de Dios</t>
  </si>
  <si>
    <t>Mayutata</t>
  </si>
  <si>
    <t>PE-MOQ</t>
  </si>
  <si>
    <t>Moquegua</t>
  </si>
  <si>
    <t>Muqiwa</t>
  </si>
  <si>
    <t>Moqwegwa</t>
  </si>
  <si>
    <t>PE-LMA</t>
  </si>
  <si>
    <t>Municipalidad Metropolitana de Lima</t>
  </si>
  <si>
    <t>Lima llaqta suyu</t>
  </si>
  <si>
    <t>Lima hatun llaqta</t>
  </si>
  <si>
    <t>municipality</t>
  </si>
  <si>
    <t>PE-PAS</t>
  </si>
  <si>
    <t>Pasco</t>
  </si>
  <si>
    <t>Pasqu</t>
  </si>
  <si>
    <t>PE-PIU</t>
  </si>
  <si>
    <t>Piura</t>
  </si>
  <si>
    <t>Piwra</t>
  </si>
  <si>
    <t>PE-PUN</t>
  </si>
  <si>
    <t>Puno</t>
  </si>
  <si>
    <t>Punu</t>
  </si>
  <si>
    <t>PE-SAM</t>
  </si>
  <si>
    <t>San Martín</t>
  </si>
  <si>
    <t>San Martin</t>
  </si>
  <si>
    <t>PE-TAC</t>
  </si>
  <si>
    <t>Tacna</t>
  </si>
  <si>
    <t>Taqna</t>
  </si>
  <si>
    <t>Takna</t>
  </si>
  <si>
    <t>PE-TUM</t>
  </si>
  <si>
    <t>Tumbes</t>
  </si>
  <si>
    <t>Tumpis</t>
  </si>
  <si>
    <t>PE-UCA</t>
  </si>
  <si>
    <t>Ucayali</t>
  </si>
  <si>
    <t>Ukayali</t>
  </si>
  <si>
    <t>[CHL] Atacama Region</t>
  </si>
  <si>
    <t>[CHL] Other</t>
  </si>
  <si>
    <t>(English/Spanish)</t>
  </si>
  <si>
    <t>(2017 census)</t>
  </si>
  <si>
    <t>Former number</t>
  </si>
  <si>
    <t>Arica and Parinacota</t>
  </si>
  <si>
    <t>Región de Arica y Parinacota</t>
  </si>
  <si>
    <t>Arica</t>
  </si>
  <si>
    <t>XV</t>
  </si>
  <si>
    <t>Tarapacá</t>
  </si>
  <si>
    <t>Región de Tarapacá</t>
  </si>
  <si>
    <t>Iquique</t>
  </si>
  <si>
    <t>I</t>
  </si>
  <si>
    <t>Antofagasta</t>
  </si>
  <si>
    <t>Región de Antofagasta</t>
  </si>
  <si>
    <t>II</t>
  </si>
  <si>
    <t>Atacama</t>
  </si>
  <si>
    <t>Región de Atacama</t>
  </si>
  <si>
    <t>Copiapó</t>
  </si>
  <si>
    <t>III</t>
  </si>
  <si>
    <t>Coquimbo</t>
  </si>
  <si>
    <t>Región de Coquimbo</t>
  </si>
  <si>
    <t>La Serena</t>
  </si>
  <si>
    <t>IV</t>
  </si>
  <si>
    <t>Valparaíso</t>
  </si>
  <si>
    <t>Región de Valparaíso</t>
  </si>
  <si>
    <t>V</t>
  </si>
  <si>
    <t>Metropolitan</t>
  </si>
  <si>
    <t>Región Metropolitana de Santiago</t>
  </si>
  <si>
    <t>Santiago</t>
  </si>
  <si>
    <t>RM (XIII)</t>
  </si>
  <si>
    <t>O'Higgins</t>
  </si>
  <si>
    <t>Región del Libertador General Bernardo O'Higgins</t>
  </si>
  <si>
    <t>Rancagua</t>
  </si>
  <si>
    <t>VI</t>
  </si>
  <si>
    <t>Maule</t>
  </si>
  <si>
    <t>Región del Maule</t>
  </si>
  <si>
    <t>Talca</t>
  </si>
  <si>
    <t>VII</t>
  </si>
  <si>
    <t>Ñuble</t>
  </si>
  <si>
    <t>Región de Ñuble</t>
  </si>
  <si>
    <t>Chillán</t>
  </si>
  <si>
    <t>XVI</t>
  </si>
  <si>
    <t>Biobío</t>
  </si>
  <si>
    <t>Región del Biobío</t>
  </si>
  <si>
    <t>Concepción</t>
  </si>
  <si>
    <t>VIII</t>
  </si>
  <si>
    <t>Araucanía</t>
  </si>
  <si>
    <t>Región de La Araucanía</t>
  </si>
  <si>
    <t>Temuco</t>
  </si>
  <si>
    <t>IX</t>
  </si>
  <si>
    <t>Los Ríos</t>
  </si>
  <si>
    <t>Región de Los Ríos</t>
  </si>
  <si>
    <t>Valdivia</t>
  </si>
  <si>
    <t>XIV</t>
  </si>
  <si>
    <t>Los Lagos</t>
  </si>
  <si>
    <t>Región de Los Lagos</t>
  </si>
  <si>
    <t>Puerto Montt</t>
  </si>
  <si>
    <t>X</t>
  </si>
  <si>
    <t>Aysén</t>
  </si>
  <si>
    <t>Región Aysén del General Carlos Ibáñez del Campo</t>
  </si>
  <si>
    <t>Coyhaique</t>
  </si>
  <si>
    <t>XI</t>
  </si>
  <si>
    <t>Magallanes</t>
  </si>
  <si>
    <t>Región de Magallanes y de la Antártica Chilena</t>
  </si>
  <si>
    <t>Punta Arenas</t>
  </si>
  <si>
    <t>XII</t>
  </si>
  <si>
    <t>ISO 3166-2 code</t>
  </si>
  <si>
    <t>Capital city</t>
  </si>
  <si>
    <t>(2024)[1]</t>
  </si>
  <si>
    <t>km2 (sq mi)</t>
  </si>
  <si>
    <t>Deputy</t>
  </si>
  <si>
    <t>seats</t>
  </si>
  <si>
    <t>Beni</t>
  </si>
  <si>
    <t>B</t>
  </si>
  <si>
    <t>213,564 (82,458)</t>
  </si>
  <si>
    <t>2.24 (5.80)</t>
  </si>
  <si>
    <t>Chuquisaca</t>
  </si>
  <si>
    <t>H</t>
  </si>
  <si>
    <t>51,524 (19,894)</t>
  </si>
  <si>
    <t>11.65 (30.17)</t>
  </si>
  <si>
    <t>Cochabamba</t>
  </si>
  <si>
    <t>C</t>
  </si>
  <si>
    <t>55,631 (21,479)</t>
  </si>
  <si>
    <t>36.05 (93.37)</t>
  </si>
  <si>
    <t>La Paz</t>
  </si>
  <si>
    <t>L</t>
  </si>
  <si>
    <t>El Alto</t>
  </si>
  <si>
    <t>133,985 (51,732)</t>
  </si>
  <si>
    <t>22.56 (58.43)</t>
  </si>
  <si>
    <t>Oruro</t>
  </si>
  <si>
    <t>O</t>
  </si>
  <si>
    <t>53,588 (20,690)</t>
  </si>
  <si>
    <t>10.64 (27.56)</t>
  </si>
  <si>
    <t>Pando</t>
  </si>
  <si>
    <t>N</t>
  </si>
  <si>
    <t>Cobija</t>
  </si>
  <si>
    <t>63,827 (24,644)</t>
  </si>
  <si>
    <t>2.05 (5.31)</t>
  </si>
  <si>
    <t>Potosí</t>
  </si>
  <si>
    <t>P</t>
  </si>
  <si>
    <t>118,218 (45,644)</t>
  </si>
  <si>
    <t>7.24 (18.75)</t>
  </si>
  <si>
    <t>S</t>
  </si>
  <si>
    <t>Santa Cruz de la Sierra</t>
  </si>
  <si>
    <t>370,621 (143,098)</t>
  </si>
  <si>
    <t>8.41 (21.78)</t>
  </si>
  <si>
    <t>Tarija</t>
  </si>
  <si>
    <t>T</t>
  </si>
  <si>
    <t>37,623 (14,526)</t>
  </si>
  <si>
    <t>14.2 (36.78)</t>
  </si>
  <si>
    <t>ASU</t>
  </si>
  <si>
    <t>Asunción2 Distrito Capital</t>
  </si>
  <si>
    <t>Asunción</t>
  </si>
  <si>
    <t>Departamento de Concepción Concepción</t>
  </si>
  <si>
    <t>Departamento de San Pedro San Pedro</t>
  </si>
  <si>
    <t>San Pedro</t>
  </si>
  <si>
    <t>Departamento de Cordillera Cordillera</t>
  </si>
  <si>
    <t>Caacupé</t>
  </si>
  <si>
    <t>Departamento de Guairá Guairá</t>
  </si>
  <si>
    <t>Villarrica</t>
  </si>
  <si>
    <t>Departamento de Caaguazú Caaguazú</t>
  </si>
  <si>
    <t>Coronel Oviedo</t>
  </si>
  <si>
    <t>Departamento de Caazapá Caazapá</t>
  </si>
  <si>
    <t>Caazapá</t>
  </si>
  <si>
    <t>Departamento de Itapúa Itapúa</t>
  </si>
  <si>
    <t>Encarnación</t>
  </si>
  <si>
    <t>Departamento de Misiones Misiones</t>
  </si>
  <si>
    <t>San Juan Bautista</t>
  </si>
  <si>
    <t>Departamento de Paraguarí Paraguarí</t>
  </si>
  <si>
    <t>Paraguarí</t>
  </si>
  <si>
    <t>Departamento de Alto Paraná Alto Paraná</t>
  </si>
  <si>
    <t>Ciudad del Este</t>
  </si>
  <si>
    <t>Departamento Central Central</t>
  </si>
  <si>
    <t>Areguá</t>
  </si>
  <si>
    <t>Departamento de Ñeembucú Ñeembucú</t>
  </si>
  <si>
    <t>Pilar</t>
  </si>
  <si>
    <t>Departamento de Amambay Amambay</t>
  </si>
  <si>
    <t>Pedro Juan Caballero</t>
  </si>
  <si>
    <t>Departamento de Canindeyú Canindeyú</t>
  </si>
  <si>
    <t>Salto del Guairá</t>
  </si>
  <si>
    <t>Departamento de Presidente Hayes Presidente Hayes</t>
  </si>
  <si>
    <t>Villa Hayes</t>
  </si>
  <si>
    <t>Departamento de Alto Paraguay Alto Paraguay</t>
  </si>
  <si>
    <t>Fuerte Olimpo</t>
  </si>
  <si>
    <t>Departamento de Boquerón Boquerón</t>
  </si>
  <si>
    <t>Filadelfia</t>
  </si>
  <si>
    <t>ISO 3166-2:PY</t>
  </si>
  <si>
    <t>Population (2022 census)</t>
  </si>
  <si>
    <t>Districts</t>
  </si>
  <si>
    <t>Population density (pop./km2)</t>
  </si>
  <si>
    <t>https://www.crwflags.com/fotw/flags/sr-.html</t>
  </si>
  <si>
    <t>District</t>
  </si>
  <si>
    <t>Area (%)</t>
  </si>
  <si>
    <t>(2012 census)[1]</t>
  </si>
  <si>
    <t>Population (%)</t>
  </si>
  <si>
    <t>Pop. dens. (inhabitants/km2)</t>
  </si>
  <si>
    <t>Paramaribo</t>
  </si>
  <si>
    <t>Brokopondo</t>
  </si>
  <si>
    <t>Commewijne</t>
  </si>
  <si>
    <t>Nieuw-Amsterdam</t>
  </si>
  <si>
    <t>Coronie</t>
  </si>
  <si>
    <t>Totness</t>
  </si>
  <si>
    <t>Marowijne</t>
  </si>
  <si>
    <t>Albina</t>
  </si>
  <si>
    <t>Nickerie</t>
  </si>
  <si>
    <t>Nieuw-Nickerie</t>
  </si>
  <si>
    <t>Para</t>
  </si>
  <si>
    <t>Onverwacht</t>
  </si>
  <si>
    <t>Saramacca</t>
  </si>
  <si>
    <t>Groningen</t>
  </si>
  <si>
    <t>Sipaliwini</t>
  </si>
  <si>
    <t>none</t>
  </si>
  <si>
    <t>Wanica</t>
  </si>
  <si>
    <t>Lelydorp</t>
  </si>
  <si>
    <t>No.</t>
  </si>
  <si>
    <t>Pop.</t>
  </si>
  <si>
    <t>per km2</t>
  </si>
  <si>
    <t>Barima-Waini</t>
  </si>
  <si>
    <t>Mabaruma</t>
  </si>
  <si>
    <t>Pomeroon-Supenaam</t>
  </si>
  <si>
    <t>Anna Regina</t>
  </si>
  <si>
    <t>Essequibo Islands-West Demerara</t>
  </si>
  <si>
    <t>Vreed en Hoop</t>
  </si>
  <si>
    <t>Demerara-Mahaica</t>
  </si>
  <si>
    <t>Triumph[3][4]</t>
  </si>
  <si>
    <t>Mahaica-Berbice</t>
  </si>
  <si>
    <t>Fort Wellington</t>
  </si>
  <si>
    <t>East Berbice-Corentyne</t>
  </si>
  <si>
    <t>New Amsterdam</t>
  </si>
  <si>
    <t>Cuyuni-Mazaruni</t>
  </si>
  <si>
    <t>Bartica</t>
  </si>
  <si>
    <t>Potaro-Siparuni</t>
  </si>
  <si>
    <t>Mahdia</t>
  </si>
  <si>
    <t>Upper Takutu-Upper Essequibo</t>
  </si>
  <si>
    <t>Lethem</t>
  </si>
  <si>
    <t>Upper Demerara-Berbice</t>
  </si>
  <si>
    <t>Linden</t>
  </si>
  <si>
    <t>Georgetown</t>
  </si>
  <si>
    <t>1. Arrondissement of Cayenne (prefecture of the Guyane department: Cayenne), with 10 communes. The population of the arrondissement was 180,493 in 2021.</t>
  </si>
  <si>
    <t>2. Arrondissement of Saint-Georges (subprefecture: Saint-Georges), with 4 communes. The population of the arrondissement was 8,557 in 2021.</t>
  </si>
  <si>
    <t>3. Arrondissement of Saint-Laurent-du-Maroni (subprefecture: Saint-Laurent-du-Maroni), with 8 communes. The population of the arrondissement was 97,568 in 2021.</t>
  </si>
  <si>
    <t>Arrondissements of the Guyane department - Wikipedia</t>
  </si>
  <si>
    <t>[VEN]</t>
  </si>
  <si>
    <t>[URU]</t>
  </si>
  <si>
    <t>[SUR]</t>
  </si>
  <si>
    <t>[ARG]</t>
  </si>
  <si>
    <t>[BOL]</t>
  </si>
  <si>
    <t>[BRA]</t>
  </si>
  <si>
    <t>[CHL]</t>
  </si>
  <si>
    <t>[COL]</t>
  </si>
  <si>
    <t>[ECU]</t>
  </si>
  <si>
    <t>[FLK]</t>
  </si>
  <si>
    <t>[GUF]</t>
  </si>
  <si>
    <t>[GUY]</t>
  </si>
  <si>
    <t>[PER]</t>
  </si>
  <si>
    <t>[PRY]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</si>
</sst>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 #,##0.00_-;_-* &quot;-&quot;??_-;_-@_-"/>
  </numFmts>
  <fonts count="19" x14ac:knownFonts="1">
    <font>
      <sz val="11"/>
      <color theme="1"/>
      <name val="Aptos Narrow"/>
      <family val="2"/>
      <scheme val="minor"/>
    </font>
    <font>
      <sz val="11"/>
      <color theme="1"/>
      <name val="Aptos Narrow"/>
      <family val="2"/>
      <scheme val="minor"/>
    </font>
    <font>
      <sz val="11"/>
      <color rgb="FF000000"/>
      <name val="Aptos Narrow"/>
      <family val="2"/>
    </font>
    <font>
      <u/>
      <sz val="11"/>
      <color theme="10"/>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
      <b/>
      <sz val="10"/>
      <name val="Aptos Narrow"/>
      <family val="2"/>
      <scheme val="minor"/>
    </font>
    <font>
      <b/>
      <sz val="11"/>
      <name val="Aptos Narrow"/>
      <family val="2"/>
      <scheme val="minor"/>
    </font>
    <font>
      <sz val="11"/>
      <color theme="0"/>
      <name val="Aptos Narrow"/>
      <family val="2"/>
      <scheme val="minor"/>
    </font>
  </fonts>
  <fills count="40">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6" tint="-0.499984740745262"/>
        <bgColor indexed="64"/>
      </patternFill>
    </fill>
    <fill>
      <patternFill patternType="solid">
        <fgColor rgb="FF7A8416"/>
        <bgColor indexed="64"/>
      </patternFill>
    </fill>
    <fill>
      <patternFill patternType="solid">
        <fgColor theme="8" tint="-0.499984740745262"/>
        <bgColor indexed="64"/>
      </patternFill>
    </fill>
    <fill>
      <patternFill patternType="solid">
        <fgColor rgb="FFDDDDFF"/>
        <bgColor indexed="64"/>
      </patternFill>
    </fill>
    <fill>
      <patternFill patternType="solid">
        <fgColor theme="9" tint="-0.249977111117893"/>
        <bgColor indexed="64"/>
      </patternFill>
    </fill>
    <fill>
      <patternFill patternType="solid">
        <fgColor theme="5" tint="-0.499984740745262"/>
        <bgColor indexed="64"/>
      </patternFill>
    </fill>
    <fill>
      <patternFill patternType="solid">
        <fgColor rgb="FFBB6F69"/>
        <bgColor indexed="64"/>
      </patternFill>
    </fill>
    <fill>
      <patternFill patternType="solid">
        <fgColor theme="3" tint="9.9978637043366805E-2"/>
        <bgColor indexed="64"/>
      </patternFill>
    </fill>
    <fill>
      <patternFill patternType="solid">
        <fgColor theme="9" tint="0.59999389629810485"/>
        <bgColor indexed="64"/>
      </patternFill>
    </fill>
    <fill>
      <patternFill patternType="solid">
        <fgColor theme="8" tint="0.59999389629810485"/>
        <bgColor indexed="64"/>
      </patternFill>
    </fill>
  </fills>
  <borders count="23">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bottom style="medium">
        <color auto="1"/>
      </bottom>
      <diagonal/>
    </border>
    <border>
      <left/>
      <right/>
      <top style="medium">
        <color rgb="FFFDFDFD"/>
      </top>
      <bottom/>
      <diagonal/>
    </border>
    <border>
      <left style="medium">
        <color rgb="FFFDFDFD"/>
      </left>
      <right/>
      <top style="medium">
        <color rgb="FFFDFDFD"/>
      </top>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12" fillId="0" borderId="0" applyNumberFormat="0" applyFill="0" applyBorder="0" applyAlignment="0" applyProtection="0"/>
  </cellStyleXfs>
  <cellXfs count="111">
    <xf numFmtId="0" fontId="0" fillId="0" borderId="0" xfId="0"/>
    <xf numFmtId="0" fontId="4" fillId="0" borderId="1" xfId="0" applyFont="1" applyBorder="1" applyAlignment="1">
      <alignment horizontal="center" vertical="center"/>
    </xf>
    <xf numFmtId="0" fontId="5" fillId="0" borderId="0" xfId="0" applyFont="1" applyAlignment="1">
      <alignment horizontal="center"/>
    </xf>
    <xf numFmtId="0" fontId="5" fillId="0" borderId="0" xfId="0" applyFont="1" applyAlignment="1">
      <alignment horizontal="left"/>
    </xf>
    <xf numFmtId="0" fontId="5" fillId="2" borderId="0" xfId="0" applyFont="1" applyFill="1" applyAlignment="1">
      <alignment horizontal="left" vertical="center"/>
    </xf>
    <xf numFmtId="0" fontId="5" fillId="0" borderId="0" xfId="0" applyFont="1"/>
    <xf numFmtId="0" fontId="6" fillId="3" borderId="0" xfId="0" applyFont="1" applyFill="1"/>
    <xf numFmtId="3" fontId="7" fillId="4" borderId="0" xfId="1" applyNumberFormat="1" applyFont="1" applyFill="1" applyBorder="1" applyAlignment="1">
      <alignment horizontal="left"/>
    </xf>
    <xf numFmtId="3" fontId="7" fillId="5" borderId="0" xfId="1" applyNumberFormat="1" applyFont="1" applyFill="1" applyBorder="1" applyAlignment="1">
      <alignment horizontal="left"/>
    </xf>
    <xf numFmtId="3" fontId="7" fillId="6" borderId="0" xfId="1" applyNumberFormat="1" applyFont="1" applyFill="1" applyBorder="1" applyAlignment="1">
      <alignment horizontal="left"/>
    </xf>
    <xf numFmtId="49" fontId="8" fillId="7" borderId="0" xfId="1" applyNumberFormat="1" applyFont="1" applyFill="1" applyBorder="1" applyAlignment="1">
      <alignment horizontal="left"/>
    </xf>
    <xf numFmtId="3" fontId="9" fillId="8" borderId="0" xfId="1" applyNumberFormat="1" applyFont="1" applyFill="1" applyBorder="1" applyAlignment="1">
      <alignment horizontal="left"/>
    </xf>
    <xf numFmtId="0" fontId="10" fillId="0" borderId="2" xfId="0" applyFont="1" applyBorder="1" applyAlignment="1">
      <alignment horizontal="center"/>
    </xf>
    <xf numFmtId="0" fontId="8" fillId="9" borderId="3" xfId="0" applyFont="1" applyFill="1" applyBorder="1" applyAlignment="1">
      <alignment horizontal="center"/>
    </xf>
    <xf numFmtId="0" fontId="10" fillId="0" borderId="4" xfId="0" applyFont="1" applyBorder="1"/>
    <xf numFmtId="0" fontId="5" fillId="0" borderId="4" xfId="0" applyFont="1" applyBorder="1"/>
    <xf numFmtId="0" fontId="10" fillId="0" borderId="5" xfId="0" applyFont="1" applyBorder="1"/>
    <xf numFmtId="0" fontId="10" fillId="0" borderId="3" xfId="0" applyFont="1" applyBorder="1" applyAlignment="1">
      <alignment horizontal="center"/>
    </xf>
    <xf numFmtId="0" fontId="10" fillId="10" borderId="3" xfId="0" applyFont="1" applyFill="1" applyBorder="1"/>
    <xf numFmtId="0" fontId="10" fillId="10" borderId="6" xfId="0" applyFont="1" applyFill="1" applyBorder="1"/>
    <xf numFmtId="0" fontId="10" fillId="11" borderId="3" xfId="0" applyFont="1" applyFill="1" applyBorder="1"/>
    <xf numFmtId="0" fontId="10" fillId="0" borderId="6" xfId="0" applyFont="1" applyBorder="1"/>
    <xf numFmtId="0" fontId="10" fillId="12" borderId="6" xfId="0" applyFont="1" applyFill="1" applyBorder="1"/>
    <xf numFmtId="0" fontId="10" fillId="12" borderId="0" xfId="0" applyFont="1" applyFill="1"/>
    <xf numFmtId="0" fontId="8" fillId="9" borderId="5" xfId="0" applyFont="1" applyFill="1" applyBorder="1" applyAlignment="1">
      <alignment horizontal="center"/>
    </xf>
    <xf numFmtId="0" fontId="10" fillId="0" borderId="2" xfId="0" applyFont="1" applyBorder="1"/>
    <xf numFmtId="0" fontId="10" fillId="0" borderId="3" xfId="0" applyFont="1" applyBorder="1"/>
    <xf numFmtId="0" fontId="10" fillId="13" borderId="7" xfId="0" applyFont="1" applyFill="1" applyBorder="1"/>
    <xf numFmtId="0" fontId="10" fillId="13" borderId="6" xfId="0" applyFont="1" applyFill="1" applyBorder="1"/>
    <xf numFmtId="0" fontId="10" fillId="13" borderId="0" xfId="0" applyFont="1" applyFill="1"/>
    <xf numFmtId="16" fontId="7" fillId="14" borderId="0" xfId="1" applyNumberFormat="1" applyFont="1" applyFill="1" applyBorder="1" applyAlignment="1">
      <alignment horizontal="center"/>
    </xf>
    <xf numFmtId="0" fontId="10" fillId="0" borderId="8" xfId="0" applyFont="1" applyBorder="1"/>
    <xf numFmtId="0" fontId="10"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10" fillId="0" borderId="10" xfId="0" applyFont="1" applyBorder="1"/>
    <xf numFmtId="9" fontId="11" fillId="15" borderId="9" xfId="2" applyFont="1" applyFill="1" applyBorder="1" applyAlignment="1">
      <alignment horizontal="center" vertical="center"/>
    </xf>
    <xf numFmtId="9" fontId="11" fillId="16" borderId="9" xfId="2" applyFont="1" applyFill="1" applyBorder="1" applyAlignment="1">
      <alignment horizontal="center" vertical="center"/>
    </xf>
    <xf numFmtId="0" fontId="13" fillId="0" borderId="11" xfId="4" applyFont="1" applyFill="1" applyBorder="1" applyAlignment="1">
      <alignment horizontal="left" vertical="center"/>
    </xf>
    <xf numFmtId="0" fontId="5" fillId="0" borderId="0" xfId="0" applyFont="1" applyAlignment="1">
      <alignment horizontal="center" vertical="center"/>
    </xf>
    <xf numFmtId="0" fontId="13" fillId="18" borderId="9" xfId="3" applyFont="1" applyFill="1" applyBorder="1" applyAlignment="1">
      <alignment horizontal="left" vertical="center"/>
    </xf>
    <xf numFmtId="0" fontId="5" fillId="2" borderId="9" xfId="0" applyFont="1" applyFill="1" applyBorder="1" applyAlignment="1">
      <alignment horizontal="left" vertical="center"/>
    </xf>
    <xf numFmtId="1" fontId="5" fillId="0" borderId="0" xfId="0" applyNumberFormat="1" applyFont="1" applyAlignment="1">
      <alignment horizontal="center" vertical="center"/>
    </xf>
    <xf numFmtId="0" fontId="14" fillId="3" borderId="9" xfId="0" applyFont="1" applyFill="1" applyBorder="1" applyAlignment="1">
      <alignment vertical="center"/>
    </xf>
    <xf numFmtId="0" fontId="5" fillId="0" borderId="0" xfId="0" applyFont="1" applyAlignment="1">
      <alignment vertical="center"/>
    </xf>
    <xf numFmtId="3" fontId="5" fillId="19" borderId="9" xfId="1" applyNumberFormat="1" applyFont="1" applyFill="1" applyBorder="1" applyAlignment="1">
      <alignment horizontal="left" vertical="center"/>
    </xf>
    <xf numFmtId="3" fontId="5" fillId="20" borderId="12" xfId="1" applyNumberFormat="1" applyFont="1" applyFill="1" applyBorder="1" applyAlignment="1">
      <alignment horizontal="left" vertical="center"/>
    </xf>
    <xf numFmtId="3" fontId="5" fillId="16" borderId="12" xfId="1" applyNumberFormat="1" applyFont="1" applyFill="1" applyBorder="1" applyAlignment="1">
      <alignment horizontal="left" vertical="center"/>
    </xf>
    <xf numFmtId="3" fontId="5" fillId="21" borderId="12" xfId="1" applyNumberFormat="1" applyFont="1" applyFill="1" applyBorder="1" applyAlignment="1">
      <alignment horizontal="left" vertical="center"/>
    </xf>
    <xf numFmtId="0" fontId="5" fillId="0" borderId="13" xfId="0" applyFont="1" applyBorder="1" applyAlignment="1">
      <alignment horizontal="center" vertical="center"/>
    </xf>
    <xf numFmtId="0" fontId="5" fillId="21" borderId="14" xfId="0" applyFont="1" applyFill="1" applyBorder="1" applyAlignment="1">
      <alignment horizontal="center" vertical="center"/>
    </xf>
    <xf numFmtId="0" fontId="5" fillId="0" borderId="15" xfId="0" applyFont="1" applyBorder="1" applyAlignment="1">
      <alignment vertical="center"/>
    </xf>
    <xf numFmtId="0" fontId="5" fillId="0" borderId="16" xfId="0" applyFont="1" applyBorder="1" applyAlignment="1">
      <alignment vertical="center"/>
    </xf>
    <xf numFmtId="0" fontId="5" fillId="0" borderId="17" xfId="0" applyFont="1" applyBorder="1" applyAlignment="1">
      <alignment vertical="center"/>
    </xf>
    <xf numFmtId="0" fontId="5" fillId="18" borderId="14" xfId="0" applyFont="1" applyFill="1" applyBorder="1" applyAlignment="1">
      <alignment horizontal="center" vertical="center"/>
    </xf>
    <xf numFmtId="0" fontId="5" fillId="0" borderId="18" xfId="0" applyFont="1" applyBorder="1" applyAlignment="1">
      <alignment vertical="center"/>
    </xf>
    <xf numFmtId="0" fontId="5" fillId="3" borderId="9" xfId="0" applyFont="1" applyFill="1" applyBorder="1" applyAlignment="1">
      <alignment vertical="center"/>
    </xf>
    <xf numFmtId="0" fontId="5" fillId="22" borderId="9" xfId="0" applyFont="1" applyFill="1" applyBorder="1" applyAlignment="1">
      <alignment vertical="center"/>
    </xf>
    <xf numFmtId="0" fontId="5" fillId="15" borderId="9" xfId="0" applyFont="1" applyFill="1" applyBorder="1" applyAlignment="1">
      <alignment vertical="center"/>
    </xf>
    <xf numFmtId="0" fontId="5" fillId="0" borderId="9" xfId="0" applyFont="1" applyBorder="1" applyAlignment="1">
      <alignment vertical="center"/>
    </xf>
    <xf numFmtId="0" fontId="5" fillId="13" borderId="9" xfId="0" applyFont="1" applyFill="1" applyBorder="1" applyAlignment="1">
      <alignment vertical="center"/>
    </xf>
    <xf numFmtId="0" fontId="5" fillId="23" borderId="9" xfId="0" applyFont="1" applyFill="1" applyBorder="1" applyAlignment="1">
      <alignment vertical="center"/>
    </xf>
    <xf numFmtId="0" fontId="5" fillId="24" borderId="12" xfId="0" applyFont="1" applyFill="1" applyBorder="1" applyAlignment="1">
      <alignment vertical="center"/>
    </xf>
    <xf numFmtId="0" fontId="5" fillId="0" borderId="13" xfId="0" applyFont="1" applyBorder="1" applyAlignment="1">
      <alignment vertical="center"/>
    </xf>
    <xf numFmtId="16" fontId="5" fillId="3" borderId="9" xfId="1" applyNumberFormat="1" applyFont="1" applyFill="1" applyBorder="1" applyAlignment="1">
      <alignment horizontal="center" vertical="center"/>
    </xf>
    <xf numFmtId="0" fontId="5" fillId="25" borderId="9" xfId="0" applyFont="1" applyFill="1" applyBorder="1" applyAlignment="1">
      <alignment vertical="center"/>
    </xf>
    <xf numFmtId="0" fontId="5" fillId="26" borderId="9" xfId="0" applyFont="1" applyFill="1" applyBorder="1" applyAlignment="1">
      <alignment vertical="center"/>
    </xf>
    <xf numFmtId="0" fontId="5" fillId="27" borderId="9" xfId="0" applyFont="1" applyFill="1" applyBorder="1" applyAlignment="1">
      <alignment vertical="center" wrapText="1"/>
    </xf>
    <xf numFmtId="9" fontId="15" fillId="0" borderId="9" xfId="2" applyFont="1" applyBorder="1" applyAlignment="1">
      <alignment horizontal="center" vertical="center"/>
    </xf>
    <xf numFmtId="0" fontId="3" fillId="0" borderId="0" xfId="3" applyAlignment="1">
      <alignment vertical="center"/>
    </xf>
    <xf numFmtId="0" fontId="13" fillId="17" borderId="9" xfId="3" applyFont="1" applyFill="1" applyBorder="1" applyAlignment="1">
      <alignment horizontal="left" vertical="center"/>
    </xf>
    <xf numFmtId="14" fontId="5" fillId="0" borderId="18" xfId="0" applyNumberFormat="1" applyFont="1" applyBorder="1" applyAlignment="1">
      <alignment vertical="center"/>
    </xf>
    <xf numFmtId="14" fontId="5" fillId="0" borderId="0" xfId="0" applyNumberFormat="1" applyFont="1" applyAlignment="1">
      <alignment vertical="center"/>
    </xf>
    <xf numFmtId="0" fontId="5" fillId="0" borderId="12" xfId="0" applyFont="1" applyBorder="1" applyAlignment="1">
      <alignment horizontal="center" vertical="center"/>
    </xf>
    <xf numFmtId="49" fontId="10" fillId="17" borderId="12" xfId="1" applyNumberFormat="1" applyFont="1" applyFill="1" applyBorder="1" applyAlignment="1">
      <alignment horizontal="left" vertical="center"/>
    </xf>
    <xf numFmtId="0" fontId="5" fillId="15" borderId="0" xfId="0" applyFont="1" applyFill="1" applyAlignment="1">
      <alignment horizontal="center" vertical="center"/>
    </xf>
    <xf numFmtId="0" fontId="9" fillId="0" borderId="0" xfId="0" applyFont="1"/>
    <xf numFmtId="0" fontId="9" fillId="0" borderId="0" xfId="0" applyFont="1" applyAlignment="1">
      <alignment horizontal="center"/>
    </xf>
    <xf numFmtId="0" fontId="9" fillId="0" borderId="0" xfId="0" applyFont="1" applyAlignment="1">
      <alignment horizontal="left"/>
    </xf>
    <xf numFmtId="49" fontId="16" fillId="0" borderId="0" xfId="0" applyNumberFormat="1" applyFont="1" applyAlignment="1">
      <alignment horizontal="left"/>
    </xf>
    <xf numFmtId="16" fontId="9" fillId="0" borderId="0" xfId="0" applyNumberFormat="1" applyFont="1" applyAlignment="1">
      <alignment horizontal="center"/>
    </xf>
    <xf numFmtId="9" fontId="17" fillId="0" borderId="0" xfId="2" applyFont="1" applyFill="1" applyBorder="1" applyAlignment="1">
      <alignment horizontal="center"/>
    </xf>
    <xf numFmtId="0" fontId="4" fillId="0" borderId="0" xfId="0" applyFont="1" applyAlignment="1">
      <alignment horizontal="center" vertical="center"/>
    </xf>
    <xf numFmtId="0" fontId="13" fillId="0" borderId="19" xfId="4" applyFont="1" applyFill="1" applyBorder="1" applyAlignment="1">
      <alignment horizontal="left" vertical="center"/>
    </xf>
    <xf numFmtId="0" fontId="13" fillId="17" borderId="11" xfId="4" applyFont="1" applyFill="1" applyBorder="1" applyAlignment="1">
      <alignment horizontal="left" vertical="center"/>
    </xf>
    <xf numFmtId="0" fontId="13" fillId="18" borderId="11" xfId="4" applyFont="1" applyFill="1" applyBorder="1" applyAlignment="1">
      <alignment horizontal="left" vertical="center"/>
    </xf>
    <xf numFmtId="0" fontId="13" fillId="28" borderId="11" xfId="4" applyFont="1" applyFill="1" applyBorder="1" applyAlignment="1">
      <alignment horizontal="left" vertical="center"/>
    </xf>
    <xf numFmtId="0" fontId="0" fillId="8" borderId="0" xfId="0" applyFill="1"/>
    <xf numFmtId="0" fontId="9" fillId="8" borderId="0" xfId="0" applyFont="1" applyFill="1"/>
    <xf numFmtId="0" fontId="0" fillId="26" borderId="0" xfId="0" applyFill="1"/>
    <xf numFmtId="0" fontId="9" fillId="26" borderId="0" xfId="0" applyFont="1" applyFill="1"/>
    <xf numFmtId="0" fontId="0" fillId="0" borderId="20" xfId="0" applyBorder="1"/>
    <xf numFmtId="0" fontId="0" fillId="24" borderId="0" xfId="0" applyFill="1"/>
    <xf numFmtId="0" fontId="3" fillId="33" borderId="21" xfId="3" applyFill="1" applyBorder="1" applyAlignment="1">
      <alignment horizontal="left" vertical="center" indent="1"/>
    </xf>
    <xf numFmtId="0" fontId="3" fillId="0" borderId="22" xfId="3" applyBorder="1" applyAlignment="1">
      <alignment horizontal="left" vertical="center" wrapText="1"/>
    </xf>
    <xf numFmtId="4" fontId="0" fillId="0" borderId="0" xfId="0" applyNumberFormat="1"/>
    <xf numFmtId="3" fontId="0" fillId="0" borderId="0" xfId="0" applyNumberFormat="1"/>
    <xf numFmtId="0" fontId="3" fillId="0" borderId="0" xfId="3"/>
    <xf numFmtId="0" fontId="18" fillId="32" borderId="0" xfId="0" applyFont="1" applyFill="1" applyAlignment="1">
      <alignment horizontal="center"/>
    </xf>
    <xf numFmtId="0" fontId="18" fillId="30" borderId="0" xfId="0" applyFont="1" applyFill="1" applyAlignment="1">
      <alignment horizontal="center"/>
    </xf>
    <xf numFmtId="0" fontId="0" fillId="29" borderId="0" xfId="0" applyFill="1" applyAlignment="1">
      <alignment horizontal="center"/>
    </xf>
    <xf numFmtId="0" fontId="18" fillId="36" borderId="0" xfId="0" applyFont="1" applyFill="1" applyAlignment="1">
      <alignment horizontal="center"/>
    </xf>
    <xf numFmtId="0" fontId="18" fillId="34" borderId="0" xfId="0" applyFont="1" applyFill="1" applyAlignment="1">
      <alignment horizontal="center"/>
    </xf>
    <xf numFmtId="0" fontId="18" fillId="24" borderId="0" xfId="0" applyFont="1" applyFill="1" applyAlignment="1">
      <alignment horizontal="center"/>
    </xf>
    <xf numFmtId="0" fontId="0" fillId="31" borderId="0" xfId="0" applyFill="1" applyAlignment="1">
      <alignment horizontal="center"/>
    </xf>
    <xf numFmtId="0" fontId="11" fillId="25" borderId="0" xfId="0" applyFont="1" applyFill="1" applyAlignment="1">
      <alignment horizontal="center"/>
    </xf>
    <xf numFmtId="0" fontId="18" fillId="37" borderId="0" xfId="0" applyFont="1" applyFill="1" applyAlignment="1">
      <alignment horizontal="center"/>
    </xf>
    <xf numFmtId="0" fontId="11" fillId="38" borderId="0" xfId="0" applyFont="1" applyFill="1" applyAlignment="1">
      <alignment horizontal="center"/>
    </xf>
    <xf numFmtId="0" fontId="18" fillId="35" borderId="0" xfId="0" applyFont="1" applyFill="1" applyAlignment="1">
      <alignment horizontal="center"/>
    </xf>
    <xf numFmtId="0" fontId="11" fillId="12" borderId="0" xfId="0" applyFont="1" applyFill="1" applyAlignment="1">
      <alignment horizontal="center"/>
    </xf>
    <xf numFmtId="0" fontId="11" fillId="39" borderId="0" xfId="0" applyFont="1" applyFill="1" applyAlignment="1">
      <alignment horizontal="center"/>
    </xf>
  </cellXfs>
  <cellStyles count="5">
    <cellStyle name="Comma" xfId="1" builtinId="3"/>
    <cellStyle name="Hyperlink" xfId="3" builtinId="8"/>
    <cellStyle name="Hyperlink 2" xfId="4" xr:uid="{CD5BA291-F7AD-4CEC-BDD3-CD89371D96BC}"/>
    <cellStyle name="Normal" xfId="0" builtinId="0"/>
    <cellStyle name="Percent" xfId="2" builtinId="5"/>
  </cellStyles>
  <dxfs count="1040">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colors>
    <mruColors>
      <color rgb="FFBB6F69"/>
      <color rgb="FF7A84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127.svg"/><Relationship Id="rId1" Type="http://schemas.openxmlformats.org/officeDocument/2006/relationships/image" Target="../media/image12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6</xdr:row>
          <xdr:rowOff>68580</xdr:rowOff>
        </xdr:from>
        <xdr:to>
          <xdr:col>3</xdr:col>
          <xdr:colOff>15240</xdr:colOff>
          <xdr:row>14</xdr:row>
          <xdr:rowOff>15240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0</xdr:row>
          <xdr:rowOff>99060</xdr:rowOff>
        </xdr:from>
        <xdr:to>
          <xdr:col>0</xdr:col>
          <xdr:colOff>746760</xdr:colOff>
          <xdr:row>0</xdr:row>
          <xdr:rowOff>403860</xdr:rowOff>
        </xdr:to>
        <xdr:sp macro="" textlink="">
          <xdr:nvSpPr>
            <xdr:cNvPr id="2" name="Button 3" hidden="1">
              <a:extLst>
                <a:ext uri="{63B3BB69-23CF-44E3-9099-C40C66FF867C}">
                  <a14:compatExt spid="_x0000_s3075"/>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2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xdr:twoCellAnchor>
    <xdr:from>
      <xdr:col>1</xdr:col>
      <xdr:colOff>36576</xdr:colOff>
      <xdr:row>3</xdr:row>
      <xdr:rowOff>24384</xdr:rowOff>
    </xdr:from>
    <xdr:to>
      <xdr:col>1</xdr:col>
      <xdr:colOff>694944</xdr:colOff>
      <xdr:row>3</xdr:row>
      <xdr:rowOff>463296</xdr:rowOff>
    </xdr:to>
    <xdr:pic>
      <xdr:nvPicPr>
        <xdr:cNvPr id="3" name="Graphic 2">
          <a:extLst>
            <a:ext uri="{FF2B5EF4-FFF2-40B4-BE49-F238E27FC236}">
              <a16:creationId xmlns:a16="http://schemas.microsoft.com/office/drawing/2014/main" id="{66279CDE-DE7E-4A3B-B5F2-30089B30D962}"/>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33216" y="10265664"/>
          <a:ext cx="658368" cy="43891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38100</xdr:colOff>
          <xdr:row>0</xdr:row>
          <xdr:rowOff>99060</xdr:rowOff>
        </xdr:from>
        <xdr:to>
          <xdr:col>0</xdr:col>
          <xdr:colOff>662940</xdr:colOff>
          <xdr:row>0</xdr:row>
          <xdr:rowOff>403860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200-000003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114300</xdr:rowOff>
        </xdr:from>
        <xdr:to>
          <xdr:col>0</xdr:col>
          <xdr:colOff>762000</xdr:colOff>
          <xdr:row>0</xdr:row>
          <xdr:rowOff>419100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220980</xdr:colOff>
          <xdr:row>0</xdr:row>
          <xdr:rowOff>99060</xdr:rowOff>
        </xdr:from>
        <xdr:to>
          <xdr:col>0</xdr:col>
          <xdr:colOff>845820</xdr:colOff>
          <xdr:row>0</xdr:row>
          <xdr:rowOff>403860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0</xdr:row>
          <xdr:rowOff>99060</xdr:rowOff>
        </xdr:from>
        <xdr:to>
          <xdr:col>0</xdr:col>
          <xdr:colOff>762000</xdr:colOff>
          <xdr:row>0</xdr:row>
          <xdr:rowOff>403860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68580</xdr:rowOff>
        </xdr:from>
        <xdr:to>
          <xdr:col>0</xdr:col>
          <xdr:colOff>624840</xdr:colOff>
          <xdr:row>0</xdr:row>
          <xdr:rowOff>373380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7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7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198120</xdr:colOff>
          <xdr:row>0</xdr:row>
          <xdr:rowOff>76200</xdr:rowOff>
        </xdr:from>
        <xdr:to>
          <xdr:col>0</xdr:col>
          <xdr:colOff>822960</xdr:colOff>
          <xdr:row>0</xdr:row>
          <xdr:rowOff>381000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7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0</xdr:row>
          <xdr:rowOff>45720</xdr:rowOff>
        </xdr:from>
        <xdr:to>
          <xdr:col>0</xdr:col>
          <xdr:colOff>701040</xdr:colOff>
          <xdr:row>0</xdr:row>
          <xdr:rowOff>350520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9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91440</xdr:rowOff>
        </xdr:from>
        <xdr:to>
          <xdr:col>0</xdr:col>
          <xdr:colOff>670560</xdr:colOff>
          <xdr:row>0</xdr:row>
          <xdr:rowOff>396240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900-000003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91440</xdr:rowOff>
        </xdr:from>
        <xdr:to>
          <xdr:col>0</xdr:col>
          <xdr:colOff>624840</xdr:colOff>
          <xdr:row>0</xdr:row>
          <xdr:rowOff>396240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xdr:colOff>
          <xdr:row>0</xdr:row>
          <xdr:rowOff>68580</xdr:rowOff>
        </xdr:from>
        <xdr:to>
          <xdr:col>0</xdr:col>
          <xdr:colOff>678180</xdr:colOff>
          <xdr:row>0</xdr:row>
          <xdr:rowOff>373380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C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53340</xdr:rowOff>
        </xdr:from>
        <xdr:to>
          <xdr:col>0</xdr:col>
          <xdr:colOff>632460</xdr:colOff>
          <xdr:row>0</xdr:row>
          <xdr:rowOff>358140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C00-00000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D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D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83820</xdr:rowOff>
        </xdr:from>
        <xdr:to>
          <xdr:col>0</xdr:col>
          <xdr:colOff>632460</xdr:colOff>
          <xdr:row>0</xdr:row>
          <xdr:rowOff>388620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D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3368040</xdr:colOff>
          <xdr:row>0</xdr:row>
          <xdr:rowOff>0</xdr:rowOff>
        </xdr:from>
        <xdr:to>
          <xdr:col>2</xdr:col>
          <xdr:colOff>0</xdr:colOff>
          <xdr:row>0</xdr:row>
          <xdr:rowOff>373380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E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Download Flag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0</xdr:row>
          <xdr:rowOff>45720</xdr:rowOff>
        </xdr:from>
        <xdr:to>
          <xdr:col>8</xdr:col>
          <xdr:colOff>693420</xdr:colOff>
          <xdr:row>0</xdr:row>
          <xdr:rowOff>403860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E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Replace break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60960</xdr:rowOff>
        </xdr:from>
        <xdr:to>
          <xdr:col>0</xdr:col>
          <xdr:colOff>624840</xdr:colOff>
          <xdr:row>0</xdr:row>
          <xdr:rowOff>365760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E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Go To</a:t>
              </a:r>
            </a:p>
          </xdr:txBody>
        </xdr:sp>
        <xdr:clientData fPrintsWithSheet="0"/>
      </xdr:twoCellAnchor>
    </mc:Choice>
    <mc:Fallback/>
  </mc:AlternateContent>
</xdr:wsDr>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gif"/><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gif"/><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80" Type="http://schemas.openxmlformats.org/officeDocument/2006/relationships/image" Target="../media/image80.gif"/><Relationship Id="rId85" Type="http://schemas.openxmlformats.org/officeDocument/2006/relationships/image" Target="../media/image85.png"/><Relationship Id="rId12" Type="http://schemas.openxmlformats.org/officeDocument/2006/relationships/image" Target="../media/image12.png"/><Relationship Id="rId17" Type="http://schemas.openxmlformats.org/officeDocument/2006/relationships/image" Target="../media/image17.png"/><Relationship Id="rId33" Type="http://schemas.openxmlformats.org/officeDocument/2006/relationships/image" Target="../media/image33.png"/><Relationship Id="rId38" Type="http://schemas.openxmlformats.org/officeDocument/2006/relationships/image" Target="../media/image38.png"/><Relationship Id="rId59" Type="http://schemas.openxmlformats.org/officeDocument/2006/relationships/image" Target="../media/image59.gif"/><Relationship Id="rId103" Type="http://schemas.openxmlformats.org/officeDocument/2006/relationships/image" Target="../media/image103.png"/><Relationship Id="rId108" Type="http://schemas.openxmlformats.org/officeDocument/2006/relationships/image" Target="../media/image108.png"/><Relationship Id="rId124" Type="http://schemas.openxmlformats.org/officeDocument/2006/relationships/image" Target="../media/image124.png"/><Relationship Id="rId54" Type="http://schemas.openxmlformats.org/officeDocument/2006/relationships/image" Target="../media/image54.png"/><Relationship Id="rId70" Type="http://schemas.openxmlformats.org/officeDocument/2006/relationships/image" Target="../media/image70.png"/><Relationship Id="rId75" Type="http://schemas.openxmlformats.org/officeDocument/2006/relationships/image" Target="../media/image75.png"/><Relationship Id="rId91" Type="http://schemas.openxmlformats.org/officeDocument/2006/relationships/image" Target="../media/image91.png"/><Relationship Id="rId96" Type="http://schemas.openxmlformats.org/officeDocument/2006/relationships/image" Target="../media/image96.png"/><Relationship Id="rId1" Type="http://schemas.openxmlformats.org/officeDocument/2006/relationships/image" Target="../media/image1.png"/><Relationship Id="rId6" Type="http://schemas.openxmlformats.org/officeDocument/2006/relationships/image" Target="../media/image6.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119" Type="http://schemas.openxmlformats.org/officeDocument/2006/relationships/image" Target="../media/image119.png"/><Relationship Id="rId44" Type="http://schemas.openxmlformats.org/officeDocument/2006/relationships/image" Target="../media/image44.png"/><Relationship Id="rId60" Type="http://schemas.openxmlformats.org/officeDocument/2006/relationships/image" Target="../media/image60.gif"/><Relationship Id="rId65" Type="http://schemas.openxmlformats.org/officeDocument/2006/relationships/image" Target="../media/image65.png"/><Relationship Id="rId81" Type="http://schemas.openxmlformats.org/officeDocument/2006/relationships/image" Target="../media/image81.png"/><Relationship Id="rId86" Type="http://schemas.openxmlformats.org/officeDocument/2006/relationships/image" Target="../media/image86.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gif"/><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gif"/><Relationship Id="rId116" Type="http://schemas.openxmlformats.org/officeDocument/2006/relationships/image" Target="../media/image116.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gif"/><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4" Type="http://schemas.openxmlformats.org/officeDocument/2006/relationships/image" Target="../media/image4.png"/><Relationship Id="rId9" Type="http://schemas.openxmlformats.org/officeDocument/2006/relationships/image" Target="../media/image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2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 s="0">
    <v>118</v>
    <v>5</v>
  </rv>
  <rv s="0">
    <v>119</v>
    <v>5</v>
  </rv>
  <rv s="0">
    <v>120</v>
    <v>5</v>
  </rv>
  <rv s="0">
    <v>121</v>
    <v>5</v>
  </rv>
  <rv s="0">
    <v>122</v>
    <v>5</v>
  </rv>
  <rv s="0">
    <v>123</v>
    <v>5</v>
  </rv>
  <rv s="0">
    <v>124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el r:id="rId119"/>
  <rel r:id="rId120"/>
  <rel r:id="rId121"/>
  <rel r:id="rId122"/>
  <rel r:id="rId123"/>
  <rel r:id="rId124"/>
  <rel r:id="rId125"/>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rwflags.com/fotw/flags/sr-.html" TargetMode="External"/><Relationship Id="rId7" Type="http://schemas.openxmlformats.org/officeDocument/2006/relationships/ctrlProp" Target="../ctrlProps/ctrlProp1.xml"/><Relationship Id="rId2" Type="http://schemas.openxmlformats.org/officeDocument/2006/relationships/hyperlink" Target="https://en.wikipedia.org/wiki/Caracas" TargetMode="External"/><Relationship Id="rId1" Type="http://schemas.openxmlformats.org/officeDocument/2006/relationships/hyperlink" Target="https://en.wikipedia.org/wiki/Capital_District_(Venezuela)"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printerSettings" Target="../printerSettings/printerSettings2.bin"/><Relationship Id="rId7" Type="http://schemas.openxmlformats.org/officeDocument/2006/relationships/ctrlProp" Target="../ctrlProps/ctrlProp3.xml"/><Relationship Id="rId2" Type="http://schemas.openxmlformats.org/officeDocument/2006/relationships/hyperlink" Target="https://upload.wikimedia.org/wikipedia/commons/thumb/1/1a/Flag_of_Argentina.svg/2560px-Flag_of_Argentina.svg.png" TargetMode="External"/><Relationship Id="rId1" Type="http://schemas.openxmlformats.org/officeDocument/2006/relationships/hyperlink" Target="https://fbref.com/en/country/ARG/Argentina-Football" TargetMode="External"/><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printerSettings" Target="../printerSettings/printerSettings3.bin"/><Relationship Id="rId7" Type="http://schemas.openxmlformats.org/officeDocument/2006/relationships/ctrlProp" Target="../ctrlProps/ctrlProp6.xml"/><Relationship Id="rId2" Type="http://schemas.openxmlformats.org/officeDocument/2006/relationships/hyperlink" Target="https://en.wikipedia.org/wiki/Flag_of_Bolivia" TargetMode="External"/><Relationship Id="rId1" Type="http://schemas.openxmlformats.org/officeDocument/2006/relationships/hyperlink" Target="https://fbref.com/en/country/BOL/Bolivia-Football" TargetMode="External"/><Relationship Id="rId6" Type="http://schemas.openxmlformats.org/officeDocument/2006/relationships/ctrlProp" Target="../ctrlProps/ctrlProp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hyperlink" Target="https://upload.wikimedia.org/wikipedia/commons/thumb/0/0b/Bandeira_de_Mato_Grosso.svg/640px-Bandeira_de_Mato_Grosso.svg.png" TargetMode="External"/><Relationship Id="rId21" Type="http://schemas.openxmlformats.org/officeDocument/2006/relationships/hyperlink" Target="https://en.wikipedia.org/wiki/Sergipe" TargetMode="External"/><Relationship Id="rId42" Type="http://schemas.openxmlformats.org/officeDocument/2006/relationships/hyperlink" Target="https://upload.wikimedia.org/wikipedia/commons/thumb/2/2e/Bandeira_do_Cear%C3%A1.svg/640px-Bandeira_do_Cear%C3%A1.svg.png" TargetMode="External"/><Relationship Id="rId47" Type="http://schemas.openxmlformats.org/officeDocument/2006/relationships/hyperlink" Target="https://en.wikipedia.org/wiki/Flag_of_Roraima" TargetMode="External"/><Relationship Id="rId63" Type="http://schemas.openxmlformats.org/officeDocument/2006/relationships/hyperlink" Target="https://upload.wikimedia.org/wikipedia/commons/4/44/Bandeira_do_par%C3%A1.png" TargetMode="External"/><Relationship Id="rId68" Type="http://schemas.openxmlformats.org/officeDocument/2006/relationships/hyperlink" Target="https://en.wikipedia.org/wiki/Flag_of_the_Federal_District_(Brazil)" TargetMode="External"/><Relationship Id="rId84" Type="http://schemas.openxmlformats.org/officeDocument/2006/relationships/ctrlProp" Target="../ctrlProps/ctrlProp8.xml"/><Relationship Id="rId16" Type="http://schemas.openxmlformats.org/officeDocument/2006/relationships/hyperlink" Target="https://upload.wikimedia.org/wikipedia/commons/thumb/3/33/Bandeira_do_Piau%C3%AD.svg/2560px-Bandeira_do_Piau%C3%AD.svg.png" TargetMode="External"/><Relationship Id="rId11" Type="http://schemas.openxmlformats.org/officeDocument/2006/relationships/hyperlink" Target="https://upload.wikimedia.org/wikipedia/commons/thumb/4/45/Bandeira_do_Maranh%C3%A3o.svg/2560px-Bandeira_do_Maranh%C3%A3o.svg.png" TargetMode="External"/><Relationship Id="rId32" Type="http://schemas.openxmlformats.org/officeDocument/2006/relationships/hyperlink" Target="https://en.wikipedia.org/wiki/Flag_of_Amap&#225;" TargetMode="External"/><Relationship Id="rId37" Type="http://schemas.openxmlformats.org/officeDocument/2006/relationships/hyperlink" Target="https://upload.wikimedia.org/wikipedia/commons/thumb/6/6b/Bandeira_do_Amazonas.svg/640px-Bandeira_do_Amazonas.svg.png" TargetMode="External"/><Relationship Id="rId53" Type="http://schemas.openxmlformats.org/officeDocument/2006/relationships/hyperlink" Target="https://en.wikipedia.org/wiki/Flag_of_Rio_Grande_do_Norte" TargetMode="External"/><Relationship Id="rId58" Type="http://schemas.openxmlformats.org/officeDocument/2006/relationships/hyperlink" Target="https://upload.wikimedia.org/wikipedia/commons/thumb/5/59/Bandeira_de_Pernambuco.svg/640px-Bandeira_de_Pernambuco.svg.png" TargetMode="External"/><Relationship Id="rId74" Type="http://schemas.openxmlformats.org/officeDocument/2006/relationships/hyperlink" Target="https://upload.wikimedia.org/wikipedia/commons/thumb/6/63/Bandeira_do_Rio_Grande_do_Sul.svg/2560px-Bandeira_do_Rio_Grande_do_Sul.svg.png" TargetMode="External"/><Relationship Id="rId79" Type="http://schemas.openxmlformats.org/officeDocument/2006/relationships/hyperlink" Target="https://upload.wikimedia.org/wikipedia/commons/thumb/1/1a/Bandeira_de_Santa_Catarina.svg/640px-Bandeira_de_Santa_Catarina.svg.png" TargetMode="External"/><Relationship Id="rId5" Type="http://schemas.openxmlformats.org/officeDocument/2006/relationships/hyperlink" Target="https://en.wikipedia.org/wiki/Flag_of_Minas_Gerais" TargetMode="External"/><Relationship Id="rId19" Type="http://schemas.openxmlformats.org/officeDocument/2006/relationships/hyperlink" Target="https://upload.wikimedia.org/wikipedia/commons/thumb/2/2b/Bandeira_do_estado_de_S%C3%A3o_Paulo.svg/2560px-Bandeira_do_estado_de_S%C3%A3o_Paulo.svg.png" TargetMode="External"/><Relationship Id="rId14" Type="http://schemas.openxmlformats.org/officeDocument/2006/relationships/hyperlink" Target="https://upload.wikimedia.org/wikipedia/commons/thumb/b/be/Flag_of_Goi%C3%A1s.svg/2560px-Flag_of_Goi%C3%A1s.svg.png" TargetMode="External"/><Relationship Id="rId22" Type="http://schemas.openxmlformats.org/officeDocument/2006/relationships/hyperlink" Target="https://upload.wikimedia.org/wikipedia/commons/thumb/b/be/Bandeira_de_Sergipe.svg/2560px-Bandeira_de_Sergipe.svg.png" TargetMode="External"/><Relationship Id="rId27" Type="http://schemas.openxmlformats.org/officeDocument/2006/relationships/hyperlink" Target="https://upload.wikimedia.org/wikipedia/commons/thumb/6/64/Bandeira_de_Mato_Grosso_do_Sul.svg/2560px-Bandeira_de_Mato_Grosso_do_Sul.svg.png" TargetMode="External"/><Relationship Id="rId30" Type="http://schemas.openxmlformats.org/officeDocument/2006/relationships/hyperlink" Target="https://upload.wikimedia.org/wikipedia/commons/thumb/8/88/Bandeira_de_Alagoas.svg/2560px-Bandeira_de_Alagoas.svg.png" TargetMode="External"/><Relationship Id="rId35" Type="http://schemas.openxmlformats.org/officeDocument/2006/relationships/hyperlink" Target="https://en.wikipedia.org/wiki/Flag_of_Amazonas_(Brazilian_state)" TargetMode="External"/><Relationship Id="rId43" Type="http://schemas.openxmlformats.org/officeDocument/2006/relationships/hyperlink" Target="https://en.wikipedia.org/wiki/Flag_of_Cear&#225;" TargetMode="External"/><Relationship Id="rId48" Type="http://schemas.openxmlformats.org/officeDocument/2006/relationships/hyperlink" Target="https://upload.wikimedia.org/wikipedia/commons/thumb/9/98/Bandeira_de_Roraima.svg/2560px-Bandeira_de_Roraima.svg.png" TargetMode="External"/><Relationship Id="rId56" Type="http://schemas.openxmlformats.org/officeDocument/2006/relationships/hyperlink" Target="https://en.wikipedia.org/wiki/Flag_of_Pernambuco" TargetMode="External"/><Relationship Id="rId64" Type="http://schemas.openxmlformats.org/officeDocument/2006/relationships/hyperlink" Target="https://upload.wikimedia.org/wikipedia/commons/thumb/4/44/Bandeira_do_par%C3%A1.png/640px-Bandeira_do_par%C3%A1.png" TargetMode="External"/><Relationship Id="rId69" Type="http://schemas.openxmlformats.org/officeDocument/2006/relationships/hyperlink" Target="https://upload.wikimedia.org/wikipedia/commons/thumb/3/3c/Bandeira_do_Distrito_Federal_%28Brasil%29.svg/2560px-Bandeira_do_Distrito_Federal_%28Brasil%29.svg.png" TargetMode="External"/><Relationship Id="rId77" Type="http://schemas.openxmlformats.org/officeDocument/2006/relationships/hyperlink" Target="https://vexillology.fandom.com/wiki/Santa_Catarina" TargetMode="External"/><Relationship Id="rId8" Type="http://schemas.openxmlformats.org/officeDocument/2006/relationships/hyperlink" Target="https://upload.wikimedia.org/wikipedia/commons/thumb/b/bb/Bandeira_da_Para%C3%ADba.svg/2560px-Bandeira_da_Para%C3%ADba.svg.png" TargetMode="External"/><Relationship Id="rId51" Type="http://schemas.openxmlformats.org/officeDocument/2006/relationships/hyperlink" Target="https://upload.wikimedia.org/wikipedia/commons/thumb/f/fa/Bandeira_de_Rond%C3%B4nia.svg/2560px-Bandeira_de_Rond%C3%B4nia.svg.png" TargetMode="External"/><Relationship Id="rId72" Type="http://schemas.openxmlformats.org/officeDocument/2006/relationships/hyperlink" Target="https://upload.wikimedia.org/wikipedia/commons/thumb/7/73/Bandeira_do_estado_do_Rio_de_Janeiro.svg/640px-Bandeira_do_estado_do_Rio_de_Janeiro.svg.png" TargetMode="External"/><Relationship Id="rId80" Type="http://schemas.openxmlformats.org/officeDocument/2006/relationships/hyperlink" Target="https://en.wikipedia.org/wiki/Flag_of_Mato_Grosso_do_Sul" TargetMode="External"/><Relationship Id="rId85" Type="http://schemas.openxmlformats.org/officeDocument/2006/relationships/ctrlProp" Target="../ctrlProps/ctrlProp9.xml"/><Relationship Id="rId3" Type="http://schemas.openxmlformats.org/officeDocument/2006/relationships/hyperlink" Target="https://en.wikipedia.org/wiki/Flag_of_Brazil" TargetMode="External"/><Relationship Id="rId12" Type="http://schemas.openxmlformats.org/officeDocument/2006/relationships/hyperlink" Target="https://upload.wikimedia.org/wikipedia/commons/thumb/4/45/Bandeira_do_Maranh%C3%A3o.svg/640px-Bandeira_do_Maranh%C3%A3o.svg.png" TargetMode="External"/><Relationship Id="rId17" Type="http://schemas.openxmlformats.org/officeDocument/2006/relationships/hyperlink" Target="https://upload.wikimedia.org/wikipedia/commons/thumb/3/33/Bandeira_do_Piau%C3%AD.svg/640px-Bandeira_do_Piau%C3%AD.svg.png" TargetMode="External"/><Relationship Id="rId25" Type="http://schemas.openxmlformats.org/officeDocument/2006/relationships/hyperlink" Target="https://upload.wikimedia.org/wikipedia/commons/thumb/0/0b/Bandeira_de_Mato_Grosso.svg/2560px-Bandeira_de_Mato_Grosso.svg.png" TargetMode="External"/><Relationship Id="rId33" Type="http://schemas.openxmlformats.org/officeDocument/2006/relationships/hyperlink" Target="https://upload.wikimedia.org/wikipedia/commons/thumb/0/0c/Bandeira_do_Amap%C3%A1.svg/2560px-Bandeira_do_Amap%C3%A1.svg.png" TargetMode="External"/><Relationship Id="rId38" Type="http://schemas.openxmlformats.org/officeDocument/2006/relationships/hyperlink" Target="https://upload.wikimedia.org/wikipedia/commons/thumb/2/28/Bandeira_da_Bahia.svg/2560px-Bandeira_da_Bahia.svg.png" TargetMode="External"/><Relationship Id="rId46" Type="http://schemas.openxmlformats.org/officeDocument/2006/relationships/hyperlink" Target="https://upload.wikimedia.org/wikipedia/commons/thumb/f/ff/Bandeira_do_Tocantins.svg/640px-Bandeira_do_Tocantins.svg.png" TargetMode="External"/><Relationship Id="rId59" Type="http://schemas.openxmlformats.org/officeDocument/2006/relationships/hyperlink" Target="https://en.wikipedia.org/wiki/Flag_of_Paran&#225;_(state)" TargetMode="External"/><Relationship Id="rId67" Type="http://schemas.openxmlformats.org/officeDocument/2006/relationships/hyperlink" Target="https://upload.wikimedia.org/wikipedia/commons/thumb/4/43/Bandeira_do_Esp%C3%ADrito_Santo.svg/640px-Bandeira_do_Esp%C3%ADrito_Santo.svg.png" TargetMode="External"/><Relationship Id="rId20" Type="http://schemas.openxmlformats.org/officeDocument/2006/relationships/hyperlink" Target="https://upload.wikimedia.org/wikipedia/commons/thumb/2/2b/Bandeira_do_estado_de_S%C3%A3o_Paulo.svg/640px-Bandeira_do_estado_de_S%C3%A3o_Paulo.svg.png" TargetMode="External"/><Relationship Id="rId41" Type="http://schemas.openxmlformats.org/officeDocument/2006/relationships/hyperlink" Target="https://upload.wikimedia.org/wikipedia/commons/thumb/2/2e/Bandeira_do_Cear%C3%A1.svg/2560px-Bandeira_do_Cear%C3%A1.svg.png" TargetMode="External"/><Relationship Id="rId54" Type="http://schemas.openxmlformats.org/officeDocument/2006/relationships/hyperlink" Target="https://upload.wikimedia.org/wikipedia/commons/thumb/3/30/Bandeira_do_Rio_Grande_do_Norte.svg/2560px-Bandeira_do_Rio_Grande_do_Norte.svg.png" TargetMode="External"/><Relationship Id="rId62" Type="http://schemas.openxmlformats.org/officeDocument/2006/relationships/hyperlink" Target="https://en.wikipedia.org/wiki/Flag_of_Par&#225;" TargetMode="External"/><Relationship Id="rId70" Type="http://schemas.openxmlformats.org/officeDocument/2006/relationships/hyperlink" Target="https://upload.wikimedia.org/wikipedia/commons/thumb/3/3c/Bandeira_do_Distrito_Federal_%28Brasil%29.svg/640px-Bandeira_do_Distrito_Federal_%28Brasil%29.svg.png" TargetMode="External"/><Relationship Id="rId75" Type="http://schemas.openxmlformats.org/officeDocument/2006/relationships/hyperlink" Target="https://upload.wikimedia.org/wikipedia/commons/thumb/6/63/Bandeira_do_Rio_Grande_do_Sul.svg/640px-Bandeira_do_Rio_Grande_do_Sul.svg.png" TargetMode="External"/><Relationship Id="rId83" Type="http://schemas.openxmlformats.org/officeDocument/2006/relationships/vmlDrawing" Target="../drawings/vmlDrawing4.vml"/><Relationship Id="rId1" Type="http://schemas.openxmlformats.org/officeDocument/2006/relationships/hyperlink" Target="https://fbref.com/en/country/BRA/Brazil-Football" TargetMode="External"/><Relationship Id="rId6" Type="http://schemas.openxmlformats.org/officeDocument/2006/relationships/hyperlink" Target="https://upload.wikimedia.org/wikipedia/commons/thumb/f/f4/Bandeira_de_Minas_Gerais.svg/2560px-Bandeira_de_Minas_Gerais.svg.png" TargetMode="External"/><Relationship Id="rId15" Type="http://schemas.openxmlformats.org/officeDocument/2006/relationships/hyperlink" Target="https://upload.wikimedia.org/wikipedia/commons/thumb/b/be/Flag_of_Goi%C3%A1s.svg/640px-Flag_of_Goi%C3%A1s.svg.png" TargetMode="External"/><Relationship Id="rId23" Type="http://schemas.openxmlformats.org/officeDocument/2006/relationships/hyperlink" Target="https://upload.wikimedia.org/wikipedia/commons/thumb/b/be/Bandeira_de_Sergipe.svg/640px-Bandeira_de_Sergipe.svg.png" TargetMode="External"/><Relationship Id="rId28" Type="http://schemas.openxmlformats.org/officeDocument/2006/relationships/hyperlink" Target="https://upload.wikimedia.org/wikipedia/commons/thumb/6/64/Bandeira_de_Mato_Grosso_do_Sul.svg/640px-Bandeira_de_Mato_Grosso_do_Sul.svg.png" TargetMode="External"/><Relationship Id="rId36" Type="http://schemas.openxmlformats.org/officeDocument/2006/relationships/hyperlink" Target="https://upload.wikimedia.org/wikipedia/commons/thumb/6/6b/Bandeira_do_Amazonas.svg/2560px-Bandeira_do_Amazonas.svg.png" TargetMode="External"/><Relationship Id="rId49" Type="http://schemas.openxmlformats.org/officeDocument/2006/relationships/hyperlink" Target="https://upload.wikimedia.org/wikipedia/commons/thumb/9/98/Bandeira_de_Roraima.svg/640px-Bandeira_de_Roraima.svg.png" TargetMode="External"/><Relationship Id="rId57" Type="http://schemas.openxmlformats.org/officeDocument/2006/relationships/hyperlink" Target="https://upload.wikimedia.org/wikipedia/commons/thumb/5/59/Bandeira_de_Pernambuco.svg/2560px-Bandeira_de_Pernambuco.svg.png" TargetMode="External"/><Relationship Id="rId10" Type="http://schemas.openxmlformats.org/officeDocument/2006/relationships/hyperlink" Target="https://en.wikipedia.org/wiki/Flag_of_Maranh&#227;o" TargetMode="External"/><Relationship Id="rId31" Type="http://schemas.openxmlformats.org/officeDocument/2006/relationships/hyperlink" Target="https://upload.wikimedia.org/wikipedia/commons/thumb/8/88/Bandeira_de_Alagoas.svg/640px-Bandeira_de_Alagoas.svg.png" TargetMode="External"/><Relationship Id="rId44" Type="http://schemas.openxmlformats.org/officeDocument/2006/relationships/hyperlink" Target="https://en.wikipedia.org/wiki/Flag_of_Tocantins" TargetMode="External"/><Relationship Id="rId52" Type="http://schemas.openxmlformats.org/officeDocument/2006/relationships/hyperlink" Target="https://upload.wikimedia.org/wikipedia/commons/thumb/f/fa/Bandeira_de_Rond%C3%B4nia.svg/640px-Bandeira_de_Rond%C3%B4nia.svg.png" TargetMode="External"/><Relationship Id="rId60" Type="http://schemas.openxmlformats.org/officeDocument/2006/relationships/hyperlink" Target="https://upload.wikimedia.org/wikipedia/commons/thumb/9/93/Bandeira_do_Paran%C3%A1.svg/2560px-Bandeira_do_Paran%C3%A1.svg.png" TargetMode="External"/><Relationship Id="rId65" Type="http://schemas.openxmlformats.org/officeDocument/2006/relationships/hyperlink" Target="https://en.wikipedia.org/wiki/Flag_of_Esp&#237;rito_Santo" TargetMode="External"/><Relationship Id="rId73" Type="http://schemas.openxmlformats.org/officeDocument/2006/relationships/hyperlink" Target="https://www.fotw.info/flags/br-rj.html" TargetMode="External"/><Relationship Id="rId78" Type="http://schemas.openxmlformats.org/officeDocument/2006/relationships/hyperlink" Target="https://upload.wikimedia.org/wikipedia/commons/thumb/1/1a/Bandeira_de_Santa_Catarina.svg/2560px-Bandeira_de_Santa_Catarina.svg.png" TargetMode="External"/><Relationship Id="rId81" Type="http://schemas.openxmlformats.org/officeDocument/2006/relationships/printerSettings" Target="../printerSettings/printerSettings4.bin"/><Relationship Id="rId86" Type="http://schemas.openxmlformats.org/officeDocument/2006/relationships/ctrlProp" Target="../ctrlProps/ctrlProp10.xml"/><Relationship Id="rId4" Type="http://schemas.openxmlformats.org/officeDocument/2006/relationships/hyperlink" Target="https://upload.wikimedia.org/wikipedia/commons/thumb/4/4c/Bandeira_do_Acre.svg/2560px-Bandeira_do_Acre.svg.png" TargetMode="External"/><Relationship Id="rId9" Type="http://schemas.openxmlformats.org/officeDocument/2006/relationships/hyperlink" Target="https://upload.wikimedia.org/wikipedia/commons/thumb/b/bb/Bandeira_da_Para%C3%ADba.svg/640px-Bandeira_da_Para%C3%ADba.svg.png" TargetMode="External"/><Relationship Id="rId13" Type="http://schemas.openxmlformats.org/officeDocument/2006/relationships/hyperlink" Target="https://en.wikipedia.org/wiki/Flag_of_Goi&#225;s" TargetMode="External"/><Relationship Id="rId18" Type="http://schemas.openxmlformats.org/officeDocument/2006/relationships/hyperlink" Target="https://en.wikipedia.org/wiki/Flag_of_S&#227;o_Paulo_(state)" TargetMode="External"/><Relationship Id="rId39" Type="http://schemas.openxmlformats.org/officeDocument/2006/relationships/hyperlink" Target="https://upload.wikimedia.org/wikipedia/commons/thumb/2/28/Bandeira_da_Bahia.svg/640px-Bandeira_da_Bahia.svg.png" TargetMode="External"/><Relationship Id="rId34" Type="http://schemas.openxmlformats.org/officeDocument/2006/relationships/hyperlink" Target="https://upload.wikimedia.org/wikipedia/commons/thumb/0/0c/Bandeira_do_Amap%C3%A1.svg/640px-Bandeira_do_Amap%C3%A1.svg.png" TargetMode="External"/><Relationship Id="rId50" Type="http://schemas.openxmlformats.org/officeDocument/2006/relationships/hyperlink" Target="https://en.wikipedia.org/wiki/Flag_of_Rond&#244;nia" TargetMode="External"/><Relationship Id="rId55" Type="http://schemas.openxmlformats.org/officeDocument/2006/relationships/hyperlink" Target="https://upload.wikimedia.org/wikipedia/commons/thumb/3/30/Bandeira_do_Rio_Grande_do_Norte.svg/640px-Bandeira_do_Rio_Grande_do_Norte.svg.png" TargetMode="External"/><Relationship Id="rId76" Type="http://schemas.openxmlformats.org/officeDocument/2006/relationships/hyperlink" Target="https://pt.wikipedia.org/wiki/Bandeira_do_Rio_Grande_do_Sul" TargetMode="External"/><Relationship Id="rId7" Type="http://schemas.openxmlformats.org/officeDocument/2006/relationships/hyperlink" Target="https://en.wikipedia.org/wiki/Para&#237;ba" TargetMode="External"/><Relationship Id="rId71" Type="http://schemas.openxmlformats.org/officeDocument/2006/relationships/hyperlink" Target="https://upload.wikimedia.org/wikipedia/commons/thumb/7/73/Bandeira_do_estado_do_Rio_de_Janeiro.svg/2560px-Bandeira_do_estado_do_Rio_de_Janeiro.svg.png" TargetMode="External"/><Relationship Id="rId2" Type="http://schemas.openxmlformats.org/officeDocument/2006/relationships/hyperlink" Target="https://upload.wikimedia.org/wikipedia/en/thumb/0/05/Flag_of_Brazil.svg/2560px-Flag_of_Brazil.svg.png" TargetMode="External"/><Relationship Id="rId29" Type="http://schemas.openxmlformats.org/officeDocument/2006/relationships/hyperlink" Target="https://en.wikipedia.org/wiki/Flag_of_Alagoas" TargetMode="External"/><Relationship Id="rId24" Type="http://schemas.openxmlformats.org/officeDocument/2006/relationships/hyperlink" Target="https://en.wikipedia.org/wiki/Flag_of_Mato_Grosso" TargetMode="External"/><Relationship Id="rId40" Type="http://schemas.openxmlformats.org/officeDocument/2006/relationships/hyperlink" Target="https://en.wikipedia.org/wiki/Flag_of_Bahia" TargetMode="External"/><Relationship Id="rId45" Type="http://schemas.openxmlformats.org/officeDocument/2006/relationships/hyperlink" Target="https://upload.wikimedia.org/wikipedia/commons/thumb/f/ff/Bandeira_do_Tocantins.svg/2560px-Bandeira_do_Tocantins.svg.png" TargetMode="External"/><Relationship Id="rId66" Type="http://schemas.openxmlformats.org/officeDocument/2006/relationships/hyperlink" Target="https://upload.wikimedia.org/wikipedia/commons/thumb/4/43/Bandeira_do_Esp%C3%ADrito_Santo.svg/2560px-Bandeira_do_Esp%C3%ADrito_Santo.svg.png" TargetMode="External"/><Relationship Id="rId61" Type="http://schemas.openxmlformats.org/officeDocument/2006/relationships/hyperlink" Target="https://upload.wikimedia.org/wikipedia/commons/thumb/9/93/Bandeira_do_Paran%C3%A1.svg/640px-Bandeira_do_Paran%C3%A1.svg.png" TargetMode="External"/><Relationship Id="rId8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www.crwflags.com/fotw/flags/cl-11.html" TargetMode="External"/><Relationship Id="rId7" Type="http://schemas.openxmlformats.org/officeDocument/2006/relationships/drawing" Target="../drawings/drawing5.xml"/><Relationship Id="rId2" Type="http://schemas.openxmlformats.org/officeDocument/2006/relationships/hyperlink" Target="https://www.crwflags.com/fotw/images/c/cl-07a.gif" TargetMode="External"/><Relationship Id="rId1" Type="http://schemas.openxmlformats.org/officeDocument/2006/relationships/hyperlink" Target="https://fbref.com/en/country/CHI/Chile-Football" TargetMode="External"/><Relationship Id="rId6" Type="http://schemas.openxmlformats.org/officeDocument/2006/relationships/printerSettings" Target="../printerSettings/printerSettings5.bin"/><Relationship Id="rId11" Type="http://schemas.openxmlformats.org/officeDocument/2006/relationships/ctrlProp" Target="../ctrlProps/ctrlProp13.xml"/><Relationship Id="rId5" Type="http://schemas.openxmlformats.org/officeDocument/2006/relationships/hyperlink" Target="https://www.crwflags.com/fotw/flags/cl-03.html" TargetMode="External"/><Relationship Id="rId10" Type="http://schemas.openxmlformats.org/officeDocument/2006/relationships/ctrlProp" Target="../ctrlProps/ctrlProp12.xml"/><Relationship Id="rId4" Type="http://schemas.openxmlformats.org/officeDocument/2006/relationships/hyperlink" Target="https://www.crwflags.com/fotw/flags/cl-01.html" TargetMode="External"/><Relationship Id="rId9"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upload.wikimedia.org/wikipedia/commons/thumb/2/21/Flag_of_Colombia.svg/2560px-Flag_of_Colombia.svg.png" TargetMode="External"/><Relationship Id="rId7" Type="http://schemas.openxmlformats.org/officeDocument/2006/relationships/drawing" Target="../drawings/drawing6.xml"/><Relationship Id="rId2" Type="http://schemas.openxmlformats.org/officeDocument/2006/relationships/hyperlink" Target="https://fbref.com/en/country/SCO/Scotland-Football" TargetMode="External"/><Relationship Id="rId1" Type="http://schemas.openxmlformats.org/officeDocument/2006/relationships/hyperlink" Target="https://fbref.com/en/country/COL/Colombia-Football" TargetMode="External"/><Relationship Id="rId6" Type="http://schemas.openxmlformats.org/officeDocument/2006/relationships/printerSettings" Target="../printerSettings/printerSettings6.bin"/><Relationship Id="rId11" Type="http://schemas.openxmlformats.org/officeDocument/2006/relationships/ctrlProp" Target="../ctrlProps/ctrlProp16.xml"/><Relationship Id="rId5" Type="http://schemas.openxmlformats.org/officeDocument/2006/relationships/hyperlink" Target="https://upload.wikimedia.org/wikipedia/en/thumb/2/2f/Flag_of_Andaluc%C3%ADa_%28Col%C3%B3mbia%29.svg/640px-Flag_of_Andaluc%C3%ADa_%28Col%C3%B3mbia%29.svg.png" TargetMode="External"/><Relationship Id="rId10" Type="http://schemas.openxmlformats.org/officeDocument/2006/relationships/ctrlProp" Target="../ctrlProps/ctrlProp15.xml"/><Relationship Id="rId4" Type="http://schemas.openxmlformats.org/officeDocument/2006/relationships/hyperlink" Target="https://upload.wikimedia.org/wikipedia/en/thumb/2/2f/Flag_of_Andaluc%C3%ADa_%28Col%C3%B3mbia%29.svg/2560px-Flag_of_Andaluc%C3%ADa_%28Col%C3%B3mbia%29.svg.png" TargetMode="External"/><Relationship Id="rId9"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printerSettings" Target="../printerSettings/printerSettings7.bin"/><Relationship Id="rId7" Type="http://schemas.openxmlformats.org/officeDocument/2006/relationships/ctrlProp" Target="../ctrlProps/ctrlProp18.xml"/><Relationship Id="rId2" Type="http://schemas.openxmlformats.org/officeDocument/2006/relationships/hyperlink" Target="https://upload.wikimedia.org/wikipedia/commons/thumb/e/e8/Flag_of_Ecuador.svg/2560px-Flag_of_Ecuador.svg.png" TargetMode="External"/><Relationship Id="rId1" Type="http://schemas.openxmlformats.org/officeDocument/2006/relationships/hyperlink" Target="https://fbref.com/en/country/ECU/Ecuador-Football" TargetMode="External"/><Relationship Id="rId6" Type="http://schemas.openxmlformats.org/officeDocument/2006/relationships/ctrlProp" Target="../ctrlProps/ctrlProp17.xml"/><Relationship Id="rId5" Type="http://schemas.openxmlformats.org/officeDocument/2006/relationships/vmlDrawing" Target="../drawings/vmlDrawing7.v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7" Type="http://schemas.openxmlformats.org/officeDocument/2006/relationships/ctrlProp" Target="../ctrlProps/ctrlProp22.xml"/><Relationship Id="rId2" Type="http://schemas.openxmlformats.org/officeDocument/2006/relationships/printerSettings" Target="../printerSettings/printerSettings8.bin"/><Relationship Id="rId1" Type="http://schemas.openxmlformats.org/officeDocument/2006/relationships/hyperlink" Target="https://upload.wikimedia.org/wikipedia/commons/thumb/8/83/Flag_of_the_Falkland_Islands.svg/383px-Flag_of_the_Falkland_Islands.svg.png" TargetMode="Externa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7" Type="http://schemas.openxmlformats.org/officeDocument/2006/relationships/ctrlProp" Target="../ctrlProps/ctrlProp25.xml"/><Relationship Id="rId2" Type="http://schemas.openxmlformats.org/officeDocument/2006/relationships/printerSettings" Target="../printerSettings/printerSettings9.bin"/><Relationship Id="rId1" Type="http://schemas.openxmlformats.org/officeDocument/2006/relationships/hyperlink" Target="https://fbref.com/en/country/ZIM/Zimbabwe-Football" TargetMode="Externa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hyperlink" Target="https://en.wikipedia.org/wiki/Cuyuni-Mazaruni" TargetMode="External"/><Relationship Id="rId7" Type="http://schemas.openxmlformats.org/officeDocument/2006/relationships/ctrlProp" Target="../ctrlProps/ctrlProp26.xml"/><Relationship Id="rId2" Type="http://schemas.openxmlformats.org/officeDocument/2006/relationships/hyperlink" Target="https://fbref.com/en/country/GUY/Guyana-Football" TargetMode="External"/><Relationship Id="rId1" Type="http://schemas.openxmlformats.org/officeDocument/2006/relationships/hyperlink" Target="https://upload.wikimedia.org/wikipedia/commons/thumb/9/99/Flag_of_Guyana.svg/2560px-Flag_of_Guyana.svg.png" TargetMode="External"/><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10.bin"/><Relationship Id="rId9"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31.xml"/><Relationship Id="rId2" Type="http://schemas.openxmlformats.org/officeDocument/2006/relationships/printerSettings" Target="../printerSettings/printerSettings11.bin"/><Relationship Id="rId1" Type="http://schemas.openxmlformats.org/officeDocument/2006/relationships/hyperlink" Target="https://fbref.com/en/country/PER/Peru-Football" TargetMode="Externa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hyperlink" Target="https://upload.wikimedia.org/wikipedia/commons/thumb/f/f1/Flag_of_Paraguay_%28reverse%29.svg/2560px-Flag_of_Paraguay_%28reverse%29.svg.png" TargetMode="External"/><Relationship Id="rId7" Type="http://schemas.openxmlformats.org/officeDocument/2006/relationships/ctrlProp" Target="../ctrlProps/ctrlProp32.xml"/><Relationship Id="rId2" Type="http://schemas.openxmlformats.org/officeDocument/2006/relationships/hyperlink" Target="https://en.wikipedia.org/wiki/Flag_of_Paraguay" TargetMode="External"/><Relationship Id="rId1" Type="http://schemas.openxmlformats.org/officeDocument/2006/relationships/hyperlink" Target="https://fbref.com/en/country/PAR/Paraguay-Football" TargetMode="External"/><Relationship Id="rId6" Type="http://schemas.openxmlformats.org/officeDocument/2006/relationships/vmlDrawing" Target="../drawings/vmlDrawing12.vml"/><Relationship Id="rId5" Type="http://schemas.openxmlformats.org/officeDocument/2006/relationships/drawing" Target="../drawings/drawing12.xml"/><Relationship Id="rId4" Type="http://schemas.openxmlformats.org/officeDocument/2006/relationships/printerSettings" Target="../printerSettings/printerSettings12.bin"/><Relationship Id="rId9"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trlProp" Target="../ctrlProps/ctrlProp37.xml"/><Relationship Id="rId2" Type="http://schemas.openxmlformats.org/officeDocument/2006/relationships/printerSettings" Target="../printerSettings/printerSettings13.bin"/><Relationship Id="rId1" Type="http://schemas.openxmlformats.org/officeDocument/2006/relationships/hyperlink" Target="https://fbref.com/en/country/SUR/Suriname-Football" TargetMode="Externa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hyperlink" Target="https://upload.wikimedia.org/wikipedia/commons/thumb/f/ff/Flag_of_the_Treinta_y_Tres.svg/2560px-Flag_of_the_Treinta_y_Tres.svg.png" TargetMode="External"/><Relationship Id="rId7" Type="http://schemas.openxmlformats.org/officeDocument/2006/relationships/ctrlProp" Target="../ctrlProps/ctrlProp38.xml"/><Relationship Id="rId2" Type="http://schemas.openxmlformats.org/officeDocument/2006/relationships/hyperlink" Target="https://upload.wikimedia.org/wikipedia/commons/thumb/f/fe/Flag_of_Uruguay.svg/2560px-Flag_of_Uruguay.svg.png" TargetMode="External"/><Relationship Id="rId1" Type="http://schemas.openxmlformats.org/officeDocument/2006/relationships/hyperlink" Target="https://fbref.com/en/country/URU/Uruguay-Football" TargetMode="External"/><Relationship Id="rId6" Type="http://schemas.openxmlformats.org/officeDocument/2006/relationships/vmlDrawing" Target="../drawings/vmlDrawing14.vml"/><Relationship Id="rId5" Type="http://schemas.openxmlformats.org/officeDocument/2006/relationships/drawing" Target="../drawings/drawing14.xml"/><Relationship Id="rId4" Type="http://schemas.openxmlformats.org/officeDocument/2006/relationships/printerSettings" Target="../printerSettings/printerSettings14.bin"/><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printerSettings" Target="../printerSettings/printerSettings15.bin"/><Relationship Id="rId7" Type="http://schemas.openxmlformats.org/officeDocument/2006/relationships/ctrlProp" Target="../ctrlProps/ctrlProp42.xml"/><Relationship Id="rId2" Type="http://schemas.openxmlformats.org/officeDocument/2006/relationships/hyperlink" Target="https://upload.wikimedia.org/wikipedia/commons/thumb/0/06/Flag_of_Venezuela.svg/2560px-Flag_of_Venezuela.svg.png" TargetMode="External"/><Relationship Id="rId1" Type="http://schemas.openxmlformats.org/officeDocument/2006/relationships/hyperlink" Target="https://fbref.com/en/country/VEN/Venezuela-Football" TargetMode="External"/><Relationship Id="rId6" Type="http://schemas.openxmlformats.org/officeDocument/2006/relationships/ctrlProp" Target="../ctrlProps/ctrlProp41.xml"/><Relationship Id="rId5" Type="http://schemas.openxmlformats.org/officeDocument/2006/relationships/vmlDrawing" Target="../drawings/vmlDrawing15.vml"/><Relationship Id="rId4"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4C2BB-737C-4944-A6EB-451B28560256}">
  <sheetPr codeName="Sheet1">
    <tabColor rgb="FFC00000"/>
  </sheetPr>
  <dimension ref="E1:EK37"/>
  <sheetViews>
    <sheetView zoomScale="55" zoomScaleNormal="55" workbookViewId="0">
      <pane xSplit="4" ySplit="4" topLeftCell="E5" activePane="bottomRight" state="frozen"/>
      <selection pane="topRight" activeCell="E1" sqref="E1"/>
      <selection pane="bottomLeft" activeCell="A5" sqref="A5"/>
      <selection pane="bottomRight" activeCell="P39" sqref="P39"/>
    </sheetView>
  </sheetViews>
  <sheetFormatPr defaultRowHeight="14.4" x14ac:dyDescent="0.3"/>
  <sheetData>
    <row r="1" spans="5:141" x14ac:dyDescent="0.3">
      <c r="E1" s="100" t="s">
        <v>171</v>
      </c>
      <c r="F1" s="100"/>
      <c r="G1" s="100"/>
      <c r="H1" s="100"/>
      <c r="I1" s="100"/>
      <c r="J1" s="100"/>
      <c r="K1" s="100"/>
      <c r="L1" s="100"/>
      <c r="M1" s="100"/>
      <c r="P1" s="107" t="s">
        <v>182</v>
      </c>
      <c r="Q1" s="107"/>
      <c r="R1" s="107"/>
      <c r="S1" s="107"/>
      <c r="T1" s="107"/>
      <c r="U1" s="107"/>
      <c r="V1" s="107"/>
      <c r="Z1" s="99" t="s">
        <v>189</v>
      </c>
      <c r="AA1" s="99"/>
      <c r="AB1" s="99"/>
      <c r="AC1" s="99"/>
      <c r="AD1" s="99"/>
      <c r="AE1" s="99"/>
      <c r="AF1" s="99"/>
      <c r="AG1" s="99"/>
      <c r="AH1" s="99"/>
      <c r="AI1" s="99"/>
      <c r="AJ1" s="99"/>
      <c r="AM1" s="102" t="s">
        <v>204</v>
      </c>
      <c r="AN1" s="102"/>
      <c r="AO1" s="102"/>
      <c r="AP1" s="102"/>
      <c r="AQ1" s="102"/>
      <c r="AR1" s="102"/>
      <c r="AS1" s="102"/>
      <c r="BA1" s="106" t="s">
        <v>198</v>
      </c>
      <c r="BB1" s="106"/>
      <c r="BC1" s="106"/>
      <c r="BD1" s="106"/>
      <c r="BE1" s="106"/>
      <c r="BF1" s="106"/>
      <c r="BG1" s="106"/>
      <c r="BL1" s="104" t="s">
        <v>212</v>
      </c>
      <c r="BM1" s="104"/>
      <c r="BN1" s="104"/>
      <c r="BO1" s="104"/>
      <c r="BP1" s="104"/>
      <c r="BQ1" s="104"/>
      <c r="BR1" s="104"/>
      <c r="BU1" s="105" t="s">
        <v>225</v>
      </c>
      <c r="BV1" s="105"/>
      <c r="BW1" s="105"/>
      <c r="BX1" s="105"/>
      <c r="BY1" s="105"/>
      <c r="BZ1" s="105"/>
      <c r="CA1" s="105"/>
      <c r="CC1" s="110" t="s">
        <v>235</v>
      </c>
      <c r="CD1" s="110"/>
      <c r="CE1" s="110"/>
      <c r="CF1" s="110"/>
      <c r="CG1" s="110"/>
      <c r="CH1" s="110"/>
      <c r="CI1" s="110"/>
      <c r="CO1" s="108" t="s">
        <v>244</v>
      </c>
      <c r="CP1" s="108"/>
      <c r="CQ1" s="108"/>
      <c r="CR1" s="108"/>
      <c r="CS1" s="108"/>
      <c r="CT1" s="108"/>
      <c r="CU1" s="108"/>
      <c r="CX1" s="101" t="s">
        <v>251</v>
      </c>
      <c r="CY1" s="101"/>
      <c r="CZ1" s="101"/>
      <c r="DA1" s="101"/>
      <c r="DB1" s="101"/>
      <c r="DC1" s="101"/>
      <c r="DD1" s="101"/>
      <c r="DH1" s="109" t="s">
        <v>258</v>
      </c>
      <c r="DI1" s="109"/>
      <c r="DJ1" s="109"/>
      <c r="DK1" s="109"/>
      <c r="DL1" s="109"/>
      <c r="DM1" s="109"/>
      <c r="DN1" s="109"/>
      <c r="DS1" s="103" t="s">
        <v>264</v>
      </c>
      <c r="DT1" s="103"/>
      <c r="DU1" s="103"/>
      <c r="DV1" s="103"/>
      <c r="DW1" s="103"/>
      <c r="DX1" s="103"/>
      <c r="DY1" s="103"/>
      <c r="EC1" s="98" t="s">
        <v>270</v>
      </c>
      <c r="ED1" s="98"/>
      <c r="EE1" s="98"/>
      <c r="EF1" s="98"/>
      <c r="EG1" s="98"/>
      <c r="EH1" s="98"/>
      <c r="EI1" s="98"/>
    </row>
    <row r="2" spans="5:141" x14ac:dyDescent="0.3">
      <c r="E2" t="s">
        <v>75</v>
      </c>
      <c r="F2" t="s">
        <v>284</v>
      </c>
      <c r="G2" t="s">
        <v>993</v>
      </c>
      <c r="H2" t="s">
        <v>994</v>
      </c>
      <c r="I2" t="s">
        <v>995</v>
      </c>
      <c r="J2" t="s">
        <v>996</v>
      </c>
      <c r="K2" t="s">
        <v>997</v>
      </c>
      <c r="L2" t="s">
        <v>998</v>
      </c>
      <c r="Z2" t="s">
        <v>1185</v>
      </c>
      <c r="AA2" t="s">
        <v>1186</v>
      </c>
      <c r="AB2" t="s">
        <v>993</v>
      </c>
      <c r="AC2" t="s">
        <v>1187</v>
      </c>
      <c r="AD2" t="s">
        <v>1194</v>
      </c>
      <c r="AF2" t="s">
        <v>1188</v>
      </c>
      <c r="AG2" t="s">
        <v>1190</v>
      </c>
      <c r="AI2" t="s">
        <v>1195</v>
      </c>
      <c r="AJ2" t="s">
        <v>1192</v>
      </c>
      <c r="AM2" t="s">
        <v>162</v>
      </c>
      <c r="AN2" t="s">
        <v>309</v>
      </c>
      <c r="AO2" t="s">
        <v>993</v>
      </c>
      <c r="AP2" t="s">
        <v>1258</v>
      </c>
      <c r="AQ2" t="s">
        <v>1658</v>
      </c>
      <c r="AR2" t="s">
        <v>998</v>
      </c>
      <c r="AS2" t="s">
        <v>1659</v>
      </c>
      <c r="AT2" t="s">
        <v>75</v>
      </c>
      <c r="AU2" t="s">
        <v>1186</v>
      </c>
      <c r="AV2" t="s">
        <v>1660</v>
      </c>
      <c r="AW2" t="s">
        <v>1661</v>
      </c>
      <c r="BL2" t="s">
        <v>1254</v>
      </c>
      <c r="BM2" t="s">
        <v>284</v>
      </c>
      <c r="BN2" t="s">
        <v>993</v>
      </c>
      <c r="BO2" t="s">
        <v>1255</v>
      </c>
      <c r="BP2" t="s">
        <v>1256</v>
      </c>
      <c r="BQ2" t="s">
        <v>1258</v>
      </c>
      <c r="BR2" t="s">
        <v>1257</v>
      </c>
      <c r="DH2" s="97" t="s">
        <v>1908</v>
      </c>
      <c r="DS2" t="s">
        <v>1448</v>
      </c>
      <c r="DT2" t="s">
        <v>475</v>
      </c>
      <c r="DU2" t="s">
        <v>1450</v>
      </c>
      <c r="DV2" t="s">
        <v>1452</v>
      </c>
      <c r="DW2" t="s">
        <v>997</v>
      </c>
      <c r="DX2" t="s">
        <v>1188</v>
      </c>
      <c r="DY2" t="s">
        <v>1454</v>
      </c>
      <c r="DZ2" t="s">
        <v>993</v>
      </c>
      <c r="EA2" t="s">
        <v>1456</v>
      </c>
    </row>
    <row r="3" spans="5:141" x14ac:dyDescent="0.3">
      <c r="L3" t="s">
        <v>999</v>
      </c>
      <c r="AF3" t="s">
        <v>1189</v>
      </c>
      <c r="AI3" t="s">
        <v>1191</v>
      </c>
      <c r="AJ3" t="s">
        <v>1193</v>
      </c>
      <c r="AR3" t="s">
        <v>999</v>
      </c>
      <c r="BA3" t="s">
        <v>75</v>
      </c>
      <c r="BB3" t="s">
        <v>74</v>
      </c>
      <c r="BC3" t="s">
        <v>993</v>
      </c>
      <c r="BD3" t="s">
        <v>1258</v>
      </c>
      <c r="BE3" t="s">
        <v>1188</v>
      </c>
      <c r="BF3" t="s">
        <v>998</v>
      </c>
      <c r="BG3" t="s">
        <v>1761</v>
      </c>
      <c r="DS3" t="s">
        <v>1449</v>
      </c>
      <c r="DU3" t="s">
        <v>1451</v>
      </c>
      <c r="DW3" t="s">
        <v>1260</v>
      </c>
      <c r="DX3" t="s">
        <v>1453</v>
      </c>
      <c r="DY3" t="s">
        <v>1455</v>
      </c>
    </row>
    <row r="4" spans="5:141" s="91" customFormat="1" ht="15" thickBot="1" x14ac:dyDescent="0.35">
      <c r="P4" s="91" t="s">
        <v>475</v>
      </c>
      <c r="Q4" s="91" t="s">
        <v>1824</v>
      </c>
      <c r="R4" s="91" t="s">
        <v>1825</v>
      </c>
      <c r="S4" s="91" t="s">
        <v>1187</v>
      </c>
      <c r="T4" s="91" t="s">
        <v>1188</v>
      </c>
      <c r="U4" s="91" t="s">
        <v>997</v>
      </c>
      <c r="V4" s="91" t="s">
        <v>998</v>
      </c>
      <c r="W4" s="91" t="s">
        <v>1828</v>
      </c>
      <c r="BB4" s="91" t="s">
        <v>1759</v>
      </c>
      <c r="BE4" s="91" t="s">
        <v>1760</v>
      </c>
      <c r="BF4" s="91" t="s">
        <v>999</v>
      </c>
      <c r="BU4" s="91" t="s">
        <v>1959</v>
      </c>
      <c r="CC4" s="91" t="s">
        <v>1932</v>
      </c>
      <c r="CD4" s="91" t="s">
        <v>309</v>
      </c>
      <c r="CE4" s="91" t="s">
        <v>997</v>
      </c>
      <c r="CF4" s="91" t="s">
        <v>1933</v>
      </c>
      <c r="CG4" s="91" t="s">
        <v>1933</v>
      </c>
      <c r="CH4" s="91" t="s">
        <v>993</v>
      </c>
      <c r="CO4" s="91" t="s">
        <v>1904</v>
      </c>
      <c r="CP4" s="91" t="s">
        <v>475</v>
      </c>
      <c r="CQ4" s="91" t="s">
        <v>993</v>
      </c>
      <c r="CR4" s="91" t="s">
        <v>1905</v>
      </c>
      <c r="CS4" s="91" t="s">
        <v>1258</v>
      </c>
      <c r="CT4" s="91" t="s">
        <v>1906</v>
      </c>
      <c r="CU4" s="91" t="s">
        <v>1907</v>
      </c>
      <c r="CX4" s="91" t="s">
        <v>1186</v>
      </c>
      <c r="CY4" s="91" t="s">
        <v>1663</v>
      </c>
      <c r="CZ4" s="91" t="s">
        <v>1665</v>
      </c>
      <c r="DA4" s="91" t="s">
        <v>1666</v>
      </c>
      <c r="DB4" s="91" t="s">
        <v>1667</v>
      </c>
      <c r="DH4" s="91" t="s">
        <v>1909</v>
      </c>
      <c r="DI4" s="91" t="s">
        <v>993</v>
      </c>
      <c r="DJ4" s="91" t="s">
        <v>1258</v>
      </c>
      <c r="DK4" s="91" t="s">
        <v>1910</v>
      </c>
      <c r="DL4" s="91" t="s">
        <v>1188</v>
      </c>
      <c r="DM4" s="91" t="s">
        <v>1912</v>
      </c>
      <c r="DN4" s="91" t="s">
        <v>1913</v>
      </c>
    </row>
    <row r="5" spans="5:141" ht="26.4" customHeight="1" x14ac:dyDescent="0.3">
      <c r="E5" t="s">
        <v>852</v>
      </c>
      <c r="F5" t="s">
        <v>853</v>
      </c>
      <c r="G5" t="s">
        <v>644</v>
      </c>
      <c r="H5" t="s">
        <v>644</v>
      </c>
      <c r="I5" t="s">
        <v>854</v>
      </c>
      <c r="J5" t="s">
        <v>855</v>
      </c>
      <c r="K5" t="s">
        <v>856</v>
      </c>
      <c r="L5" t="s">
        <v>857</v>
      </c>
      <c r="M5" s="76">
        <f>COUNTIF(ARG!$A$2:$A$22,"[ARG] "&amp;E5)</f>
        <v>0</v>
      </c>
      <c r="T5" t="s">
        <v>1826</v>
      </c>
      <c r="U5" t="s">
        <v>1827</v>
      </c>
      <c r="V5" t="s">
        <v>1827</v>
      </c>
      <c r="W5" t="s">
        <v>1829</v>
      </c>
      <c r="Z5" s="92" t="s">
        <v>1000</v>
      </c>
      <c r="AA5" s="92" t="s">
        <v>1001</v>
      </c>
      <c r="AB5" s="92" t="s">
        <v>1002</v>
      </c>
      <c r="AC5" s="92"/>
      <c r="AD5" s="92">
        <v>164.12299999999999</v>
      </c>
      <c r="AE5" s="92">
        <v>63.368000000000002</v>
      </c>
      <c r="AF5" s="92">
        <v>830.01800000000003</v>
      </c>
      <c r="AG5" s="92" t="s">
        <v>1003</v>
      </c>
      <c r="AH5" s="92" t="s">
        <v>1004</v>
      </c>
      <c r="AI5" s="92">
        <v>21</v>
      </c>
      <c r="AJ5" s="92" t="s">
        <v>1005</v>
      </c>
      <c r="AM5">
        <v>0</v>
      </c>
      <c r="AN5" t="s">
        <v>1381</v>
      </c>
      <c r="AO5" t="s">
        <v>1457</v>
      </c>
      <c r="AP5">
        <v>1.587</v>
      </c>
      <c r="AQ5" t="s">
        <v>1458</v>
      </c>
      <c r="AR5" t="s">
        <v>1459</v>
      </c>
      <c r="AS5">
        <v>1861</v>
      </c>
      <c r="AU5" t="s">
        <v>1460</v>
      </c>
      <c r="AV5" t="s">
        <v>1461</v>
      </c>
      <c r="AW5" t="s">
        <v>1462</v>
      </c>
      <c r="BB5" t="s">
        <v>1762</v>
      </c>
      <c r="BC5" t="s">
        <v>1764</v>
      </c>
      <c r="BD5" s="95">
        <v>16873.3</v>
      </c>
      <c r="BE5" s="96">
        <v>226068</v>
      </c>
      <c r="BF5">
        <v>13.4</v>
      </c>
      <c r="BG5" t="s">
        <v>1765</v>
      </c>
      <c r="BL5">
        <v>1</v>
      </c>
      <c r="BM5" s="92" t="s">
        <v>1198</v>
      </c>
      <c r="BN5" s="92" t="s">
        <v>1199</v>
      </c>
      <c r="BO5" s="92"/>
      <c r="BP5" s="92">
        <v>801.60900000000004</v>
      </c>
      <c r="BQ5" s="92">
        <v>8.1890000000000001</v>
      </c>
      <c r="BR5" s="92">
        <v>1824</v>
      </c>
      <c r="BU5" t="s">
        <v>1956</v>
      </c>
      <c r="CE5" t="s">
        <v>1260</v>
      </c>
      <c r="CF5">
        <v>-2012</v>
      </c>
      <c r="CG5" t="s">
        <v>1934</v>
      </c>
      <c r="CM5" t="s">
        <v>1263</v>
      </c>
      <c r="CO5" t="s">
        <v>1868</v>
      </c>
      <c r="CP5" t="s">
        <v>1869</v>
      </c>
      <c r="CQ5" t="s">
        <v>1870</v>
      </c>
      <c r="CR5" s="96">
        <v>477346</v>
      </c>
      <c r="CS5">
        <v>117</v>
      </c>
      <c r="CT5">
        <v>6</v>
      </c>
      <c r="CU5" s="96">
        <v>4080</v>
      </c>
      <c r="CY5" t="s">
        <v>1664</v>
      </c>
      <c r="DL5" t="s">
        <v>1911</v>
      </c>
      <c r="DS5" s="92" t="s">
        <v>1384</v>
      </c>
      <c r="DT5" s="92" t="s">
        <v>1385</v>
      </c>
      <c r="DU5" s="92">
        <v>1884</v>
      </c>
      <c r="DV5" s="92">
        <v>11.928000000000001</v>
      </c>
      <c r="DW5" s="92">
        <v>73.378</v>
      </c>
      <c r="DX5" s="92" t="s">
        <v>1386</v>
      </c>
      <c r="DY5" s="92" t="s">
        <v>1384</v>
      </c>
      <c r="DZ5" s="92">
        <v>40.658000000000001</v>
      </c>
      <c r="EC5" t="s">
        <v>308</v>
      </c>
      <c r="ED5" t="s">
        <v>993</v>
      </c>
      <c r="EE5" t="s">
        <v>1187</v>
      </c>
      <c r="EF5" t="s">
        <v>1188</v>
      </c>
      <c r="EG5" t="s">
        <v>1188</v>
      </c>
      <c r="EH5" t="s">
        <v>997</v>
      </c>
      <c r="EI5" t="s">
        <v>1261</v>
      </c>
      <c r="EJ5" t="s">
        <v>1262</v>
      </c>
      <c r="EK5" t="s">
        <v>309</v>
      </c>
    </row>
    <row r="6" spans="5:141" x14ac:dyDescent="0.3">
      <c r="E6" t="s">
        <v>852</v>
      </c>
      <c r="F6" t="s">
        <v>852</v>
      </c>
      <c r="G6" t="s">
        <v>858</v>
      </c>
      <c r="H6" t="s">
        <v>859</v>
      </c>
      <c r="I6" t="s">
        <v>860</v>
      </c>
      <c r="J6" t="s">
        <v>861</v>
      </c>
      <c r="K6" t="s">
        <v>862</v>
      </c>
      <c r="L6" t="s">
        <v>863</v>
      </c>
      <c r="M6" s="76">
        <f>COUNTIF(ARG!$A$2:$A$22,"[ARG] "&amp;E6)</f>
        <v>0</v>
      </c>
      <c r="P6" t="s">
        <v>1830</v>
      </c>
      <c r="Q6" t="s">
        <v>1831</v>
      </c>
      <c r="R6" t="s">
        <v>1404</v>
      </c>
      <c r="T6" s="96">
        <v>477441</v>
      </c>
      <c r="U6" t="s">
        <v>1832</v>
      </c>
      <c r="V6" t="s">
        <v>1833</v>
      </c>
      <c r="W6">
        <v>9</v>
      </c>
      <c r="Z6" s="92" t="s">
        <v>1006</v>
      </c>
      <c r="AA6" s="92" t="s">
        <v>1007</v>
      </c>
      <c r="AB6" s="92" t="s">
        <v>1008</v>
      </c>
      <c r="AC6" s="92"/>
      <c r="AD6" s="92">
        <v>27.779</v>
      </c>
      <c r="AE6" s="92">
        <v>10.726000000000001</v>
      </c>
      <c r="AF6" s="92" t="s">
        <v>1009</v>
      </c>
      <c r="AG6" s="92" t="s">
        <v>1010</v>
      </c>
      <c r="AH6" s="92" t="s">
        <v>1011</v>
      </c>
      <c r="AI6" s="92">
        <v>73</v>
      </c>
      <c r="AJ6" s="92" t="s">
        <v>1012</v>
      </c>
      <c r="AM6">
        <v>1</v>
      </c>
      <c r="AN6" t="s">
        <v>1264</v>
      </c>
      <c r="AO6" t="s">
        <v>1463</v>
      </c>
      <c r="AP6">
        <v>109.66500000000001</v>
      </c>
      <c r="AQ6">
        <v>82.067999999999998</v>
      </c>
      <c r="AR6" t="s">
        <v>1464</v>
      </c>
      <c r="AS6">
        <v>1991</v>
      </c>
      <c r="AU6" t="s">
        <v>1020</v>
      </c>
      <c r="AV6" t="s">
        <v>1465</v>
      </c>
      <c r="AW6" t="s">
        <v>1466</v>
      </c>
      <c r="BB6" t="s">
        <v>1763</v>
      </c>
      <c r="BL6">
        <v>2</v>
      </c>
      <c r="BM6" s="92" t="s">
        <v>1200</v>
      </c>
      <c r="BN6" s="92" t="s">
        <v>1201</v>
      </c>
      <c r="BO6" s="92"/>
      <c r="BP6" s="92">
        <v>199.078</v>
      </c>
      <c r="BQ6" s="92">
        <v>4.1479999999999997</v>
      </c>
      <c r="BR6" s="92">
        <v>1884</v>
      </c>
      <c r="BU6" t="s">
        <v>1957</v>
      </c>
      <c r="CC6">
        <v>1</v>
      </c>
      <c r="CD6" t="s">
        <v>1935</v>
      </c>
      <c r="CE6" s="96">
        <v>20339</v>
      </c>
      <c r="CF6" s="96">
        <v>26941</v>
      </c>
      <c r="CG6">
        <v>1.3</v>
      </c>
      <c r="CH6" t="s">
        <v>1936</v>
      </c>
      <c r="CO6">
        <v>1</v>
      </c>
      <c r="CP6" t="s">
        <v>1871</v>
      </c>
      <c r="CQ6" t="s">
        <v>1802</v>
      </c>
      <c r="CR6" s="96">
        <v>204536</v>
      </c>
      <c r="CS6" s="96">
        <v>18051</v>
      </c>
      <c r="CT6">
        <v>11</v>
      </c>
      <c r="CU6">
        <v>11.33</v>
      </c>
      <c r="CX6" t="s">
        <v>1668</v>
      </c>
      <c r="CY6" t="s">
        <v>1264</v>
      </c>
      <c r="CZ6" t="s">
        <v>1669</v>
      </c>
      <c r="DA6" t="s">
        <v>1670</v>
      </c>
      <c r="DB6" t="s">
        <v>1671</v>
      </c>
      <c r="DI6" t="s">
        <v>258</v>
      </c>
      <c r="DJ6" t="s">
        <v>1914</v>
      </c>
      <c r="DK6" s="96">
        <v>163820</v>
      </c>
      <c r="DL6">
        <v>100</v>
      </c>
      <c r="DM6" s="96">
        <v>541638</v>
      </c>
      <c r="DN6">
        <v>100</v>
      </c>
      <c r="DO6">
        <v>3.3</v>
      </c>
      <c r="DS6" s="92" t="s">
        <v>1387</v>
      </c>
      <c r="DT6" s="92" t="s">
        <v>1388</v>
      </c>
      <c r="DU6" s="92">
        <v>1816</v>
      </c>
      <c r="DV6" s="92">
        <v>4.5359999999999996</v>
      </c>
      <c r="DW6" s="92">
        <v>520.18700000000001</v>
      </c>
      <c r="DX6" s="92" t="s">
        <v>1389</v>
      </c>
      <c r="DY6" s="92" t="s">
        <v>1387</v>
      </c>
      <c r="DZ6" s="92">
        <v>19.864999999999998</v>
      </c>
      <c r="EF6" t="s">
        <v>1259</v>
      </c>
      <c r="EG6">
        <v>-2011</v>
      </c>
      <c r="EH6" t="s">
        <v>1260</v>
      </c>
    </row>
    <row r="7" spans="5:141" x14ac:dyDescent="0.3">
      <c r="E7" s="89" t="s">
        <v>864</v>
      </c>
      <c r="F7" s="89" t="s">
        <v>864</v>
      </c>
      <c r="G7" s="89" t="s">
        <v>865</v>
      </c>
      <c r="H7" s="89" t="s">
        <v>866</v>
      </c>
      <c r="I7" s="89" t="s">
        <v>867</v>
      </c>
      <c r="J7" s="89">
        <v>429.55599999999998</v>
      </c>
      <c r="K7" s="89" t="s">
        <v>868</v>
      </c>
      <c r="L7" s="89" t="s">
        <v>869</v>
      </c>
      <c r="M7" s="90">
        <f>COUNTIF(ARG!$A$2:$A$22,"[ARG] "&amp;E7)</f>
        <v>1</v>
      </c>
      <c r="P7" t="s">
        <v>1834</v>
      </c>
      <c r="Q7" t="s">
        <v>1835</v>
      </c>
      <c r="R7" t="s">
        <v>1356</v>
      </c>
      <c r="T7" s="96">
        <v>600132</v>
      </c>
      <c r="U7" t="s">
        <v>1836</v>
      </c>
      <c r="V7" t="s">
        <v>1837</v>
      </c>
      <c r="W7">
        <v>11</v>
      </c>
      <c r="Z7" s="92" t="s">
        <v>1013</v>
      </c>
      <c r="AA7" s="92" t="s">
        <v>1014</v>
      </c>
      <c r="AB7" s="92" t="s">
        <v>1015</v>
      </c>
      <c r="AC7" s="92"/>
      <c r="AD7" s="92">
        <v>142.82900000000001</v>
      </c>
      <c r="AE7" s="92">
        <v>55.146999999999998</v>
      </c>
      <c r="AF7" s="92">
        <v>733.75900000000001</v>
      </c>
      <c r="AG7" s="92" t="s">
        <v>1016</v>
      </c>
      <c r="AH7" s="92" t="s">
        <v>1017</v>
      </c>
      <c r="AI7" s="92">
        <v>9000</v>
      </c>
      <c r="AJ7" s="92" t="s">
        <v>1018</v>
      </c>
      <c r="AM7">
        <v>2</v>
      </c>
      <c r="AN7" t="s">
        <v>1467</v>
      </c>
      <c r="AO7" t="s">
        <v>1468</v>
      </c>
      <c r="AP7">
        <v>63.612000000000002</v>
      </c>
      <c r="AQ7" t="s">
        <v>1469</v>
      </c>
      <c r="AR7" t="s">
        <v>1470</v>
      </c>
      <c r="AS7">
        <v>1886</v>
      </c>
      <c r="AU7" t="s">
        <v>1471</v>
      </c>
      <c r="AV7" t="s">
        <v>1472</v>
      </c>
      <c r="AW7" t="s">
        <v>1473</v>
      </c>
      <c r="BB7" t="s">
        <v>1766</v>
      </c>
      <c r="BC7" t="s">
        <v>1768</v>
      </c>
      <c r="BD7" s="95">
        <v>42225.8</v>
      </c>
      <c r="BE7" s="96">
        <v>330558</v>
      </c>
      <c r="BF7">
        <v>7.83</v>
      </c>
      <c r="BG7" t="s">
        <v>1769</v>
      </c>
      <c r="BL7">
        <v>3</v>
      </c>
      <c r="BM7" s="92" t="s">
        <v>1202</v>
      </c>
      <c r="BN7" s="92" t="s">
        <v>1203</v>
      </c>
      <c r="BO7" s="92" t="s">
        <v>1204</v>
      </c>
      <c r="BP7" s="92">
        <v>227.578</v>
      </c>
      <c r="BQ7" s="92">
        <v>3.669</v>
      </c>
      <c r="BR7" s="92">
        <v>1880</v>
      </c>
      <c r="BU7" t="s">
        <v>1958</v>
      </c>
      <c r="CC7">
        <v>2</v>
      </c>
      <c r="CD7" t="s">
        <v>1937</v>
      </c>
      <c r="CE7" s="96">
        <v>6195</v>
      </c>
      <c r="CF7" s="96">
        <v>46810</v>
      </c>
      <c r="CG7">
        <v>7.6</v>
      </c>
      <c r="CH7" t="s">
        <v>1938</v>
      </c>
      <c r="CO7">
        <v>2</v>
      </c>
      <c r="CP7" t="s">
        <v>1872</v>
      </c>
      <c r="CQ7" t="s">
        <v>1873</v>
      </c>
      <c r="CR7" s="96">
        <v>341895</v>
      </c>
      <c r="CS7" s="96">
        <v>20002</v>
      </c>
      <c r="CT7">
        <v>20</v>
      </c>
      <c r="CU7">
        <v>17.09</v>
      </c>
      <c r="CX7" t="s">
        <v>1672</v>
      </c>
      <c r="CY7" t="s">
        <v>1673</v>
      </c>
      <c r="CZ7" t="s">
        <v>1674</v>
      </c>
      <c r="DA7" t="s">
        <v>1675</v>
      </c>
      <c r="DB7" t="s">
        <v>1671</v>
      </c>
      <c r="DH7">
        <v>1</v>
      </c>
      <c r="DI7" t="s">
        <v>1915</v>
      </c>
      <c r="DJ7" t="s">
        <v>1915</v>
      </c>
      <c r="DK7" s="96">
        <v>7364</v>
      </c>
      <c r="DL7">
        <v>4.5</v>
      </c>
      <c r="DM7" s="96">
        <v>15909</v>
      </c>
      <c r="DN7">
        <v>2.9</v>
      </c>
      <c r="DO7">
        <v>2.2000000000000002</v>
      </c>
      <c r="DS7" s="92" t="s">
        <v>1390</v>
      </c>
      <c r="DT7" s="92" t="s">
        <v>1391</v>
      </c>
      <c r="DU7" s="92">
        <v>1821</v>
      </c>
      <c r="DV7" s="92">
        <v>13.648</v>
      </c>
      <c r="DW7" s="92">
        <v>84.697999999999993</v>
      </c>
      <c r="DX7" s="92" t="s">
        <v>1392</v>
      </c>
      <c r="DY7" s="92" t="s">
        <v>1393</v>
      </c>
      <c r="DZ7" s="92">
        <v>53.244999999999997</v>
      </c>
      <c r="EC7" s="92" t="s">
        <v>1264</v>
      </c>
      <c r="ED7" s="92" t="s">
        <v>1265</v>
      </c>
      <c r="EE7" s="92"/>
      <c r="EF7" s="92">
        <v>180</v>
      </c>
      <c r="EG7" s="92">
        <v>146.47999999999999</v>
      </c>
      <c r="EH7" s="92">
        <v>180.14500000000001</v>
      </c>
      <c r="EI7" s="92" t="s">
        <v>1266</v>
      </c>
      <c r="EJ7" s="92" t="s">
        <v>1267</v>
      </c>
      <c r="EK7" s="92" t="s">
        <v>1268</v>
      </c>
    </row>
    <row r="8" spans="5:141" x14ac:dyDescent="0.3">
      <c r="E8" s="89" t="s">
        <v>870</v>
      </c>
      <c r="F8" s="89" t="s">
        <v>870</v>
      </c>
      <c r="G8" s="89" t="s">
        <v>871</v>
      </c>
      <c r="H8" s="89" t="s">
        <v>872</v>
      </c>
      <c r="I8" s="89" t="s">
        <v>873</v>
      </c>
      <c r="J8" s="89" t="s">
        <v>874</v>
      </c>
      <c r="K8" s="89" t="s">
        <v>875</v>
      </c>
      <c r="L8" s="89" t="s">
        <v>876</v>
      </c>
      <c r="M8" s="90">
        <f>COUNTIF(ARG!$A$2:$A$22,"[ARG] "&amp;E8)</f>
        <v>1</v>
      </c>
      <c r="P8" t="s">
        <v>1838</v>
      </c>
      <c r="Q8" t="s">
        <v>1839</v>
      </c>
      <c r="R8" t="s">
        <v>1838</v>
      </c>
      <c r="T8" s="96">
        <v>2005373</v>
      </c>
      <c r="U8" t="s">
        <v>1840</v>
      </c>
      <c r="V8" t="s">
        <v>1841</v>
      </c>
      <c r="W8">
        <v>19</v>
      </c>
      <c r="Z8" s="92" t="s">
        <v>1019</v>
      </c>
      <c r="AA8" s="92" t="s">
        <v>1020</v>
      </c>
      <c r="AB8" s="92" t="s">
        <v>1021</v>
      </c>
      <c r="AC8" s="92"/>
      <c r="AD8" s="92" t="s">
        <v>1022</v>
      </c>
      <c r="AE8" s="92">
        <v>601.995</v>
      </c>
      <c r="AF8" s="92" t="s">
        <v>1023</v>
      </c>
      <c r="AG8" s="92" t="s">
        <v>1024</v>
      </c>
      <c r="AH8" s="92" t="s">
        <v>1025</v>
      </c>
      <c r="AI8" s="92">
        <v>103</v>
      </c>
      <c r="AJ8" s="92" t="s">
        <v>1026</v>
      </c>
      <c r="AM8">
        <v>3</v>
      </c>
      <c r="AN8" t="s">
        <v>1474</v>
      </c>
      <c r="AO8" t="s">
        <v>1474</v>
      </c>
      <c r="AP8">
        <v>23.818000000000001</v>
      </c>
      <c r="AQ8">
        <v>304.97800000000001</v>
      </c>
      <c r="AR8" t="s">
        <v>1475</v>
      </c>
      <c r="AS8">
        <v>1991</v>
      </c>
      <c r="AU8" t="s">
        <v>1476</v>
      </c>
      <c r="AV8" t="s">
        <v>1477</v>
      </c>
      <c r="AW8" t="s">
        <v>1478</v>
      </c>
      <c r="BB8" t="s">
        <v>1767</v>
      </c>
      <c r="BL8">
        <v>4</v>
      </c>
      <c r="BM8" t="s">
        <v>1205</v>
      </c>
      <c r="BN8" t="s">
        <v>1206</v>
      </c>
      <c r="BP8">
        <v>172.828</v>
      </c>
      <c r="BQ8">
        <v>3.79</v>
      </c>
      <c r="BR8">
        <v>1880</v>
      </c>
      <c r="CC8">
        <v>3</v>
      </c>
      <c r="CD8" t="s">
        <v>1939</v>
      </c>
      <c r="CE8" s="96">
        <v>3755</v>
      </c>
      <c r="CF8" s="96">
        <v>107416</v>
      </c>
      <c r="CG8">
        <v>28.6</v>
      </c>
      <c r="CH8" t="s">
        <v>1940</v>
      </c>
      <c r="CO8">
        <v>3</v>
      </c>
      <c r="CP8" t="s">
        <v>1874</v>
      </c>
      <c r="CQ8" t="s">
        <v>1875</v>
      </c>
      <c r="CR8" s="96">
        <v>271475</v>
      </c>
      <c r="CS8" s="96">
        <v>4948</v>
      </c>
      <c r="CT8">
        <v>20</v>
      </c>
      <c r="CU8">
        <v>54.87</v>
      </c>
      <c r="CX8" t="s">
        <v>1676</v>
      </c>
      <c r="CY8" t="s">
        <v>1677</v>
      </c>
      <c r="CZ8" t="s">
        <v>1678</v>
      </c>
      <c r="DA8" t="s">
        <v>1678</v>
      </c>
      <c r="DB8" t="s">
        <v>1671</v>
      </c>
      <c r="DH8">
        <v>2</v>
      </c>
      <c r="DI8" t="s">
        <v>1916</v>
      </c>
      <c r="DJ8" t="s">
        <v>1917</v>
      </c>
      <c r="DK8" s="96">
        <v>2353</v>
      </c>
      <c r="DL8">
        <v>1.4</v>
      </c>
      <c r="DM8" s="96">
        <v>31420</v>
      </c>
      <c r="DN8">
        <v>5.8</v>
      </c>
      <c r="DO8">
        <v>13.4</v>
      </c>
      <c r="DS8" t="s">
        <v>1394</v>
      </c>
      <c r="DT8" t="s">
        <v>1395</v>
      </c>
      <c r="DU8">
        <v>1816</v>
      </c>
      <c r="DV8">
        <v>6.1059999999999999</v>
      </c>
      <c r="DW8">
        <v>123.203</v>
      </c>
      <c r="DX8" t="s">
        <v>1396</v>
      </c>
      <c r="DY8" t="s">
        <v>1397</v>
      </c>
      <c r="DZ8">
        <v>26.231000000000002</v>
      </c>
      <c r="EC8" s="92" t="s">
        <v>1269</v>
      </c>
      <c r="ED8" s="92" t="s">
        <v>1270</v>
      </c>
      <c r="EE8" s="92"/>
      <c r="EF8" s="92" t="s">
        <v>1271</v>
      </c>
      <c r="EG8" s="92" t="s">
        <v>1272</v>
      </c>
      <c r="EH8" s="92">
        <v>43.3</v>
      </c>
      <c r="EI8" s="92" t="s">
        <v>1273</v>
      </c>
      <c r="EJ8" s="92" t="s">
        <v>1274</v>
      </c>
      <c r="EK8" s="92" t="s">
        <v>1275</v>
      </c>
    </row>
    <row r="9" spans="5:141" x14ac:dyDescent="0.3">
      <c r="E9" s="89" t="s">
        <v>877</v>
      </c>
      <c r="F9" s="89" t="s">
        <v>877</v>
      </c>
      <c r="G9" s="89" t="s">
        <v>878</v>
      </c>
      <c r="H9" s="89" t="s">
        <v>879</v>
      </c>
      <c r="I9" s="89" t="s">
        <v>880</v>
      </c>
      <c r="J9" s="89">
        <v>603.12</v>
      </c>
      <c r="K9" s="89" t="s">
        <v>881</v>
      </c>
      <c r="L9" s="89" t="s">
        <v>882</v>
      </c>
      <c r="M9" s="90">
        <f>COUNTIF(ARG!$A$2:$A$22,"[ARG] "&amp;E9)</f>
        <v>1</v>
      </c>
      <c r="P9" t="s">
        <v>1842</v>
      </c>
      <c r="Q9" t="s">
        <v>1843</v>
      </c>
      <c r="R9" t="s">
        <v>1842</v>
      </c>
      <c r="S9" t="s">
        <v>1844</v>
      </c>
      <c r="T9" s="96">
        <v>3022566</v>
      </c>
      <c r="U9" t="s">
        <v>1845</v>
      </c>
      <c r="V9" t="s">
        <v>1846</v>
      </c>
      <c r="W9">
        <v>29</v>
      </c>
      <c r="Z9" s="92" t="s">
        <v>1027</v>
      </c>
      <c r="AA9" s="92" t="s">
        <v>860</v>
      </c>
      <c r="AB9" s="92" t="s">
        <v>1028</v>
      </c>
      <c r="AC9" s="92"/>
      <c r="AD9" s="92">
        <v>564.73299999999995</v>
      </c>
      <c r="AE9" s="92">
        <v>218.04499999999999</v>
      </c>
      <c r="AF9" s="92" t="s">
        <v>1029</v>
      </c>
      <c r="AG9" s="92" t="s">
        <v>1030</v>
      </c>
      <c r="AH9" s="92" t="s">
        <v>1031</v>
      </c>
      <c r="AI9" s="92">
        <v>257</v>
      </c>
      <c r="AJ9" s="92" t="s">
        <v>1032</v>
      </c>
      <c r="AM9">
        <v>4</v>
      </c>
      <c r="AN9" t="s">
        <v>1479</v>
      </c>
      <c r="AO9" t="s">
        <v>1480</v>
      </c>
      <c r="AP9">
        <v>3.3879999999999999</v>
      </c>
      <c r="AQ9" t="s">
        <v>1481</v>
      </c>
      <c r="AR9" t="s">
        <v>1482</v>
      </c>
      <c r="AS9">
        <v>1910</v>
      </c>
      <c r="AU9" t="s">
        <v>1483</v>
      </c>
      <c r="AV9" t="s">
        <v>1484</v>
      </c>
      <c r="AW9" t="s">
        <v>1485</v>
      </c>
      <c r="BB9" t="s">
        <v>1770</v>
      </c>
      <c r="BC9" t="s">
        <v>1770</v>
      </c>
      <c r="BD9" s="95">
        <v>126049.1</v>
      </c>
      <c r="BE9" s="96">
        <v>607534</v>
      </c>
      <c r="BF9">
        <v>4.82</v>
      </c>
      <c r="BG9" t="s">
        <v>1772</v>
      </c>
      <c r="BL9">
        <v>5</v>
      </c>
      <c r="BM9" t="s">
        <v>1207</v>
      </c>
      <c r="BN9" t="s">
        <v>1208</v>
      </c>
      <c r="BP9">
        <v>471.93299999999999</v>
      </c>
      <c r="BQ9">
        <v>5.9989999999999997</v>
      </c>
      <c r="BR9">
        <v>1824</v>
      </c>
      <c r="CC9">
        <v>4</v>
      </c>
      <c r="CD9" t="s">
        <v>1941</v>
      </c>
      <c r="CE9" s="96">
        <v>2232</v>
      </c>
      <c r="CF9" s="96">
        <v>313429</v>
      </c>
      <c r="CG9">
        <v>140.4</v>
      </c>
      <c r="CH9" t="s">
        <v>1942</v>
      </c>
      <c r="CO9">
        <v>4</v>
      </c>
      <c r="CP9" t="s">
        <v>1876</v>
      </c>
      <c r="CQ9" t="s">
        <v>1877</v>
      </c>
      <c r="CR9" s="96">
        <v>180121</v>
      </c>
      <c r="CS9" s="96">
        <v>3846</v>
      </c>
      <c r="CT9">
        <v>18</v>
      </c>
      <c r="CU9">
        <v>46.83</v>
      </c>
      <c r="CX9" t="s">
        <v>1679</v>
      </c>
      <c r="CY9" t="s">
        <v>1680</v>
      </c>
      <c r="CZ9" t="s">
        <v>1681</v>
      </c>
      <c r="DA9" t="s">
        <v>1682</v>
      </c>
      <c r="DB9" t="s">
        <v>1671</v>
      </c>
      <c r="DH9">
        <v>3</v>
      </c>
      <c r="DI9" t="s">
        <v>1918</v>
      </c>
      <c r="DJ9" t="s">
        <v>1919</v>
      </c>
      <c r="DK9" s="96">
        <v>3902</v>
      </c>
      <c r="DL9">
        <v>2.2000000000000002</v>
      </c>
      <c r="DM9" s="96">
        <v>3391</v>
      </c>
      <c r="DN9">
        <v>0.6</v>
      </c>
      <c r="DO9">
        <v>0.9</v>
      </c>
      <c r="DS9" s="92" t="s">
        <v>1398</v>
      </c>
      <c r="DT9" s="92" t="s">
        <v>1399</v>
      </c>
      <c r="DU9" s="92">
        <v>1822</v>
      </c>
      <c r="DV9" s="92">
        <v>11.643000000000001</v>
      </c>
      <c r="DW9" s="92">
        <v>57.088000000000001</v>
      </c>
      <c r="DX9" s="92" t="s">
        <v>1400</v>
      </c>
      <c r="DY9" s="92" t="s">
        <v>1398</v>
      </c>
      <c r="DZ9" s="92">
        <v>34.372</v>
      </c>
      <c r="EC9" s="92" t="s">
        <v>1276</v>
      </c>
      <c r="ED9" s="92" t="s">
        <v>1277</v>
      </c>
      <c r="EE9" s="92"/>
      <c r="EF9" s="92">
        <v>570</v>
      </c>
      <c r="EG9" s="92">
        <v>459.02499999999998</v>
      </c>
      <c r="EH9" s="92">
        <v>76.5</v>
      </c>
      <c r="EI9" s="92" t="s">
        <v>1278</v>
      </c>
      <c r="EJ9" s="92" t="s">
        <v>1279</v>
      </c>
      <c r="EK9" s="92" t="s">
        <v>1280</v>
      </c>
    </row>
    <row r="10" spans="5:141" x14ac:dyDescent="0.3">
      <c r="E10" s="89" t="s">
        <v>883</v>
      </c>
      <c r="F10" s="89" t="s">
        <v>883</v>
      </c>
      <c r="G10" s="89" t="s">
        <v>883</v>
      </c>
      <c r="H10" s="89" t="s">
        <v>884</v>
      </c>
      <c r="I10" s="89" t="s">
        <v>885</v>
      </c>
      <c r="J10" s="89" t="s">
        <v>886</v>
      </c>
      <c r="K10" s="89" t="s">
        <v>887</v>
      </c>
      <c r="L10" s="89" t="s">
        <v>888</v>
      </c>
      <c r="M10" s="90">
        <f>COUNTIF(ARG!$A$2:$A$22,"[ARG] "&amp;E10)</f>
        <v>0</v>
      </c>
      <c r="P10" t="s">
        <v>1847</v>
      </c>
      <c r="Q10" t="s">
        <v>1848</v>
      </c>
      <c r="R10" t="s">
        <v>1847</v>
      </c>
      <c r="T10" s="96">
        <v>570194</v>
      </c>
      <c r="U10" t="s">
        <v>1849</v>
      </c>
      <c r="V10" t="s">
        <v>1850</v>
      </c>
      <c r="W10">
        <v>9</v>
      </c>
      <c r="Z10" s="92" t="s">
        <v>1033</v>
      </c>
      <c r="AA10" s="92" t="s">
        <v>1034</v>
      </c>
      <c r="AB10" s="92" t="s">
        <v>1035</v>
      </c>
      <c r="AC10" s="92"/>
      <c r="AD10" s="92">
        <v>148.92099999999999</v>
      </c>
      <c r="AE10" s="92">
        <v>57.499000000000002</v>
      </c>
      <c r="AF10" s="92" t="s">
        <v>1036</v>
      </c>
      <c r="AG10" s="92" t="s">
        <v>1037</v>
      </c>
      <c r="AH10" s="92" t="s">
        <v>1038</v>
      </c>
      <c r="AI10" s="92">
        <v>410</v>
      </c>
      <c r="AJ10" s="92" t="s">
        <v>1039</v>
      </c>
      <c r="AM10">
        <v>5</v>
      </c>
      <c r="AN10" t="s">
        <v>1292</v>
      </c>
      <c r="AO10" t="s">
        <v>1486</v>
      </c>
      <c r="AP10">
        <v>25.978000000000002</v>
      </c>
      <c r="AQ10" t="s">
        <v>1487</v>
      </c>
      <c r="AR10" t="s">
        <v>1488</v>
      </c>
      <c r="AS10">
        <v>1886</v>
      </c>
      <c r="AU10" t="s">
        <v>1489</v>
      </c>
      <c r="AV10" t="s">
        <v>1490</v>
      </c>
      <c r="AW10" t="s">
        <v>1491</v>
      </c>
      <c r="BB10" t="s">
        <v>1771</v>
      </c>
      <c r="BL10">
        <v>6</v>
      </c>
      <c r="BM10" t="s">
        <v>1209</v>
      </c>
      <c r="BN10" t="s">
        <v>1210</v>
      </c>
      <c r="BP10">
        <v>470.21</v>
      </c>
      <c r="BQ10">
        <v>6.085</v>
      </c>
      <c r="BR10">
        <v>1851</v>
      </c>
      <c r="CC10">
        <v>5</v>
      </c>
      <c r="CD10" t="s">
        <v>1943</v>
      </c>
      <c r="CE10" s="96">
        <v>4190</v>
      </c>
      <c r="CF10" s="96">
        <v>49723</v>
      </c>
      <c r="CG10">
        <v>11.9</v>
      </c>
      <c r="CH10" t="s">
        <v>1944</v>
      </c>
      <c r="CO10">
        <v>5</v>
      </c>
      <c r="CP10" t="s">
        <v>1878</v>
      </c>
      <c r="CQ10" t="s">
        <v>1879</v>
      </c>
      <c r="CR10" s="96">
        <v>430142</v>
      </c>
      <c r="CS10" s="96">
        <v>11474</v>
      </c>
      <c r="CT10">
        <v>23</v>
      </c>
      <c r="CU10">
        <v>37.49</v>
      </c>
      <c r="CX10" t="s">
        <v>1683</v>
      </c>
      <c r="CY10" t="s">
        <v>1684</v>
      </c>
      <c r="CZ10" t="s">
        <v>1685</v>
      </c>
      <c r="DA10" t="s">
        <v>1686</v>
      </c>
      <c r="DB10" t="s">
        <v>1671</v>
      </c>
      <c r="DH10">
        <v>4</v>
      </c>
      <c r="DI10" t="s">
        <v>1920</v>
      </c>
      <c r="DJ10" t="s">
        <v>1921</v>
      </c>
      <c r="DK10" s="96">
        <v>4627</v>
      </c>
      <c r="DL10">
        <v>2.8</v>
      </c>
      <c r="DM10" s="96">
        <v>18294</v>
      </c>
      <c r="DN10">
        <v>3.4</v>
      </c>
      <c r="DO10">
        <v>4</v>
      </c>
      <c r="DS10" t="s">
        <v>1401</v>
      </c>
      <c r="DT10" t="s">
        <v>1402</v>
      </c>
      <c r="DU10">
        <v>1885</v>
      </c>
      <c r="DV10">
        <v>5.1440000000000001</v>
      </c>
      <c r="DW10">
        <v>25.05</v>
      </c>
      <c r="DX10" t="s">
        <v>1403</v>
      </c>
      <c r="DY10" t="s">
        <v>1404</v>
      </c>
      <c r="DZ10">
        <v>21.428999999999998</v>
      </c>
      <c r="EC10" s="92" t="s">
        <v>1281</v>
      </c>
      <c r="ED10" s="92" t="s">
        <v>1282</v>
      </c>
      <c r="EE10" s="92"/>
      <c r="EF10" s="92" t="s">
        <v>1283</v>
      </c>
      <c r="EG10" s="92" t="s">
        <v>1284</v>
      </c>
      <c r="EH10" s="92">
        <v>7.0140000000000002</v>
      </c>
      <c r="EI10" s="92" t="s">
        <v>1285</v>
      </c>
      <c r="EJ10" s="92" t="s">
        <v>1286</v>
      </c>
      <c r="EK10" s="92" t="s">
        <v>1287</v>
      </c>
    </row>
    <row r="11" spans="5:141" x14ac:dyDescent="0.3">
      <c r="E11" s="89" t="s">
        <v>889</v>
      </c>
      <c r="F11" s="89" t="s">
        <v>889</v>
      </c>
      <c r="G11" s="89" t="s">
        <v>889</v>
      </c>
      <c r="H11" s="89" t="s">
        <v>890</v>
      </c>
      <c r="I11" s="89" t="s">
        <v>891</v>
      </c>
      <c r="J11" s="89" t="s">
        <v>892</v>
      </c>
      <c r="K11" s="89" t="s">
        <v>893</v>
      </c>
      <c r="L11" s="89" t="s">
        <v>894</v>
      </c>
      <c r="M11" s="90">
        <f>COUNTIF(ARG!$A$2:$A$22,"[ARG] "&amp;E11)</f>
        <v>1</v>
      </c>
      <c r="P11" t="s">
        <v>1851</v>
      </c>
      <c r="Q11" t="s">
        <v>1852</v>
      </c>
      <c r="R11" t="s">
        <v>1853</v>
      </c>
      <c r="T11" s="96">
        <v>130761</v>
      </c>
      <c r="U11" t="s">
        <v>1854</v>
      </c>
      <c r="V11" t="s">
        <v>1855</v>
      </c>
      <c r="W11">
        <v>5</v>
      </c>
      <c r="Z11" s="92" t="s">
        <v>1040</v>
      </c>
      <c r="AA11" s="92" t="s">
        <v>854</v>
      </c>
      <c r="AB11" s="92" t="s">
        <v>1041</v>
      </c>
      <c r="AC11" s="92"/>
      <c r="AD11" s="92">
        <v>5.78</v>
      </c>
      <c r="AE11" s="92">
        <v>2.23</v>
      </c>
      <c r="AF11" s="92" t="s">
        <v>1042</v>
      </c>
      <c r="AG11" s="92" t="s">
        <v>1043</v>
      </c>
      <c r="AH11" s="92" t="s">
        <v>1044</v>
      </c>
      <c r="AI11" s="92">
        <v>249</v>
      </c>
      <c r="AJ11" s="92" t="s">
        <v>1045</v>
      </c>
      <c r="AM11">
        <v>6</v>
      </c>
      <c r="AN11" t="s">
        <v>1492</v>
      </c>
      <c r="AO11" t="s">
        <v>1493</v>
      </c>
      <c r="AP11">
        <v>23.189</v>
      </c>
      <c r="AQ11" t="s">
        <v>1494</v>
      </c>
      <c r="AR11" t="s">
        <v>1495</v>
      </c>
      <c r="AS11">
        <v>1824</v>
      </c>
      <c r="AU11" t="s">
        <v>1496</v>
      </c>
      <c r="AV11" t="s">
        <v>1497</v>
      </c>
      <c r="AW11" t="s">
        <v>1498</v>
      </c>
      <c r="BB11" t="s">
        <v>1773</v>
      </c>
      <c r="BC11" t="s">
        <v>1775</v>
      </c>
      <c r="BD11" s="95">
        <v>75176.2</v>
      </c>
      <c r="BE11" s="96">
        <v>286168</v>
      </c>
      <c r="BF11">
        <v>3.81</v>
      </c>
      <c r="BG11" t="s">
        <v>1776</v>
      </c>
      <c r="BL11">
        <v>7</v>
      </c>
      <c r="BM11" t="s">
        <v>1211</v>
      </c>
      <c r="BN11" t="s">
        <v>1212</v>
      </c>
      <c r="BP11">
        <v>714.59199999999998</v>
      </c>
      <c r="BQ11">
        <v>5.8789999999999996</v>
      </c>
      <c r="BR11">
        <v>1884</v>
      </c>
      <c r="CC11">
        <v>6</v>
      </c>
      <c r="CD11" t="s">
        <v>1945</v>
      </c>
      <c r="CE11" s="96">
        <v>36234</v>
      </c>
      <c r="CF11" s="96">
        <v>109431</v>
      </c>
      <c r="CG11">
        <v>3</v>
      </c>
      <c r="CH11" t="s">
        <v>1946</v>
      </c>
      <c r="CO11">
        <v>6</v>
      </c>
      <c r="CP11" t="s">
        <v>1880</v>
      </c>
      <c r="CQ11" t="s">
        <v>1881</v>
      </c>
      <c r="CR11" s="96">
        <v>140060</v>
      </c>
      <c r="CS11" s="96">
        <v>9496</v>
      </c>
      <c r="CT11">
        <v>11</v>
      </c>
      <c r="CU11">
        <v>14.75</v>
      </c>
      <c r="CX11" t="s">
        <v>1687</v>
      </c>
      <c r="CY11" t="s">
        <v>1688</v>
      </c>
      <c r="CZ11" t="s">
        <v>1689</v>
      </c>
      <c r="DA11" t="s">
        <v>1690</v>
      </c>
      <c r="DB11" t="s">
        <v>1671</v>
      </c>
      <c r="DH11">
        <v>5</v>
      </c>
      <c r="DI11" t="s">
        <v>1922</v>
      </c>
      <c r="DJ11" t="s">
        <v>1923</v>
      </c>
      <c r="DK11" s="96">
        <v>5353</v>
      </c>
      <c r="DL11">
        <v>3.3</v>
      </c>
      <c r="DM11" s="96">
        <v>34233</v>
      </c>
      <c r="DN11">
        <v>6.3</v>
      </c>
      <c r="DO11">
        <v>6.4</v>
      </c>
      <c r="DS11" t="s">
        <v>1405</v>
      </c>
      <c r="DT11" t="s">
        <v>1406</v>
      </c>
      <c r="DU11">
        <v>1856</v>
      </c>
      <c r="DV11">
        <v>10.417</v>
      </c>
      <c r="DW11">
        <v>67.048000000000002</v>
      </c>
      <c r="DX11" t="s">
        <v>1407</v>
      </c>
      <c r="DY11" t="s">
        <v>1405</v>
      </c>
      <c r="DZ11">
        <v>33.64</v>
      </c>
      <c r="EC11" s="92" t="s">
        <v>1288</v>
      </c>
      <c r="ED11" s="92" t="s">
        <v>1288</v>
      </c>
      <c r="EE11" s="92"/>
      <c r="EF11" s="92">
        <v>830</v>
      </c>
      <c r="EG11" s="92">
        <v>816.26400000000001</v>
      </c>
      <c r="EH11" s="92">
        <v>35.200000000000003</v>
      </c>
      <c r="EI11" s="92" t="s">
        <v>1289</v>
      </c>
      <c r="EJ11" s="92" t="s">
        <v>1290</v>
      </c>
      <c r="EK11" s="92" t="s">
        <v>1291</v>
      </c>
    </row>
    <row r="12" spans="5:141" x14ac:dyDescent="0.3">
      <c r="E12" s="87" t="s">
        <v>895</v>
      </c>
      <c r="F12" s="87" t="s">
        <v>895</v>
      </c>
      <c r="G12" s="87" t="s">
        <v>896</v>
      </c>
      <c r="H12" s="87" t="s">
        <v>897</v>
      </c>
      <c r="I12" s="87" t="s">
        <v>898</v>
      </c>
      <c r="J12" s="87" t="s">
        <v>899</v>
      </c>
      <c r="K12" s="87" t="s">
        <v>900</v>
      </c>
      <c r="L12" s="87" t="s">
        <v>901</v>
      </c>
      <c r="M12" s="88">
        <f>COUNTIF(ARG!$A$2:$A$22,"[ARG] "&amp;E12)</f>
        <v>0</v>
      </c>
      <c r="P12" t="s">
        <v>1856</v>
      </c>
      <c r="Q12" t="s">
        <v>1857</v>
      </c>
      <c r="R12" t="s">
        <v>1856</v>
      </c>
      <c r="T12" s="96">
        <v>856419</v>
      </c>
      <c r="U12" t="s">
        <v>1858</v>
      </c>
      <c r="V12" t="s">
        <v>1859</v>
      </c>
      <c r="W12">
        <v>14</v>
      </c>
      <c r="Z12" s="92" t="s">
        <v>1046</v>
      </c>
      <c r="AA12" s="92" t="s">
        <v>1047</v>
      </c>
      <c r="AB12" s="92" t="s">
        <v>1048</v>
      </c>
      <c r="AC12" s="92" t="s">
        <v>1049</v>
      </c>
      <c r="AD12" s="92">
        <v>46.095999999999997</v>
      </c>
      <c r="AE12" s="92">
        <v>17.797999999999998</v>
      </c>
      <c r="AF12" s="92" t="s">
        <v>1050</v>
      </c>
      <c r="AG12" s="92" t="s">
        <v>1051</v>
      </c>
      <c r="AH12" s="92" t="s">
        <v>1052</v>
      </c>
      <c r="AI12" s="92">
        <v>125</v>
      </c>
      <c r="AJ12" s="92" t="s">
        <v>1053</v>
      </c>
      <c r="AM12">
        <v>7</v>
      </c>
      <c r="AN12" t="s">
        <v>1499</v>
      </c>
      <c r="AO12" t="s">
        <v>1500</v>
      </c>
      <c r="AP12">
        <v>7.8879999999999999</v>
      </c>
      <c r="AQ12" t="s">
        <v>1501</v>
      </c>
      <c r="AR12" t="s">
        <v>1502</v>
      </c>
      <c r="AS12">
        <v>1905</v>
      </c>
      <c r="AU12" t="s">
        <v>1503</v>
      </c>
      <c r="AV12" t="s">
        <v>1504</v>
      </c>
      <c r="AW12" t="s">
        <v>1505</v>
      </c>
      <c r="BB12" t="s">
        <v>1774</v>
      </c>
      <c r="BL12">
        <v>8</v>
      </c>
      <c r="BM12" t="s">
        <v>1213</v>
      </c>
      <c r="BN12" t="s">
        <v>1214</v>
      </c>
      <c r="BP12">
        <v>553.9</v>
      </c>
      <c r="BQ12">
        <v>16.132000000000001</v>
      </c>
      <c r="BR12">
        <v>1847</v>
      </c>
      <c r="CC12">
        <v>7</v>
      </c>
      <c r="CD12" t="s">
        <v>1947</v>
      </c>
      <c r="CE12" s="96">
        <v>47213</v>
      </c>
      <c r="CF12" s="96">
        <v>20280</v>
      </c>
      <c r="CG12">
        <v>0.4</v>
      </c>
      <c r="CH12" t="s">
        <v>1948</v>
      </c>
      <c r="CO12">
        <v>7</v>
      </c>
      <c r="CP12" t="s">
        <v>1882</v>
      </c>
      <c r="CQ12" t="s">
        <v>1883</v>
      </c>
      <c r="CR12" s="96">
        <v>436966</v>
      </c>
      <c r="CS12" s="96">
        <v>16525</v>
      </c>
      <c r="CT12">
        <v>30</v>
      </c>
      <c r="CU12">
        <v>26.44</v>
      </c>
      <c r="CX12" t="s">
        <v>1691</v>
      </c>
      <c r="CY12" t="s">
        <v>1692</v>
      </c>
      <c r="CZ12" t="s">
        <v>1693</v>
      </c>
      <c r="DA12" t="s">
        <v>1694</v>
      </c>
      <c r="DB12" t="s">
        <v>1671</v>
      </c>
      <c r="DH12">
        <v>6</v>
      </c>
      <c r="DI12" t="s">
        <v>1924</v>
      </c>
      <c r="DJ12" t="s">
        <v>1925</v>
      </c>
      <c r="DK12" s="96">
        <v>5393</v>
      </c>
      <c r="DL12">
        <v>3.3</v>
      </c>
      <c r="DM12" s="96">
        <v>24700</v>
      </c>
      <c r="DN12">
        <v>4.5999999999999996</v>
      </c>
      <c r="DO12">
        <v>4.5999999999999996</v>
      </c>
      <c r="DS12" t="s">
        <v>1408</v>
      </c>
      <c r="DT12" t="s">
        <v>1409</v>
      </c>
      <c r="DU12">
        <v>1837</v>
      </c>
      <c r="DV12">
        <v>10.016</v>
      </c>
      <c r="DW12">
        <v>58.814999999999998</v>
      </c>
      <c r="DX12" t="s">
        <v>1410</v>
      </c>
      <c r="DY12" t="s">
        <v>1411</v>
      </c>
      <c r="DZ12">
        <v>45.637999999999998</v>
      </c>
      <c r="EC12" s="92" t="s">
        <v>1292</v>
      </c>
      <c r="ED12" s="92" t="s">
        <v>1293</v>
      </c>
      <c r="EE12" s="92" t="s">
        <v>1294</v>
      </c>
      <c r="EF12" s="92" t="s">
        <v>1295</v>
      </c>
      <c r="EG12" s="92" t="s">
        <v>1296</v>
      </c>
      <c r="EH12" s="92">
        <v>238</v>
      </c>
      <c r="EI12" s="92" t="s">
        <v>1297</v>
      </c>
      <c r="EJ12" s="92" t="s">
        <v>1298</v>
      </c>
      <c r="EK12" s="92" t="s">
        <v>1268</v>
      </c>
    </row>
    <row r="13" spans="5:141" x14ac:dyDescent="0.3">
      <c r="E13" s="89" t="s">
        <v>902</v>
      </c>
      <c r="F13" s="89" t="s">
        <v>902</v>
      </c>
      <c r="G13" s="89" t="s">
        <v>902</v>
      </c>
      <c r="H13" s="89" t="s">
        <v>902</v>
      </c>
      <c r="I13" s="89" t="s">
        <v>903</v>
      </c>
      <c r="J13" s="89">
        <v>606.94100000000003</v>
      </c>
      <c r="K13" s="89" t="s">
        <v>904</v>
      </c>
      <c r="L13" s="89" t="s">
        <v>905</v>
      </c>
      <c r="M13" s="90">
        <f>COUNTIF(ARG!$A$2:$A$22,"[ARG] "&amp;E13)</f>
        <v>1</v>
      </c>
      <c r="P13" t="s">
        <v>962</v>
      </c>
      <c r="Q13" t="s">
        <v>1860</v>
      </c>
      <c r="R13" t="s">
        <v>1861</v>
      </c>
      <c r="T13" s="96">
        <v>3115386</v>
      </c>
      <c r="U13" t="s">
        <v>1862</v>
      </c>
      <c r="V13" t="s">
        <v>1863</v>
      </c>
      <c r="W13">
        <v>25</v>
      </c>
      <c r="Z13" s="92" t="s">
        <v>1054</v>
      </c>
      <c r="AA13" s="92" t="s">
        <v>1055</v>
      </c>
      <c r="AB13" s="92" t="s">
        <v>1056</v>
      </c>
      <c r="AC13" s="92"/>
      <c r="AD13" s="92">
        <v>340.11200000000002</v>
      </c>
      <c r="AE13" s="92">
        <v>131.31800000000001</v>
      </c>
      <c r="AF13" s="92" t="s">
        <v>1057</v>
      </c>
      <c r="AG13" s="92" t="s">
        <v>1058</v>
      </c>
      <c r="AH13" s="92" t="s">
        <v>1059</v>
      </c>
      <c r="AI13" s="92">
        <v>202</v>
      </c>
      <c r="AJ13" s="92" t="s">
        <v>1060</v>
      </c>
      <c r="AM13">
        <v>8</v>
      </c>
      <c r="AN13" t="s">
        <v>1506</v>
      </c>
      <c r="AO13" t="s">
        <v>1507</v>
      </c>
      <c r="AP13">
        <v>88.965000000000003</v>
      </c>
      <c r="AQ13">
        <v>419.27499999999998</v>
      </c>
      <c r="AR13" t="s">
        <v>1508</v>
      </c>
      <c r="AS13">
        <v>1981</v>
      </c>
      <c r="AU13" t="s">
        <v>1509</v>
      </c>
      <c r="AV13" t="s">
        <v>1510</v>
      </c>
      <c r="AW13" t="s">
        <v>1511</v>
      </c>
      <c r="BB13" t="s">
        <v>1777</v>
      </c>
      <c r="BC13" t="s">
        <v>1779</v>
      </c>
      <c r="BD13" s="95">
        <v>40579.9</v>
      </c>
      <c r="BE13" s="96">
        <v>757586</v>
      </c>
      <c r="BF13">
        <v>18.670000000000002</v>
      </c>
      <c r="BG13" t="s">
        <v>1780</v>
      </c>
      <c r="BL13">
        <v>9</v>
      </c>
      <c r="BM13" s="92" t="s">
        <v>1215</v>
      </c>
      <c r="BN13" s="92" t="s">
        <v>1216</v>
      </c>
      <c r="BO13" s="92" t="s">
        <v>1217</v>
      </c>
      <c r="BP13" s="92">
        <v>28.582999999999998</v>
      </c>
      <c r="BQ13" s="92">
        <v>8.01</v>
      </c>
      <c r="BR13" s="92">
        <v>1973</v>
      </c>
      <c r="CC13">
        <v>8</v>
      </c>
      <c r="CD13" t="s">
        <v>1949</v>
      </c>
      <c r="CE13" s="96">
        <v>20051</v>
      </c>
      <c r="CF13" s="96">
        <v>10190</v>
      </c>
      <c r="CG13">
        <v>0.5</v>
      </c>
      <c r="CH13" t="s">
        <v>1950</v>
      </c>
      <c r="CO13">
        <v>8</v>
      </c>
      <c r="CP13" t="s">
        <v>1884</v>
      </c>
      <c r="CQ13" t="s">
        <v>1885</v>
      </c>
      <c r="CR13" s="96">
        <v>114542</v>
      </c>
      <c r="CS13" s="96">
        <v>9556</v>
      </c>
      <c r="CT13">
        <v>10</v>
      </c>
      <c r="CU13">
        <v>11.99</v>
      </c>
      <c r="CX13" t="s">
        <v>1695</v>
      </c>
      <c r="CY13" t="s">
        <v>1696</v>
      </c>
      <c r="CZ13" t="s">
        <v>1697</v>
      </c>
      <c r="DA13" t="s">
        <v>1698</v>
      </c>
      <c r="DB13" t="s">
        <v>1671</v>
      </c>
      <c r="DH13">
        <v>7</v>
      </c>
      <c r="DI13" t="s">
        <v>1914</v>
      </c>
      <c r="DJ13" t="s">
        <v>1914</v>
      </c>
      <c r="DK13">
        <v>182</v>
      </c>
      <c r="DL13">
        <v>0.1</v>
      </c>
      <c r="DM13" s="96">
        <v>240924</v>
      </c>
      <c r="DN13">
        <v>44.5</v>
      </c>
      <c r="DO13">
        <v>1323.8</v>
      </c>
      <c r="DS13" s="92" t="s">
        <v>1412</v>
      </c>
      <c r="DT13" s="92" t="s">
        <v>1413</v>
      </c>
      <c r="DU13" s="92">
        <v>1816</v>
      </c>
      <c r="DV13" s="92">
        <v>4.7930000000000001</v>
      </c>
      <c r="DW13" s="92">
        <v>164.3</v>
      </c>
      <c r="DX13" s="92" t="s">
        <v>1414</v>
      </c>
      <c r="DY13" s="92" t="s">
        <v>1412</v>
      </c>
      <c r="DZ13" s="92">
        <v>62.591999999999999</v>
      </c>
      <c r="EC13" s="92" t="s">
        <v>1299</v>
      </c>
      <c r="ED13" s="92" t="s">
        <v>1300</v>
      </c>
      <c r="EE13" s="92"/>
      <c r="EF13" s="92" t="s">
        <v>1301</v>
      </c>
      <c r="EG13" s="92" t="s">
        <v>1302</v>
      </c>
      <c r="EH13" s="92">
        <v>4.6500000000000004</v>
      </c>
      <c r="EI13" s="92" t="s">
        <v>1303</v>
      </c>
      <c r="EJ13" s="92" t="s">
        <v>1304</v>
      </c>
      <c r="EK13" s="92" t="s">
        <v>1287</v>
      </c>
    </row>
    <row r="14" spans="5:141" x14ac:dyDescent="0.3">
      <c r="E14" s="87" t="s">
        <v>906</v>
      </c>
      <c r="F14" s="87" t="s">
        <v>906</v>
      </c>
      <c r="G14" s="87" t="s">
        <v>907</v>
      </c>
      <c r="H14" s="87" t="s">
        <v>908</v>
      </c>
      <c r="I14" s="87" t="s">
        <v>909</v>
      </c>
      <c r="J14" s="87">
        <v>797.95500000000004</v>
      </c>
      <c r="K14" s="87" t="s">
        <v>910</v>
      </c>
      <c r="L14" s="87" t="s">
        <v>911</v>
      </c>
      <c r="M14" s="88">
        <f>COUNTIF(ARG!$A$2:$A$22,"[ARG] "&amp;E14)</f>
        <v>0</v>
      </c>
      <c r="P14" t="s">
        <v>1864</v>
      </c>
      <c r="Q14" t="s">
        <v>1865</v>
      </c>
      <c r="R14" t="s">
        <v>1864</v>
      </c>
      <c r="T14" s="96">
        <v>534348</v>
      </c>
      <c r="U14" t="s">
        <v>1866</v>
      </c>
      <c r="V14" t="s">
        <v>1867</v>
      </c>
      <c r="W14">
        <v>9</v>
      </c>
      <c r="Z14" s="92" t="s">
        <v>1061</v>
      </c>
      <c r="AA14" s="92" t="s">
        <v>1062</v>
      </c>
      <c r="AB14" s="92" t="s">
        <v>1063</v>
      </c>
      <c r="AC14" s="92"/>
      <c r="AD14" s="92">
        <v>331.93700000000001</v>
      </c>
      <c r="AE14" s="92">
        <v>128.16200000000001</v>
      </c>
      <c r="AF14" s="92" t="s">
        <v>1064</v>
      </c>
      <c r="AG14" s="92" t="s">
        <v>1065</v>
      </c>
      <c r="AH14" s="92" t="s">
        <v>1066</v>
      </c>
      <c r="AI14" s="92">
        <v>102</v>
      </c>
      <c r="AJ14" s="92" t="s">
        <v>1067</v>
      </c>
      <c r="AM14">
        <v>9</v>
      </c>
      <c r="AN14" t="s">
        <v>1512</v>
      </c>
      <c r="AO14" t="s">
        <v>1513</v>
      </c>
      <c r="AP14">
        <v>44.64</v>
      </c>
      <c r="AQ14">
        <v>442.06799999999998</v>
      </c>
      <c r="AR14" t="s">
        <v>1514</v>
      </c>
      <c r="AS14">
        <v>1991</v>
      </c>
      <c r="AU14" t="s">
        <v>1515</v>
      </c>
      <c r="AV14" t="s">
        <v>1516</v>
      </c>
      <c r="AW14" t="s">
        <v>1517</v>
      </c>
      <c r="BB14" t="s">
        <v>1778</v>
      </c>
      <c r="BL14">
        <v>10</v>
      </c>
      <c r="BM14" t="s">
        <v>1218</v>
      </c>
      <c r="BN14" t="s">
        <v>1219</v>
      </c>
      <c r="BP14" t="s">
        <v>1220</v>
      </c>
      <c r="BQ14">
        <v>15.927</v>
      </c>
      <c r="BR14">
        <v>1824</v>
      </c>
      <c r="CC14">
        <v>9</v>
      </c>
      <c r="CD14" t="s">
        <v>1951</v>
      </c>
      <c r="CE14" s="96">
        <v>57750</v>
      </c>
      <c r="CF14" s="96">
        <v>24212</v>
      </c>
      <c r="CG14">
        <v>0.4</v>
      </c>
      <c r="CH14" t="s">
        <v>1952</v>
      </c>
      <c r="CO14">
        <v>9</v>
      </c>
      <c r="CP14" t="s">
        <v>1886</v>
      </c>
      <c r="CQ14" t="s">
        <v>1887</v>
      </c>
      <c r="CR14" s="96">
        <v>199430</v>
      </c>
      <c r="CS14" s="96">
        <v>8705</v>
      </c>
      <c r="CT14">
        <v>17</v>
      </c>
      <c r="CU14">
        <v>22.91</v>
      </c>
      <c r="CX14" t="s">
        <v>1699</v>
      </c>
      <c r="CY14" t="s">
        <v>1700</v>
      </c>
      <c r="CZ14" t="s">
        <v>1701</v>
      </c>
      <c r="DA14" t="s">
        <v>1702</v>
      </c>
      <c r="DB14" t="s">
        <v>1671</v>
      </c>
      <c r="DH14">
        <v>8</v>
      </c>
      <c r="DI14" t="s">
        <v>1926</v>
      </c>
      <c r="DJ14" t="s">
        <v>1927</v>
      </c>
      <c r="DK14" s="96">
        <v>3636</v>
      </c>
      <c r="DL14">
        <v>2.2000000000000002</v>
      </c>
      <c r="DM14" s="96">
        <v>17480</v>
      </c>
      <c r="DN14">
        <v>3.2</v>
      </c>
      <c r="DO14">
        <v>4.8</v>
      </c>
      <c r="DS14" t="s">
        <v>1415</v>
      </c>
      <c r="DT14" t="s">
        <v>1416</v>
      </c>
      <c r="DU14">
        <v>1816</v>
      </c>
      <c r="DV14">
        <v>530</v>
      </c>
      <c r="DW14" t="s">
        <v>1417</v>
      </c>
      <c r="DX14">
        <v>2.4889999999999999</v>
      </c>
      <c r="DY14" t="s">
        <v>1415</v>
      </c>
      <c r="DZ14" t="s">
        <v>1417</v>
      </c>
      <c r="EC14" s="92" t="s">
        <v>1305</v>
      </c>
      <c r="ED14" s="92" t="s">
        <v>1306</v>
      </c>
      <c r="EE14" s="92"/>
      <c r="EF14" s="92">
        <v>330</v>
      </c>
      <c r="EG14" s="92">
        <v>323.16500000000002</v>
      </c>
      <c r="EH14" s="92">
        <v>14.8</v>
      </c>
      <c r="EI14" s="92" t="s">
        <v>1307</v>
      </c>
      <c r="EJ14" s="92" t="s">
        <v>1308</v>
      </c>
      <c r="EK14" s="92" t="s">
        <v>1287</v>
      </c>
    </row>
    <row r="15" spans="5:141" x14ac:dyDescent="0.3">
      <c r="E15" s="89" t="s">
        <v>912</v>
      </c>
      <c r="F15" s="89" t="s">
        <v>912</v>
      </c>
      <c r="G15" s="89" t="s">
        <v>913</v>
      </c>
      <c r="H15" s="89" t="s">
        <v>914</v>
      </c>
      <c r="I15" s="89" t="s">
        <v>915</v>
      </c>
      <c r="J15" s="89">
        <v>366.02199999999999</v>
      </c>
      <c r="K15" s="89" t="s">
        <v>916</v>
      </c>
      <c r="L15" s="89" t="s">
        <v>917</v>
      </c>
      <c r="M15" s="90">
        <f>COUNTIF(ARG!$A$2:$A$22,"[ARG] "&amp;E15)</f>
        <v>1</v>
      </c>
      <c r="Z15" s="92" t="s">
        <v>1068</v>
      </c>
      <c r="AA15" s="92" t="s">
        <v>1069</v>
      </c>
      <c r="AB15" s="92" t="s">
        <v>1070</v>
      </c>
      <c r="AC15" s="92"/>
      <c r="AD15" s="92">
        <v>903.36599999999999</v>
      </c>
      <c r="AE15" s="92">
        <v>348.79199999999997</v>
      </c>
      <c r="AF15" s="92" t="s">
        <v>1071</v>
      </c>
      <c r="AG15" s="92" t="s">
        <v>1072</v>
      </c>
      <c r="AH15" s="92" t="s">
        <v>1073</v>
      </c>
      <c r="AI15" s="92">
        <v>142</v>
      </c>
      <c r="AJ15" s="92" t="s">
        <v>1074</v>
      </c>
      <c r="AM15">
        <v>10</v>
      </c>
      <c r="AN15" t="s">
        <v>1518</v>
      </c>
      <c r="AO15" t="s">
        <v>1519</v>
      </c>
      <c r="AP15">
        <v>29.308</v>
      </c>
      <c r="AQ15" t="s">
        <v>1520</v>
      </c>
      <c r="AR15" t="s">
        <v>1521</v>
      </c>
      <c r="AS15">
        <v>1824</v>
      </c>
      <c r="AU15" t="s">
        <v>1522</v>
      </c>
      <c r="AV15" t="s">
        <v>1523</v>
      </c>
      <c r="AW15" t="s">
        <v>1524</v>
      </c>
      <c r="BB15" t="s">
        <v>1781</v>
      </c>
      <c r="BC15" t="s">
        <v>1781</v>
      </c>
      <c r="BD15" s="95">
        <v>16396.099999999999</v>
      </c>
      <c r="BE15" s="96">
        <v>1815902</v>
      </c>
      <c r="BF15">
        <v>110.75</v>
      </c>
      <c r="BG15" t="s">
        <v>1783</v>
      </c>
      <c r="BL15">
        <v>11</v>
      </c>
      <c r="BM15" t="s">
        <v>1221</v>
      </c>
      <c r="BN15" t="s">
        <v>1222</v>
      </c>
      <c r="BP15">
        <v>469.87900000000002</v>
      </c>
      <c r="BQ15">
        <v>4.6109999999999998</v>
      </c>
      <c r="BR15">
        <v>1824</v>
      </c>
      <c r="CC15">
        <v>10</v>
      </c>
      <c r="CD15" t="s">
        <v>1953</v>
      </c>
      <c r="CE15" s="96">
        <v>17040</v>
      </c>
      <c r="CF15" s="96">
        <v>39452</v>
      </c>
      <c r="CG15">
        <v>2.2999999999999998</v>
      </c>
      <c r="CH15" t="s">
        <v>1954</v>
      </c>
      <c r="CO15">
        <v>10</v>
      </c>
      <c r="CP15" t="s">
        <v>1888</v>
      </c>
      <c r="CQ15" t="s">
        <v>1889</v>
      </c>
      <c r="CR15" s="96">
        <v>784839</v>
      </c>
      <c r="CS15" s="96">
        <v>14895</v>
      </c>
      <c r="CT15">
        <v>22</v>
      </c>
      <c r="CU15">
        <v>52.69</v>
      </c>
      <c r="CX15" t="s">
        <v>1703</v>
      </c>
      <c r="CY15" t="s">
        <v>1704</v>
      </c>
      <c r="CZ15" t="s">
        <v>1705</v>
      </c>
      <c r="DA15" t="s">
        <v>1705</v>
      </c>
      <c r="DB15" t="s">
        <v>1671</v>
      </c>
      <c r="DH15">
        <v>9</v>
      </c>
      <c r="DI15" t="s">
        <v>1928</v>
      </c>
      <c r="DJ15" t="s">
        <v>1929</v>
      </c>
      <c r="DK15" s="96">
        <v>130567</v>
      </c>
      <c r="DL15">
        <v>79.7</v>
      </c>
      <c r="DM15" s="96">
        <v>37065</v>
      </c>
      <c r="DN15">
        <v>6.8</v>
      </c>
      <c r="DO15">
        <v>0.3</v>
      </c>
      <c r="DS15" t="s">
        <v>1418</v>
      </c>
      <c r="DT15" t="s">
        <v>1419</v>
      </c>
      <c r="DU15">
        <v>1820</v>
      </c>
      <c r="DV15">
        <v>13.922000000000001</v>
      </c>
      <c r="DW15">
        <v>113.124</v>
      </c>
      <c r="DX15" t="s">
        <v>1420</v>
      </c>
      <c r="DY15" t="s">
        <v>1418</v>
      </c>
      <c r="DZ15">
        <v>76.429000000000002</v>
      </c>
      <c r="EC15" s="92" t="s">
        <v>1309</v>
      </c>
      <c r="ED15" s="92" t="s">
        <v>1310</v>
      </c>
      <c r="EE15" s="92"/>
      <c r="EF15" s="92">
        <v>190</v>
      </c>
      <c r="EG15" s="92">
        <v>167.67599999999999</v>
      </c>
      <c r="EH15" s="92">
        <v>40.200000000000003</v>
      </c>
      <c r="EI15" s="92" t="s">
        <v>1311</v>
      </c>
      <c r="EJ15" s="92" t="s">
        <v>1312</v>
      </c>
      <c r="EK15" s="92" t="s">
        <v>1268</v>
      </c>
    </row>
    <row r="16" spans="5:141" x14ac:dyDescent="0.3">
      <c r="E16" s="89" t="s">
        <v>918</v>
      </c>
      <c r="F16" s="89" t="s">
        <v>918</v>
      </c>
      <c r="G16" s="89" t="s">
        <v>918</v>
      </c>
      <c r="H16" s="89" t="s">
        <v>919</v>
      </c>
      <c r="I16" s="89" t="s">
        <v>920</v>
      </c>
      <c r="J16" s="89">
        <v>384.60700000000003</v>
      </c>
      <c r="K16" s="89" t="s">
        <v>921</v>
      </c>
      <c r="L16" s="89" t="s">
        <v>922</v>
      </c>
      <c r="M16" s="90">
        <f>COUNTIF(ARG!$A$2:$A$22,"[ARG] "&amp;E16)</f>
        <v>1</v>
      </c>
      <c r="Z16" s="92" t="s">
        <v>1075</v>
      </c>
      <c r="AA16" s="92" t="s">
        <v>1076</v>
      </c>
      <c r="AB16" s="92" t="s">
        <v>1077</v>
      </c>
      <c r="AC16" s="92"/>
      <c r="AD16" s="92">
        <v>357.14600000000002</v>
      </c>
      <c r="AE16" s="92">
        <v>137.89500000000001</v>
      </c>
      <c r="AF16" s="92" t="s">
        <v>1078</v>
      </c>
      <c r="AG16" s="92" t="s">
        <v>1079</v>
      </c>
      <c r="AH16" s="92" t="s">
        <v>1080</v>
      </c>
      <c r="AI16" s="92">
        <v>107</v>
      </c>
      <c r="AJ16" s="92" t="s">
        <v>1081</v>
      </c>
      <c r="AM16">
        <v>11</v>
      </c>
      <c r="AN16" t="s">
        <v>1525</v>
      </c>
      <c r="AO16" t="s">
        <v>1526</v>
      </c>
      <c r="AP16">
        <v>22.905000000000001</v>
      </c>
      <c r="AQ16" t="s">
        <v>1527</v>
      </c>
      <c r="AR16" t="s">
        <v>1528</v>
      </c>
      <c r="AS16">
        <v>1967</v>
      </c>
      <c r="AU16" t="s">
        <v>1034</v>
      </c>
      <c r="AV16" t="s">
        <v>1529</v>
      </c>
      <c r="AW16" t="s">
        <v>1530</v>
      </c>
      <c r="BB16" t="s">
        <v>1782</v>
      </c>
      <c r="BL16">
        <v>12</v>
      </c>
      <c r="BM16" t="s">
        <v>1223</v>
      </c>
      <c r="BN16" t="s">
        <v>1224</v>
      </c>
      <c r="BP16">
        <v>485.42099999999999</v>
      </c>
      <c r="BQ16">
        <v>11.1</v>
      </c>
      <c r="BR16">
        <v>1824</v>
      </c>
      <c r="CD16" t="s">
        <v>235</v>
      </c>
      <c r="CE16" s="96">
        <v>214999</v>
      </c>
      <c r="CF16" s="96">
        <v>747884</v>
      </c>
      <c r="CG16">
        <v>3.5</v>
      </c>
      <c r="CH16" t="s">
        <v>1955</v>
      </c>
      <c r="CO16">
        <v>11</v>
      </c>
      <c r="CP16" t="s">
        <v>1890</v>
      </c>
      <c r="CQ16" t="s">
        <v>1891</v>
      </c>
      <c r="CR16" s="96">
        <v>1866562</v>
      </c>
      <c r="CS16" s="96">
        <v>2465</v>
      </c>
      <c r="CT16">
        <v>19</v>
      </c>
      <c r="CU16">
        <v>757.2</v>
      </c>
      <c r="CX16" t="s">
        <v>1706</v>
      </c>
      <c r="CY16" t="s">
        <v>1707</v>
      </c>
      <c r="CZ16" t="s">
        <v>1708</v>
      </c>
      <c r="DA16" t="s">
        <v>1708</v>
      </c>
      <c r="DB16" t="s">
        <v>1671</v>
      </c>
      <c r="DH16">
        <v>10</v>
      </c>
      <c r="DI16" t="s">
        <v>1930</v>
      </c>
      <c r="DJ16" t="s">
        <v>1931</v>
      </c>
      <c r="DK16">
        <v>443</v>
      </c>
      <c r="DL16">
        <v>0.3</v>
      </c>
      <c r="DM16" s="96">
        <v>118222</v>
      </c>
      <c r="DN16">
        <v>21.8</v>
      </c>
      <c r="DO16">
        <v>266.89999999999998</v>
      </c>
      <c r="DS16" t="s">
        <v>941</v>
      </c>
      <c r="DT16" t="s">
        <v>1421</v>
      </c>
      <c r="DU16">
        <v>1868</v>
      </c>
      <c r="DV16">
        <v>9.282</v>
      </c>
      <c r="DW16">
        <v>54.765000000000001</v>
      </c>
      <c r="DX16" t="s">
        <v>1422</v>
      </c>
      <c r="DY16" t="s">
        <v>1423</v>
      </c>
      <c r="DZ16">
        <v>24.405999999999999</v>
      </c>
      <c r="EC16" s="92" t="s">
        <v>1313</v>
      </c>
      <c r="ED16" s="92" t="s">
        <v>1314</v>
      </c>
      <c r="EE16" s="92" t="s">
        <v>1315</v>
      </c>
      <c r="EF16" s="92">
        <v>990</v>
      </c>
      <c r="EG16" s="92">
        <v>902.84699999999998</v>
      </c>
      <c r="EH16" s="92">
        <v>24.8</v>
      </c>
      <c r="EI16" s="92" t="s">
        <v>1316</v>
      </c>
      <c r="EJ16" s="92" t="s">
        <v>1317</v>
      </c>
      <c r="EK16" s="92" t="s">
        <v>1318</v>
      </c>
    </row>
    <row r="17" spans="5:141" x14ac:dyDescent="0.3">
      <c r="E17" s="87" t="s">
        <v>923</v>
      </c>
      <c r="F17" s="87" t="s">
        <v>923</v>
      </c>
      <c r="G17" s="87" t="s">
        <v>923</v>
      </c>
      <c r="H17" s="87" t="s">
        <v>924</v>
      </c>
      <c r="I17" s="87" t="s">
        <v>925</v>
      </c>
      <c r="J17" s="87" t="s">
        <v>926</v>
      </c>
      <c r="K17" s="87" t="s">
        <v>927</v>
      </c>
      <c r="L17" s="87" t="s">
        <v>928</v>
      </c>
      <c r="M17" s="88">
        <f>COUNTIF(ARG!$A$2:$A$22,"[ARG] "&amp;E17)</f>
        <v>0</v>
      </c>
      <c r="Z17" s="92" t="s">
        <v>1082</v>
      </c>
      <c r="AA17" s="92" t="s">
        <v>1083</v>
      </c>
      <c r="AB17" s="92" t="s">
        <v>1084</v>
      </c>
      <c r="AC17" s="92"/>
      <c r="AD17" s="92">
        <v>586.52200000000005</v>
      </c>
      <c r="AE17" s="92">
        <v>226.45699999999999</v>
      </c>
      <c r="AF17" s="92" t="s">
        <v>1085</v>
      </c>
      <c r="AG17" s="92" t="s">
        <v>1086</v>
      </c>
      <c r="AH17" s="92" t="s">
        <v>1087</v>
      </c>
      <c r="AI17" s="92">
        <v>583</v>
      </c>
      <c r="AJ17" s="92" t="s">
        <v>1088</v>
      </c>
      <c r="AM17">
        <v>12</v>
      </c>
      <c r="AN17" t="s">
        <v>1531</v>
      </c>
      <c r="AO17" t="s">
        <v>1532</v>
      </c>
      <c r="AP17">
        <v>46.53</v>
      </c>
      <c r="AQ17">
        <v>553.51900000000001</v>
      </c>
      <c r="AR17" t="s">
        <v>1533</v>
      </c>
      <c r="AS17">
        <v>1947</v>
      </c>
      <c r="AU17" t="s">
        <v>880</v>
      </c>
      <c r="AV17" t="s">
        <v>1534</v>
      </c>
      <c r="AW17" t="s">
        <v>1485</v>
      </c>
      <c r="BB17" t="s">
        <v>1784</v>
      </c>
      <c r="BC17" t="s">
        <v>1786</v>
      </c>
      <c r="BD17" s="95">
        <v>15403.2</v>
      </c>
      <c r="BE17" s="96">
        <v>7112808</v>
      </c>
      <c r="BF17">
        <v>461.77</v>
      </c>
      <c r="BG17" t="s">
        <v>1787</v>
      </c>
      <c r="BL17">
        <v>13</v>
      </c>
      <c r="BM17" t="s">
        <v>1225</v>
      </c>
      <c r="BN17" t="s">
        <v>1226</v>
      </c>
      <c r="BO17" t="s">
        <v>1227</v>
      </c>
      <c r="BP17">
        <v>898.65200000000004</v>
      </c>
      <c r="BQ17">
        <v>7.1</v>
      </c>
      <c r="BR17">
        <v>1860</v>
      </c>
      <c r="CO17">
        <v>12</v>
      </c>
      <c r="CP17" t="s">
        <v>1892</v>
      </c>
      <c r="CQ17" t="s">
        <v>1893</v>
      </c>
      <c r="CR17" s="96">
        <v>85749</v>
      </c>
      <c r="CS17" s="96">
        <v>12147</v>
      </c>
      <c r="CT17">
        <v>16</v>
      </c>
      <c r="CU17">
        <v>7.06</v>
      </c>
      <c r="CX17" t="s">
        <v>1709</v>
      </c>
      <c r="CY17" t="s">
        <v>1710</v>
      </c>
      <c r="CZ17" t="s">
        <v>1711</v>
      </c>
      <c r="DA17" t="s">
        <v>1712</v>
      </c>
      <c r="DB17" t="s">
        <v>1671</v>
      </c>
      <c r="DS17" t="s">
        <v>1424</v>
      </c>
      <c r="DT17" t="s">
        <v>1425</v>
      </c>
      <c r="DU17">
        <v>1884</v>
      </c>
      <c r="DV17">
        <v>9.3699999999999992</v>
      </c>
      <c r="DW17">
        <v>103.49299999999999</v>
      </c>
      <c r="DX17" t="s">
        <v>1426</v>
      </c>
      <c r="DY17" t="s">
        <v>1424</v>
      </c>
      <c r="DZ17">
        <v>64.465000000000003</v>
      </c>
      <c r="EC17" s="92" t="s">
        <v>1319</v>
      </c>
      <c r="ED17" s="92" t="s">
        <v>1320</v>
      </c>
      <c r="EE17" s="92" t="s">
        <v>1321</v>
      </c>
      <c r="EF17" s="92">
        <v>830</v>
      </c>
      <c r="EG17" s="92">
        <v>747.73900000000003</v>
      </c>
      <c r="EH17" s="92">
        <v>64.986000000000004</v>
      </c>
      <c r="EI17" s="92" t="s">
        <v>1322</v>
      </c>
      <c r="EJ17" s="92" t="s">
        <v>1323</v>
      </c>
      <c r="EK17" s="92" t="s">
        <v>1280</v>
      </c>
    </row>
    <row r="18" spans="5:141" x14ac:dyDescent="0.3">
      <c r="E18" s="89" t="s">
        <v>929</v>
      </c>
      <c r="F18" s="89" t="s">
        <v>929</v>
      </c>
      <c r="G18" s="89" t="s">
        <v>930</v>
      </c>
      <c r="H18" s="89" t="s">
        <v>931</v>
      </c>
      <c r="I18" s="89" t="s">
        <v>932</v>
      </c>
      <c r="J18" s="89" t="s">
        <v>933</v>
      </c>
      <c r="K18" s="89" t="s">
        <v>934</v>
      </c>
      <c r="L18" s="89" t="s">
        <v>935</v>
      </c>
      <c r="M18" s="90">
        <f>COUNTIF(ARG!$A$2:$A$22,"[ARG] "&amp;E18)</f>
        <v>1</v>
      </c>
      <c r="Z18" s="92" t="s">
        <v>1089</v>
      </c>
      <c r="AA18" s="92" t="s">
        <v>1090</v>
      </c>
      <c r="AB18" s="92" t="s">
        <v>1091</v>
      </c>
      <c r="AC18" s="92"/>
      <c r="AD18" s="92" t="s">
        <v>1092</v>
      </c>
      <c r="AE18" s="92">
        <v>481.83800000000002</v>
      </c>
      <c r="AF18" s="92" t="s">
        <v>1093</v>
      </c>
      <c r="AG18" s="92" t="s">
        <v>1094</v>
      </c>
      <c r="AH18" s="92" t="s">
        <v>1095</v>
      </c>
      <c r="AI18" s="92">
        <v>156</v>
      </c>
      <c r="AJ18" s="92" t="s">
        <v>1096</v>
      </c>
      <c r="AM18">
        <v>13</v>
      </c>
      <c r="AN18" t="s">
        <v>883</v>
      </c>
      <c r="AO18" t="s">
        <v>1535</v>
      </c>
      <c r="AP18">
        <v>25.02</v>
      </c>
      <c r="AQ18" t="s">
        <v>1536</v>
      </c>
      <c r="AR18" t="s">
        <v>1537</v>
      </c>
      <c r="AS18">
        <v>1951</v>
      </c>
      <c r="AU18" t="s">
        <v>1538</v>
      </c>
      <c r="AV18" t="s">
        <v>1539</v>
      </c>
      <c r="AW18" t="s">
        <v>1540</v>
      </c>
      <c r="BB18" t="s">
        <v>1785</v>
      </c>
      <c r="BL18">
        <v>14</v>
      </c>
      <c r="BM18" t="s">
        <v>1228</v>
      </c>
      <c r="BN18" t="s">
        <v>1229</v>
      </c>
      <c r="BO18" t="s">
        <v>1230</v>
      </c>
      <c r="BP18" t="s">
        <v>1231</v>
      </c>
      <c r="BQ18">
        <v>19.427</v>
      </c>
      <c r="BR18">
        <v>1824</v>
      </c>
      <c r="CO18">
        <v>13</v>
      </c>
      <c r="CP18" t="s">
        <v>1894</v>
      </c>
      <c r="CQ18" t="s">
        <v>1895</v>
      </c>
      <c r="CR18" s="96">
        <v>173770</v>
      </c>
      <c r="CS18" s="96">
        <v>12933</v>
      </c>
      <c r="CT18">
        <v>5</v>
      </c>
      <c r="CU18">
        <v>13.44</v>
      </c>
      <c r="CX18" t="s">
        <v>1713</v>
      </c>
      <c r="CY18" t="s">
        <v>1245</v>
      </c>
      <c r="CZ18" t="s">
        <v>1714</v>
      </c>
      <c r="DA18" t="s">
        <v>1245</v>
      </c>
      <c r="DB18" t="s">
        <v>1671</v>
      </c>
      <c r="DS18" t="s">
        <v>1427</v>
      </c>
      <c r="DT18" t="s">
        <v>1428</v>
      </c>
      <c r="DU18">
        <v>1880</v>
      </c>
      <c r="DV18">
        <v>10.551</v>
      </c>
      <c r="DW18">
        <v>68.087999999999994</v>
      </c>
      <c r="DX18" t="s">
        <v>1429</v>
      </c>
      <c r="DY18" t="s">
        <v>1427</v>
      </c>
      <c r="DZ18">
        <v>25.422000000000001</v>
      </c>
      <c r="EC18" s="92" t="s">
        <v>1324</v>
      </c>
      <c r="ED18" s="92" t="s">
        <v>1324</v>
      </c>
      <c r="EE18" s="92"/>
      <c r="EF18" s="92">
        <v>340</v>
      </c>
      <c r="EG18" s="92">
        <v>352.92</v>
      </c>
      <c r="EH18" s="92">
        <v>1.496</v>
      </c>
      <c r="EI18" s="92" t="s">
        <v>1325</v>
      </c>
      <c r="EJ18" s="92" t="s">
        <v>1326</v>
      </c>
      <c r="EK18" s="92" t="s">
        <v>993</v>
      </c>
    </row>
    <row r="19" spans="5:141" x14ac:dyDescent="0.3">
      <c r="E19" s="89" t="s">
        <v>936</v>
      </c>
      <c r="F19" s="89" t="s">
        <v>936</v>
      </c>
      <c r="G19" s="89" t="s">
        <v>936</v>
      </c>
      <c r="H19" s="89" t="s">
        <v>937</v>
      </c>
      <c r="I19" s="89" t="s">
        <v>938</v>
      </c>
      <c r="J19" s="89">
        <v>726.59</v>
      </c>
      <c r="K19" s="89" t="s">
        <v>939</v>
      </c>
      <c r="L19" s="89" t="s">
        <v>940</v>
      </c>
      <c r="M19" s="90">
        <f>COUNTIF(ARG!$A$2:$A$22,"[ARG] "&amp;E19)</f>
        <v>1</v>
      </c>
      <c r="Z19" s="92" t="s">
        <v>1097</v>
      </c>
      <c r="AA19" s="92" t="s">
        <v>1098</v>
      </c>
      <c r="AB19" s="92" t="s">
        <v>1099</v>
      </c>
      <c r="AC19" s="92"/>
      <c r="AD19" s="92">
        <v>56.47</v>
      </c>
      <c r="AE19" s="92">
        <v>21.8</v>
      </c>
      <c r="AF19" s="92" t="s">
        <v>1100</v>
      </c>
      <c r="AG19" s="92" t="s">
        <v>1101</v>
      </c>
      <c r="AH19" s="92" t="s">
        <v>1102</v>
      </c>
      <c r="AI19" s="92">
        <v>60</v>
      </c>
      <c r="AJ19" s="92" t="s">
        <v>1103</v>
      </c>
      <c r="AM19">
        <v>14</v>
      </c>
      <c r="AN19" t="s">
        <v>1541</v>
      </c>
      <c r="AO19" t="s">
        <v>1457</v>
      </c>
      <c r="AP19">
        <v>24.21</v>
      </c>
      <c r="AQ19" t="s">
        <v>1542</v>
      </c>
      <c r="AR19" t="s">
        <v>1543</v>
      </c>
      <c r="AS19">
        <v>1824</v>
      </c>
      <c r="AU19" t="s">
        <v>1544</v>
      </c>
      <c r="AV19" t="s">
        <v>1545</v>
      </c>
      <c r="AW19" t="s">
        <v>1546</v>
      </c>
      <c r="BB19" t="s">
        <v>1788</v>
      </c>
      <c r="BC19" t="s">
        <v>1790</v>
      </c>
      <c r="BD19" s="95">
        <v>16387</v>
      </c>
      <c r="BE19" s="96">
        <v>914555</v>
      </c>
      <c r="BF19">
        <v>55.81</v>
      </c>
      <c r="BG19" t="s">
        <v>1791</v>
      </c>
      <c r="BL19">
        <v>15</v>
      </c>
      <c r="BM19" t="s">
        <v>1232</v>
      </c>
      <c r="BN19" t="s">
        <v>1233</v>
      </c>
      <c r="BP19">
        <v>192.50800000000001</v>
      </c>
      <c r="BQ19">
        <v>25.69</v>
      </c>
      <c r="BR19">
        <v>1954</v>
      </c>
      <c r="CO19">
        <v>14</v>
      </c>
      <c r="CP19" t="s">
        <v>1896</v>
      </c>
      <c r="CQ19" t="s">
        <v>1897</v>
      </c>
      <c r="CR19" s="96">
        <v>189128</v>
      </c>
      <c r="CS19" s="96">
        <v>14667</v>
      </c>
      <c r="CT19">
        <v>13</v>
      </c>
      <c r="CU19">
        <v>12.89</v>
      </c>
      <c r="CX19" t="s">
        <v>1715</v>
      </c>
      <c r="CY19" t="s">
        <v>1716</v>
      </c>
      <c r="CZ19" t="s">
        <v>1717</v>
      </c>
      <c r="DA19" t="s">
        <v>1716</v>
      </c>
      <c r="DB19" t="s">
        <v>1671</v>
      </c>
      <c r="DS19" t="s">
        <v>1430</v>
      </c>
      <c r="DT19" t="s">
        <v>1431</v>
      </c>
      <c r="DU19">
        <v>1837</v>
      </c>
      <c r="DV19">
        <v>14.163</v>
      </c>
      <c r="DW19">
        <v>124.878</v>
      </c>
      <c r="DX19" t="s">
        <v>1432</v>
      </c>
      <c r="DY19" t="s">
        <v>1430</v>
      </c>
      <c r="DZ19">
        <v>104.02800000000001</v>
      </c>
      <c r="EC19" s="92" t="s">
        <v>1327</v>
      </c>
      <c r="ED19" s="92" t="s">
        <v>1328</v>
      </c>
      <c r="EE19" s="92"/>
      <c r="EF19" s="92" t="s">
        <v>1329</v>
      </c>
      <c r="EG19" s="92" t="s">
        <v>1330</v>
      </c>
      <c r="EH19" s="92">
        <v>19.8</v>
      </c>
      <c r="EI19" s="92" t="s">
        <v>1331</v>
      </c>
      <c r="EJ19" s="92" t="s">
        <v>1332</v>
      </c>
      <c r="EK19" s="92" t="s">
        <v>1318</v>
      </c>
    </row>
    <row r="20" spans="5:141" x14ac:dyDescent="0.3">
      <c r="E20" s="89" t="s">
        <v>941</v>
      </c>
      <c r="F20" s="89" t="s">
        <v>941</v>
      </c>
      <c r="G20" s="89" t="s">
        <v>942</v>
      </c>
      <c r="H20" s="89" t="s">
        <v>943</v>
      </c>
      <c r="I20" s="89" t="s">
        <v>944</v>
      </c>
      <c r="J20" s="89">
        <v>762.06700000000001</v>
      </c>
      <c r="K20" s="89" t="s">
        <v>945</v>
      </c>
      <c r="L20" s="89" t="s">
        <v>946</v>
      </c>
      <c r="M20" s="90">
        <f>COUNTIF(ARG!$A$2:$A$22,"[ARG] "&amp;E20)</f>
        <v>0</v>
      </c>
      <c r="Z20" s="92" t="s">
        <v>1104</v>
      </c>
      <c r="AA20" s="92" t="s">
        <v>1105</v>
      </c>
      <c r="AB20" s="92" t="s">
        <v>1106</v>
      </c>
      <c r="AC20" s="92"/>
      <c r="AD20" s="92">
        <v>199.30799999999999</v>
      </c>
      <c r="AE20" s="92">
        <v>76.953000000000003</v>
      </c>
      <c r="AF20" s="92" t="s">
        <v>1107</v>
      </c>
      <c r="AG20" s="92" t="s">
        <v>1108</v>
      </c>
      <c r="AH20" s="92" t="s">
        <v>1109</v>
      </c>
      <c r="AI20" s="92">
        <v>417</v>
      </c>
      <c r="AJ20" s="92" t="s">
        <v>1110</v>
      </c>
      <c r="AM20">
        <v>15</v>
      </c>
      <c r="AN20" t="s">
        <v>1547</v>
      </c>
      <c r="AO20" t="s">
        <v>1548</v>
      </c>
      <c r="AP20">
        <v>72.238</v>
      </c>
      <c r="AQ20">
        <v>52.061</v>
      </c>
      <c r="AR20" t="s">
        <v>1549</v>
      </c>
      <c r="AS20">
        <v>1991</v>
      </c>
      <c r="AU20" t="s">
        <v>1550</v>
      </c>
      <c r="AV20" t="s">
        <v>1551</v>
      </c>
      <c r="AW20" t="s">
        <v>1552</v>
      </c>
      <c r="BB20" t="s">
        <v>1789</v>
      </c>
      <c r="BL20">
        <v>16</v>
      </c>
      <c r="BM20" t="s">
        <v>1234</v>
      </c>
      <c r="BN20" t="s">
        <v>1235</v>
      </c>
      <c r="BP20">
        <v>131.67500000000001</v>
      </c>
      <c r="BQ20">
        <v>12.476000000000001</v>
      </c>
      <c r="BR20">
        <v>1959</v>
      </c>
      <c r="CO20">
        <v>15</v>
      </c>
      <c r="CP20" t="s">
        <v>1898</v>
      </c>
      <c r="CQ20" t="s">
        <v>1899</v>
      </c>
      <c r="CR20" s="96">
        <v>126880</v>
      </c>
      <c r="CS20" s="96">
        <v>72907</v>
      </c>
      <c r="CT20">
        <v>9</v>
      </c>
      <c r="CU20">
        <v>1.74</v>
      </c>
      <c r="CX20" t="s">
        <v>1718</v>
      </c>
      <c r="CY20" t="s">
        <v>1719</v>
      </c>
      <c r="CZ20" t="s">
        <v>1719</v>
      </c>
      <c r="DA20" t="s">
        <v>1719</v>
      </c>
      <c r="DB20" t="s">
        <v>1671</v>
      </c>
      <c r="DS20" t="s">
        <v>1433</v>
      </c>
      <c r="DT20" t="s">
        <v>1434</v>
      </c>
      <c r="DU20">
        <v>1816</v>
      </c>
      <c r="DV20">
        <v>4.992</v>
      </c>
      <c r="DW20">
        <v>108.309</v>
      </c>
      <c r="DX20" t="s">
        <v>1435</v>
      </c>
      <c r="DY20" t="s">
        <v>1436</v>
      </c>
      <c r="DZ20">
        <v>36.747</v>
      </c>
      <c r="EC20" s="92" t="s">
        <v>1333</v>
      </c>
      <c r="ED20" s="92" t="s">
        <v>1333</v>
      </c>
      <c r="EE20" s="92"/>
      <c r="EF20" s="92">
        <v>880</v>
      </c>
      <c r="EG20" s="92">
        <v>828.59199999999998</v>
      </c>
      <c r="EH20" s="92">
        <v>11.3</v>
      </c>
      <c r="EI20" s="92" t="s">
        <v>1334</v>
      </c>
      <c r="EJ20" s="92" t="s">
        <v>1335</v>
      </c>
      <c r="EK20" s="92" t="s">
        <v>1291</v>
      </c>
    </row>
    <row r="21" spans="5:141" x14ac:dyDescent="0.3">
      <c r="E21" s="89" t="s">
        <v>947</v>
      </c>
      <c r="F21" s="89" t="s">
        <v>947</v>
      </c>
      <c r="G21" s="89" t="s">
        <v>947</v>
      </c>
      <c r="H21" s="89" t="s">
        <v>948</v>
      </c>
      <c r="I21" s="89" t="s">
        <v>949</v>
      </c>
      <c r="J21" s="89" t="s">
        <v>950</v>
      </c>
      <c r="K21" s="89" t="s">
        <v>951</v>
      </c>
      <c r="L21" s="89" t="s">
        <v>952</v>
      </c>
      <c r="M21" s="90">
        <f>COUNTIF(ARG!$A$2:$A$22,"[ARG] "&amp;E21)</f>
        <v>1</v>
      </c>
      <c r="Z21" s="92" t="s">
        <v>1111</v>
      </c>
      <c r="AA21" s="92" t="s">
        <v>1112</v>
      </c>
      <c r="AB21" s="92" t="s">
        <v>1113</v>
      </c>
      <c r="AC21" s="92"/>
      <c r="AD21" s="92">
        <v>98.147999999999996</v>
      </c>
      <c r="AE21" s="92">
        <v>37.895000000000003</v>
      </c>
      <c r="AF21" s="92" t="s">
        <v>1114</v>
      </c>
      <c r="AG21" s="92" t="s">
        <v>1115</v>
      </c>
      <c r="AH21" s="92" t="s">
        <v>1116</v>
      </c>
      <c r="AI21" s="92">
        <v>201</v>
      </c>
      <c r="AJ21" s="92" t="s">
        <v>1117</v>
      </c>
      <c r="AM21">
        <v>16</v>
      </c>
      <c r="AN21" t="s">
        <v>1553</v>
      </c>
      <c r="AO21" t="s">
        <v>1554</v>
      </c>
      <c r="AP21">
        <v>53.46</v>
      </c>
      <c r="AQ21">
        <v>90.356999999999999</v>
      </c>
      <c r="AR21" t="s">
        <v>1555</v>
      </c>
      <c r="AS21">
        <v>1991</v>
      </c>
      <c r="AU21" t="s">
        <v>1556</v>
      </c>
      <c r="AV21" t="s">
        <v>1557</v>
      </c>
      <c r="AW21" t="s">
        <v>1558</v>
      </c>
      <c r="BB21" t="s">
        <v>1792</v>
      </c>
      <c r="BC21" t="s">
        <v>1794</v>
      </c>
      <c r="BD21" s="95">
        <v>30296.1</v>
      </c>
      <c r="BE21" s="96">
        <v>1044950</v>
      </c>
      <c r="BF21">
        <v>34.49</v>
      </c>
      <c r="BG21" t="s">
        <v>1795</v>
      </c>
      <c r="BL21">
        <v>17</v>
      </c>
      <c r="BM21" t="s">
        <v>1236</v>
      </c>
      <c r="BN21" t="s">
        <v>1237</v>
      </c>
      <c r="BP21">
        <v>182.166</v>
      </c>
      <c r="BQ21">
        <v>21.690999999999999</v>
      </c>
      <c r="BR21">
        <v>1998</v>
      </c>
      <c r="CO21">
        <v>16</v>
      </c>
      <c r="CP21" t="s">
        <v>1900</v>
      </c>
      <c r="CQ21" t="s">
        <v>1901</v>
      </c>
      <c r="CR21" s="96">
        <v>17608</v>
      </c>
      <c r="CS21" s="96">
        <v>82349</v>
      </c>
      <c r="CT21">
        <v>5</v>
      </c>
      <c r="CU21">
        <v>0.21</v>
      </c>
      <c r="CX21" t="s">
        <v>1720</v>
      </c>
      <c r="CY21" t="s">
        <v>1721</v>
      </c>
      <c r="CZ21" t="s">
        <v>1722</v>
      </c>
      <c r="DA21" t="s">
        <v>1722</v>
      </c>
      <c r="DB21" t="s">
        <v>1671</v>
      </c>
      <c r="DS21" t="s">
        <v>1437</v>
      </c>
      <c r="DT21" t="s">
        <v>1438</v>
      </c>
      <c r="DU21">
        <v>1816</v>
      </c>
      <c r="DV21">
        <v>9.0079999999999991</v>
      </c>
      <c r="DW21">
        <v>82.594999999999999</v>
      </c>
      <c r="DX21" t="s">
        <v>1439</v>
      </c>
      <c r="DY21" t="s">
        <v>1440</v>
      </c>
      <c r="DZ21">
        <v>41.975000000000001</v>
      </c>
      <c r="EC21" s="92" t="s">
        <v>1336</v>
      </c>
      <c r="ED21" s="92" t="s">
        <v>1337</v>
      </c>
      <c r="EE21" s="92"/>
      <c r="EF21" s="92" t="s">
        <v>1338</v>
      </c>
      <c r="EG21" s="92" t="s">
        <v>1339</v>
      </c>
      <c r="EH21" s="92">
        <v>7.95</v>
      </c>
      <c r="EI21" s="92" t="s">
        <v>1340</v>
      </c>
      <c r="EJ21" s="92" t="s">
        <v>1341</v>
      </c>
      <c r="EK21" s="92" t="s">
        <v>993</v>
      </c>
    </row>
    <row r="22" spans="5:141" x14ac:dyDescent="0.3">
      <c r="E22" s="87" t="s">
        <v>953</v>
      </c>
      <c r="F22" s="87" t="s">
        <v>953</v>
      </c>
      <c r="G22" s="87" t="s">
        <v>953</v>
      </c>
      <c r="H22" s="87" t="s">
        <v>954</v>
      </c>
      <c r="I22" s="87" t="s">
        <v>955</v>
      </c>
      <c r="J22" s="87">
        <v>818.23400000000004</v>
      </c>
      <c r="K22" s="87" t="s">
        <v>956</v>
      </c>
      <c r="L22" s="87" t="s">
        <v>957</v>
      </c>
      <c r="M22" s="88">
        <f>COUNTIF(ARG!$A$2:$A$22,"[ARG] "&amp;E22)</f>
        <v>0</v>
      </c>
      <c r="Z22" s="92" t="s">
        <v>1118</v>
      </c>
      <c r="AA22" s="92" t="s">
        <v>1119</v>
      </c>
      <c r="AB22" s="92" t="s">
        <v>1120</v>
      </c>
      <c r="AC22" s="92"/>
      <c r="AD22" s="92">
        <v>251.578</v>
      </c>
      <c r="AE22" s="92">
        <v>97.135000000000005</v>
      </c>
      <c r="AF22" s="92" t="s">
        <v>1121</v>
      </c>
      <c r="AG22" s="92" t="s">
        <v>1122</v>
      </c>
      <c r="AH22" s="92" t="s">
        <v>1123</v>
      </c>
      <c r="AI22" s="92">
        <v>26</v>
      </c>
      <c r="AJ22" s="92" t="s">
        <v>1124</v>
      </c>
      <c r="AM22">
        <v>17</v>
      </c>
      <c r="AN22" t="s">
        <v>1559</v>
      </c>
      <c r="AO22" t="s">
        <v>1560</v>
      </c>
      <c r="AP22">
        <v>19.89</v>
      </c>
      <c r="AQ22" t="s">
        <v>1561</v>
      </c>
      <c r="AR22" t="s">
        <v>1562</v>
      </c>
      <c r="AS22">
        <v>1910</v>
      </c>
      <c r="AU22" t="s">
        <v>1563</v>
      </c>
      <c r="AV22" t="s">
        <v>1564</v>
      </c>
      <c r="AW22" t="s">
        <v>1565</v>
      </c>
      <c r="BB22" t="s">
        <v>1793</v>
      </c>
      <c r="BL22">
        <v>18</v>
      </c>
      <c r="BM22" t="s">
        <v>1238</v>
      </c>
      <c r="BN22" t="s">
        <v>1239</v>
      </c>
      <c r="BP22">
        <v>111.91500000000001</v>
      </c>
      <c r="BQ22">
        <v>29.068000000000001</v>
      </c>
      <c r="BR22">
        <v>1959</v>
      </c>
      <c r="CO22">
        <v>17</v>
      </c>
      <c r="CP22" t="s">
        <v>1902</v>
      </c>
      <c r="CQ22" t="s">
        <v>1903</v>
      </c>
      <c r="CR22" s="96">
        <v>68595</v>
      </c>
      <c r="CS22" s="96">
        <v>91669</v>
      </c>
      <c r="CT22">
        <v>6</v>
      </c>
      <c r="CU22">
        <v>0.74</v>
      </c>
      <c r="CX22" t="s">
        <v>1723</v>
      </c>
      <c r="CY22" t="s">
        <v>1724</v>
      </c>
      <c r="CZ22" t="s">
        <v>1725</v>
      </c>
      <c r="DA22" t="s">
        <v>1724</v>
      </c>
      <c r="DB22" t="s">
        <v>1671</v>
      </c>
      <c r="DS22" t="s">
        <v>1441</v>
      </c>
      <c r="DT22" t="s">
        <v>1442</v>
      </c>
      <c r="DU22">
        <v>1837</v>
      </c>
      <c r="DV22">
        <v>15.438000000000001</v>
      </c>
      <c r="DW22">
        <v>90.052999999999997</v>
      </c>
      <c r="DX22" t="s">
        <v>1443</v>
      </c>
      <c r="DY22" t="s">
        <v>1441</v>
      </c>
      <c r="DZ22">
        <v>54.756999999999998</v>
      </c>
      <c r="EC22" s="92" t="s">
        <v>1342</v>
      </c>
      <c r="ED22" s="92" t="s">
        <v>1343</v>
      </c>
      <c r="EE22" s="92"/>
      <c r="EF22" s="92">
        <v>930</v>
      </c>
      <c r="EG22" s="92">
        <v>905.44299999999998</v>
      </c>
      <c r="EH22" s="92">
        <v>28.93</v>
      </c>
      <c r="EI22" s="92" t="s">
        <v>1344</v>
      </c>
      <c r="EJ22" s="92" t="s">
        <v>1345</v>
      </c>
      <c r="EK22" s="92" t="s">
        <v>1275</v>
      </c>
    </row>
    <row r="23" spans="5:141" x14ac:dyDescent="0.3">
      <c r="E23" s="89" t="s">
        <v>958</v>
      </c>
      <c r="F23" s="89" t="s">
        <v>958</v>
      </c>
      <c r="G23" s="89" t="s">
        <v>958</v>
      </c>
      <c r="H23" s="89" t="s">
        <v>958</v>
      </c>
      <c r="I23" s="89" t="s">
        <v>959</v>
      </c>
      <c r="J23" s="89">
        <v>540.90499999999997</v>
      </c>
      <c r="K23" s="89" t="s">
        <v>960</v>
      </c>
      <c r="L23" s="89" t="s">
        <v>961</v>
      </c>
      <c r="M23" s="90">
        <f>COUNTIF(ARG!$A$2:$A$22,"[ARG] "&amp;E23)</f>
        <v>1</v>
      </c>
      <c r="Z23" s="92" t="s">
        <v>1125</v>
      </c>
      <c r="AA23" s="92" t="s">
        <v>1126</v>
      </c>
      <c r="AB23" s="92" t="s">
        <v>1127</v>
      </c>
      <c r="AC23" s="92"/>
      <c r="AD23" s="92">
        <v>43.78</v>
      </c>
      <c r="AE23" s="92">
        <v>16.899999999999999</v>
      </c>
      <c r="AF23" s="92" t="s">
        <v>1128</v>
      </c>
      <c r="AG23" s="92" t="s">
        <v>1129</v>
      </c>
      <c r="AH23" s="92" t="s">
        <v>1130</v>
      </c>
      <c r="AI23" s="92">
        <v>693</v>
      </c>
      <c r="AJ23" s="92" t="s">
        <v>1131</v>
      </c>
      <c r="AM23">
        <v>18</v>
      </c>
      <c r="AN23" t="s">
        <v>1566</v>
      </c>
      <c r="AO23" t="s">
        <v>1567</v>
      </c>
      <c r="AP23">
        <v>20.847999999999999</v>
      </c>
      <c r="AQ23" t="s">
        <v>1568</v>
      </c>
      <c r="AR23" t="s">
        <v>1569</v>
      </c>
      <c r="AS23">
        <v>1965</v>
      </c>
      <c r="AU23" t="s">
        <v>1570</v>
      </c>
      <c r="AV23" t="s">
        <v>1571</v>
      </c>
      <c r="AW23" t="s">
        <v>1572</v>
      </c>
      <c r="BB23" t="s">
        <v>1796</v>
      </c>
      <c r="BC23" t="s">
        <v>1798</v>
      </c>
      <c r="BD23" s="95">
        <v>13178.5</v>
      </c>
      <c r="BE23" s="96">
        <v>480609</v>
      </c>
      <c r="BF23">
        <v>36.47</v>
      </c>
      <c r="BG23" t="s">
        <v>1799</v>
      </c>
      <c r="BL23">
        <v>19</v>
      </c>
      <c r="BM23" t="s">
        <v>1240</v>
      </c>
      <c r="BN23" t="s">
        <v>1241</v>
      </c>
      <c r="BP23" t="s">
        <v>1242</v>
      </c>
      <c r="BQ23">
        <v>9.6920000000000002</v>
      </c>
      <c r="BR23">
        <v>1824</v>
      </c>
      <c r="CX23" t="s">
        <v>1726</v>
      </c>
      <c r="CY23" t="s">
        <v>1727</v>
      </c>
      <c r="CZ23" t="s">
        <v>1728</v>
      </c>
      <c r="DA23" t="s">
        <v>1729</v>
      </c>
      <c r="DB23" t="s">
        <v>1671</v>
      </c>
      <c r="DS23" s="92" t="s">
        <v>1444</v>
      </c>
      <c r="DT23" s="92" t="s">
        <v>1445</v>
      </c>
      <c r="DU23" s="92">
        <v>1884</v>
      </c>
      <c r="DV23" s="92">
        <v>9.6760000000000002</v>
      </c>
      <c r="DW23" s="92">
        <v>48.134</v>
      </c>
      <c r="DX23" s="92" t="s">
        <v>1446</v>
      </c>
      <c r="DY23" s="92" t="s">
        <v>1447</v>
      </c>
      <c r="DZ23" s="92">
        <v>25.477</v>
      </c>
      <c r="EC23" s="92" t="s">
        <v>1346</v>
      </c>
      <c r="ED23" s="92" t="s">
        <v>1347</v>
      </c>
      <c r="EE23" s="92" t="s">
        <v>1348</v>
      </c>
      <c r="EF23" s="92">
        <v>570</v>
      </c>
      <c r="EG23" s="92">
        <v>491.61</v>
      </c>
      <c r="EH23" s="92">
        <v>1.1499999999999999</v>
      </c>
      <c r="EI23" s="92" t="s">
        <v>1349</v>
      </c>
      <c r="EJ23" s="92" t="s">
        <v>1350</v>
      </c>
      <c r="EK23" s="92" t="s">
        <v>1351</v>
      </c>
    </row>
    <row r="24" spans="5:141" x14ac:dyDescent="0.3">
      <c r="E24" s="89" t="s">
        <v>962</v>
      </c>
      <c r="F24" s="89" t="s">
        <v>962</v>
      </c>
      <c r="G24" s="89" t="s">
        <v>963</v>
      </c>
      <c r="H24" s="89" t="s">
        <v>964</v>
      </c>
      <c r="I24" s="89" t="s">
        <v>965</v>
      </c>
      <c r="J24" s="89">
        <v>333.47300000000001</v>
      </c>
      <c r="K24" s="89" t="s">
        <v>966</v>
      </c>
      <c r="L24" s="89" t="s">
        <v>967</v>
      </c>
      <c r="M24" s="90">
        <f>COUNTIF(ARG!$A$2:$A$22,"[ARG] "&amp;E24)</f>
        <v>1</v>
      </c>
      <c r="Z24" s="92" t="s">
        <v>1132</v>
      </c>
      <c r="AA24" s="92" t="s">
        <v>944</v>
      </c>
      <c r="AB24" s="92" t="s">
        <v>1133</v>
      </c>
      <c r="AC24" s="92"/>
      <c r="AD24" s="92">
        <v>52.811</v>
      </c>
      <c r="AE24" s="92">
        <v>20.39</v>
      </c>
      <c r="AF24" s="92" t="s">
        <v>1134</v>
      </c>
      <c r="AG24" s="92" t="s">
        <v>1135</v>
      </c>
      <c r="AH24" s="92" t="s">
        <v>1136</v>
      </c>
      <c r="AI24" s="92">
        <v>76</v>
      </c>
      <c r="AJ24" s="92" t="s">
        <v>1137</v>
      </c>
      <c r="AM24">
        <v>19</v>
      </c>
      <c r="AN24" t="s">
        <v>1573</v>
      </c>
      <c r="AO24" t="s">
        <v>1574</v>
      </c>
      <c r="AP24">
        <v>23.187999999999999</v>
      </c>
      <c r="AQ24" t="s">
        <v>1575</v>
      </c>
      <c r="AR24" t="s">
        <v>1576</v>
      </c>
      <c r="AS24">
        <v>1824</v>
      </c>
      <c r="AU24" t="s">
        <v>1062</v>
      </c>
      <c r="AV24" t="s">
        <v>1577</v>
      </c>
      <c r="AW24" t="s">
        <v>1578</v>
      </c>
      <c r="BB24" t="s">
        <v>1797</v>
      </c>
      <c r="BL24">
        <v>20</v>
      </c>
      <c r="BM24" t="s">
        <v>1243</v>
      </c>
      <c r="BN24" t="s">
        <v>1244</v>
      </c>
      <c r="BO24" t="s">
        <v>1245</v>
      </c>
      <c r="BP24">
        <v>385.73500000000001</v>
      </c>
      <c r="BQ24">
        <v>3.6960000000000002</v>
      </c>
      <c r="BR24">
        <v>2007</v>
      </c>
      <c r="CX24" t="s">
        <v>1730</v>
      </c>
      <c r="CY24" t="s">
        <v>1731</v>
      </c>
      <c r="CZ24" t="s">
        <v>1732</v>
      </c>
      <c r="DA24" t="s">
        <v>1733</v>
      </c>
      <c r="DB24" t="s">
        <v>1734</v>
      </c>
      <c r="EC24" s="92" t="s">
        <v>1352</v>
      </c>
      <c r="ED24" s="92" t="s">
        <v>1353</v>
      </c>
      <c r="EE24" s="92"/>
      <c r="EF24" s="92">
        <v>930</v>
      </c>
      <c r="EG24" s="92">
        <v>876.49599999999998</v>
      </c>
      <c r="EH24" s="92">
        <v>15.2</v>
      </c>
      <c r="EI24" s="92" t="s">
        <v>1354</v>
      </c>
      <c r="EJ24" s="92" t="s">
        <v>1355</v>
      </c>
      <c r="EK24" s="92" t="s">
        <v>1318</v>
      </c>
    </row>
    <row r="25" spans="5:141" x14ac:dyDescent="0.3">
      <c r="E25" s="89" t="s">
        <v>968</v>
      </c>
      <c r="F25" s="89" t="s">
        <v>968</v>
      </c>
      <c r="G25" s="89" t="s">
        <v>968</v>
      </c>
      <c r="H25" s="89" t="s">
        <v>969</v>
      </c>
      <c r="I25" s="89" t="s">
        <v>970</v>
      </c>
      <c r="J25" s="89" t="s">
        <v>971</v>
      </c>
      <c r="K25" s="89" t="s">
        <v>972</v>
      </c>
      <c r="L25" s="89" t="s">
        <v>973</v>
      </c>
      <c r="M25" s="90">
        <f>COUNTIF(ARG!$A$2:$A$22,"[ARG] "&amp;E25)</f>
        <v>1</v>
      </c>
      <c r="Z25" s="92" t="s">
        <v>1138</v>
      </c>
      <c r="AA25" s="92" t="s">
        <v>1139</v>
      </c>
      <c r="AB25" s="92" t="s">
        <v>1140</v>
      </c>
      <c r="AC25" s="92"/>
      <c r="AD25" s="92">
        <v>281.73</v>
      </c>
      <c r="AE25" s="92">
        <v>108.78</v>
      </c>
      <c r="AF25" s="92" t="s">
        <v>1141</v>
      </c>
      <c r="AG25" s="92" t="s">
        <v>1142</v>
      </c>
      <c r="AH25" s="92" t="s">
        <v>1143</v>
      </c>
      <c r="AI25" s="92">
        <v>444</v>
      </c>
      <c r="AJ25" s="92" t="s">
        <v>1088</v>
      </c>
      <c r="AM25">
        <v>20</v>
      </c>
      <c r="AN25" t="s">
        <v>1579</v>
      </c>
      <c r="AO25" t="s">
        <v>1580</v>
      </c>
      <c r="AP25">
        <v>82.805000000000007</v>
      </c>
      <c r="AQ25" t="s">
        <v>1581</v>
      </c>
      <c r="AR25" t="s">
        <v>1582</v>
      </c>
      <c r="AS25">
        <v>1959</v>
      </c>
      <c r="AU25" t="s">
        <v>1583</v>
      </c>
      <c r="AV25" t="s">
        <v>1584</v>
      </c>
      <c r="AW25" t="s">
        <v>1585</v>
      </c>
      <c r="BB25" t="s">
        <v>1800</v>
      </c>
      <c r="BC25" t="s">
        <v>1802</v>
      </c>
      <c r="BD25" s="95">
        <v>23890.2</v>
      </c>
      <c r="BE25" s="96">
        <v>1556805</v>
      </c>
      <c r="BF25">
        <v>65.17</v>
      </c>
      <c r="BG25" t="s">
        <v>1803</v>
      </c>
      <c r="BL25">
        <v>21</v>
      </c>
      <c r="BM25" t="s">
        <v>1246</v>
      </c>
      <c r="BN25" t="s">
        <v>1247</v>
      </c>
      <c r="BP25">
        <v>492.96899999999999</v>
      </c>
      <c r="BQ25">
        <v>4.18</v>
      </c>
      <c r="BR25">
        <v>2007</v>
      </c>
      <c r="CX25" t="s">
        <v>1735</v>
      </c>
      <c r="CY25" t="s">
        <v>1736</v>
      </c>
      <c r="CZ25" t="s">
        <v>1737</v>
      </c>
      <c r="DA25" t="s">
        <v>1737</v>
      </c>
      <c r="DB25" t="s">
        <v>1671</v>
      </c>
      <c r="EC25" s="92" t="s">
        <v>1356</v>
      </c>
      <c r="ED25" s="92" t="s">
        <v>1357</v>
      </c>
      <c r="EE25" s="92"/>
      <c r="EF25" s="92">
        <v>990</v>
      </c>
      <c r="EG25" s="92">
        <v>896.29100000000005</v>
      </c>
      <c r="EH25" s="92">
        <v>11.8</v>
      </c>
      <c r="EI25" s="92" t="s">
        <v>1358</v>
      </c>
      <c r="EJ25" s="92" t="s">
        <v>1359</v>
      </c>
      <c r="EK25" s="92" t="s">
        <v>1275</v>
      </c>
    </row>
    <row r="26" spans="5:141" x14ac:dyDescent="0.3">
      <c r="E26" s="89" t="s">
        <v>974</v>
      </c>
      <c r="F26" s="89" t="s">
        <v>974</v>
      </c>
      <c r="G26" s="89" t="s">
        <v>974</v>
      </c>
      <c r="H26" s="89" t="s">
        <v>975</v>
      </c>
      <c r="I26" s="89" t="s">
        <v>976</v>
      </c>
      <c r="J26" s="89" t="s">
        <v>977</v>
      </c>
      <c r="K26" s="89" t="s">
        <v>978</v>
      </c>
      <c r="L26" s="89" t="s">
        <v>979</v>
      </c>
      <c r="M26" s="90">
        <f>COUNTIF(ARG!$A$2:$A$22,"[ARG] "&amp;E26)</f>
        <v>1</v>
      </c>
      <c r="Z26" s="92" t="s">
        <v>1144</v>
      </c>
      <c r="AA26" s="92" t="s">
        <v>1145</v>
      </c>
      <c r="AB26" s="92" t="s">
        <v>1146</v>
      </c>
      <c r="AC26" s="92"/>
      <c r="AD26" s="92">
        <v>237.59100000000001</v>
      </c>
      <c r="AE26" s="92">
        <v>91.733999999999995</v>
      </c>
      <c r="AF26" s="92" t="s">
        <v>1147</v>
      </c>
      <c r="AG26" s="92" t="s">
        <v>1148</v>
      </c>
      <c r="AH26" s="92" t="s">
        <v>1149</v>
      </c>
      <c r="AI26" s="92">
        <v>19</v>
      </c>
      <c r="AJ26" s="92" t="s">
        <v>1150</v>
      </c>
      <c r="AM26">
        <v>21</v>
      </c>
      <c r="AN26" t="s">
        <v>1586</v>
      </c>
      <c r="AO26" t="s">
        <v>1587</v>
      </c>
      <c r="AP26">
        <v>33.268000000000001</v>
      </c>
      <c r="AQ26" t="s">
        <v>1588</v>
      </c>
      <c r="AR26" t="s">
        <v>1589</v>
      </c>
      <c r="AS26">
        <v>1910</v>
      </c>
      <c r="AU26" t="s">
        <v>1590</v>
      </c>
      <c r="AV26" t="s">
        <v>1591</v>
      </c>
      <c r="AW26" t="s">
        <v>1466</v>
      </c>
      <c r="BB26" t="s">
        <v>1801</v>
      </c>
      <c r="BL26">
        <v>22</v>
      </c>
      <c r="BM26" t="s">
        <v>1248</v>
      </c>
      <c r="BN26" t="s">
        <v>1249</v>
      </c>
      <c r="BP26">
        <v>199.01400000000001</v>
      </c>
      <c r="BQ26">
        <v>18.611999999999998</v>
      </c>
      <c r="BR26">
        <v>1989</v>
      </c>
      <c r="CX26" t="s">
        <v>1738</v>
      </c>
      <c r="CY26" t="s">
        <v>1739</v>
      </c>
      <c r="CZ26" t="s">
        <v>1740</v>
      </c>
      <c r="DA26" t="s">
        <v>1739</v>
      </c>
      <c r="DB26" t="s">
        <v>1671</v>
      </c>
      <c r="EC26" s="92" t="s">
        <v>1360</v>
      </c>
      <c r="ED26" s="92" t="s">
        <v>1361</v>
      </c>
      <c r="EE26" s="92"/>
      <c r="EF26" s="92" t="s">
        <v>1362</v>
      </c>
      <c r="EG26" s="92" t="s">
        <v>1363</v>
      </c>
      <c r="EH26" s="92">
        <v>11.1</v>
      </c>
      <c r="EI26" s="92" t="s">
        <v>1364</v>
      </c>
      <c r="EJ26" s="92" t="s">
        <v>1365</v>
      </c>
      <c r="EK26" s="92" t="s">
        <v>1291</v>
      </c>
    </row>
    <row r="27" spans="5:141" x14ac:dyDescent="0.3">
      <c r="E27" s="89" t="s">
        <v>980</v>
      </c>
      <c r="F27" s="89" t="s">
        <v>980</v>
      </c>
      <c r="G27" s="89" t="s">
        <v>981</v>
      </c>
      <c r="H27" s="89" t="s">
        <v>982</v>
      </c>
      <c r="I27" s="89" t="s">
        <v>983</v>
      </c>
      <c r="J27" s="89">
        <v>190.64099999999999</v>
      </c>
      <c r="K27" s="89" t="s">
        <v>984</v>
      </c>
      <c r="L27" s="89" t="s">
        <v>985</v>
      </c>
      <c r="M27" s="90">
        <f>COUNTIF(ARG!$A$2:$A$22,"[ARG] "&amp;E27)</f>
        <v>0</v>
      </c>
      <c r="Z27" s="92" t="s">
        <v>1151</v>
      </c>
      <c r="AA27" s="92" t="s">
        <v>1152</v>
      </c>
      <c r="AB27" s="92" t="s">
        <v>1153</v>
      </c>
      <c r="AC27" s="92"/>
      <c r="AD27" s="92">
        <v>224.30099999999999</v>
      </c>
      <c r="AE27" s="92">
        <v>86.602999999999994</v>
      </c>
      <c r="AF27" s="92">
        <v>708.35199999999998</v>
      </c>
      <c r="AG27" s="92" t="s">
        <v>1154</v>
      </c>
      <c r="AH27" s="92" t="s">
        <v>1155</v>
      </c>
      <c r="AI27" s="92">
        <v>8000</v>
      </c>
      <c r="AJ27" s="92" t="s">
        <v>1156</v>
      </c>
      <c r="AM27">
        <v>22</v>
      </c>
      <c r="AN27" t="s">
        <v>1592</v>
      </c>
      <c r="AO27" t="s">
        <v>1593</v>
      </c>
      <c r="AP27">
        <v>21.658000000000001</v>
      </c>
      <c r="AQ27" t="s">
        <v>1594</v>
      </c>
      <c r="AR27" t="s">
        <v>1595</v>
      </c>
      <c r="AS27">
        <v>1910</v>
      </c>
      <c r="AU27" t="s">
        <v>1596</v>
      </c>
      <c r="AV27" t="s">
        <v>1597</v>
      </c>
      <c r="AW27" t="s">
        <v>1598</v>
      </c>
      <c r="BB27" t="s">
        <v>1804</v>
      </c>
      <c r="BC27" t="s">
        <v>1806</v>
      </c>
      <c r="BD27" s="95">
        <v>31842.3</v>
      </c>
      <c r="BE27" s="96">
        <v>957224</v>
      </c>
      <c r="BF27">
        <v>30.06</v>
      </c>
      <c r="BG27" t="s">
        <v>1807</v>
      </c>
      <c r="BL27">
        <v>23</v>
      </c>
      <c r="BM27" t="s">
        <v>1250</v>
      </c>
      <c r="BN27" t="s">
        <v>1251</v>
      </c>
      <c r="BP27">
        <v>563.53200000000004</v>
      </c>
      <c r="BQ27">
        <v>3.222</v>
      </c>
      <c r="BR27">
        <v>1860</v>
      </c>
      <c r="CX27" t="s">
        <v>1741</v>
      </c>
      <c r="CY27" t="s">
        <v>1742</v>
      </c>
      <c r="CZ27" t="s">
        <v>1743</v>
      </c>
      <c r="DA27" t="s">
        <v>1742</v>
      </c>
      <c r="DB27" t="s">
        <v>1671</v>
      </c>
      <c r="EC27" s="92" t="s">
        <v>1366</v>
      </c>
      <c r="ED27" s="92" t="s">
        <v>1366</v>
      </c>
      <c r="EE27" s="92" t="s">
        <v>1367</v>
      </c>
      <c r="EF27" s="92">
        <v>770</v>
      </c>
      <c r="EG27" s="92">
        <v>686.36699999999996</v>
      </c>
      <c r="EH27" s="92">
        <v>7.4</v>
      </c>
      <c r="EI27" s="92" t="s">
        <v>1368</v>
      </c>
      <c r="EJ27" s="92" t="s">
        <v>1369</v>
      </c>
      <c r="EK27" s="92" t="s">
        <v>1291</v>
      </c>
    </row>
    <row r="28" spans="5:141" x14ac:dyDescent="0.3">
      <c r="E28" s="89" t="s">
        <v>986</v>
      </c>
      <c r="F28" s="89" t="s">
        <v>986</v>
      </c>
      <c r="G28" s="89" t="s">
        <v>987</v>
      </c>
      <c r="H28" s="89" t="s">
        <v>988</v>
      </c>
      <c r="I28" s="89" t="s">
        <v>989</v>
      </c>
      <c r="J28" s="89" t="s">
        <v>990</v>
      </c>
      <c r="K28" s="89" t="s">
        <v>991</v>
      </c>
      <c r="L28" s="89" t="s">
        <v>992</v>
      </c>
      <c r="M28" s="90">
        <f>COUNTIF(ARG!$A$2:$A$22,"[ARG] "&amp;E28)</f>
        <v>1</v>
      </c>
      <c r="Z28" s="92" t="s">
        <v>1157</v>
      </c>
      <c r="AA28" s="92" t="s">
        <v>965</v>
      </c>
      <c r="AB28" s="92" t="s">
        <v>1158</v>
      </c>
      <c r="AC28" s="92" t="s">
        <v>1159</v>
      </c>
      <c r="AD28" s="92">
        <v>95.736000000000004</v>
      </c>
      <c r="AE28" s="92">
        <v>36.963999999999999</v>
      </c>
      <c r="AF28" s="92" t="s">
        <v>1160</v>
      </c>
      <c r="AG28" s="92" t="s">
        <v>1161</v>
      </c>
      <c r="AH28" s="92" t="s">
        <v>1162</v>
      </c>
      <c r="AI28" s="92">
        <v>293</v>
      </c>
      <c r="AJ28" s="92" t="s">
        <v>1163</v>
      </c>
      <c r="AM28">
        <v>23</v>
      </c>
      <c r="AN28" t="s">
        <v>1599</v>
      </c>
      <c r="AO28" t="s">
        <v>1600</v>
      </c>
      <c r="AP28">
        <v>24.885000000000002</v>
      </c>
      <c r="AQ28">
        <v>369.06400000000002</v>
      </c>
      <c r="AR28" t="s">
        <v>1601</v>
      </c>
      <c r="AS28">
        <v>1991</v>
      </c>
      <c r="AU28" t="s">
        <v>1602</v>
      </c>
      <c r="AV28" t="s">
        <v>1603</v>
      </c>
      <c r="AW28" t="s">
        <v>1604</v>
      </c>
      <c r="BB28" t="s">
        <v>1805</v>
      </c>
      <c r="BL28">
        <v>24</v>
      </c>
      <c r="BM28" t="s">
        <v>1252</v>
      </c>
      <c r="BN28" t="s">
        <v>1253</v>
      </c>
      <c r="BP28">
        <v>110.973</v>
      </c>
      <c r="BQ28">
        <v>10.555999999999999</v>
      </c>
      <c r="BR28">
        <v>1953</v>
      </c>
      <c r="CX28" t="s">
        <v>1744</v>
      </c>
      <c r="CY28" t="s">
        <v>1745</v>
      </c>
      <c r="CZ28" t="s">
        <v>1746</v>
      </c>
      <c r="DA28" t="s">
        <v>1745</v>
      </c>
      <c r="DB28" t="s">
        <v>1671</v>
      </c>
      <c r="EC28" s="92" t="s">
        <v>1370</v>
      </c>
      <c r="ED28" s="92" t="s">
        <v>1371</v>
      </c>
      <c r="EE28" s="92"/>
      <c r="EF28" s="92">
        <v>670</v>
      </c>
      <c r="EG28" s="92">
        <v>600.85199999999998</v>
      </c>
      <c r="EH28" s="92">
        <v>7.1</v>
      </c>
      <c r="EI28" s="92" t="s">
        <v>1372</v>
      </c>
      <c r="EJ28" s="92" t="s">
        <v>1373</v>
      </c>
      <c r="EK28" s="92" t="s">
        <v>1318</v>
      </c>
    </row>
    <row r="29" spans="5:141" ht="15" thickBot="1" x14ac:dyDescent="0.35">
      <c r="Z29" s="92" t="s">
        <v>1164</v>
      </c>
      <c r="AA29" s="92" t="s">
        <v>1165</v>
      </c>
      <c r="AB29" s="92" t="s">
        <v>1166</v>
      </c>
      <c r="AC29" s="92"/>
      <c r="AD29" s="92">
        <v>248.22300000000001</v>
      </c>
      <c r="AE29" s="92">
        <v>95.838999999999999</v>
      </c>
      <c r="AF29" s="92" t="s">
        <v>1167</v>
      </c>
      <c r="AG29" s="92" t="s">
        <v>1168</v>
      </c>
      <c r="AH29" s="92" t="s">
        <v>1169</v>
      </c>
      <c r="AI29" s="92" t="s">
        <v>1170</v>
      </c>
      <c r="AJ29" s="92" t="s">
        <v>1171</v>
      </c>
      <c r="AM29" s="92">
        <v>24</v>
      </c>
      <c r="AN29" s="92" t="s">
        <v>1605</v>
      </c>
      <c r="AO29" s="92" t="s">
        <v>1606</v>
      </c>
      <c r="AP29" s="92">
        <v>1.845</v>
      </c>
      <c r="AQ29" s="92">
        <v>569.56899999999996</v>
      </c>
      <c r="AR29" s="92" t="s">
        <v>1607</v>
      </c>
      <c r="AS29" s="92">
        <v>1966</v>
      </c>
      <c r="AT29" s="92"/>
      <c r="AU29" s="92" t="s">
        <v>1608</v>
      </c>
      <c r="AV29" s="92" t="s">
        <v>1609</v>
      </c>
      <c r="AW29" s="92" t="s">
        <v>1610</v>
      </c>
      <c r="AX29" s="92"/>
      <c r="AY29" s="92"/>
      <c r="BB29" t="s">
        <v>1808</v>
      </c>
      <c r="BC29" t="s">
        <v>1810</v>
      </c>
      <c r="BD29" s="95">
        <v>18429.5</v>
      </c>
      <c r="BE29" s="96">
        <v>384837</v>
      </c>
      <c r="BF29">
        <v>20.88</v>
      </c>
      <c r="BG29" t="s">
        <v>1811</v>
      </c>
      <c r="BJ29" s="92"/>
      <c r="BK29" s="92"/>
      <c r="CX29" t="s">
        <v>1747</v>
      </c>
      <c r="CY29" t="s">
        <v>1748</v>
      </c>
      <c r="CZ29" t="s">
        <v>1749</v>
      </c>
      <c r="DA29" t="s">
        <v>1750</v>
      </c>
      <c r="DB29" t="s">
        <v>1671</v>
      </c>
      <c r="EC29" s="92" t="s">
        <v>1374</v>
      </c>
      <c r="ED29" s="92" t="s">
        <v>1375</v>
      </c>
      <c r="EE29" s="92"/>
      <c r="EF29" s="92" t="s">
        <v>1376</v>
      </c>
      <c r="EG29" s="92" t="s">
        <v>1377</v>
      </c>
      <c r="EH29" s="92">
        <v>63.1</v>
      </c>
      <c r="EI29" s="92" t="s">
        <v>1378</v>
      </c>
      <c r="EJ29" s="92" t="s">
        <v>1379</v>
      </c>
      <c r="EK29" s="92" t="s">
        <v>1380</v>
      </c>
    </row>
    <row r="30" spans="5:141" x14ac:dyDescent="0.3">
      <c r="Z30" s="92" t="s">
        <v>1172</v>
      </c>
      <c r="AA30" s="92" t="s">
        <v>976</v>
      </c>
      <c r="AB30" s="92" t="s">
        <v>1173</v>
      </c>
      <c r="AC30" s="92"/>
      <c r="AD30" s="92">
        <v>21.914999999999999</v>
      </c>
      <c r="AE30" s="92">
        <v>8.4610000000000003</v>
      </c>
      <c r="AF30" s="92" t="s">
        <v>1174</v>
      </c>
      <c r="AG30" s="92" t="s">
        <v>1175</v>
      </c>
      <c r="AH30" s="92" t="s">
        <v>1176</v>
      </c>
      <c r="AI30" s="92">
        <v>38</v>
      </c>
      <c r="AJ30" s="92" t="s">
        <v>1177</v>
      </c>
      <c r="AM30">
        <v>25</v>
      </c>
      <c r="AN30" t="s">
        <v>1611</v>
      </c>
      <c r="AO30" t="s">
        <v>1612</v>
      </c>
      <c r="AP30">
        <v>4.1399999999999997</v>
      </c>
      <c r="AQ30">
        <v>977.82899999999995</v>
      </c>
      <c r="AR30" t="s">
        <v>1613</v>
      </c>
      <c r="AS30">
        <v>1966</v>
      </c>
      <c r="AU30" t="s">
        <v>1614</v>
      </c>
      <c r="AV30" t="s">
        <v>1615</v>
      </c>
      <c r="AW30" t="s">
        <v>1485</v>
      </c>
      <c r="BB30" t="s">
        <v>1809</v>
      </c>
      <c r="CX30" t="s">
        <v>1751</v>
      </c>
      <c r="CY30" t="s">
        <v>1752</v>
      </c>
      <c r="CZ30" t="s">
        <v>1753</v>
      </c>
      <c r="DA30" t="s">
        <v>1752</v>
      </c>
      <c r="DB30" t="s">
        <v>1671</v>
      </c>
      <c r="EC30" s="93" t="s">
        <v>1381</v>
      </c>
      <c r="ED30" s="94" t="s">
        <v>1382</v>
      </c>
    </row>
    <row r="31" spans="5:141" x14ac:dyDescent="0.3">
      <c r="Z31" s="92" t="s">
        <v>1178</v>
      </c>
      <c r="AA31" s="92" t="s">
        <v>1179</v>
      </c>
      <c r="AB31" s="92" t="s">
        <v>1180</v>
      </c>
      <c r="AC31" s="92"/>
      <c r="AD31" s="92">
        <v>277.721</v>
      </c>
      <c r="AE31" s="92">
        <v>107.229</v>
      </c>
      <c r="AF31" s="92" t="s">
        <v>1181</v>
      </c>
      <c r="AG31" s="92" t="s">
        <v>1182</v>
      </c>
      <c r="AH31" s="92" t="s">
        <v>1183</v>
      </c>
      <c r="AI31" s="92">
        <v>21</v>
      </c>
      <c r="AJ31" s="92" t="s">
        <v>1184</v>
      </c>
      <c r="AM31" s="92">
        <v>26</v>
      </c>
      <c r="AN31" s="92" t="s">
        <v>1616</v>
      </c>
      <c r="AO31" s="92" t="s">
        <v>1617</v>
      </c>
      <c r="AP31" s="92">
        <v>52</v>
      </c>
      <c r="AQ31" s="92">
        <v>65.227999999999994</v>
      </c>
      <c r="AR31" s="92" t="s">
        <v>1618</v>
      </c>
      <c r="AS31" s="92">
        <v>1991</v>
      </c>
      <c r="AT31" s="92"/>
      <c r="AU31" s="92" t="s">
        <v>949</v>
      </c>
      <c r="AV31" s="92" t="s">
        <v>1619</v>
      </c>
      <c r="AW31" s="92" t="s">
        <v>1620</v>
      </c>
      <c r="AX31" s="92"/>
      <c r="AY31" s="92"/>
      <c r="AZ31" s="92"/>
      <c r="BB31" t="s">
        <v>1812</v>
      </c>
      <c r="BC31" t="s">
        <v>1814</v>
      </c>
      <c r="BD31" s="95">
        <v>48583.6</v>
      </c>
      <c r="BE31" s="96">
        <v>828708</v>
      </c>
      <c r="BF31">
        <v>17.059999999999999</v>
      </c>
      <c r="BG31" t="s">
        <v>1815</v>
      </c>
      <c r="BJ31" s="92"/>
      <c r="BK31" s="92"/>
      <c r="CX31" s="92" t="s">
        <v>1754</v>
      </c>
      <c r="CY31" s="92" t="s">
        <v>1755</v>
      </c>
      <c r="CZ31" t="s">
        <v>1756</v>
      </c>
      <c r="DA31" t="s">
        <v>1756</v>
      </c>
      <c r="DB31" t="s">
        <v>1671</v>
      </c>
    </row>
    <row r="32" spans="5:141" x14ac:dyDescent="0.3">
      <c r="AM32">
        <v>27</v>
      </c>
      <c r="AN32" t="s">
        <v>1621</v>
      </c>
      <c r="AO32" t="s">
        <v>1622</v>
      </c>
      <c r="AP32">
        <v>30.536999999999999</v>
      </c>
      <c r="AQ32" t="s">
        <v>1623</v>
      </c>
      <c r="AR32" t="s">
        <v>1624</v>
      </c>
      <c r="AS32">
        <v>1886</v>
      </c>
      <c r="AU32" t="s">
        <v>1625</v>
      </c>
      <c r="AV32" t="s">
        <v>1626</v>
      </c>
      <c r="AW32" t="s">
        <v>1627</v>
      </c>
      <c r="BB32" t="s">
        <v>1813</v>
      </c>
    </row>
    <row r="33" spans="39:59" x14ac:dyDescent="0.3">
      <c r="AM33">
        <v>28</v>
      </c>
      <c r="AN33" t="s">
        <v>1356</v>
      </c>
      <c r="AO33" t="s">
        <v>1628</v>
      </c>
      <c r="AP33">
        <v>10.917</v>
      </c>
      <c r="AQ33">
        <v>972.35</v>
      </c>
      <c r="AR33" t="s">
        <v>1629</v>
      </c>
      <c r="AS33">
        <v>1966</v>
      </c>
      <c r="AU33" t="s">
        <v>1630</v>
      </c>
      <c r="AV33" t="s">
        <v>1631</v>
      </c>
      <c r="AW33" t="s">
        <v>1632</v>
      </c>
      <c r="BB33" t="s">
        <v>1816</v>
      </c>
      <c r="BC33" t="s">
        <v>1818</v>
      </c>
      <c r="BD33" s="95">
        <v>108494.39999999999</v>
      </c>
      <c r="BE33" s="96">
        <v>103158</v>
      </c>
      <c r="BF33">
        <v>0.95</v>
      </c>
      <c r="BG33" t="s">
        <v>1819</v>
      </c>
    </row>
    <row r="34" spans="39:59" x14ac:dyDescent="0.3">
      <c r="AM34">
        <v>29</v>
      </c>
      <c r="AN34" t="s">
        <v>1633</v>
      </c>
      <c r="AO34" t="s">
        <v>1634</v>
      </c>
      <c r="AP34">
        <v>23.562000000000001</v>
      </c>
      <c r="AQ34" t="s">
        <v>1635</v>
      </c>
      <c r="AR34" t="s">
        <v>1636</v>
      </c>
      <c r="AS34">
        <v>1886</v>
      </c>
      <c r="AU34" t="s">
        <v>1179</v>
      </c>
      <c r="AV34" t="s">
        <v>1637</v>
      </c>
      <c r="AW34" t="s">
        <v>1638</v>
      </c>
      <c r="BB34" t="s">
        <v>1817</v>
      </c>
    </row>
    <row r="35" spans="39:59" x14ac:dyDescent="0.3">
      <c r="AM35">
        <v>30</v>
      </c>
      <c r="AN35" t="s">
        <v>1639</v>
      </c>
      <c r="AO35" t="s">
        <v>1640</v>
      </c>
      <c r="AP35">
        <v>22.14</v>
      </c>
      <c r="AQ35" t="s">
        <v>1641</v>
      </c>
      <c r="AR35" t="s">
        <v>1642</v>
      </c>
      <c r="AS35">
        <v>1910</v>
      </c>
      <c r="AU35" t="s">
        <v>1643</v>
      </c>
      <c r="AV35" t="s">
        <v>1644</v>
      </c>
      <c r="AW35" t="s">
        <v>1645</v>
      </c>
      <c r="BB35" t="s">
        <v>1820</v>
      </c>
      <c r="BC35" t="s">
        <v>1822</v>
      </c>
      <c r="BD35" s="95">
        <v>132291.1</v>
      </c>
      <c r="BE35" s="96">
        <v>166533</v>
      </c>
      <c r="BF35">
        <v>1.26</v>
      </c>
      <c r="BG35" t="s">
        <v>1823</v>
      </c>
    </row>
    <row r="36" spans="39:59" x14ac:dyDescent="0.3">
      <c r="AM36">
        <v>31</v>
      </c>
      <c r="AN36" t="s">
        <v>1646</v>
      </c>
      <c r="AO36" t="s">
        <v>1647</v>
      </c>
      <c r="AP36">
        <v>54.134999999999998</v>
      </c>
      <c r="AQ36">
        <v>48.932000000000002</v>
      </c>
      <c r="AR36" t="s">
        <v>1648</v>
      </c>
      <c r="AS36">
        <v>1991</v>
      </c>
      <c r="AU36" t="s">
        <v>1649</v>
      </c>
      <c r="AV36" t="s">
        <v>1650</v>
      </c>
      <c r="AW36" t="s">
        <v>1651</v>
      </c>
      <c r="BB36" t="s">
        <v>1821</v>
      </c>
    </row>
    <row r="37" spans="39:59" x14ac:dyDescent="0.3">
      <c r="AM37">
        <v>32</v>
      </c>
      <c r="AN37" t="s">
        <v>1652</v>
      </c>
      <c r="AO37" t="s">
        <v>1653</v>
      </c>
      <c r="AP37">
        <v>100.242</v>
      </c>
      <c r="AQ37">
        <v>115.77800000000001</v>
      </c>
      <c r="AR37" t="s">
        <v>1654</v>
      </c>
      <c r="AS37">
        <v>1991</v>
      </c>
      <c r="AU37" t="s">
        <v>1655</v>
      </c>
      <c r="AV37" t="s">
        <v>1656</v>
      </c>
      <c r="AW37" t="s">
        <v>1657</v>
      </c>
    </row>
  </sheetData>
  <mergeCells count="13">
    <mergeCell ref="EC1:EI1"/>
    <mergeCell ref="Z1:AJ1"/>
    <mergeCell ref="E1:M1"/>
    <mergeCell ref="CX1:DD1"/>
    <mergeCell ref="AM1:AS1"/>
    <mergeCell ref="DS1:DY1"/>
    <mergeCell ref="BL1:BR1"/>
    <mergeCell ref="BU1:CA1"/>
    <mergeCell ref="BA1:BG1"/>
    <mergeCell ref="P1:V1"/>
    <mergeCell ref="CO1:CU1"/>
    <mergeCell ref="DH1:DN1"/>
    <mergeCell ref="CC1:CI1"/>
  </mergeCells>
  <hyperlinks>
    <hyperlink ref="EC30" r:id="rId1" tooltip="Capital District (Venezuela)" display="https://en.wikipedia.org/wiki/Capital_District_(Venezuela)" xr:uid="{27E2F40B-01C5-484C-A3C8-8A9D4AB5DFF4}"/>
    <hyperlink ref="ED30" r:id="rId2" tooltip="Caracas" display="https://en.wikipedia.org/wiki/Caracas" xr:uid="{B256F707-C47B-4BF5-A492-0E4C15CB7FE7}"/>
    <hyperlink ref="DH2" r:id="rId3" xr:uid="{2135315A-107F-4B08-93B8-D995DEE6512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30721" r:id="rId7" name="Button 1">
              <controlPr defaultSize="0" print="0" autoFill="0" autoPict="0" macro="[0]!GoToSheet">
                <anchor moveWithCells="1" sizeWithCells="1">
                  <from>
                    <xdr:col>1</xdr:col>
                    <xdr:colOff>114300</xdr:colOff>
                    <xdr:row>6</xdr:row>
                    <xdr:rowOff>68580</xdr:rowOff>
                  </from>
                  <to>
                    <xdr:col>3</xdr:col>
                    <xdr:colOff>15240</xdr:colOff>
                    <xdr:row>14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589DB-FC3F-45C6-924D-36F88EF88553}">
  <sheetPr codeName="Sheet3"/>
  <dimension ref="A1:IY31"/>
  <sheetViews>
    <sheetView tabSelected="1" zoomScale="55" zoomScaleNormal="55" workbookViewId="0">
      <pane xSplit="5" ySplit="1" topLeftCell="F2" activePane="bottomRight" state="frozen"/>
      <selection pane="topRight" activeCell="F1" sqref="F1"/>
      <selection pane="bottomLeft" activeCell="A2" sqref="A2"/>
      <selection pane="bottomRight" activeCell="B22" sqref="B22"/>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171</v>
      </c>
      <c r="B2" s="83" t="e" vm="1">
        <v>#VALUE!</v>
      </c>
      <c r="C2" s="39">
        <v>1</v>
      </c>
      <c r="D2" s="70" t="s">
        <v>172</v>
      </c>
      <c r="E2" s="40" t="s">
        <v>173</v>
      </c>
      <c r="F2" s="41" t="s">
        <v>163</v>
      </c>
      <c r="G2" s="42">
        <f t="shared" ref="G2:G19" si="0">COUNTIF($A$1:$A$8299,A2)</f>
        <v>1</v>
      </c>
      <c r="H2" s="43"/>
      <c r="I2" s="59" t="s">
        <v>174</v>
      </c>
      <c r="J2" s="44" t="str">
        <f>""</f>
        <v/>
      </c>
      <c r="K2" s="45">
        <v>45773884</v>
      </c>
      <c r="L2" s="46">
        <v>3800000</v>
      </c>
      <c r="M2" s="46" t="s">
        <v>1963</v>
      </c>
      <c r="N2" s="47" t="s">
        <v>177</v>
      </c>
      <c r="O2" s="74" t="s">
        <v>175</v>
      </c>
      <c r="P2" s="48" t="s">
        <v>176</v>
      </c>
      <c r="Q2" s="73">
        <v>1</v>
      </c>
      <c r="R2" s="49" t="s">
        <v>177</v>
      </c>
      <c r="S2" s="50">
        <v>3</v>
      </c>
      <c r="T2" s="51" t="s">
        <v>164</v>
      </c>
      <c r="U2" s="52" t="s">
        <v>164</v>
      </c>
      <c r="V2" s="52" t="s">
        <v>165</v>
      </c>
      <c r="W2" s="52" t="s">
        <v>164</v>
      </c>
      <c r="X2" s="52" t="s">
        <v>165</v>
      </c>
      <c r="Y2" s="52" t="s">
        <v>164</v>
      </c>
      <c r="Z2" s="52" t="s">
        <v>164</v>
      </c>
      <c r="AA2" s="52" t="s">
        <v>164</v>
      </c>
      <c r="AB2" s="52" t="s">
        <v>164</v>
      </c>
      <c r="AC2" s="52" t="s">
        <v>164</v>
      </c>
      <c r="AD2" s="52" t="s">
        <v>165</v>
      </c>
      <c r="AE2" s="52" t="s">
        <v>164</v>
      </c>
      <c r="AF2" s="53" t="s">
        <v>164</v>
      </c>
      <c r="AG2" s="53" t="s">
        <v>164</v>
      </c>
      <c r="AH2" s="53" t="s">
        <v>165</v>
      </c>
      <c r="AI2" s="53" t="s">
        <v>164</v>
      </c>
      <c r="AJ2" s="53" t="s">
        <v>164</v>
      </c>
      <c r="AK2" s="53" t="s">
        <v>164</v>
      </c>
      <c r="AL2" s="53" t="s">
        <v>164</v>
      </c>
      <c r="AM2" s="53" t="s">
        <v>164</v>
      </c>
      <c r="AN2" s="53" t="s">
        <v>165</v>
      </c>
      <c r="AO2" s="53" t="s">
        <v>164</v>
      </c>
      <c r="AP2" s="53" t="s">
        <v>164</v>
      </c>
      <c r="AQ2" s="53" t="s">
        <v>164</v>
      </c>
      <c r="AR2" s="53" t="s">
        <v>164</v>
      </c>
      <c r="AS2" s="53" t="s">
        <v>164</v>
      </c>
      <c r="AT2" s="54">
        <v>0</v>
      </c>
      <c r="AU2" s="53"/>
      <c r="AV2" s="53" t="str">
        <f t="shared" ref="AV2:AV22" si="1">IF(LEFT(A2,1)="[",LEFT(A2,5)&amp;AU2&amp;A2,"")</f>
        <v/>
      </c>
      <c r="AW2" s="53" t="str">
        <f t="shared" ref="AW2:AW22" si="2">C2&amp;IFERROR(SUBSTITUTE(A2, " [ANT]",""),"")</f>
        <v>1Argentina</v>
      </c>
      <c r="AX2" s="55"/>
      <c r="AY2" s="55"/>
      <c r="AZ2" s="56"/>
      <c r="BA2" s="56"/>
      <c r="BB2" s="56"/>
      <c r="BC2" s="57"/>
      <c r="BD2" s="58" t="s">
        <v>152</v>
      </c>
      <c r="BE2" s="59"/>
      <c r="BF2" s="58" t="s">
        <v>152</v>
      </c>
      <c r="BG2" s="58" t="s">
        <v>159</v>
      </c>
      <c r="BH2" s="58" t="s">
        <v>152</v>
      </c>
      <c r="BI2" s="58"/>
      <c r="BJ2" s="58"/>
      <c r="BK2" s="59"/>
      <c r="BL2" s="58" t="s">
        <v>152</v>
      </c>
      <c r="BM2" s="58" t="s">
        <v>159</v>
      </c>
      <c r="BN2" s="58" t="s">
        <v>155</v>
      </c>
      <c r="BO2" s="58"/>
      <c r="BP2" s="58"/>
      <c r="BQ2" s="58"/>
      <c r="BR2" s="58"/>
      <c r="BS2" s="58"/>
      <c r="BT2" s="58"/>
      <c r="BU2" s="60"/>
      <c r="BV2" s="61" t="s">
        <v>164</v>
      </c>
      <c r="BW2" s="61">
        <v>0</v>
      </c>
      <c r="BX2" s="59"/>
      <c r="CB2" s="5" t="s">
        <v>138</v>
      </c>
      <c r="CC2" s="5"/>
      <c r="CD2" s="62">
        <v>0</v>
      </c>
      <c r="CE2" s="62">
        <v>0</v>
      </c>
      <c r="CF2" s="62" t="e">
        <v>#REF!</v>
      </c>
      <c r="CG2" s="75" cm="1">
        <f t="array" ref="CG2">SUMPRODUCT(--(LEN(TRIM(BL2:BT2))&gt;0))</f>
        <v>3</v>
      </c>
      <c r="CH2" s="53" t="str">
        <f t="shared" ref="CH2:CH22" si="3">IF(CG2=2,"y","n")</f>
        <v>n</v>
      </c>
      <c r="CI2" s="53" t="str">
        <f t="shared" ref="CI2:CI22" si="4">IF(CG2=3,"y","n")</f>
        <v>y</v>
      </c>
      <c r="CJ2" s="53" t="str">
        <f t="shared" ref="CJ2:CJ22" si="5">IF(CG2=4,"y","n")</f>
        <v>n</v>
      </c>
      <c r="CK2" s="53" t="str">
        <f t="shared" ref="CK2:CK22" si="6">IF(CG2&gt;4,"y","n")</f>
        <v>n</v>
      </c>
      <c r="CL2" s="53" t="str">
        <f t="shared" ref="CL2:CL22" si="7">IF(S2=0,"y","n")</f>
        <v>n</v>
      </c>
      <c r="CM2" s="53" t="str">
        <f t="shared" ref="CM2:CM22" si="8">IF(S2=2,"y","n")</f>
        <v>n</v>
      </c>
      <c r="CN2" s="53" t="str">
        <f t="shared" ref="CN2:CN22" si="9">IF(S2=3,"y","n")</f>
        <v>y</v>
      </c>
      <c r="CO2" s="53" t="str">
        <f t="shared" ref="CO2:CO22" si="10">IF(S2&gt;=4,"y","n")</f>
        <v>n</v>
      </c>
      <c r="CP2" s="53" t="str">
        <f t="shared" ref="CP2:CP22" si="11">IF(AT2=0,"y","n")</f>
        <v>y</v>
      </c>
      <c r="CQ2" s="53" t="str">
        <f t="shared" ref="CQ2:CQ22" si="12">IF(AT2=1,"y","n")</f>
        <v>n</v>
      </c>
      <c r="CR2" s="53" t="str">
        <f t="shared" ref="CR2:CR22" si="13">IF(AT2=2,"y","n")</f>
        <v>n</v>
      </c>
      <c r="CS2" s="53" t="str">
        <f t="shared" ref="CS2:CS22" si="14">IF(AT2&gt;=3,"y","n")</f>
        <v>n</v>
      </c>
      <c r="CT2" s="38" t="str">
        <f t="shared" ref="CT2:CT22" si="15">CHAR(34)&amp;A2&amp;CHAR(34)</f>
        <v>"Argentina"</v>
      </c>
      <c r="CU2" s="63" t="str">
        <f t="shared" ref="CU2:CU22" si="16">CHAR(34)&amp;"rgn_"&amp;R2&amp;CHAR(34)</f>
        <v>"rgn_South America"</v>
      </c>
      <c r="CV2" s="44" t="str">
        <f t="shared" ref="CV2:CV22" si="17">CHAR(34)&amp;D2&amp;CHAR(34)</f>
        <v>"https://upload.wikimedia.org/wikipedia/commons/thumb/1/1a/Flag_of_Argentina.svg/320px-Flag_of_Argentina.svg.png"</v>
      </c>
      <c r="CW2" s="44" t="str">
        <f t="shared" ref="CW2:CW22" si="18">IF(CH2="y",CHAR(34)&amp;CH$1&amp;CHAR(34)&amp;",","")</f>
        <v/>
      </c>
      <c r="CX2" s="44" t="str">
        <f t="shared" ref="CX2:CX22" si="19">IF(CI2="y",CHAR(34)&amp;CI$1&amp;CHAR(34)&amp;",","")</f>
        <v>"3Color",</v>
      </c>
      <c r="CY2" s="44" t="str">
        <f t="shared" ref="CY2:CY22" si="20">IF(CJ2="y",CHAR(34)&amp;CJ$1&amp;CHAR(34)&amp;",","")</f>
        <v/>
      </c>
      <c r="CZ2" s="44" t="str">
        <f t="shared" ref="CZ2:CZ22" si="21">IF(CK2="y",CHAR(34)&amp;CK$1&amp;CHAR(34)&amp;",","")</f>
        <v/>
      </c>
      <c r="DA2" s="44" t="str">
        <f t="shared" ref="DA2:DA22" si="22">IF(Q2&gt;1,CHAR(34)&amp;"words2"&amp;CHAR(34)&amp;",","")</f>
        <v/>
      </c>
      <c r="DB2" s="44" t="str">
        <f t="shared" ref="DB2:DB22" si="23">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4" t="str">
        <f t="shared" ref="DF2:DF22" si="24">IFERROR(IF(SEARCH("tan",A2)&gt;0,CHAR(34)&amp;"withtn"&amp;CHAR(34)&amp;",",""),"")</f>
        <v/>
      </c>
      <c r="DG2" s="44" t="str">
        <f t="shared" ref="DG2:DG22" si="25">IFERROR(IF(SEARCH("q",A2)&gt;0,CHAR(34)&amp;"with_q"&amp;CHAR(34)&amp;",",""),"")</f>
        <v/>
      </c>
      <c r="DH2" s="44" t="str">
        <f t="shared" ref="DH2:DH22" si="26">IFERROR(IF(SEARCH("v",A2)&gt;0,CHAR(34)&amp;"with_v"&amp;CHAR(34)&amp;",",""),"")</f>
        <v/>
      </c>
      <c r="DI2" s="44" t="str">
        <f t="shared" ref="DI2:DI22" si="27">IFERROR(IF(SEARCH("w",A2)&gt;0,CHAR(34)&amp;"with_w"&amp;CHAR(34)&amp;",",""),"")</f>
        <v/>
      </c>
      <c r="DJ2" s="44" t="str">
        <f t="shared" ref="DJ2:DJ22" si="28">IFERROR(IF(SEARCH("y",A2)&gt;0,CHAR(34)&amp;"with_y"&amp;CHAR(34)&amp;",",""),"")</f>
        <v/>
      </c>
      <c r="DK2" s="44" t="str">
        <f t="shared" ref="DK2:DK22" si="29">IFERROR(IF(SEARCH("z",A2)&gt;0,CHAR(34)&amp;"with_z"&amp;CHAR(34)&amp;",",""),"")</f>
        <v/>
      </c>
      <c r="DL2" s="44" t="str">
        <f t="shared" ref="DL2:DL22" si="30">IF(CG2=2, CHAR(34) &amp; _xlfn.TEXTJOIN("", TRUE, _xlfn._xlws.SORT(HP2:HX2)) &amp; CHAR(34) &amp; ",", "")</f>
        <v/>
      </c>
      <c r="DM2" s="44" t="str" cm="1">
        <f t="array" ref="DM2">IF(CG2=3,CHAR(34) &amp; _xlfn.TEXTJOIN("", TRUE, RIGHT(HP2:HX2, 2)) &amp; CHAR(34) &amp; ",", "")</f>
        <v>"LUELHI",</v>
      </c>
      <c r="DN2" s="44" t="str">
        <f t="shared" ref="DN2:DN22" si="31">IF(AND(ISNUMBER(SEARCH("18", O2)), ISERROR(SEARCH("1918", O2)), ISERROR(SEARCH("2018", O2))), CHAR(34) &amp; "year18" &amp; CHAR(34) &amp; ",", "")</f>
        <v>"year18",</v>
      </c>
      <c r="DO2" s="44" t="str">
        <f t="shared" ref="DO2:DO22" si="32">IF(AND(ISNUMBER(SEARCH("19", O2)), ISERROR(SEARCH("1819", O2)),  ISERROR(SEARCH("1219", O2)),ISERROR(SEARCH("1119", O2)),ISERROR(SEARCH("1190", O2)),ISERROR(SEARCH("2019", O2))), CHAR(34) &amp; "year19" &amp; CHAR(34) &amp; ",", "")</f>
        <v/>
      </c>
      <c r="DP2" s="5" t="str">
        <f t="shared" ref="DP2:DP22" si="33">IF(AND(ISNUMBER(SEARCH("20", O2)), ISERROR(SEARCH("1920", O2))), CHAR(34)&amp;"year00"&amp;CHAR(34)&amp;",", "")</f>
        <v>"year00",</v>
      </c>
      <c r="DQ2" s="5" t="str">
        <f t="shared" ref="DQ2:DQ22" si="34">IF(CC2="y",CHAR(34)&amp;"soviet"&amp;CHAR(34)&amp;",","")</f>
        <v/>
      </c>
      <c r="DR2" s="5" t="str">
        <f t="shared" ref="DR2:DR22" si="35">IF(BY2="y",CHAR(34)&amp;"dgband"&amp;CHAR(34)&amp;",","")</f>
        <v/>
      </c>
      <c r="DS2" s="5" t="str">
        <f t="shared" ref="DS2:DS22" si="36">IF(W2="y",IF(AND(V2="n",BY2&lt;&gt;"y"),CHAR(34)&amp;"allver"&amp;CHAR(34)&amp;",",""),"")</f>
        <v/>
      </c>
      <c r="DT2" s="5" t="str">
        <f t="shared" ref="DT2:DT22" si="37">IF(V2="y",IF(AND(W2="n",BY2&lt;&gt;"y"),CHAR(34)&amp;"allhor"&amp;CHAR(34)&amp;",",""),"")</f>
        <v>"allhor",</v>
      </c>
      <c r="DU2" s="5" t="str">
        <f t="shared" ref="DU2:DU22" si="38">IF(BY2="y",IF(AND(W2="n",V2="n"),CHAR(34)&amp;"alldia"&amp;CHAR(34)&amp;",",""),"")</f>
        <v/>
      </c>
      <c r="DV2" s="44" t="str">
        <f>IF(IA2&lt;&gt;"",(IF(IA2="y",CHAR(34)&amp;"largec"&amp;CHAR(34)&amp;",",CHAR(34)&amp;"smallc"&amp;CHAR(34)&amp;",")),"")</f>
        <v/>
      </c>
      <c r="DW2" s="44" t="str">
        <f t="shared" ref="DW2:DW22" si="39">IF(CL2="y",CHAR(34)&amp;CL$1&amp;CHAR(34)&amp;",","")</f>
        <v/>
      </c>
      <c r="DX2" s="44" t="str">
        <f t="shared" ref="DX2:DX22" si="40">IF(CM2="y",CHAR(34)&amp;CM$1&amp;CHAR(34)&amp;",","")</f>
        <v/>
      </c>
      <c r="DY2" s="44" t="str">
        <f t="shared" ref="DY2:DY22" si="41">IF(CN2="y",CHAR(34)&amp;CN$1&amp;CHAR(34)&amp;",","")</f>
        <v>"3Bands",</v>
      </c>
      <c r="DZ2" s="44" t="str">
        <f t="shared" ref="DZ2:DZ22" si="42">IF(CO2="y",CHAR(34)&amp;CO$1&amp;CHAR(34)&amp;",","")</f>
        <v/>
      </c>
      <c r="EA2" s="44" t="str">
        <f t="shared" ref="EA2:EA22" si="43">IF(T2="y",CHAR(34)&amp;T$1&amp;CHAR(34)&amp;",","")</f>
        <v/>
      </c>
      <c r="EB2" s="44" t="str">
        <f t="shared" ref="EB2:EB22" si="44">IF(U2="y",CHAR(34)&amp;U$1&amp;CHAR(34)&amp;",","")</f>
        <v/>
      </c>
      <c r="EC2" s="44" t="str">
        <f t="shared" ref="EC2:EC22" si="45">IF(V2="y",CHAR(34)&amp;V$1&amp;CHAR(34)&amp;",","")</f>
        <v>"Horizo",</v>
      </c>
      <c r="ED2" s="44" t="str">
        <f t="shared" ref="ED2:ED22" si="46">IF(W2="y",CHAR(34)&amp;W$1&amp;CHAR(34)&amp;",","")</f>
        <v/>
      </c>
      <c r="EE2" s="44" t="str">
        <f t="shared" ref="EE2:EE22" si="47">IF(X2="y",CHAR(34)&amp;X$1&amp;CHAR(34)&amp;",","")</f>
        <v>"Circle",</v>
      </c>
      <c r="EF2" s="44" t="str">
        <f t="shared" ref="EF2:EF22" si="48">IF(AND(Y2&lt;&gt;"n",Y2&lt;&gt;""),CHAR(34)&amp;Y$1&amp;CHAR(34)&amp;",","")</f>
        <v/>
      </c>
      <c r="EG2" s="44" t="str">
        <f t="shared" ref="EG2:EG22" si="49">IF(Z2="y",CHAR(34)&amp;Z$1&amp;CHAR(34)&amp;",","")</f>
        <v/>
      </c>
      <c r="EH2" s="44" t="str">
        <f t="shared" ref="EH2:EH22" si="50">IF(AA2="y",CHAR(34)&amp;AA$1&amp;CHAR(34)&amp;",","")</f>
        <v/>
      </c>
      <c r="EI2" s="44" t="str">
        <f t="shared" ref="EI2:EI22" si="51">IF(AB2="y",CHAR(34)&amp;AB$1&amp;CHAR(34)&amp;",","")</f>
        <v/>
      </c>
      <c r="EJ2" s="44" t="str">
        <f t="shared" ref="EJ2:EJ22" si="52">IF(AC2="y",CHAR(34)&amp;AC$1&amp;CHAR(34)&amp;",","")</f>
        <v/>
      </c>
      <c r="EK2" s="44" t="str">
        <f t="shared" ref="EK2:EK22" si="53">IF(AD2="y",CHAR(34)&amp;AD$1&amp;CHAR(34)&amp;",","")</f>
        <v>"HasSun",</v>
      </c>
      <c r="EL2" s="44" t="str">
        <f t="shared" ref="EL2:EL22" si="54">IF(AE2="y",CHAR(34)&amp;AE$1&amp;CHAR(34)&amp;",","")</f>
        <v/>
      </c>
      <c r="EM2" s="44" t="str">
        <f t="shared" ref="EM2:EM22" si="55">IF(AF2="y",CHAR(34)&amp;AF$1&amp;CHAR(34)&amp;",","")</f>
        <v/>
      </c>
      <c r="EN2" s="44" t="str">
        <f t="shared" ref="EN2:EN22" si="56">IF(AG2="y",CHAR(34)&amp;AG$1&amp;CHAR(34)&amp;",","")</f>
        <v/>
      </c>
      <c r="EO2" s="44" t="str">
        <f t="shared" ref="EO2:EO22" si="57">IF(AH2="y",CHAR(34)&amp;AH$1&amp;CHAR(34)&amp;",","")</f>
        <v>"Center",</v>
      </c>
      <c r="EP2" s="44" t="str">
        <f t="shared" ref="EP2:EP22" si="58">IF(AI2="y",CHAR(34)&amp;AI$1&amp;CHAR(34)&amp;",","")</f>
        <v/>
      </c>
      <c r="EQ2" s="44" t="str">
        <f t="shared" ref="EQ2:EQ22" si="59">IF(AJ2="y",CHAR(34)&amp;AJ$1&amp;CHAR(34)&amp;",","")</f>
        <v/>
      </c>
      <c r="ER2" s="44" t="str">
        <f t="shared" ref="ER2:ER22" si="60">IF(AK2="y",CHAR(34)&amp;AK$1&amp;CHAR(34)&amp;",","")</f>
        <v/>
      </c>
      <c r="ES2" s="44" t="str">
        <f t="shared" ref="ES2:ES22" si="61">IF(AL2="y",CHAR(34)&amp;AL$1&amp;CHAR(34)&amp;",","")</f>
        <v/>
      </c>
      <c r="ET2" s="44" t="str">
        <f t="shared" ref="ET2:ET22" si="62">IF(AM2="y",CHAR(34)&amp;AM$1&amp;CHAR(34)&amp;",","")</f>
        <v/>
      </c>
      <c r="EU2" s="44" t="str">
        <f t="shared" ref="EU2:EU22" si="63">IF(AN2="y",CHAR(34)&amp;AN$1&amp;CHAR(34)&amp;",","")</f>
        <v>"Humans",</v>
      </c>
      <c r="EV2" s="44" t="str">
        <f t="shared" ref="EV2:EV22" si="64">IF(AO2="y",CHAR(34)&amp;AO$1&amp;CHAR(34)&amp;",","")</f>
        <v/>
      </c>
      <c r="EW2" s="44" t="str">
        <f t="shared" ref="EW2:EW22" si="65">IF(AP2="y",CHAR(34)&amp;AP$1&amp;CHAR(34)&amp;",","")</f>
        <v/>
      </c>
      <c r="EX2" s="44" t="str">
        <f t="shared" ref="EX2:EX22" si="66">IF(AQ2="y",CHAR(34)&amp;AQ$1&amp;CHAR(34)&amp;",","")</f>
        <v/>
      </c>
      <c r="EY2" s="44" t="str">
        <f t="shared" ref="EY2:EY22" si="67">IF(AR2="y",CHAR(34)&amp;AR$1&amp;CHAR(34)&amp;",","")</f>
        <v/>
      </c>
      <c r="EZ2" s="44" t="str">
        <f t="shared" ref="EZ2:EZ22" si="68">IF(AS2="y",CHAR(34)&amp;AS$1&amp;CHAR(34)&amp;",","")</f>
        <v/>
      </c>
      <c r="FA2" s="44" t="str">
        <f t="shared" ref="FA2:FA22" si="69">IF(AT2&gt;0,CHAR(34)&amp;"sta"&amp;AZ2&amp;CHAR(34)&amp;",","")</f>
        <v/>
      </c>
      <c r="FB2" s="44" t="str">
        <f t="shared" ref="FB2:FB22" si="70">IF(AND(AT2&gt;0,BA2&lt;&gt;""),CHAR(34)&amp;"sta"&amp;BA2&amp;CHAR(34)&amp;",","")</f>
        <v/>
      </c>
      <c r="FC2" s="44" t="str">
        <f>IF(AND(AT2&gt;0,BB2&lt;&gt;""),CHAR(34)&amp;"sta"&amp;BB2&amp;CHAR(34)&amp;",","")</f>
        <v/>
      </c>
      <c r="FD2" s="44" t="str">
        <f t="shared" ref="FD2:FD22" si="71">IF(BV2="n",CHAR(34)&amp;"tcWHYE"&amp;CHAR(34)&amp;",",IF(BV2="y",CHAR(34)&amp;FD$1&amp;CHAR(34)&amp;",",""))</f>
        <v>"tcWHYE",</v>
      </c>
      <c r="FE2" s="44" t="str">
        <f t="shared" ref="FE2:FE22" si="72">IF(COUNTIF(BL2:BT2,"BLU")=0,CHAR(34)&amp;"NO_BLU"&amp;CHAR(34)&amp;",", "")</f>
        <v/>
      </c>
      <c r="FF2" s="44" t="str">
        <f t="shared" ref="FF2:FF22" si="73">IF(COUNTIF(BL2:BT2,"WHI")=0,CHAR(34)&amp;"NO_WHI"&amp;CHAR(34)&amp;",", "")</f>
        <v/>
      </c>
      <c r="FG2" s="44" t="str">
        <f t="shared" ref="FG2:FG22" si="74">IF(COUNTIF(BL2:BT2,"RED")=0,CHAR(34)&amp;"NO_RED"&amp;CHAR(34)&amp;",", "")</f>
        <v>"NO_RED",</v>
      </c>
      <c r="FH2" s="44" t="str">
        <f t="shared" ref="FH2:FH22" si="75">IF(COUNTIF(BL2:BS2,"GRE")=0,CHAR(34)&amp;"NO_GRE"&amp;CHAR(34)&amp;",", "")</f>
        <v>"NO_GRE",</v>
      </c>
      <c r="FI2" s="44" t="str">
        <f t="shared" ref="FI2:FI22" si="76">IF(COUNTIF(BL2:BT2,"YEL")=0,CHAR(34)&amp;"NO_YEL"&amp;CHAR(34)&amp;",", "")</f>
        <v/>
      </c>
      <c r="FJ2" s="44" t="str">
        <f t="shared" ref="FJ2:FJ22" si="77">IF(COUNTIF(BL2:BT2,"BLA")=0,CHAR(34)&amp;"NO_BLA"&amp;CHAR(34)&amp;",", "")</f>
        <v>"NO_BLA",</v>
      </c>
      <c r="FK2" s="44" t="str">
        <f t="shared" ref="FK2:FK22" si="78">IF(AND(FH2&lt;&gt;"",FF2&lt;&gt;""),CHAR(34)&amp;"WHGRNO"&amp;CHAR(34)&amp;",","")</f>
        <v/>
      </c>
      <c r="FL2" s="44" t="str">
        <f t="shared" ref="FL2:FL22" si="79">IF(AND(FI2&lt;&gt;"",FF2&lt;&gt;""),CHAR(34)&amp;"WHYENO"&amp;CHAR(34)&amp;",","")</f>
        <v/>
      </c>
      <c r="FM2" s="44" t="str">
        <f t="shared" ref="FM2:FM22" si="80">IF(AND(FJ2&lt;&gt;"",FF2&lt;&gt;""),CHAR(34)&amp;"BAWHNO"&amp;CHAR(34)&amp;",","")</f>
        <v/>
      </c>
      <c r="FN2" s="44" t="str">
        <f t="shared" ref="FN2:FN22" si="81">IF(AND(FE2&lt;&gt;"",FF2&lt;&gt;""),CHAR(34)&amp;"BLWHNO"&amp;CHAR(34)&amp;",","")</f>
        <v/>
      </c>
      <c r="FO2" s="44" t="str">
        <f t="shared" ref="FO2:FO22" si="82">IF(AND(FE2&lt;&gt;"",FG2&lt;&gt;""),CHAR(34)&amp;"BLRENO"&amp;CHAR(34)&amp;",","")</f>
        <v/>
      </c>
      <c r="FP2" s="44" t="str">
        <f t="shared" ref="FP2:FP22" si="83">IF(AND(FF2&lt;&gt;"",FF2&lt;&gt;""),CHAR(34)&amp;"WHRENO"&amp;CHAR(34)&amp;",","")</f>
        <v/>
      </c>
      <c r="FQ2" s="44" t="str">
        <f t="shared" ref="FQ2:FQ22" si="84">IF(LEN(BF2)=3,CHAR(34)&amp;"001"&amp;BF2&amp;CHAR(34)&amp;",","")</f>
        <v>"001BLU",</v>
      </c>
      <c r="FR2" s="44" t="str">
        <f t="shared" ref="FR2:FR22" si="85">IF(LEN(BG2)=3,CHAR(34)&amp;"002"&amp;BG2&amp;CHAR(34)&amp;",","")</f>
        <v>"002WHI",</v>
      </c>
      <c r="FS2" s="44" t="str">
        <f t="shared" ref="FS2:FS22" si="86">IF(LEN(BH2)=3,CHAR(34)&amp;"003"&amp;BH2&amp;CHAR(34)&amp;",","")</f>
        <v>"003BLU",</v>
      </c>
      <c r="FT2" s="44" t="str">
        <f t="shared" ref="FT2:FT22" si="87">CHAR(34)&amp;"myr"&amp;BD2&amp;CHAR(34)&amp;","</f>
        <v>"myrBLU",</v>
      </c>
      <c r="FU2" s="44" t="str">
        <f t="shared" ref="FU2:FU22" si="88">IF(AY2="y",CHAR(34)&amp;"island"&amp;CHAR(34)&amp;",","")</f>
        <v/>
      </c>
      <c r="FV2" s="44" t="str">
        <f t="shared" ref="FV2:FV22" si="89">IF(BZ2="y",CHAR(34)&amp;"landlo"&amp;CHAR(34)&amp;",","")</f>
        <v/>
      </c>
      <c r="FW2" s="44" t="str">
        <f t="shared" ref="FW2:FW22" si="90">IF(CA2="y",CHAR(34)&amp;"eunion"&amp;CHAR(34)&amp;",","")</f>
        <v/>
      </c>
      <c r="FX2" s="44" t="str">
        <f>SUBSTITUTE(IFERROR(SEARCH("[",A2),IFERROR(IF(AND(CA2&lt;&gt;"y",SEARCH("Europe",R2)&gt;0),CHAR(34)&amp;"noeuni"&amp;CHAR(34)&amp;",",""),"")),"1","")</f>
        <v/>
      </c>
      <c r="FY2" s="44" t="str">
        <f t="shared" ref="FY2:FY22" si="91">IFERROR(IF(SEARCH("Arabic",CB2)&gt;0,CHAR(34)&amp;"arabic"&amp;CHAR(34)&amp;",",""),"")</f>
        <v/>
      </c>
      <c r="FZ2" s="44" t="str">
        <f t="shared" ref="FZ2:FZ22" si="92">IFERROR(IF(SEARCH("English",CB2)&gt;0,CHAR(34)&amp;"englis"&amp;CHAR(34)&amp;",",""),"")</f>
        <v/>
      </c>
      <c r="GA2" s="44" t="str">
        <f t="shared" ref="GA2:GA22" si="93">IFERROR(IF(SEARCH("French",CB2)&gt;0,CHAR(34)&amp;"french"&amp;CHAR(34)&amp;",",""),"")</f>
        <v/>
      </c>
      <c r="GB2" s="44" t="str">
        <f t="shared" ref="GB2:GB22" si="94">IFERROR(IF(SEARCH("Spanish",CB2)&gt;0,CHAR(34)&amp;"spanis"&amp;CHAR(34)&amp;",",""),"")</f>
        <v>"spanis",</v>
      </c>
      <c r="GC2" s="44" t="str">
        <f>IFERROR(IF(SEARCH("Portuguese",CB2)&gt;0,CHAR(34)&amp;"portug"&amp;CHAR(34)&amp;",",""),"")</f>
        <v/>
      </c>
      <c r="GD2" s="44" t="str">
        <f>IFERROR(IF(SEARCH("German",CB2)&gt;0,CHAR(34)&amp;"german"&amp;CHAR(34)&amp;",",""),"")</f>
        <v/>
      </c>
      <c r="GE2" s="44" t="str">
        <f t="shared" ref="GE2:GE22" si="95">IFERROR(IF(SEARCH("Dutch",CB2)&gt;0,CHAR(34)&amp;"dutchs"&amp;CHAR(34)&amp;",",""),"")</f>
        <v/>
      </c>
      <c r="GF2" s="44" t="str">
        <f>IFERROR(IF(SEARCH("Histor",AU2)&gt;0,CHAR(34)&amp;"histor"&amp;CHAR(34)&amp;",",""),"")</f>
        <v/>
      </c>
      <c r="GG2" s="44" t="str">
        <f t="shared" ref="GG2:GG22" si="96">IF(BU2="y",CHAR(34)&amp;"unjack"&amp;CHAR(34)&amp;",","")</f>
        <v/>
      </c>
      <c r="GH2" s="44" t="str">
        <f t="shared" ref="GH2:GH22" si="97">IF(CD2=1,CHAR(34)&amp;"southc"&amp;CHAR(34)&amp;",","")</f>
        <v/>
      </c>
      <c r="GI2" s="44" t="str">
        <f t="shared" ref="GI2:GI22" si="98">IF(CE2=1,CHAR(34)&amp;"hasmap"&amp;CHAR(34)&amp;",","")</f>
        <v/>
      </c>
      <c r="GJ2" s="44" t="str">
        <f t="shared" ref="GJ2:GJ22" si="99">IF(CP2="y",CHAR(34)&amp;CP$1&amp;CHAR(34)&amp;",","")</f>
        <v>"NoStar",</v>
      </c>
      <c r="GK2" s="44" t="str">
        <f t="shared" ref="GK2:GK22" si="100">IF(GJ2="",CHAR(34)&amp;"HasSta"&amp;CHAR(34)&amp;",","")</f>
        <v/>
      </c>
      <c r="GL2" s="44" t="str">
        <f t="shared" ref="GL2:GL22" si="101">IF(CQ2="y",CHAR(34)&amp;CQ$1&amp;CHAR(34)&amp;",","")</f>
        <v/>
      </c>
      <c r="GM2" s="44" t="str">
        <f t="shared" ref="GM2:GM22" si="102">IF(CR2="y",CHAR(34)&amp;CR$1&amp;CHAR(34)&amp;",","")</f>
        <v/>
      </c>
      <c r="GN2" s="44" t="str">
        <f t="shared" ref="GN2:GN22" si="103">IF(CS2="y",CHAR(34)&amp;CS$1&amp;CHAR(34)&amp;",","")</f>
        <v/>
      </c>
      <c r="GP2" s="44" t="str">
        <f t="shared" ref="GP2:GP22" si="104">CHAR(34)&amp;AU2&amp;CHAR(34)</f>
        <v>""</v>
      </c>
      <c r="GS2" s="44" t="str">
        <f t="shared" ref="GS2:GS22" si="105">SUBSTITUTE("["&amp;_xlfn.CONCAT(CW2:GN2)&amp;"]",",]","]")</f>
        <v>["3Color","lets09","startA","LUELHI","year18","year00","allhor","3Bands","Horizo","Circle","HasSun","Center","Humans","tcWHYE","NO_RED","NO_GRE","NO_BLA","001BLU","002WHI","003BLU","myrBLU","spanis","NoStar"]</v>
      </c>
      <c r="GT2" s="44" t="str">
        <f t="shared" ref="GT2:GT22" si="106">IF(BL2&lt;&gt;"",CHAR(34)&amp;"cl_"&amp;BL2&amp;CHAR(34)&amp;",","")</f>
        <v>"cl_BLU",</v>
      </c>
      <c r="GU2" s="44" t="str">
        <f t="shared" ref="GU2:GU22" si="107">IF(BM2&lt;&gt;"",CHAR(34)&amp;"cl_"&amp;BM2&amp;CHAR(34)&amp;",","")</f>
        <v>"cl_WHI",</v>
      </c>
      <c r="GV2" s="44" t="str">
        <f t="shared" ref="GV2:GV22" si="108">IF(BN2&lt;&gt;"",CHAR(34)&amp;"cl_"&amp;BN2&amp;CHAR(34)&amp;",","")</f>
        <v>"cl_YEL",</v>
      </c>
      <c r="GW2" s="44" t="str">
        <f t="shared" ref="GW2:GW22" si="109">IF(BO2&lt;&gt;"",CHAR(34)&amp;"cl_"&amp;BO2&amp;CHAR(34)&amp;",","")</f>
        <v/>
      </c>
      <c r="GX2" s="44" t="str">
        <f t="shared" ref="GX2:GX22" si="110">IF(BP2&lt;&gt;"",CHAR(34)&amp;"cl_"&amp;BP2&amp;CHAR(34)&amp;",","")</f>
        <v/>
      </c>
      <c r="GY2" s="44" t="str">
        <f t="shared" ref="GY2:GY22" si="111">IF(BQ2&lt;&gt;"",CHAR(34)&amp;"cl_"&amp;BQ2&amp;CHAR(34)&amp;",","")</f>
        <v/>
      </c>
      <c r="GZ2" s="44" t="str">
        <f t="shared" ref="GZ2:GZ22" si="112">IF(BR2&lt;&gt;"",CHAR(34)&amp;"cl_"&amp;BR2&amp;CHAR(34)&amp;",","")</f>
        <v/>
      </c>
      <c r="HA2" s="44" t="str">
        <f t="shared" ref="HA2:HA22" si="113">IF(BS2&lt;&gt;"",CHAR(34)&amp;"cl_"&amp;BS2&amp;CHAR(34)&amp;",","")</f>
        <v/>
      </c>
      <c r="HB2" s="44" t="str">
        <f t="shared" ref="HB2:HB22" si="114">IF(BT2&lt;&gt;"",CHAR(34)&amp;"cl_"&amp;BT2&amp;CHAR(34)&amp;",","")</f>
        <v/>
      </c>
      <c r="HC2" s="44" t="str">
        <f t="shared" ref="HC2:HC22" si="115">SUBSTITUTE("["&amp;_xlfn.CONCAT(GT2:HB2)&amp;"]",",]","]")</f>
        <v>["cl_BLU","cl_WHI","cl_YEL"]</v>
      </c>
      <c r="HE2" s="64"/>
      <c r="HF2" s="65" t="str">
        <f t="shared" ref="HF2:HF22" si="116">"{couname:"&amp;CT2&amp;(IF(HK2&lt;&gt;"",",subtype:"&amp;CHAR(34)&amp;HK2&amp;CHAR(34),""))&amp;",year:"&amp;HJ2&amp;",region:"&amp;CU2&amp;",Colors:"&amp;HC2&amp;",Items:"&amp;GS2&amp;",Flag:"&amp;CV2&amp;",HDFlag:"&amp;CHAR(34)&amp;E2&amp;CHAR(34)&amp;",type:"&amp;GP2&amp;", describe: "&amp;HH2&amp;", isnew:"&amp;CHAR(34)&amp;F2&amp;CHAR(34)&amp;", links: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links: "https://en.wikipedia.org/wiki/Flag_of_Argentina"},</v>
      </c>
      <c r="HG2" s="66" t="str">
        <f t="shared" ref="HG2:HG22" si="117">"{couname:"&amp;CT2&amp;(IF(HK2&lt;&gt;"",",subtype:"&amp;CHAR(34)&amp;HK2&amp;CHAR(34),""))&amp;",year:"&amp;HJ2&amp;",region:"&amp;CU2&amp;",Colors:"&amp;HC2&amp;",Items:"&amp;GS2&amp;",Flag:"&amp;CV2&amp;",HDFlag:"&amp;CHAR(34)&amp;E2&amp;CHAR(34)&amp;",type:"&amp;GP2&amp;", describe: "&amp;HI2&amp;", links: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links: "https://en.wikipedia.org/wiki/Flag_of_Argentina"},</v>
      </c>
      <c r="HH2" s="44" t="str">
        <f t="shared" ref="HH2:HH22" si="118">IF(P2&lt;&gt;"",CHAR(34)&amp;"\n"&amp;P2&amp;CHAR(34),CHAR(34)&amp;CHAR(34))</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I2" s="44" t="str">
        <f t="shared" ref="HI2:HI22" si="119">IF(J2=0,CHAR(34)&amp;CHAR(34),HH2)</f>
        <v>"\nThe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v>
      </c>
      <c r="HJ2" s="44" t="str">
        <f t="shared" ref="HJ2:HJ22" si="120">CHAR(34)&amp;O2&amp;CHAR(34)</f>
        <v>"1818, 1861, 2010 "</v>
      </c>
      <c r="HL2" s="44" t="str">
        <f t="shared" ref="HL2:HL22" si="121">CHAR(34)&amp;I2&amp;CHAR(34)</f>
        <v>"https://en.wikipedia.org/wiki/Flag_of_Argentina"</v>
      </c>
      <c r="HM2" s="65" t="str">
        <f t="shared" ref="HM2:HM22" si="12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N2" s="67" t="str">
        <f t="shared" ref="HN2:HN22" si="12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{"couname":"Argentina","year":"1818, 1861, 2010 ","region":"rgn_South America","Colors":["cl_BLU","cl_WHI","cl_YEL"],"Items":["3Color","lets09","startA","LUELHI","year18","year00","allhor","3Bands","Horizo","Circle","HasSun","Center","Humans","tcWHYE","NO_RED","NO_GRE","NO_BLA","001BLU","002WHI","003BLU","myrBLU","spanis","NoStar"],"Flag":"https://upload.wikimedia.org/wikipedia/commons/thumb/1/1a/Flag_of_Argentina.svg/320px-Flag_of_Argentina.svg.png","HDFlag":"https://upload.wikimedia.org/wikipedia/commons/thumb/1/1a/Flag_of_Argentina.svg/2560px-Flag_of_Argentina.svg.png","type":"", "describe": "\nThe blue and white symbolize the clear skies and snow of the Andes. \n\nThe sun (added in 1818) is the Sol De Mayo (May Sun), the national symbol of Argentina. it commemorates the appearance of the sun in cloudy skies on may 25 1810, when the first mass demonstration in favor of independence took place.", "isnew": ".", "links": "https://en.wikipedia.org/wiki/Flag_of_Argentina"},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v>0</v>
      </c>
      <c r="ID2" s="68">
        <v>0</v>
      </c>
      <c r="IE2" s="68">
        <v>0</v>
      </c>
      <c r="IF2" s="68">
        <v>0.98</v>
      </c>
      <c r="IG2" s="68">
        <v>0.02</v>
      </c>
      <c r="IH2" s="68">
        <v>0</v>
      </c>
      <c r="II2" s="68">
        <v>0</v>
      </c>
      <c r="IJ2" s="68">
        <v>0</v>
      </c>
      <c r="IK2" s="68">
        <v>0</v>
      </c>
      <c r="IL2" s="44">
        <f>SUM(IC2:IK2)</f>
        <v>1</v>
      </c>
      <c r="IM2" s="42">
        <f t="shared" ref="IM2:IM22" si="124">COUNTIF(IC2:IK2,"&gt;0")-CG2</f>
        <v>-1</v>
      </c>
      <c r="IN2" s="69" t="str">
        <f t="shared" ref="IN2:IN22" si="125">"http://mkweb.bcgsc.ca/color-summarizer/?url="&amp;D2&amp;"&amp;precision=low&amp;num_clusters="&amp;CG2&amp;"&amp;text=1"</f>
        <v>http://mkweb.bcgsc.ca/color-summarizer/?url=https://upload.wikimedia.org/wikipedia/commons/thumb/1/1a/Flag_of_Argentina.svg/320px-Flag_of_Argentina.svg.png&amp;precision=low&amp;num_clusters=3&amp;text=1</v>
      </c>
      <c r="IO2" s="44" t="str">
        <f t="shared" ref="IO2:IO22" si="126">IF(HP2&lt;&gt;"",CHAR(34)&amp;"black"&amp;CHAR(34),"")</f>
        <v/>
      </c>
      <c r="IP2" s="44" t="str">
        <f t="shared" ref="IP2:IP22" si="127">IF(HQ2&lt;&gt;"",CHAR(34)&amp;"blue"&amp;CHAR(34),"")</f>
        <v>"blue"</v>
      </c>
      <c r="IQ2" s="44" t="str">
        <f t="shared" ref="IQ2:IQ22" si="128">IF(HR2&lt;&gt;"",CHAR(34)&amp;"green"&amp;CHAR(34),"")</f>
        <v/>
      </c>
      <c r="IR2" s="44" t="str">
        <f t="shared" ref="IR2:IR22" si="129">IF(HS2&lt;&gt;"",CHAR(34)&amp;"red"&amp;CHAR(34),"")</f>
        <v/>
      </c>
      <c r="IS2" s="44" t="str">
        <f t="shared" ref="IS2:IS22" si="130">IF(HT2&lt;&gt;"",CHAR(34)&amp;"yellow"&amp;CHAR(34),"")</f>
        <v>"yellow"</v>
      </c>
      <c r="IT2" s="44" t="str">
        <f t="shared" ref="IT2:IT22" si="131">IF(HU2&lt;&gt;"",CHAR(34)&amp;"orange"&amp;CHAR(34),"")</f>
        <v/>
      </c>
      <c r="IU2" s="44" t="str">
        <f t="shared" ref="IU2:IU22" si="132">IF(HV2&lt;&gt;"",CHAR(34)&amp;"brown"&amp;CHAR(34),"")</f>
        <v/>
      </c>
      <c r="IV2" s="44" t="str">
        <f t="shared" ref="IV2:IV22" si="133">IF(HW2&lt;&gt;"",CHAR(34)&amp;"purple"&amp;CHAR(34),"")</f>
        <v/>
      </c>
      <c r="IW2" s="44" t="str">
        <f t="shared" ref="IW2:IW22" si="134">IF(HX2&lt;&gt;"",CHAR(34)&amp;"white"&amp;CHAR(34),"")</f>
        <v>"white"</v>
      </c>
      <c r="IX2" s="44" t="str">
        <f t="shared" ref="IX2:IX22" si="135">"{"&amp;CHAR(34)&amp;"url"&amp;CHAR(34)&amp;":"&amp;CHAR(34)&amp;IN2&amp;CHAR(34)&amp;","&amp;CHAR(34)&amp;"name"&amp;CHAR(34)&amp;":"&amp;CHAR(34)&amp;A2&amp;CHAR(34)&amp;"},"</f>
        <v>{"url":"http://mkweb.bcgsc.ca/color-summarizer/?url=https://upload.wikimedia.org/wikipedia/commons/thumb/1/1a/Flag_of_Argentina.svg/320px-Flag_of_Argentina.svg.png&amp;precision=low&amp;num_clusters=3&amp;text=1","name":"Argentina"},</v>
      </c>
      <c r="IY2" s="44">
        <v>11</v>
      </c>
    </row>
    <row r="3" spans="1:259" s="44" customFormat="1" ht="38.4" customHeight="1" thickBot="1" x14ac:dyDescent="0.35">
      <c r="A3" s="84" t="s">
        <v>594</v>
      </c>
      <c r="B3" s="83" t="e" vm="2">
        <v>#VALUE!</v>
      </c>
      <c r="C3" s="39">
        <v>2</v>
      </c>
      <c r="D3" s="70" t="s">
        <v>595</v>
      </c>
      <c r="E3" s="40" t="s">
        <v>596</v>
      </c>
      <c r="F3" s="41" t="s">
        <v>163</v>
      </c>
      <c r="G3" s="42">
        <f t="shared" si="0"/>
        <v>1</v>
      </c>
      <c r="H3" s="43"/>
      <c r="I3" s="59" t="s">
        <v>597</v>
      </c>
      <c r="J3" s="44" t="str">
        <f>""</f>
        <v/>
      </c>
      <c r="K3" s="45"/>
      <c r="L3" s="46"/>
      <c r="M3" s="46"/>
      <c r="N3" s="47" t="s">
        <v>177</v>
      </c>
      <c r="O3" s="74">
        <v>1997</v>
      </c>
      <c r="P3" s="48" t="s">
        <v>598</v>
      </c>
      <c r="Q3" s="73">
        <v>3</v>
      </c>
      <c r="R3" s="49" t="s">
        <v>177</v>
      </c>
      <c r="S3" s="50">
        <v>3</v>
      </c>
      <c r="T3" s="51" t="s">
        <v>164</v>
      </c>
      <c r="U3" s="52" t="s">
        <v>164</v>
      </c>
      <c r="V3" s="52" t="s">
        <v>165</v>
      </c>
      <c r="W3" s="52" t="s">
        <v>164</v>
      </c>
      <c r="X3" s="52" t="s">
        <v>165</v>
      </c>
      <c r="Y3" s="52" t="s">
        <v>165</v>
      </c>
      <c r="Z3" s="52" t="s">
        <v>164</v>
      </c>
      <c r="AA3" s="52" t="s">
        <v>165</v>
      </c>
      <c r="AB3" s="52" t="s">
        <v>164</v>
      </c>
      <c r="AC3" s="52" t="s">
        <v>164</v>
      </c>
      <c r="AD3" s="52" t="s">
        <v>165</v>
      </c>
      <c r="AE3" s="52" t="s">
        <v>164</v>
      </c>
      <c r="AF3" s="53" t="s">
        <v>164</v>
      </c>
      <c r="AG3" s="53" t="s">
        <v>164</v>
      </c>
      <c r="AH3" s="53" t="s">
        <v>165</v>
      </c>
      <c r="AI3" s="53" t="s">
        <v>164</v>
      </c>
      <c r="AJ3" s="53" t="s">
        <v>164</v>
      </c>
      <c r="AK3" s="53" t="s">
        <v>164</v>
      </c>
      <c r="AL3" s="53" t="s">
        <v>164</v>
      </c>
      <c r="AM3" s="53" t="s">
        <v>164</v>
      </c>
      <c r="AN3" s="53" t="s">
        <v>164</v>
      </c>
      <c r="AO3" s="53" t="s">
        <v>164</v>
      </c>
      <c r="AP3" s="53" t="s">
        <v>164</v>
      </c>
      <c r="AQ3" s="53" t="s">
        <v>164</v>
      </c>
      <c r="AR3" s="53" t="s">
        <v>164</v>
      </c>
      <c r="AS3" s="53" t="s">
        <v>164</v>
      </c>
      <c r="AT3" s="54">
        <v>0</v>
      </c>
      <c r="AU3" s="53" t="s">
        <v>284</v>
      </c>
      <c r="AV3" s="53" t="str">
        <f t="shared" si="1"/>
        <v>[ARG]Province[ARG] Buenos Aires Province</v>
      </c>
      <c r="AW3" s="53" t="str">
        <f t="shared" si="2"/>
        <v>2[ARG] Buenos Aires Province</v>
      </c>
      <c r="AX3" s="55"/>
      <c r="AY3" s="55"/>
      <c r="AZ3" s="56" t="s">
        <v>234</v>
      </c>
      <c r="BA3" s="56" t="s">
        <v>234</v>
      </c>
      <c r="BB3" s="56"/>
      <c r="BC3" s="57"/>
      <c r="BD3" s="58" t="s">
        <v>152</v>
      </c>
      <c r="BE3" s="59"/>
      <c r="BF3" s="58" t="s">
        <v>152</v>
      </c>
      <c r="BG3" s="58" t="s">
        <v>154</v>
      </c>
      <c r="BH3" s="58" t="s">
        <v>153</v>
      </c>
      <c r="BI3" s="58"/>
      <c r="BJ3" s="58"/>
      <c r="BK3" s="59"/>
      <c r="BL3" s="58" t="s">
        <v>234</v>
      </c>
      <c r="BM3" s="58" t="s">
        <v>152</v>
      </c>
      <c r="BN3" s="58" t="s">
        <v>153</v>
      </c>
      <c r="BO3" s="58" t="s">
        <v>154</v>
      </c>
      <c r="BP3" s="58" t="s">
        <v>155</v>
      </c>
      <c r="BQ3" s="58" t="s">
        <v>234</v>
      </c>
      <c r="BR3" s="58" t="s">
        <v>234</v>
      </c>
      <c r="BS3" s="58" t="s">
        <v>234</v>
      </c>
      <c r="BT3" s="58" t="s">
        <v>234</v>
      </c>
      <c r="BU3" s="60"/>
      <c r="BV3" s="61"/>
      <c r="BW3" s="61">
        <v>0</v>
      </c>
      <c r="BX3" s="59"/>
      <c r="CB3" s="5"/>
      <c r="CC3" s="5"/>
      <c r="CD3" s="62">
        <v>0</v>
      </c>
      <c r="CE3" s="62">
        <v>0</v>
      </c>
      <c r="CF3" s="62" t="e">
        <v>#REF!</v>
      </c>
      <c r="CG3" s="75" cm="1">
        <f t="array" ref="CG3">SUMPRODUCT(--(LEN(TRIM(BL3:BT3))&gt;0))</f>
        <v>4</v>
      </c>
      <c r="CH3" s="53" t="str">
        <f t="shared" si="3"/>
        <v>n</v>
      </c>
      <c r="CI3" s="53" t="str">
        <f t="shared" si="4"/>
        <v>n</v>
      </c>
      <c r="CJ3" s="53" t="str">
        <f t="shared" si="5"/>
        <v>y</v>
      </c>
      <c r="CK3" s="53" t="str">
        <f t="shared" si="6"/>
        <v>n</v>
      </c>
      <c r="CL3" s="53" t="str">
        <f t="shared" si="7"/>
        <v>n</v>
      </c>
      <c r="CM3" s="53" t="str">
        <f t="shared" si="8"/>
        <v>n</v>
      </c>
      <c r="CN3" s="53" t="str">
        <f t="shared" si="9"/>
        <v>y</v>
      </c>
      <c r="CO3" s="53" t="str">
        <f t="shared" si="10"/>
        <v>n</v>
      </c>
      <c r="CP3" s="53" t="str">
        <f t="shared" si="11"/>
        <v>y</v>
      </c>
      <c r="CQ3" s="53" t="str">
        <f t="shared" si="12"/>
        <v>n</v>
      </c>
      <c r="CR3" s="53" t="str">
        <f t="shared" si="13"/>
        <v>n</v>
      </c>
      <c r="CS3" s="53" t="str">
        <f t="shared" si="14"/>
        <v>n</v>
      </c>
      <c r="CT3" s="38" t="str">
        <f t="shared" si="15"/>
        <v>"[ARG] Buenos Aires Province"</v>
      </c>
      <c r="CU3" s="63" t="str">
        <f t="shared" si="16"/>
        <v>"rgn_South America"</v>
      </c>
      <c r="CV3" s="44" t="str">
        <f t="shared" si="17"/>
        <v>"https://upload.wikimedia.org/wikipedia/commons/thumb/1/15/Bandera_de_la_Provincia_de_Buenos_Aires.svg/320px-Bandera_de_la_Provincia_de_Buenos_Aires.svg.png"</v>
      </c>
      <c r="CW3" s="44" t="str">
        <f t="shared" si="18"/>
        <v/>
      </c>
      <c r="CX3" s="44" t="str">
        <f t="shared" si="19"/>
        <v/>
      </c>
      <c r="CY3" s="44" t="str">
        <f t="shared" si="20"/>
        <v>"4Color",</v>
      </c>
      <c r="CZ3" s="44" t="str">
        <f t="shared" si="21"/>
        <v/>
      </c>
      <c r="DA3" s="44" t="str">
        <f t="shared" si="22"/>
        <v>"words2",</v>
      </c>
      <c r="DB3" s="44" t="str">
        <f t="shared" si="23"/>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"lets19",</v>
      </c>
      <c r="DE3" s="44" t="str">
        <f>CHAR(34)&amp;"start"&amp;IFERROR(LEFT(SUBSTITUTE(A3,"["&amp;MID(A3,FIND("[",A3)+1,FIND("]",A3)-FIND("[",A3)-1)&amp;"] ",""),1),LEFT(A3,1))&amp;CHAR(34)&amp;","</f>
        <v>"startB",</v>
      </c>
      <c r="DF3" s="44" t="str">
        <f t="shared" si="24"/>
        <v/>
      </c>
      <c r="DG3" s="44" t="str">
        <f t="shared" si="25"/>
        <v/>
      </c>
      <c r="DH3" s="44" t="str">
        <f t="shared" si="26"/>
        <v>"with_v",</v>
      </c>
      <c r="DI3" s="44" t="str">
        <f t="shared" si="27"/>
        <v/>
      </c>
      <c r="DJ3" s="44" t="str">
        <f t="shared" si="28"/>
        <v/>
      </c>
      <c r="DK3" s="44" t="str">
        <f t="shared" si="29"/>
        <v/>
      </c>
      <c r="DL3" s="44" t="str">
        <f t="shared" si="30"/>
        <v/>
      </c>
      <c r="DM3" s="44" t="str" cm="1">
        <f t="array" ref="DM3">IF(CG3=3,CHAR(34) &amp; _xlfn.TEXTJOIN("", TRUE, RIGHT(HP3:HX3, 2)) &amp; CHAR(34) &amp; ",", "")</f>
        <v/>
      </c>
      <c r="DN3" s="44" t="str">
        <f t="shared" si="31"/>
        <v/>
      </c>
      <c r="DO3" s="44" t="str">
        <f t="shared" si="32"/>
        <v>"year19",</v>
      </c>
      <c r="DP3" s="5" t="str">
        <f t="shared" si="33"/>
        <v/>
      </c>
      <c r="DQ3" s="5" t="str">
        <f t="shared" si="34"/>
        <v/>
      </c>
      <c r="DR3" s="5" t="str">
        <f t="shared" si="35"/>
        <v/>
      </c>
      <c r="DS3" s="5" t="str">
        <f t="shared" si="36"/>
        <v/>
      </c>
      <c r="DT3" s="5" t="str">
        <f t="shared" si="37"/>
        <v>"allhor",</v>
      </c>
      <c r="DU3" s="5" t="str">
        <f t="shared" si="38"/>
        <v/>
      </c>
      <c r="DW3" s="44" t="str">
        <f t="shared" si="39"/>
        <v/>
      </c>
      <c r="DX3" s="44" t="str">
        <f t="shared" si="40"/>
        <v/>
      </c>
      <c r="DY3" s="44" t="str">
        <f t="shared" si="41"/>
        <v>"3Bands",</v>
      </c>
      <c r="DZ3" s="44" t="str">
        <f t="shared" si="42"/>
        <v/>
      </c>
      <c r="EA3" s="44" t="str">
        <f t="shared" si="43"/>
        <v/>
      </c>
      <c r="EB3" s="44" t="str">
        <f t="shared" si="44"/>
        <v/>
      </c>
      <c r="EC3" s="44" t="str">
        <f t="shared" si="45"/>
        <v>"Horizo",</v>
      </c>
      <c r="ED3" s="44" t="str">
        <f t="shared" si="46"/>
        <v/>
      </c>
      <c r="EE3" s="44" t="str">
        <f t="shared" si="47"/>
        <v>"Circle",</v>
      </c>
      <c r="EF3" s="44" t="str">
        <f t="shared" si="48"/>
        <v>"Animal",</v>
      </c>
      <c r="EG3" s="44" t="str">
        <f t="shared" si="49"/>
        <v/>
      </c>
      <c r="EH3" s="44" t="str">
        <f t="shared" si="50"/>
        <v>"Plants",</v>
      </c>
      <c r="EI3" s="44" t="str">
        <f t="shared" si="51"/>
        <v/>
      </c>
      <c r="EJ3" s="44" t="str">
        <f t="shared" si="52"/>
        <v/>
      </c>
      <c r="EK3" s="44" t="str">
        <f t="shared" si="53"/>
        <v>"HasSun",</v>
      </c>
      <c r="EL3" s="44" t="str">
        <f t="shared" si="54"/>
        <v/>
      </c>
      <c r="EM3" s="44" t="str">
        <f t="shared" si="55"/>
        <v/>
      </c>
      <c r="EN3" s="44" t="str">
        <f t="shared" si="56"/>
        <v/>
      </c>
      <c r="EO3" s="44" t="str">
        <f t="shared" si="57"/>
        <v>"Center",</v>
      </c>
      <c r="EP3" s="44" t="str">
        <f t="shared" si="58"/>
        <v/>
      </c>
      <c r="EQ3" s="44" t="str">
        <f t="shared" si="59"/>
        <v/>
      </c>
      <c r="ER3" s="44" t="str">
        <f t="shared" si="60"/>
        <v/>
      </c>
      <c r="ES3" s="44" t="str">
        <f t="shared" si="61"/>
        <v/>
      </c>
      <c r="ET3" s="44" t="str">
        <f t="shared" si="62"/>
        <v/>
      </c>
      <c r="EU3" s="44" t="str">
        <f t="shared" si="63"/>
        <v/>
      </c>
      <c r="EV3" s="44" t="str">
        <f t="shared" si="64"/>
        <v/>
      </c>
      <c r="EW3" s="44" t="str">
        <f t="shared" si="65"/>
        <v/>
      </c>
      <c r="EX3" s="44" t="str">
        <f t="shared" si="66"/>
        <v/>
      </c>
      <c r="EY3" s="44" t="str">
        <f t="shared" si="67"/>
        <v/>
      </c>
      <c r="EZ3" s="44" t="str">
        <f t="shared" si="68"/>
        <v/>
      </c>
      <c r="FA3" s="44" t="str">
        <f t="shared" si="69"/>
        <v/>
      </c>
      <c r="FB3" s="44" t="str">
        <f t="shared" si="70"/>
        <v/>
      </c>
      <c r="FD3" s="44" t="str">
        <f t="shared" si="71"/>
        <v/>
      </c>
      <c r="FE3" s="44" t="str">
        <f t="shared" si="72"/>
        <v/>
      </c>
      <c r="FF3" s="44" t="str">
        <f t="shared" si="73"/>
        <v>"NO_WHI",</v>
      </c>
      <c r="FG3" s="44" t="str">
        <f t="shared" si="74"/>
        <v/>
      </c>
      <c r="FH3" s="44" t="str">
        <f t="shared" si="75"/>
        <v/>
      </c>
      <c r="FI3" s="44" t="str">
        <f t="shared" si="76"/>
        <v/>
      </c>
      <c r="FJ3" s="44" t="str">
        <f t="shared" si="77"/>
        <v>"NO_BLA",</v>
      </c>
      <c r="FK3" s="44" t="str">
        <f t="shared" si="78"/>
        <v/>
      </c>
      <c r="FL3" s="44" t="str">
        <f t="shared" si="79"/>
        <v/>
      </c>
      <c r="FM3" s="44" t="str">
        <f t="shared" si="80"/>
        <v>"BAWHNO",</v>
      </c>
      <c r="FN3" s="44" t="str">
        <f t="shared" si="81"/>
        <v/>
      </c>
      <c r="FO3" s="44" t="str">
        <f t="shared" si="82"/>
        <v/>
      </c>
      <c r="FP3" s="44" t="str">
        <f t="shared" si="83"/>
        <v>"WHRENO",</v>
      </c>
      <c r="FQ3" s="44" t="str">
        <f t="shared" si="84"/>
        <v>"001BLU",</v>
      </c>
      <c r="FR3" s="44" t="str">
        <f t="shared" si="85"/>
        <v>"002RED",</v>
      </c>
      <c r="FS3" s="44" t="str">
        <f t="shared" si="86"/>
        <v>"003GRE",</v>
      </c>
      <c r="FT3" s="44" t="str">
        <f t="shared" si="87"/>
        <v>"myrBLU",</v>
      </c>
      <c r="FU3" s="44" t="str">
        <f t="shared" si="88"/>
        <v/>
      </c>
      <c r="FV3" s="44" t="str">
        <f t="shared" si="89"/>
        <v/>
      </c>
      <c r="FW3" s="44" t="str">
        <f t="shared" si="90"/>
        <v/>
      </c>
      <c r="FY3" s="44" t="str">
        <f t="shared" si="91"/>
        <v/>
      </c>
      <c r="FZ3" s="44" t="str">
        <f t="shared" si="92"/>
        <v/>
      </c>
      <c r="GA3" s="44" t="str">
        <f t="shared" si="93"/>
        <v/>
      </c>
      <c r="GB3" s="44" t="str">
        <f t="shared" si="94"/>
        <v/>
      </c>
      <c r="GE3" s="44" t="str">
        <f t="shared" si="95"/>
        <v/>
      </c>
      <c r="GF3" s="44" t="str">
        <f>IFERROR(IF(SEARCH("Historical",AU3)&gt;0,CHAR(34)&amp;"histor"&amp;CHAR(34)&amp;",",""),"")</f>
        <v/>
      </c>
      <c r="GG3" s="44" t="str">
        <f t="shared" si="96"/>
        <v/>
      </c>
      <c r="GH3" s="44" t="str">
        <f t="shared" si="97"/>
        <v/>
      </c>
      <c r="GI3" s="44" t="str">
        <f t="shared" si="98"/>
        <v/>
      </c>
      <c r="GJ3" s="44" t="str">
        <f t="shared" si="99"/>
        <v>"NoStar",</v>
      </c>
      <c r="GK3" s="44" t="str">
        <f t="shared" si="100"/>
        <v/>
      </c>
      <c r="GL3" s="44" t="str">
        <f t="shared" si="101"/>
        <v/>
      </c>
      <c r="GM3" s="44" t="str">
        <f t="shared" si="102"/>
        <v/>
      </c>
      <c r="GN3" s="44" t="str">
        <f t="shared" si="103"/>
        <v/>
      </c>
      <c r="GP3" s="44" t="str">
        <f t="shared" si="104"/>
        <v>"Province"</v>
      </c>
      <c r="GS3" s="44" t="str">
        <f t="shared" si="105"/>
        <v>["4Color","words2","words3","lets19","startB","with_v","year19","allhor","3Bands","Horizo","Circle","Animal","Plants","HasSun","Center","NO_WHI","NO_BLA","BAWHNO","WHRENO","001BLU","002RED","003GRE","myrBLU","NoStar"]</v>
      </c>
      <c r="GT3" s="44" t="str">
        <f t="shared" si="106"/>
        <v/>
      </c>
      <c r="GU3" s="44" t="str">
        <f t="shared" si="107"/>
        <v>"cl_BLU",</v>
      </c>
      <c r="GV3" s="44" t="str">
        <f t="shared" si="108"/>
        <v>"cl_GRE",</v>
      </c>
      <c r="GW3" s="44" t="str">
        <f t="shared" si="109"/>
        <v>"cl_RED",</v>
      </c>
      <c r="GX3" s="44" t="str">
        <f t="shared" si="110"/>
        <v>"cl_YEL",</v>
      </c>
      <c r="GY3" s="44" t="str">
        <f t="shared" si="111"/>
        <v/>
      </c>
      <c r="GZ3" s="44" t="str">
        <f t="shared" si="112"/>
        <v/>
      </c>
      <c r="HA3" s="44" t="str">
        <f t="shared" si="113"/>
        <v/>
      </c>
      <c r="HB3" s="44" t="str">
        <f t="shared" si="114"/>
        <v/>
      </c>
      <c r="HC3" s="44" t="str">
        <f t="shared" si="115"/>
        <v>["cl_BLU","cl_GRE","cl_RED","cl_YEL"]</v>
      </c>
      <c r="HE3" s="64"/>
      <c r="HF3" s="65" t="str">
        <f t="shared" si="116"/>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links: "https://en.wikipedia.org/wiki/Flag_of_Buenos_Aires_Province"},</v>
      </c>
      <c r="HG3" s="66" t="str">
        <f t="shared" si="117"/>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links: "https://en.wikipedia.org/wiki/Flag_of_Buenos_Aires_Province"},</v>
      </c>
      <c r="HH3" s="44" t="str">
        <f t="shared" si="118"/>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I3" s="44" t="str">
        <f t="shared" si="119"/>
        <v>"\nThe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v>
      </c>
      <c r="HJ3" s="44" t="str">
        <f t="shared" si="120"/>
        <v>"1997"</v>
      </c>
      <c r="HL3" s="44" t="str">
        <f t="shared" si="121"/>
        <v>"https://en.wikipedia.org/wiki/Flag_of_Buenos_Aires_Province"</v>
      </c>
      <c r="HM3" s="65" t="str">
        <f t="shared" si="122"/>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N3" s="67" t="str">
        <f t="shared" si="123"/>
        <v>{"couname":"[ARG] Buenos Aires Province","year":"1997","region":"rgn_South America","Colors":["cl_BLU","cl_GRE","cl_RED","cl_YEL"],"Items":["4Color","words2","words3","lets19","startB","with_v","year19","allhor","3Bands","Horizo","Circle","Animal","Plants","HasSun","Center","NO_WHI","NO_BLA","BAWHNO","WHRENO","001BLU","002RED","003GRE","myrBLU","NoStar"],"Flag":"https://upload.wikimedia.org/wikipedia/commons/thumb/1/15/Bandera_de_la_Provincia_de_Buenos_Aires.svg/320px-Bandera_de_la_Provincia_de_Buenos_Aires.svg.png","HDFlag":"https://upload.wikimedia.org/wikipedia/commons/thumb/1/15/Bandera_de_la_Provincia_de_Buenos_Aires.svg/800px-Bandera_de_la_Provincia_de_Buenos_Aires.svg.png","type":"Province", "describe": "\nThe colour green represents the province's fields; the blue refers to its rivers, the sea at its coasts and the sky over it. The red hemisphere symbolizes federalism. The yellow stands for production's fecundity. The laurel leaves represent the province's glory. The cog wheel stands for industrial production, while the half sunflower stands for agricultural output.", "isnew": ".", "links": "https://en.wikipedia.org/wiki/Flag_of_Buenos_Aires_Province"},</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 t="shared" si="124"/>
        <v>-4</v>
      </c>
      <c r="IN3" s="69" t="str">
        <f t="shared" si="125"/>
        <v>http://mkweb.bcgsc.ca/color-summarizer/?url=https://upload.wikimedia.org/wikipedia/commons/thumb/1/15/Bandera_de_la_Provincia_de_Buenos_Aires.svg/320px-Bandera_de_la_Provincia_de_Buenos_Aires.svg.png&amp;precision=low&amp;num_clusters=4&amp;text=1</v>
      </c>
      <c r="IO3" s="44" t="str">
        <f t="shared" si="126"/>
        <v/>
      </c>
      <c r="IP3" s="44" t="str">
        <f t="shared" si="127"/>
        <v>"blue"</v>
      </c>
      <c r="IQ3" s="44" t="str">
        <f t="shared" si="128"/>
        <v>"green"</v>
      </c>
      <c r="IR3" s="44" t="str">
        <f t="shared" si="129"/>
        <v>"red"</v>
      </c>
      <c r="IS3" s="44" t="str">
        <f t="shared" si="130"/>
        <v>"yellow"</v>
      </c>
      <c r="IT3" s="44" t="str">
        <f t="shared" si="131"/>
        <v/>
      </c>
      <c r="IU3" s="44" t="str">
        <f t="shared" si="132"/>
        <v/>
      </c>
      <c r="IV3" s="44" t="str">
        <f t="shared" si="133"/>
        <v/>
      </c>
      <c r="IW3" s="44" t="str">
        <f t="shared" si="134"/>
        <v/>
      </c>
      <c r="IX3" s="44" t="str">
        <f t="shared" si="135"/>
        <v>{"url":"http://mkweb.bcgsc.ca/color-summarizer/?url=https://upload.wikimedia.org/wikipedia/commons/thumb/1/15/Bandera_de_la_Provincia_de_Buenos_Aires.svg/320px-Bandera_de_la_Provincia_de_Buenos_Aires.svg.png&amp;precision=low&amp;num_clusters=4&amp;text=1","name":"[ARG] Buenos Aires Province"},</v>
      </c>
      <c r="IY3" s="44">
        <v>1233</v>
      </c>
    </row>
    <row r="4" spans="1:259" s="44" customFormat="1" ht="38.4" customHeight="1" thickBot="1" x14ac:dyDescent="0.35">
      <c r="A4" s="84" t="s">
        <v>599</v>
      </c>
      <c r="B4" s="83" t="e" vm="3">
        <v>#VALUE!</v>
      </c>
      <c r="C4" s="39">
        <v>2</v>
      </c>
      <c r="D4" s="70" t="s">
        <v>600</v>
      </c>
      <c r="E4" s="40" t="s">
        <v>601</v>
      </c>
      <c r="F4" s="41" t="s">
        <v>163</v>
      </c>
      <c r="G4" s="42">
        <f t="shared" si="0"/>
        <v>1</v>
      </c>
      <c r="H4" s="43"/>
      <c r="I4" s="59" t="s">
        <v>602</v>
      </c>
      <c r="J4" s="44" t="str">
        <f>""</f>
        <v/>
      </c>
      <c r="K4" s="45"/>
      <c r="L4" s="46"/>
      <c r="M4" s="46"/>
      <c r="N4" s="47" t="s">
        <v>177</v>
      </c>
      <c r="O4" s="74">
        <v>2011</v>
      </c>
      <c r="P4" s="48" t="s">
        <v>603</v>
      </c>
      <c r="Q4" s="73">
        <v>1</v>
      </c>
      <c r="R4" s="49" t="s">
        <v>177</v>
      </c>
      <c r="S4" s="50">
        <v>2</v>
      </c>
      <c r="T4" s="51" t="s">
        <v>164</v>
      </c>
      <c r="U4" s="52" t="s">
        <v>164</v>
      </c>
      <c r="V4" s="52" t="s">
        <v>165</v>
      </c>
      <c r="W4" s="52" t="s">
        <v>164</v>
      </c>
      <c r="X4" s="52" t="s">
        <v>165</v>
      </c>
      <c r="Y4" s="52" t="s">
        <v>164</v>
      </c>
      <c r="Z4" s="52" t="s">
        <v>164</v>
      </c>
      <c r="AA4" s="52" t="s">
        <v>165</v>
      </c>
      <c r="AB4" s="52" t="s">
        <v>164</v>
      </c>
      <c r="AC4" s="52" t="s">
        <v>164</v>
      </c>
      <c r="AD4" s="52" t="s">
        <v>165</v>
      </c>
      <c r="AE4" s="52" t="s">
        <v>164</v>
      </c>
      <c r="AF4" s="53" t="s">
        <v>164</v>
      </c>
      <c r="AG4" s="53" t="s">
        <v>165</v>
      </c>
      <c r="AH4" s="53" t="s">
        <v>165</v>
      </c>
      <c r="AI4" s="53" t="s">
        <v>164</v>
      </c>
      <c r="AJ4" s="53" t="s">
        <v>164</v>
      </c>
      <c r="AK4" s="53" t="s">
        <v>164</v>
      </c>
      <c r="AL4" s="53" t="s">
        <v>164</v>
      </c>
      <c r="AM4" s="53" t="s">
        <v>164</v>
      </c>
      <c r="AN4" s="53" t="s">
        <v>165</v>
      </c>
      <c r="AO4" s="53" t="s">
        <v>164</v>
      </c>
      <c r="AP4" s="53" t="s">
        <v>164</v>
      </c>
      <c r="AQ4" s="53" t="s">
        <v>164</v>
      </c>
      <c r="AR4" s="53" t="s">
        <v>164</v>
      </c>
      <c r="AS4" s="53" t="s">
        <v>164</v>
      </c>
      <c r="AT4" s="54">
        <v>0</v>
      </c>
      <c r="AU4" s="53" t="s">
        <v>284</v>
      </c>
      <c r="AV4" s="53" t="str">
        <f t="shared" si="1"/>
        <v>[ARG]Province[ARG] Catamarca</v>
      </c>
      <c r="AW4" s="53" t="str">
        <f t="shared" si="2"/>
        <v>2[ARG] Catamarca</v>
      </c>
      <c r="AX4" s="55"/>
      <c r="AY4" s="55"/>
      <c r="AZ4" s="56" t="s">
        <v>234</v>
      </c>
      <c r="BA4" s="56" t="s">
        <v>234</v>
      </c>
      <c r="BB4" s="56"/>
      <c r="BC4" s="57"/>
      <c r="BD4" s="58" t="s">
        <v>154</v>
      </c>
      <c r="BE4" s="59"/>
      <c r="BF4" s="58" t="s">
        <v>152</v>
      </c>
      <c r="BG4" s="58" t="s">
        <v>234</v>
      </c>
      <c r="BH4" s="58" t="s">
        <v>154</v>
      </c>
      <c r="BI4" s="58"/>
      <c r="BJ4" s="58"/>
      <c r="BK4" s="59"/>
      <c r="BL4" s="58" t="s">
        <v>234</v>
      </c>
      <c r="BM4" s="58" t="s">
        <v>152</v>
      </c>
      <c r="BN4" s="58" t="s">
        <v>153</v>
      </c>
      <c r="BO4" s="58" t="s">
        <v>154</v>
      </c>
      <c r="BP4" s="58" t="s">
        <v>155</v>
      </c>
      <c r="BQ4" s="58" t="s">
        <v>234</v>
      </c>
      <c r="BR4" s="58" t="s">
        <v>234</v>
      </c>
      <c r="BS4" s="58" t="s">
        <v>234</v>
      </c>
      <c r="BT4" s="58" t="s">
        <v>159</v>
      </c>
      <c r="BU4" s="60"/>
      <c r="BV4" s="61"/>
      <c r="BW4" s="61">
        <v>0</v>
      </c>
      <c r="BX4" s="59"/>
      <c r="CB4" s="5"/>
      <c r="CC4" s="5"/>
      <c r="CD4" s="62">
        <v>0</v>
      </c>
      <c r="CE4" s="62">
        <v>0</v>
      </c>
      <c r="CF4" s="62" t="e">
        <v>#REF!</v>
      </c>
      <c r="CG4" s="75" cm="1">
        <f t="array" ref="CG4">SUMPRODUCT(--(LEN(TRIM(BL4:BT4))&gt;0))</f>
        <v>5</v>
      </c>
      <c r="CH4" s="53" t="str">
        <f t="shared" si="3"/>
        <v>n</v>
      </c>
      <c r="CI4" s="53" t="str">
        <f t="shared" si="4"/>
        <v>n</v>
      </c>
      <c r="CJ4" s="53" t="str">
        <f t="shared" si="5"/>
        <v>n</v>
      </c>
      <c r="CK4" s="53" t="str">
        <f t="shared" si="6"/>
        <v>y</v>
      </c>
      <c r="CL4" s="53" t="str">
        <f t="shared" si="7"/>
        <v>n</v>
      </c>
      <c r="CM4" s="53" t="str">
        <f t="shared" si="8"/>
        <v>y</v>
      </c>
      <c r="CN4" s="53" t="str">
        <f t="shared" si="9"/>
        <v>n</v>
      </c>
      <c r="CO4" s="53" t="str">
        <f t="shared" si="10"/>
        <v>n</v>
      </c>
      <c r="CP4" s="53" t="str">
        <f t="shared" si="11"/>
        <v>y</v>
      </c>
      <c r="CQ4" s="53" t="str">
        <f t="shared" si="12"/>
        <v>n</v>
      </c>
      <c r="CR4" s="53" t="str">
        <f t="shared" si="13"/>
        <v>n</v>
      </c>
      <c r="CS4" s="53" t="str">
        <f t="shared" si="14"/>
        <v>n</v>
      </c>
      <c r="CT4" s="38" t="str">
        <f t="shared" si="15"/>
        <v>"[ARG] Catamarca"</v>
      </c>
      <c r="CU4" s="63" t="str">
        <f t="shared" si="16"/>
        <v>"rgn_South America"</v>
      </c>
      <c r="CV4" s="44" t="str">
        <f t="shared" si="17"/>
        <v>"https://upload.wikimedia.org/wikipedia/commons/thumb/7/7b/Bandera_de_la_Provincia_de_Catamarca.svg/320px-Bandera_de_la_Provincia_de_Catamarca.svg.png"</v>
      </c>
      <c r="CW4" s="44" t="str">
        <f t="shared" si="18"/>
        <v/>
      </c>
      <c r="CX4" s="44" t="str">
        <f t="shared" si="19"/>
        <v/>
      </c>
      <c r="CY4" s="44" t="str">
        <f t="shared" si="20"/>
        <v/>
      </c>
      <c r="CZ4" s="44" t="str">
        <f t="shared" si="21"/>
        <v>"5+Colo",</v>
      </c>
      <c r="DA4" s="44" t="str">
        <f t="shared" si="22"/>
        <v/>
      </c>
      <c r="DB4" s="44" t="str">
        <f t="shared" si="23"/>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"lets09",</v>
      </c>
      <c r="DE4" s="44" t="str">
        <f>CHAR(34)&amp;"start"&amp;IFERROR(LEFT(SUBSTITUTE(A4,"["&amp;MID(A4,FIND("[",A4)+1,FIND("]",A4)-FIND("[",A4)-1)&amp;"] ",""),1),LEFT(A4,1))&amp;CHAR(34)&amp;","</f>
        <v>"startC",</v>
      </c>
      <c r="DF4" s="44" t="str">
        <f t="shared" si="24"/>
        <v/>
      </c>
      <c r="DG4" s="44" t="str">
        <f t="shared" si="25"/>
        <v/>
      </c>
      <c r="DH4" s="44" t="str">
        <f t="shared" si="26"/>
        <v/>
      </c>
      <c r="DI4" s="44" t="str">
        <f t="shared" si="27"/>
        <v/>
      </c>
      <c r="DJ4" s="44" t="str">
        <f t="shared" si="28"/>
        <v/>
      </c>
      <c r="DK4" s="44" t="str">
        <f t="shared" si="29"/>
        <v/>
      </c>
      <c r="DL4" s="44" t="str">
        <f t="shared" si="30"/>
        <v/>
      </c>
      <c r="DM4" s="44" t="str" cm="1">
        <f t="array" ref="DM4">IF(CG4=3,CHAR(34) &amp; _xlfn.TEXTJOIN("", TRUE, RIGHT(HP4:HX4, 2)) &amp; CHAR(34) &amp; ",", "")</f>
        <v/>
      </c>
      <c r="DN4" s="44" t="str">
        <f t="shared" si="31"/>
        <v/>
      </c>
      <c r="DO4" s="44" t="str">
        <f t="shared" si="32"/>
        <v/>
      </c>
      <c r="DP4" s="5" t="str">
        <f t="shared" si="33"/>
        <v>"year00",</v>
      </c>
      <c r="DQ4" s="5" t="str">
        <f t="shared" si="34"/>
        <v/>
      </c>
      <c r="DR4" s="5" t="str">
        <f t="shared" si="35"/>
        <v/>
      </c>
      <c r="DS4" s="5" t="str">
        <f t="shared" si="36"/>
        <v/>
      </c>
      <c r="DT4" s="5" t="str">
        <f t="shared" si="37"/>
        <v>"allhor",</v>
      </c>
      <c r="DU4" s="5" t="str">
        <f t="shared" si="38"/>
        <v/>
      </c>
      <c r="DW4" s="44" t="str">
        <f t="shared" si="39"/>
        <v/>
      </c>
      <c r="DX4" s="44" t="str">
        <f t="shared" si="40"/>
        <v>"2Bands",</v>
      </c>
      <c r="DY4" s="44" t="str">
        <f t="shared" si="41"/>
        <v/>
      </c>
      <c r="DZ4" s="44" t="str">
        <f t="shared" si="42"/>
        <v/>
      </c>
      <c r="EA4" s="44" t="str">
        <f t="shared" si="43"/>
        <v/>
      </c>
      <c r="EB4" s="44" t="str">
        <f t="shared" si="44"/>
        <v/>
      </c>
      <c r="EC4" s="44" t="str">
        <f t="shared" si="45"/>
        <v>"Horizo",</v>
      </c>
      <c r="ED4" s="44" t="str">
        <f t="shared" si="46"/>
        <v/>
      </c>
      <c r="EE4" s="44" t="str">
        <f t="shared" si="47"/>
        <v>"Circle",</v>
      </c>
      <c r="EF4" s="44" t="str">
        <f t="shared" si="48"/>
        <v/>
      </c>
      <c r="EG4" s="44" t="str">
        <f t="shared" si="49"/>
        <v/>
      </c>
      <c r="EH4" s="44" t="str">
        <f t="shared" si="50"/>
        <v>"Plants",</v>
      </c>
      <c r="EI4" s="44" t="str">
        <f t="shared" si="51"/>
        <v/>
      </c>
      <c r="EJ4" s="44" t="str">
        <f t="shared" si="52"/>
        <v/>
      </c>
      <c r="EK4" s="44" t="str">
        <f t="shared" si="53"/>
        <v>"HasSun",</v>
      </c>
      <c r="EL4" s="44" t="str">
        <f t="shared" si="54"/>
        <v/>
      </c>
      <c r="EM4" s="44" t="str">
        <f t="shared" si="55"/>
        <v/>
      </c>
      <c r="EN4" s="44" t="str">
        <f t="shared" si="56"/>
        <v>"Unequa",</v>
      </c>
      <c r="EO4" s="44" t="str">
        <f t="shared" si="57"/>
        <v>"Center",</v>
      </c>
      <c r="EP4" s="44" t="str">
        <f t="shared" si="58"/>
        <v/>
      </c>
      <c r="EQ4" s="44" t="str">
        <f t="shared" si="59"/>
        <v/>
      </c>
      <c r="ER4" s="44" t="str">
        <f t="shared" si="60"/>
        <v/>
      </c>
      <c r="ES4" s="44" t="str">
        <f t="shared" si="61"/>
        <v/>
      </c>
      <c r="ET4" s="44" t="str">
        <f t="shared" si="62"/>
        <v/>
      </c>
      <c r="EU4" s="44" t="str">
        <f t="shared" si="63"/>
        <v>"Humans",</v>
      </c>
      <c r="EV4" s="44" t="str">
        <f t="shared" si="64"/>
        <v/>
      </c>
      <c r="EW4" s="44" t="str">
        <f t="shared" si="65"/>
        <v/>
      </c>
      <c r="EX4" s="44" t="str">
        <f t="shared" si="66"/>
        <v/>
      </c>
      <c r="EY4" s="44" t="str">
        <f t="shared" si="67"/>
        <v/>
      </c>
      <c r="EZ4" s="44" t="str">
        <f t="shared" si="68"/>
        <v/>
      </c>
      <c r="FA4" s="44" t="str">
        <f t="shared" si="69"/>
        <v/>
      </c>
      <c r="FB4" s="44" t="str">
        <f t="shared" si="70"/>
        <v/>
      </c>
      <c r="FD4" s="44" t="str">
        <f t="shared" si="71"/>
        <v/>
      </c>
      <c r="FE4" s="44" t="str">
        <f t="shared" si="72"/>
        <v/>
      </c>
      <c r="FF4" s="44" t="str">
        <f t="shared" si="73"/>
        <v/>
      </c>
      <c r="FG4" s="44" t="str">
        <f t="shared" si="74"/>
        <v/>
      </c>
      <c r="FH4" s="44" t="str">
        <f t="shared" si="75"/>
        <v/>
      </c>
      <c r="FI4" s="44" t="str">
        <f t="shared" si="76"/>
        <v/>
      </c>
      <c r="FJ4" s="44" t="str">
        <f t="shared" si="77"/>
        <v>"NO_BLA",</v>
      </c>
      <c r="FK4" s="44" t="str">
        <f t="shared" si="78"/>
        <v/>
      </c>
      <c r="FL4" s="44" t="str">
        <f t="shared" si="79"/>
        <v/>
      </c>
      <c r="FM4" s="44" t="str">
        <f t="shared" si="80"/>
        <v/>
      </c>
      <c r="FN4" s="44" t="str">
        <f t="shared" si="81"/>
        <v/>
      </c>
      <c r="FO4" s="44" t="str">
        <f t="shared" si="82"/>
        <v/>
      </c>
      <c r="FP4" s="44" t="str">
        <f t="shared" si="83"/>
        <v/>
      </c>
      <c r="FQ4" s="44" t="str">
        <f t="shared" si="84"/>
        <v>"001BLU",</v>
      </c>
      <c r="FR4" s="44" t="str">
        <f t="shared" si="85"/>
        <v/>
      </c>
      <c r="FS4" s="44" t="str">
        <f t="shared" si="86"/>
        <v>"003RED",</v>
      </c>
      <c r="FT4" s="44" t="str">
        <f t="shared" si="87"/>
        <v>"myrRED",</v>
      </c>
      <c r="FU4" s="44" t="str">
        <f t="shared" si="88"/>
        <v/>
      </c>
      <c r="FV4" s="44" t="str">
        <f t="shared" si="89"/>
        <v/>
      </c>
      <c r="FW4" s="44" t="str">
        <f t="shared" si="90"/>
        <v/>
      </c>
      <c r="FY4" s="44" t="str">
        <f t="shared" si="91"/>
        <v/>
      </c>
      <c r="FZ4" s="44" t="str">
        <f t="shared" si="92"/>
        <v/>
      </c>
      <c r="GA4" s="44" t="str">
        <f t="shared" si="93"/>
        <v/>
      </c>
      <c r="GB4" s="44" t="str">
        <f t="shared" si="94"/>
        <v/>
      </c>
      <c r="GE4" s="44" t="str">
        <f t="shared" si="95"/>
        <v/>
      </c>
      <c r="GF4" s="44" t="str">
        <f>IFERROR(IF(SEARCH("Historical",AU4)&gt;0,CHAR(34)&amp;"histor"&amp;CHAR(34)&amp;",",""),"")</f>
        <v/>
      </c>
      <c r="GG4" s="44" t="str">
        <f t="shared" si="96"/>
        <v/>
      </c>
      <c r="GH4" s="44" t="str">
        <f t="shared" si="97"/>
        <v/>
      </c>
      <c r="GI4" s="44" t="str">
        <f t="shared" si="98"/>
        <v/>
      </c>
      <c r="GJ4" s="44" t="str">
        <f t="shared" si="99"/>
        <v>"NoStar",</v>
      </c>
      <c r="GK4" s="44" t="str">
        <f t="shared" si="100"/>
        <v/>
      </c>
      <c r="GL4" s="44" t="str">
        <f t="shared" si="101"/>
        <v/>
      </c>
      <c r="GM4" s="44" t="str">
        <f t="shared" si="102"/>
        <v/>
      </c>
      <c r="GN4" s="44" t="str">
        <f t="shared" si="103"/>
        <v/>
      </c>
      <c r="GP4" s="44" t="str">
        <f t="shared" si="104"/>
        <v>"Province"</v>
      </c>
      <c r="GS4" s="44" t="str">
        <f t="shared" si="105"/>
        <v>["5+Colo","lets09","startC","year00","allhor","2Bands","Horizo","Circle","Plants","HasSun","Unequa","Center","Humans","NO_BLA","001BLU","003RED","myrRED","NoStar"]</v>
      </c>
      <c r="GT4" s="44" t="str">
        <f t="shared" si="106"/>
        <v/>
      </c>
      <c r="GU4" s="44" t="str">
        <f t="shared" si="107"/>
        <v>"cl_BLU",</v>
      </c>
      <c r="GV4" s="44" t="str">
        <f t="shared" si="108"/>
        <v>"cl_GRE",</v>
      </c>
      <c r="GW4" s="44" t="str">
        <f t="shared" si="109"/>
        <v>"cl_RED",</v>
      </c>
      <c r="GX4" s="44" t="str">
        <f t="shared" si="110"/>
        <v>"cl_YEL",</v>
      </c>
      <c r="GY4" s="44" t="str">
        <f t="shared" si="111"/>
        <v/>
      </c>
      <c r="GZ4" s="44" t="str">
        <f t="shared" si="112"/>
        <v/>
      </c>
      <c r="HA4" s="44" t="str">
        <f t="shared" si="113"/>
        <v/>
      </c>
      <c r="HB4" s="44" t="str">
        <f t="shared" si="114"/>
        <v>"cl_WHI",</v>
      </c>
      <c r="HC4" s="44" t="str">
        <f t="shared" si="115"/>
        <v>["cl_BLU","cl_GRE","cl_RED","cl_YEL","cl_WHI"]</v>
      </c>
      <c r="HE4" s="64"/>
      <c r="HF4" s="65" t="str">
        <f t="shared" si="116"/>
        <v>{couname:"[ARG] Catamarca",year:"2011",region:"rgn_South America",Colors:["cl_BLU","cl_GRE","cl_RED","cl_YEL","cl_WHI"],Items:["5+Colo","lets09","startC","year00","allhor","2Bands","Horizo","Circle","Plants","HasSun","Unequa","Center","Humans","NO_BLA","001BLU","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links: "https://en.wikipedia.org/wiki/Flag_of_Catamarca"},</v>
      </c>
      <c r="HG4" s="66" t="str">
        <f t="shared" si="117"/>
        <v>{couname:"[ARG] Catamarca",year:"2011",region:"rgn_South America",Colors:["cl_BLU","cl_GRE","cl_RED","cl_YEL","cl_WHI"],Items:["5+Colo","lets09","startC","year00","allhor","2Bands","Horizo","Circle","Plants","HasSun","Unequa","Center","Humans","NO_BLA","001BLU","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links: "https://en.wikipedia.org/wiki/Flag_of_Catamarca"},</v>
      </c>
      <c r="HH4" s="44" t="str">
        <f t="shared" si="118"/>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I4" s="44" t="str">
        <f t="shared" si="119"/>
        <v>"\nThe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v>
      </c>
      <c r="HJ4" s="44" t="str">
        <f t="shared" si="120"/>
        <v>"2011"</v>
      </c>
      <c r="HL4" s="44" t="str">
        <f t="shared" si="121"/>
        <v>"https://en.wikipedia.org/wiki/Flag_of_Catamarca"</v>
      </c>
      <c r="HM4" s="65" t="str">
        <f t="shared" si="122"/>
        <v>{"couname":"[ARG] Catamarca","year":"2011","region":"rgn_South America","Colors":["cl_BLU","cl_GRE","cl_RED","cl_YEL","cl_WHI"],"Items":["5+Colo","lets09","startC","year00","allhor","2Bands","Horizo","Circle","Plants","HasSun","Unequa","Center","Humans","NO_BLA","001BLU","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N4" s="67" t="str">
        <f t="shared" si="123"/>
        <v>{"couname":"[ARG] Catamarca","year":"2011","region":"rgn_South America","Colors":["cl_BLU","cl_GRE","cl_RED","cl_YEL","cl_WHI"],"Items":["5+Colo","lets09","startC","year00","allhor","2Bands","Horizo","Circle","Plants","HasSun","Unequa","Center","Humans","NO_BLA","001BLU","003RED","myrRED","NoStar"],"Flag":"https://upload.wikimedia.org/wikipedia/commons/thumb/7/7b/Bandera_de_la_Provincia_de_Catamarca.svg/320px-Bandera_de_la_Provincia_de_Catamarca.svg.png","HDFlag":"https://upload.wikimedia.org/wikipedia/commons/thumb/7/7b/Bandera_de_la_Provincia_de_Catamarca.svg/640px-Bandera_de_la_Provincia_de_Catamarca.svg.png","type":"Province", "describe": "\nThe flag of the Argentine province of Catamarca is rectangular, featuring a golden border that symbolizes the province's cultural heritage. The light blue and white stripes represent the sky and the national flag, while the red stripe symbolizes the origins of the population. At the center, where the colors meet, is the Sun of May, encircled by a wreath of 16 olive leaves, representing the province's departments.", "isnew": ".", "links": "https://en.wikipedia.org/wiki/Flag_of_Catamarca"},</v>
      </c>
      <c r="HO4" s="71">
        <v>45610</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 t="shared" si="124"/>
        <v>-5</v>
      </c>
      <c r="IN4" s="69" t="str">
        <f t="shared" si="125"/>
        <v>http://mkweb.bcgsc.ca/color-summarizer/?url=https://upload.wikimedia.org/wikipedia/commons/thumb/7/7b/Bandera_de_la_Provincia_de_Catamarca.svg/320px-Bandera_de_la_Provincia_de_Catamarca.svg.png&amp;precision=low&amp;num_clusters=5&amp;text=1</v>
      </c>
      <c r="IO4" s="44" t="str">
        <f t="shared" si="126"/>
        <v/>
      </c>
      <c r="IP4" s="44" t="str">
        <f t="shared" si="127"/>
        <v>"blue"</v>
      </c>
      <c r="IQ4" s="44" t="str">
        <f t="shared" si="128"/>
        <v>"green"</v>
      </c>
      <c r="IR4" s="44" t="str">
        <f t="shared" si="129"/>
        <v>"red"</v>
      </c>
      <c r="IS4" s="44" t="str">
        <f t="shared" si="130"/>
        <v>"yellow"</v>
      </c>
      <c r="IT4" s="44" t="str">
        <f t="shared" si="131"/>
        <v/>
      </c>
      <c r="IU4" s="44" t="str">
        <f t="shared" si="132"/>
        <v/>
      </c>
      <c r="IV4" s="44" t="str">
        <f t="shared" si="133"/>
        <v/>
      </c>
      <c r="IW4" s="44" t="str">
        <f t="shared" si="134"/>
        <v>"white"</v>
      </c>
      <c r="IX4" s="44" t="str">
        <f t="shared" si="135"/>
        <v>{"url":"http://mkweb.bcgsc.ca/color-summarizer/?url=https://upload.wikimedia.org/wikipedia/commons/thumb/7/7b/Bandera_de_la_Provincia_de_Catamarca.svg/320px-Bandera_de_la_Provincia_de_Catamarca.svg.png&amp;precision=low&amp;num_clusters=5&amp;text=1","name":"[ARG] Catamarca"},</v>
      </c>
      <c r="IY4" s="44">
        <v>1234</v>
      </c>
    </row>
    <row r="5" spans="1:259" s="44" customFormat="1" ht="38.4" customHeight="1" thickBot="1" x14ac:dyDescent="0.35">
      <c r="A5" s="84" t="s">
        <v>285</v>
      </c>
      <c r="B5" s="83" t="e" vm="4">
        <v>#VALUE!</v>
      </c>
      <c r="C5" s="39">
        <v>2</v>
      </c>
      <c r="D5" s="70" t="s">
        <v>286</v>
      </c>
      <c r="E5" s="40" t="s">
        <v>287</v>
      </c>
      <c r="F5" s="41" t="s">
        <v>163</v>
      </c>
      <c r="G5" s="42">
        <f t="shared" si="0"/>
        <v>1</v>
      </c>
      <c r="H5" s="43"/>
      <c r="I5" s="59" t="s">
        <v>288</v>
      </c>
      <c r="J5" s="44" t="str">
        <f>""</f>
        <v/>
      </c>
      <c r="K5" s="45"/>
      <c r="L5" s="46"/>
      <c r="M5" s="46"/>
      <c r="N5" s="47" t="s">
        <v>177</v>
      </c>
      <c r="O5" s="74" t="s">
        <v>278</v>
      </c>
      <c r="P5" s="48" t="s">
        <v>289</v>
      </c>
      <c r="Q5" s="73">
        <v>1</v>
      </c>
      <c r="R5" s="49" t="s">
        <v>177</v>
      </c>
      <c r="S5" s="50">
        <v>3</v>
      </c>
      <c r="T5" s="51" t="s">
        <v>164</v>
      </c>
      <c r="U5" s="52" t="s">
        <v>164</v>
      </c>
      <c r="V5" s="52" t="s">
        <v>164</v>
      </c>
      <c r="W5" s="52" t="s">
        <v>165</v>
      </c>
      <c r="X5" s="52" t="s">
        <v>165</v>
      </c>
      <c r="Y5" s="52" t="s">
        <v>164</v>
      </c>
      <c r="Z5" s="52" t="s">
        <v>164</v>
      </c>
      <c r="AA5" s="52" t="s">
        <v>164</v>
      </c>
      <c r="AB5" s="52" t="s">
        <v>164</v>
      </c>
      <c r="AC5" s="52" t="s">
        <v>164</v>
      </c>
      <c r="AD5" s="52" t="s">
        <v>165</v>
      </c>
      <c r="AE5" s="52" t="s">
        <v>164</v>
      </c>
      <c r="AF5" s="53" t="s">
        <v>164</v>
      </c>
      <c r="AG5" s="53" t="s">
        <v>164</v>
      </c>
      <c r="AH5" s="53" t="s">
        <v>165</v>
      </c>
      <c r="AI5" s="53" t="s">
        <v>164</v>
      </c>
      <c r="AJ5" s="53" t="s">
        <v>164</v>
      </c>
      <c r="AK5" s="53" t="s">
        <v>164</v>
      </c>
      <c r="AL5" s="53" t="s">
        <v>164</v>
      </c>
      <c r="AM5" s="53" t="s">
        <v>164</v>
      </c>
      <c r="AN5" s="53" t="s">
        <v>165</v>
      </c>
      <c r="AO5" s="53" t="s">
        <v>164</v>
      </c>
      <c r="AP5" s="53" t="s">
        <v>164</v>
      </c>
      <c r="AQ5" s="53" t="s">
        <v>164</v>
      </c>
      <c r="AR5" s="53" t="s">
        <v>164</v>
      </c>
      <c r="AS5" s="53" t="s">
        <v>164</v>
      </c>
      <c r="AT5" s="54">
        <v>25</v>
      </c>
      <c r="AU5" s="53" t="s">
        <v>284</v>
      </c>
      <c r="AV5" s="53" t="str">
        <f t="shared" si="1"/>
        <v>[ARG]Province[ARG] Chaco</v>
      </c>
      <c r="AW5" s="53" t="str">
        <f t="shared" si="2"/>
        <v>2[ARG] Chaco</v>
      </c>
      <c r="AX5" s="55"/>
      <c r="AY5" s="55"/>
      <c r="AZ5" s="56" t="s">
        <v>155</v>
      </c>
      <c r="BA5" s="56"/>
      <c r="BB5" s="56"/>
      <c r="BC5" s="57"/>
      <c r="BD5" s="58" t="s">
        <v>167</v>
      </c>
      <c r="BE5" s="59"/>
      <c r="BF5" s="58" t="s">
        <v>153</v>
      </c>
      <c r="BG5" s="58" t="s">
        <v>159</v>
      </c>
      <c r="BH5" s="58" t="s">
        <v>152</v>
      </c>
      <c r="BI5" s="58"/>
      <c r="BJ5" s="58"/>
      <c r="BK5" s="59"/>
      <c r="BL5" s="58" t="s">
        <v>153</v>
      </c>
      <c r="BM5" s="58" t="s">
        <v>159</v>
      </c>
      <c r="BN5" s="58" t="s">
        <v>152</v>
      </c>
      <c r="BO5" s="58" t="s">
        <v>155</v>
      </c>
      <c r="BP5" s="58" t="s">
        <v>156</v>
      </c>
      <c r="BQ5" s="58"/>
      <c r="BR5" s="58"/>
      <c r="BS5" s="58"/>
      <c r="BT5" s="58"/>
      <c r="BU5" s="60"/>
      <c r="BV5" s="61"/>
      <c r="BW5" s="61">
        <v>0</v>
      </c>
      <c r="BX5" s="59"/>
      <c r="CB5" s="5"/>
      <c r="CC5" s="5"/>
      <c r="CD5" s="62">
        <v>0</v>
      </c>
      <c r="CE5" s="62">
        <v>0</v>
      </c>
      <c r="CF5" s="62" t="e">
        <v>#REF!</v>
      </c>
      <c r="CG5" s="75" cm="1">
        <f t="array" ref="CG5">SUMPRODUCT(--(LEN(TRIM(BL5:BT5))&gt;0))</f>
        <v>5</v>
      </c>
      <c r="CH5" s="53" t="str">
        <f t="shared" si="3"/>
        <v>n</v>
      </c>
      <c r="CI5" s="53" t="str">
        <f t="shared" si="4"/>
        <v>n</v>
      </c>
      <c r="CJ5" s="53" t="str">
        <f t="shared" si="5"/>
        <v>n</v>
      </c>
      <c r="CK5" s="53" t="str">
        <f t="shared" si="6"/>
        <v>y</v>
      </c>
      <c r="CL5" s="53" t="str">
        <f t="shared" si="7"/>
        <v>n</v>
      </c>
      <c r="CM5" s="53" t="str">
        <f t="shared" si="8"/>
        <v>n</v>
      </c>
      <c r="CN5" s="53" t="str">
        <f t="shared" si="9"/>
        <v>y</v>
      </c>
      <c r="CO5" s="53" t="str">
        <f t="shared" si="10"/>
        <v>n</v>
      </c>
      <c r="CP5" s="53" t="str">
        <f t="shared" si="11"/>
        <v>n</v>
      </c>
      <c r="CQ5" s="53" t="str">
        <f t="shared" si="12"/>
        <v>n</v>
      </c>
      <c r="CR5" s="53" t="str">
        <f t="shared" si="13"/>
        <v>n</v>
      </c>
      <c r="CS5" s="53" t="str">
        <f t="shared" si="14"/>
        <v>y</v>
      </c>
      <c r="CT5" s="38" t="str">
        <f t="shared" si="15"/>
        <v>"[ARG] Chaco"</v>
      </c>
      <c r="CU5" s="63" t="str">
        <f t="shared" si="16"/>
        <v>"rgn_South America"</v>
      </c>
      <c r="CV5" s="44" t="str">
        <f t="shared" si="17"/>
        <v>"https://upload.wikimedia.org/wikipedia/commons/thumb/3/33/Bandera_de_la_Provincia_del_Chaco.svg/640px-Bandera_de_la_Provincia_del_Chaco.svg.png"</v>
      </c>
      <c r="CW5" s="44" t="str">
        <f t="shared" si="18"/>
        <v/>
      </c>
      <c r="CX5" s="44" t="str">
        <f t="shared" si="19"/>
        <v/>
      </c>
      <c r="CY5" s="44" t="str">
        <f t="shared" si="20"/>
        <v/>
      </c>
      <c r="CZ5" s="44" t="str">
        <f t="shared" si="21"/>
        <v>"5+Colo",</v>
      </c>
      <c r="DA5" s="44" t="str">
        <f t="shared" si="22"/>
        <v/>
      </c>
      <c r="DB5" s="44" t="str">
        <f t="shared" si="23"/>
        <v/>
      </c>
      <c r="DC5" s="44" t="str">
        <f>IF(Q5=2,CHAR(34)&amp;"exact2"&amp;CHAR(34)&amp;",","")</f>
        <v/>
      </c>
      <c r="DD5" s="44"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"lets05",</v>
      </c>
      <c r="DE5" s="44"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"startC",</v>
      </c>
      <c r="DF5" s="44" t="str">
        <f t="shared" si="24"/>
        <v/>
      </c>
      <c r="DG5" s="44" t="str">
        <f t="shared" si="25"/>
        <v/>
      </c>
      <c r="DH5" s="44" t="str">
        <f t="shared" si="26"/>
        <v/>
      </c>
      <c r="DI5" s="44" t="str">
        <f t="shared" si="27"/>
        <v/>
      </c>
      <c r="DJ5" s="44" t="str">
        <f t="shared" si="28"/>
        <v/>
      </c>
      <c r="DK5" s="44" t="str">
        <f t="shared" si="29"/>
        <v/>
      </c>
      <c r="DL5" s="44" t="str">
        <f t="shared" si="30"/>
        <v/>
      </c>
      <c r="DM5" s="44" t="str" cm="1">
        <f t="array" ref="DM5">IF(CG5=3,CHAR(34) &amp; _xlfn.TEXTJOIN("", TRUE, RIGHT(HP5:HX5, 2)) &amp; CHAR(34) &amp; ",", "")</f>
        <v/>
      </c>
      <c r="DN5" s="44" t="str">
        <f t="shared" si="31"/>
        <v/>
      </c>
      <c r="DO5" s="44" t="str">
        <f t="shared" si="32"/>
        <v/>
      </c>
      <c r="DP5" s="5" t="str">
        <f t="shared" si="33"/>
        <v>"year00",</v>
      </c>
      <c r="DQ5" s="5" t="str">
        <f t="shared" si="34"/>
        <v/>
      </c>
      <c r="DR5" s="5" t="str">
        <f t="shared" si="35"/>
        <v/>
      </c>
      <c r="DS5" s="5" t="str">
        <f t="shared" si="36"/>
        <v>"allver",</v>
      </c>
      <c r="DT5" s="5" t="str">
        <f t="shared" si="37"/>
        <v/>
      </c>
      <c r="DU5" s="5" t="str">
        <f t="shared" si="38"/>
        <v/>
      </c>
      <c r="DV5" s="44" t="str">
        <f>IF(IA5&lt;&gt;"",(IF(IA5="y",CHAR(34)&amp;"largec"&amp;CHAR(34)&amp;",",CHAR(34)&amp;"smallc"&amp;CHAR(34)&amp;",")),"")</f>
        <v/>
      </c>
      <c r="DW5" s="44" t="str">
        <f t="shared" si="39"/>
        <v/>
      </c>
      <c r="DX5" s="44" t="str">
        <f t="shared" si="40"/>
        <v/>
      </c>
      <c r="DY5" s="44" t="str">
        <f t="shared" si="41"/>
        <v>"3Bands",</v>
      </c>
      <c r="DZ5" s="44" t="str">
        <f t="shared" si="42"/>
        <v/>
      </c>
      <c r="EA5" s="44" t="str">
        <f t="shared" si="43"/>
        <v/>
      </c>
      <c r="EB5" s="44" t="str">
        <f t="shared" si="44"/>
        <v/>
      </c>
      <c r="EC5" s="44" t="str">
        <f t="shared" si="45"/>
        <v/>
      </c>
      <c r="ED5" s="44" t="str">
        <f t="shared" si="46"/>
        <v>"Vertic",</v>
      </c>
      <c r="EE5" s="44" t="str">
        <f t="shared" si="47"/>
        <v>"Circle",</v>
      </c>
      <c r="EF5" s="44" t="str">
        <f t="shared" si="48"/>
        <v/>
      </c>
      <c r="EG5" s="44" t="str">
        <f t="shared" si="49"/>
        <v/>
      </c>
      <c r="EH5" s="44" t="str">
        <f t="shared" si="50"/>
        <v/>
      </c>
      <c r="EI5" s="44" t="str">
        <f t="shared" si="51"/>
        <v/>
      </c>
      <c r="EJ5" s="44" t="str">
        <f t="shared" si="52"/>
        <v/>
      </c>
      <c r="EK5" s="44" t="str">
        <f t="shared" si="53"/>
        <v>"HasSun",</v>
      </c>
      <c r="EL5" s="44" t="str">
        <f t="shared" si="54"/>
        <v/>
      </c>
      <c r="EM5" s="44" t="str">
        <f t="shared" si="55"/>
        <v/>
      </c>
      <c r="EN5" s="44" t="str">
        <f t="shared" si="56"/>
        <v/>
      </c>
      <c r="EO5" s="44" t="str">
        <f t="shared" si="57"/>
        <v>"Center",</v>
      </c>
      <c r="EP5" s="44" t="str">
        <f t="shared" si="58"/>
        <v/>
      </c>
      <c r="EQ5" s="44" t="str">
        <f t="shared" si="59"/>
        <v/>
      </c>
      <c r="ER5" s="44" t="str">
        <f t="shared" si="60"/>
        <v/>
      </c>
      <c r="ES5" s="44" t="str">
        <f t="shared" si="61"/>
        <v/>
      </c>
      <c r="ET5" s="44" t="str">
        <f t="shared" si="62"/>
        <v/>
      </c>
      <c r="EU5" s="44" t="str">
        <f t="shared" si="63"/>
        <v>"Humans",</v>
      </c>
      <c r="EV5" s="44" t="str">
        <f t="shared" si="64"/>
        <v/>
      </c>
      <c r="EW5" s="44" t="str">
        <f t="shared" si="65"/>
        <v/>
      </c>
      <c r="EX5" s="44" t="str">
        <f t="shared" si="66"/>
        <v/>
      </c>
      <c r="EY5" s="44" t="str">
        <f t="shared" si="67"/>
        <v/>
      </c>
      <c r="EZ5" s="44" t="str">
        <f t="shared" si="68"/>
        <v/>
      </c>
      <c r="FA5" s="44" t="str">
        <f t="shared" si="69"/>
        <v>"staYEL",</v>
      </c>
      <c r="FB5" s="44" t="str">
        <f t="shared" si="70"/>
        <v/>
      </c>
      <c r="FC5" s="44" t="str">
        <f>IF(AND(AT5&gt;0,BB5&lt;&gt;""),CHAR(34)&amp;"sta"&amp;BB5&amp;CHAR(34)&amp;",","")</f>
        <v/>
      </c>
      <c r="FD5" s="44" t="str">
        <f t="shared" si="71"/>
        <v/>
      </c>
      <c r="FE5" s="44" t="str">
        <f t="shared" si="72"/>
        <v/>
      </c>
      <c r="FF5" s="44" t="str">
        <f t="shared" si="73"/>
        <v/>
      </c>
      <c r="FG5" s="44" t="str">
        <f t="shared" si="74"/>
        <v>"NO_RED",</v>
      </c>
      <c r="FH5" s="44" t="str">
        <f t="shared" si="75"/>
        <v/>
      </c>
      <c r="FI5" s="44" t="str">
        <f t="shared" si="76"/>
        <v/>
      </c>
      <c r="FJ5" s="44" t="str">
        <f t="shared" si="77"/>
        <v>"NO_BLA",</v>
      </c>
      <c r="FK5" s="44" t="str">
        <f t="shared" si="78"/>
        <v/>
      </c>
      <c r="FL5" s="44" t="str">
        <f t="shared" si="79"/>
        <v/>
      </c>
      <c r="FM5" s="44" t="str">
        <f t="shared" si="80"/>
        <v/>
      </c>
      <c r="FN5" s="44" t="str">
        <f t="shared" si="81"/>
        <v/>
      </c>
      <c r="FO5" s="44" t="str">
        <f t="shared" si="82"/>
        <v/>
      </c>
      <c r="FP5" s="44" t="str">
        <f t="shared" si="83"/>
        <v/>
      </c>
      <c r="FQ5" s="44" t="str">
        <f t="shared" si="84"/>
        <v>"001GRE",</v>
      </c>
      <c r="FR5" s="44" t="str">
        <f t="shared" si="85"/>
        <v>"002WHI",</v>
      </c>
      <c r="FS5" s="44" t="str">
        <f t="shared" si="86"/>
        <v>"003BLU",</v>
      </c>
      <c r="FT5" s="44" t="str">
        <f t="shared" si="87"/>
        <v>"myrEQ",</v>
      </c>
      <c r="FU5" s="44" t="str">
        <f t="shared" si="88"/>
        <v/>
      </c>
      <c r="FV5" s="44" t="str">
        <f t="shared" si="89"/>
        <v/>
      </c>
      <c r="FW5" s="44" t="str">
        <f t="shared" si="90"/>
        <v/>
      </c>
      <c r="FX5" s="44" t="str">
        <f>SUBSTITUTE(IFERROR(SEARCH("[",A5),IFERROR(IF(AND(CA5&lt;&gt;"y",SEARCH("Europe",R5)&gt;0),CHAR(34)&amp;"noeuni"&amp;CHAR(34)&amp;",",""),"")),"1","")</f>
        <v/>
      </c>
      <c r="FY5" s="44" t="str">
        <f t="shared" si="91"/>
        <v/>
      </c>
      <c r="FZ5" s="44" t="str">
        <f t="shared" si="92"/>
        <v/>
      </c>
      <c r="GA5" s="44" t="str">
        <f t="shared" si="93"/>
        <v/>
      </c>
      <c r="GB5" s="44" t="str">
        <f t="shared" si="94"/>
        <v/>
      </c>
      <c r="GC5" s="44" t="str">
        <f>IFERROR(IF(SEARCH("Portuguese",CB5)&gt;0,CHAR(34)&amp;"portug"&amp;CHAR(34)&amp;",",""),"")</f>
        <v/>
      </c>
      <c r="GD5" s="44" t="str">
        <f>IFERROR(IF(SEARCH("German",CB5)&gt;0,CHAR(34)&amp;"german"&amp;CHAR(34)&amp;",",""),"")</f>
        <v/>
      </c>
      <c r="GE5" s="44" t="str">
        <f t="shared" si="95"/>
        <v/>
      </c>
      <c r="GF5" s="44" t="str">
        <f>IFERROR(IF(SEARCH("Histor",AU5)&gt;0,CHAR(34)&amp;"histor"&amp;CHAR(34)&amp;",",""),"")</f>
        <v/>
      </c>
      <c r="GG5" s="44" t="str">
        <f t="shared" si="96"/>
        <v/>
      </c>
      <c r="GH5" s="44" t="str">
        <f t="shared" si="97"/>
        <v/>
      </c>
      <c r="GI5" s="44" t="str">
        <f t="shared" si="98"/>
        <v/>
      </c>
      <c r="GJ5" s="44" t="str">
        <f t="shared" si="99"/>
        <v/>
      </c>
      <c r="GK5" s="44" t="str">
        <f t="shared" si="100"/>
        <v>"HasSta",</v>
      </c>
      <c r="GL5" s="44" t="str">
        <f t="shared" si="101"/>
        <v/>
      </c>
      <c r="GM5" s="44" t="str">
        <f t="shared" si="102"/>
        <v/>
      </c>
      <c r="GN5" s="44" t="str">
        <f t="shared" si="103"/>
        <v>"3+Star",</v>
      </c>
      <c r="GP5" s="44" t="str">
        <f t="shared" si="104"/>
        <v>"Province"</v>
      </c>
      <c r="GS5" s="44" t="str">
        <f t="shared" si="105"/>
        <v>["5+Colo","lets05","startC","year00","allver","3Bands","Vertic","Circle","HasSun","Center","Humans","staYEL","NO_RED","NO_BLA","001GRE","002WHI","003BLU","myrEQ","HasSta","3+Star"]</v>
      </c>
      <c r="GT5" s="44" t="str">
        <f t="shared" si="106"/>
        <v>"cl_GRE",</v>
      </c>
      <c r="GU5" s="44" t="str">
        <f t="shared" si="107"/>
        <v>"cl_WHI",</v>
      </c>
      <c r="GV5" s="44" t="str">
        <f t="shared" si="108"/>
        <v>"cl_BLU",</v>
      </c>
      <c r="GW5" s="44" t="str">
        <f t="shared" si="109"/>
        <v>"cl_YEL",</v>
      </c>
      <c r="GX5" s="44" t="str">
        <f t="shared" si="110"/>
        <v>"cl_ORA",</v>
      </c>
      <c r="GY5" s="44" t="str">
        <f t="shared" si="111"/>
        <v/>
      </c>
      <c r="GZ5" s="44" t="str">
        <f t="shared" si="112"/>
        <v/>
      </c>
      <c r="HA5" s="44" t="str">
        <f t="shared" si="113"/>
        <v/>
      </c>
      <c r="HB5" s="44" t="str">
        <f t="shared" si="114"/>
        <v/>
      </c>
      <c r="HC5" s="44" t="str">
        <f t="shared" si="115"/>
        <v>["cl_GRE","cl_WHI","cl_BLU","cl_YEL","cl_ORA"]</v>
      </c>
      <c r="HE5" s="64"/>
      <c r="HF5" s="65" t="str">
        <f t="shared" si="116"/>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links: "https://es.wikipedia.org/wiki/Bandera_de_la_provincia_del_Chaco"},</v>
      </c>
      <c r="HG5" s="66" t="str">
        <f t="shared" si="117"/>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links: "https://es.wikipedia.org/wiki/Bandera_de_la_provincia_del_Chaco"},</v>
      </c>
      <c r="HH5" s="44" t="str">
        <f t="shared" si="118"/>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I5" s="44" t="str">
        <f t="shared" si="119"/>
        <v>"\nIts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v>
      </c>
      <c r="HJ5" s="44" t="str">
        <f t="shared" si="120"/>
        <v>"2007 "</v>
      </c>
      <c r="HL5" s="44" t="str">
        <f t="shared" si="121"/>
        <v>"https://es.wikipedia.org/wiki/Bandera_de_la_provincia_del_Chaco"</v>
      </c>
      <c r="HM5" s="65" t="str">
        <f t="shared" si="122"/>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N5" s="67" t="str">
        <f t="shared" si="123"/>
        <v>{"couname":"[ARG] Chaco","year":"2007 ","region":"rgn_South America","Colors":["cl_GRE","cl_WHI","cl_BLU","cl_YEL","cl_ORA"],"Items":["5+Colo","lets05","startC","year00","allver","3Bands","Vertic","Circle","HasSun","Center","Humans","staYEL","NO_RED","NO_BLA","001GRE","002WHI","003BLU","myrEQ","HasSta","3+Star"],"Flag":"https://upload.wikimedia.org/wikipedia/commons/thumb/3/33/Bandera_de_la_Provincia_del_Chaco.svg/640px-Bandera_de_la_Provincia_del_Chaco.svg.png","HDFlag":"https://upload.wikimedia.org/wikipedia/commons/thumb/3/33/Bandera_de_la_Provincia_del_Chaco.svg/2560px-Bandera_de_la_Provincia_del_Chaco.svg.png","type":"Province", "describe": "\nIts design is fundamentally inspired by the green of the Chaco forest, the sky blue and white colors, and the sun of the Argentine flag.\n\nIn the upper center of the white stripe, there is a full golden sun with thirty-two alternating straight and flaming rays, identical to that of the National Flag.\n\nThe twenty-five golden stars surrounding the plow represent each of the departments that make up the provincial political division. Each star shines with its own light, with the same dimensions and without any preeminence over another.\n\nThe plow, surrounded by this crown of stars, is an ancient symbol depicted on the Province's coat of arms, symbolizing the tilling of virgin land, which was the province's primary economic source for many years.", "isnew": ".", "links": "https://es.wikipedia.org/wiki/Bandera_de_la_provincia_del_Chaco"},</v>
      </c>
      <c r="HO5" s="71"/>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
      </c>
      <c r="HT5" s="44" t="str" cm="1">
        <f t="array" ref="HT5">IF(_xlfn.TEXTJOIN(", ", TRUE, IF(ISNUMBER(SEARCH("YEL", BL5:BT5)), COLUMN(BL5:BT5) - COLUMN(BL5) + 1, ""))&lt;&gt;"","YEL","")</f>
        <v>YEL</v>
      </c>
      <c r="HU5" s="44" t="str" cm="1">
        <f t="array" ref="HU5">IF(_xlfn.TEXTJOIN(", ", TRUE, IF(ISNUMBER(SEARCH("ORA", BL5:BT5)), COLUMN(BL5:BT5) - COLUMN(BL5) + 1, ""))&lt;&gt;"","ORA","")</f>
        <v>ORA</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SUM(IC5:IK5)</f>
        <v>0</v>
      </c>
      <c r="IM5" s="42">
        <f t="shared" si="124"/>
        <v>-5</v>
      </c>
      <c r="IN5" s="69" t="str">
        <f t="shared" si="125"/>
        <v>http://mkweb.bcgsc.ca/color-summarizer/?url=https://upload.wikimedia.org/wikipedia/commons/thumb/3/33/Bandera_de_la_Provincia_del_Chaco.svg/640px-Bandera_de_la_Provincia_del_Chaco.svg.png&amp;precision=low&amp;num_clusters=5&amp;text=1</v>
      </c>
      <c r="IO5" s="44" t="str">
        <f t="shared" si="126"/>
        <v/>
      </c>
      <c r="IP5" s="44" t="str">
        <f t="shared" si="127"/>
        <v>"blue"</v>
      </c>
      <c r="IQ5" s="44" t="str">
        <f t="shared" si="128"/>
        <v>"green"</v>
      </c>
      <c r="IR5" s="44" t="str">
        <f t="shared" si="129"/>
        <v/>
      </c>
      <c r="IS5" s="44" t="str">
        <f t="shared" si="130"/>
        <v>"yellow"</v>
      </c>
      <c r="IT5" s="44" t="str">
        <f t="shared" si="131"/>
        <v>"orange"</v>
      </c>
      <c r="IU5" s="44" t="str">
        <f t="shared" si="132"/>
        <v/>
      </c>
      <c r="IV5" s="44" t="str">
        <f t="shared" si="133"/>
        <v/>
      </c>
      <c r="IW5" s="44" t="str">
        <f t="shared" si="134"/>
        <v>"white"</v>
      </c>
      <c r="IX5" s="44" t="str">
        <f t="shared" si="135"/>
        <v>{"url":"http://mkweb.bcgsc.ca/color-summarizer/?url=https://upload.wikimedia.org/wikipedia/commons/thumb/3/33/Bandera_de_la_Provincia_del_Chaco.svg/640px-Bandera_de_la_Provincia_del_Chaco.svg.png&amp;precision=low&amp;num_clusters=5&amp;text=1","name":"[ARG] Chaco"},</v>
      </c>
      <c r="IY5" s="44">
        <v>283</v>
      </c>
    </row>
    <row r="6" spans="1:259" s="44" customFormat="1" ht="38.4" customHeight="1" thickBot="1" x14ac:dyDescent="0.35">
      <c r="A6" s="84" t="s">
        <v>604</v>
      </c>
      <c r="B6" s="83" t="e" vm="5">
        <v>#VALUE!</v>
      </c>
      <c r="C6" s="39">
        <v>2</v>
      </c>
      <c r="D6" s="70" t="s">
        <v>605</v>
      </c>
      <c r="E6" s="40" t="s">
        <v>606</v>
      </c>
      <c r="F6" s="41" t="s">
        <v>163</v>
      </c>
      <c r="G6" s="42">
        <f t="shared" si="0"/>
        <v>1</v>
      </c>
      <c r="H6" s="43"/>
      <c r="I6" s="59" t="s">
        <v>607</v>
      </c>
      <c r="J6" s="44" t="str">
        <f>""</f>
        <v/>
      </c>
      <c r="K6" s="45"/>
      <c r="L6" s="46"/>
      <c r="M6" s="46"/>
      <c r="N6" s="47" t="s">
        <v>177</v>
      </c>
      <c r="O6" s="74">
        <v>2004</v>
      </c>
      <c r="P6" s="48" t="s">
        <v>608</v>
      </c>
      <c r="Q6" s="73">
        <v>1</v>
      </c>
      <c r="R6" s="49" t="s">
        <v>177</v>
      </c>
      <c r="S6" s="50">
        <v>7</v>
      </c>
      <c r="T6" s="51" t="s">
        <v>165</v>
      </c>
      <c r="U6" s="52" t="s">
        <v>164</v>
      </c>
      <c r="V6" s="52" t="s">
        <v>165</v>
      </c>
      <c r="W6" s="52" t="s">
        <v>164</v>
      </c>
      <c r="X6" s="52" t="s">
        <v>165</v>
      </c>
      <c r="Y6" s="52" t="s">
        <v>164</v>
      </c>
      <c r="Z6" s="52" t="s">
        <v>164</v>
      </c>
      <c r="AA6" s="52" t="s">
        <v>165</v>
      </c>
      <c r="AB6" s="52" t="s">
        <v>164</v>
      </c>
      <c r="AC6" s="52" t="s">
        <v>164</v>
      </c>
      <c r="AD6" s="52" t="s">
        <v>165</v>
      </c>
      <c r="AE6" s="52" t="s">
        <v>164</v>
      </c>
      <c r="AF6" s="53" t="s">
        <v>164</v>
      </c>
      <c r="AG6" s="53" t="s">
        <v>164</v>
      </c>
      <c r="AH6" s="53" t="s">
        <v>165</v>
      </c>
      <c r="AI6" s="53" t="s">
        <v>164</v>
      </c>
      <c r="AJ6" s="53" t="s">
        <v>164</v>
      </c>
      <c r="AK6" s="53" t="s">
        <v>164</v>
      </c>
      <c r="AL6" s="53" t="s">
        <v>164</v>
      </c>
      <c r="AM6" s="53" t="s">
        <v>165</v>
      </c>
      <c r="AN6" s="53" t="s">
        <v>164</v>
      </c>
      <c r="AO6" s="53" t="s">
        <v>165</v>
      </c>
      <c r="AP6" s="53" t="s">
        <v>164</v>
      </c>
      <c r="AQ6" s="53" t="s">
        <v>164</v>
      </c>
      <c r="AR6" s="53" t="s">
        <v>164</v>
      </c>
      <c r="AS6" s="53" t="s">
        <v>164</v>
      </c>
      <c r="AT6" s="54">
        <v>0</v>
      </c>
      <c r="AU6" s="53" t="s">
        <v>284</v>
      </c>
      <c r="AV6" s="53" t="str">
        <f t="shared" si="1"/>
        <v>[ARG]Province[ARG] Chubut</v>
      </c>
      <c r="AW6" s="53" t="str">
        <f t="shared" si="2"/>
        <v>2[ARG] Chubut</v>
      </c>
      <c r="AX6" s="55"/>
      <c r="AY6" s="55"/>
      <c r="AZ6" s="56" t="s">
        <v>234</v>
      </c>
      <c r="BA6" s="56" t="s">
        <v>234</v>
      </c>
      <c r="BB6" s="56"/>
      <c r="BC6" s="57"/>
      <c r="BD6" s="58" t="s">
        <v>152</v>
      </c>
      <c r="BE6" s="59"/>
      <c r="BF6" s="58" t="s">
        <v>152</v>
      </c>
      <c r="BG6" s="58" t="s">
        <v>155</v>
      </c>
      <c r="BH6" s="58" t="s">
        <v>152</v>
      </c>
      <c r="BI6" s="58"/>
      <c r="BJ6" s="58"/>
      <c r="BK6" s="59"/>
      <c r="BL6" s="58" t="s">
        <v>234</v>
      </c>
      <c r="BM6" s="58" t="s">
        <v>152</v>
      </c>
      <c r="BN6" s="58" t="s">
        <v>234</v>
      </c>
      <c r="BO6" s="58" t="s">
        <v>234</v>
      </c>
      <c r="BP6" s="58" t="s">
        <v>155</v>
      </c>
      <c r="BQ6" s="58" t="s">
        <v>234</v>
      </c>
      <c r="BR6" s="58" t="s">
        <v>234</v>
      </c>
      <c r="BS6" s="58" t="s">
        <v>234</v>
      </c>
      <c r="BT6" s="58" t="s">
        <v>159</v>
      </c>
      <c r="BU6" s="60"/>
      <c r="BV6" s="61"/>
      <c r="BW6" s="61">
        <v>0</v>
      </c>
      <c r="BX6" s="59"/>
      <c r="BY6" s="44" t="s">
        <v>164</v>
      </c>
      <c r="CB6" s="5"/>
      <c r="CC6" s="5"/>
      <c r="CD6" s="62">
        <v>0</v>
      </c>
      <c r="CE6" s="62">
        <v>0</v>
      </c>
      <c r="CF6" s="62" t="e">
        <v>#REF!</v>
      </c>
      <c r="CG6" s="75" cm="1">
        <f t="array" ref="CG6">SUMPRODUCT(--(LEN(TRIM(BL6:BT6))&gt;0))</f>
        <v>3</v>
      </c>
      <c r="CH6" s="53" t="str">
        <f t="shared" si="3"/>
        <v>n</v>
      </c>
      <c r="CI6" s="53" t="str">
        <f t="shared" si="4"/>
        <v>y</v>
      </c>
      <c r="CJ6" s="53" t="str">
        <f t="shared" si="5"/>
        <v>n</v>
      </c>
      <c r="CK6" s="53" t="str">
        <f t="shared" si="6"/>
        <v>n</v>
      </c>
      <c r="CL6" s="53" t="str">
        <f t="shared" si="7"/>
        <v>n</v>
      </c>
      <c r="CM6" s="53" t="str">
        <f t="shared" si="8"/>
        <v>n</v>
      </c>
      <c r="CN6" s="53" t="str">
        <f t="shared" si="9"/>
        <v>n</v>
      </c>
      <c r="CO6" s="53" t="str">
        <f t="shared" si="10"/>
        <v>y</v>
      </c>
      <c r="CP6" s="53" t="str">
        <f t="shared" si="11"/>
        <v>y</v>
      </c>
      <c r="CQ6" s="53" t="str">
        <f t="shared" si="12"/>
        <v>n</v>
      </c>
      <c r="CR6" s="53" t="str">
        <f t="shared" si="13"/>
        <v>n</v>
      </c>
      <c r="CS6" s="53" t="str">
        <f t="shared" si="14"/>
        <v>n</v>
      </c>
      <c r="CT6" s="38" t="str">
        <f t="shared" si="15"/>
        <v>"[ARG] Chubut"</v>
      </c>
      <c r="CU6" s="63" t="str">
        <f t="shared" si="16"/>
        <v>"rgn_South America"</v>
      </c>
      <c r="CV6" s="44" t="str">
        <f t="shared" si="17"/>
        <v>"https://upload.wikimedia.org/wikipedia/commons/thumb/8/88/Bandera_de_la_Provincia_del_Chubut.svg/320px-Bandera_de_la_Provincia_del_Chubut.svg.png"</v>
      </c>
      <c r="CW6" s="44" t="str">
        <f t="shared" si="18"/>
        <v/>
      </c>
      <c r="CX6" s="44" t="str">
        <f t="shared" si="19"/>
        <v>"3Color",</v>
      </c>
      <c r="CY6" s="44" t="str">
        <f t="shared" si="20"/>
        <v/>
      </c>
      <c r="CZ6" s="44" t="str">
        <f t="shared" si="21"/>
        <v/>
      </c>
      <c r="DA6" s="44" t="str">
        <f t="shared" si="22"/>
        <v/>
      </c>
      <c r="DB6" s="44" t="str">
        <f t="shared" si="23"/>
        <v/>
      </c>
      <c r="DD6" s="44"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"lets06",</v>
      </c>
      <c r="DE6" s="44" t="str">
        <f>CHAR(34)&amp;"start"&amp;IFERROR(LEFT(SUBSTITUTE(A6,"["&amp;MID(A6,FIND("[",A6)+1,FIND("]",A6)-FIND("[",A6)-1)&amp;"] ",""),1),LEFT(A6,1))&amp;CHAR(34)&amp;","</f>
        <v>"startC",</v>
      </c>
      <c r="DF6" s="44" t="str">
        <f t="shared" si="24"/>
        <v/>
      </c>
      <c r="DG6" s="44" t="str">
        <f t="shared" si="25"/>
        <v/>
      </c>
      <c r="DH6" s="44" t="str">
        <f t="shared" si="26"/>
        <v/>
      </c>
      <c r="DI6" s="44" t="str">
        <f t="shared" si="27"/>
        <v/>
      </c>
      <c r="DJ6" s="44" t="str">
        <f t="shared" si="28"/>
        <v/>
      </c>
      <c r="DK6" s="44" t="str">
        <f t="shared" si="29"/>
        <v/>
      </c>
      <c r="DL6" s="44" t="str">
        <f t="shared" si="30"/>
        <v/>
      </c>
      <c r="DM6" s="44" t="str" cm="1">
        <f t="array" ref="DM6">IF(CG6=3,CHAR(34) &amp; _xlfn.TEXTJOIN("", TRUE, RIGHT(HP6:HX6, 2)) &amp; CHAR(34) &amp; ",", "")</f>
        <v>"LUELHI",</v>
      </c>
      <c r="DN6" s="44" t="str">
        <f t="shared" si="31"/>
        <v/>
      </c>
      <c r="DO6" s="44" t="str">
        <f t="shared" si="32"/>
        <v/>
      </c>
      <c r="DP6" s="5" t="str">
        <f t="shared" si="33"/>
        <v>"year00",</v>
      </c>
      <c r="DQ6" s="5" t="str">
        <f t="shared" si="34"/>
        <v/>
      </c>
      <c r="DR6" s="5" t="str">
        <f t="shared" si="35"/>
        <v/>
      </c>
      <c r="DS6" s="5" t="str">
        <f t="shared" si="36"/>
        <v/>
      </c>
      <c r="DT6" s="5" t="str">
        <f t="shared" si="37"/>
        <v>"allhor",</v>
      </c>
      <c r="DU6" s="5" t="str">
        <f t="shared" si="38"/>
        <v/>
      </c>
      <c r="DW6" s="44" t="str">
        <f t="shared" si="39"/>
        <v/>
      </c>
      <c r="DX6" s="44" t="str">
        <f t="shared" si="40"/>
        <v/>
      </c>
      <c r="DY6" s="44" t="str">
        <f t="shared" si="41"/>
        <v/>
      </c>
      <c r="DZ6" s="44" t="str">
        <f t="shared" si="42"/>
        <v>"4+Band",</v>
      </c>
      <c r="EA6" s="44" t="str">
        <f t="shared" si="43"/>
        <v>"Diagon",</v>
      </c>
      <c r="EB6" s="44" t="str">
        <f t="shared" si="44"/>
        <v/>
      </c>
      <c r="EC6" s="44" t="str">
        <f t="shared" si="45"/>
        <v>"Horizo",</v>
      </c>
      <c r="ED6" s="44" t="str">
        <f t="shared" si="46"/>
        <v/>
      </c>
      <c r="EE6" s="44" t="str">
        <f t="shared" si="47"/>
        <v>"Circle",</v>
      </c>
      <c r="EF6" s="44" t="str">
        <f t="shared" si="48"/>
        <v/>
      </c>
      <c r="EG6" s="44" t="str">
        <f t="shared" si="49"/>
        <v/>
      </c>
      <c r="EH6" s="44" t="str">
        <f t="shared" si="50"/>
        <v>"Plants",</v>
      </c>
      <c r="EI6" s="44" t="str">
        <f t="shared" si="51"/>
        <v/>
      </c>
      <c r="EJ6" s="44" t="str">
        <f t="shared" si="52"/>
        <v/>
      </c>
      <c r="EK6" s="44" t="str">
        <f t="shared" si="53"/>
        <v>"HasSun",</v>
      </c>
      <c r="EL6" s="44" t="str">
        <f t="shared" si="54"/>
        <v/>
      </c>
      <c r="EM6" s="44" t="str">
        <f t="shared" si="55"/>
        <v/>
      </c>
      <c r="EN6" s="44" t="str">
        <f t="shared" si="56"/>
        <v/>
      </c>
      <c r="EO6" s="44" t="str">
        <f t="shared" si="57"/>
        <v>"Center",</v>
      </c>
      <c r="EP6" s="44" t="str">
        <f t="shared" si="58"/>
        <v/>
      </c>
      <c r="EQ6" s="44" t="str">
        <f t="shared" si="59"/>
        <v/>
      </c>
      <c r="ER6" s="44" t="str">
        <f t="shared" si="60"/>
        <v/>
      </c>
      <c r="ES6" s="44" t="str">
        <f t="shared" si="61"/>
        <v/>
      </c>
      <c r="ET6" s="44" t="str">
        <f t="shared" si="62"/>
        <v>"Geogrh",</v>
      </c>
      <c r="EU6" s="44" t="str">
        <f t="shared" si="63"/>
        <v/>
      </c>
      <c r="EV6" s="44" t="str">
        <f t="shared" si="64"/>
        <v>"Builds",</v>
      </c>
      <c r="EW6" s="44" t="str">
        <f t="shared" si="65"/>
        <v/>
      </c>
      <c r="EX6" s="44" t="str">
        <f t="shared" si="66"/>
        <v/>
      </c>
      <c r="EY6" s="44" t="str">
        <f t="shared" si="67"/>
        <v/>
      </c>
      <c r="EZ6" s="44" t="str">
        <f t="shared" si="68"/>
        <v/>
      </c>
      <c r="FA6" s="44" t="str">
        <f t="shared" si="69"/>
        <v/>
      </c>
      <c r="FB6" s="44" t="str">
        <f t="shared" si="70"/>
        <v/>
      </c>
      <c r="FD6" s="44" t="str">
        <f t="shared" si="71"/>
        <v/>
      </c>
      <c r="FE6" s="44" t="str">
        <f t="shared" si="72"/>
        <v/>
      </c>
      <c r="FF6" s="44" t="str">
        <f t="shared" si="73"/>
        <v/>
      </c>
      <c r="FG6" s="44" t="str">
        <f t="shared" si="74"/>
        <v>"NO_RED",</v>
      </c>
      <c r="FH6" s="44" t="str">
        <f t="shared" si="75"/>
        <v>"NO_GRE",</v>
      </c>
      <c r="FI6" s="44" t="str">
        <f t="shared" si="76"/>
        <v/>
      </c>
      <c r="FJ6" s="44" t="str">
        <f t="shared" si="77"/>
        <v>"NO_BLA",</v>
      </c>
      <c r="FK6" s="44" t="str">
        <f t="shared" si="78"/>
        <v/>
      </c>
      <c r="FL6" s="44" t="str">
        <f t="shared" si="79"/>
        <v/>
      </c>
      <c r="FM6" s="44" t="str">
        <f t="shared" si="80"/>
        <v/>
      </c>
      <c r="FN6" s="44" t="str">
        <f t="shared" si="81"/>
        <v/>
      </c>
      <c r="FO6" s="44" t="str">
        <f t="shared" si="82"/>
        <v/>
      </c>
      <c r="FP6" s="44" t="str">
        <f t="shared" si="83"/>
        <v/>
      </c>
      <c r="FQ6" s="44" t="str">
        <f t="shared" si="84"/>
        <v>"001BLU",</v>
      </c>
      <c r="FR6" s="44" t="str">
        <f t="shared" si="85"/>
        <v>"002YEL",</v>
      </c>
      <c r="FS6" s="44" t="str">
        <f t="shared" si="86"/>
        <v>"003BLU",</v>
      </c>
      <c r="FT6" s="44" t="str">
        <f t="shared" si="87"/>
        <v>"myrBLU",</v>
      </c>
      <c r="FU6" s="44" t="str">
        <f t="shared" si="88"/>
        <v/>
      </c>
      <c r="FV6" s="44" t="str">
        <f t="shared" si="89"/>
        <v/>
      </c>
      <c r="FW6" s="44" t="str">
        <f t="shared" si="90"/>
        <v/>
      </c>
      <c r="FY6" s="44" t="str">
        <f t="shared" si="91"/>
        <v/>
      </c>
      <c r="FZ6" s="44" t="str">
        <f t="shared" si="92"/>
        <v/>
      </c>
      <c r="GA6" s="44" t="str">
        <f t="shared" si="93"/>
        <v/>
      </c>
      <c r="GB6" s="44" t="str">
        <f t="shared" si="94"/>
        <v/>
      </c>
      <c r="GE6" s="44" t="str">
        <f t="shared" si="95"/>
        <v/>
      </c>
      <c r="GF6" s="44" t="str">
        <f>IFERROR(IF(SEARCH("Historical",AU6)&gt;0,CHAR(34)&amp;"histor"&amp;CHAR(34)&amp;",",""),"")</f>
        <v/>
      </c>
      <c r="GG6" s="44" t="str">
        <f t="shared" si="96"/>
        <v/>
      </c>
      <c r="GH6" s="44" t="str">
        <f t="shared" si="97"/>
        <v/>
      </c>
      <c r="GI6" s="44" t="str">
        <f t="shared" si="98"/>
        <v/>
      </c>
      <c r="GJ6" s="44" t="str">
        <f t="shared" si="99"/>
        <v>"NoStar",</v>
      </c>
      <c r="GK6" s="44" t="str">
        <f t="shared" si="100"/>
        <v/>
      </c>
      <c r="GL6" s="44" t="str">
        <f t="shared" si="101"/>
        <v/>
      </c>
      <c r="GM6" s="44" t="str">
        <f t="shared" si="102"/>
        <v/>
      </c>
      <c r="GN6" s="44" t="str">
        <f t="shared" si="103"/>
        <v/>
      </c>
      <c r="GP6" s="44" t="str">
        <f t="shared" si="104"/>
        <v>"Province"</v>
      </c>
      <c r="GS6" s="44" t="str">
        <f t="shared" si="105"/>
        <v>["3Color","lets06","startC","LUELHI","year00","allhor","4+Band","Diagon","Horizo","Circle","Plants","HasSun","Center","Geogrh","Builds","NO_RED","NO_GRE","NO_BLA","001BLU","002YEL","003BLU","myrBLU","NoStar"]</v>
      </c>
      <c r="GT6" s="44" t="str">
        <f t="shared" si="106"/>
        <v/>
      </c>
      <c r="GU6" s="44" t="str">
        <f t="shared" si="107"/>
        <v>"cl_BLU",</v>
      </c>
      <c r="GV6" s="44" t="str">
        <f t="shared" si="108"/>
        <v/>
      </c>
      <c r="GW6" s="44" t="str">
        <f t="shared" si="109"/>
        <v/>
      </c>
      <c r="GX6" s="44" t="str">
        <f t="shared" si="110"/>
        <v>"cl_YEL",</v>
      </c>
      <c r="GY6" s="44" t="str">
        <f t="shared" si="111"/>
        <v/>
      </c>
      <c r="GZ6" s="44" t="str">
        <f t="shared" si="112"/>
        <v/>
      </c>
      <c r="HA6" s="44" t="str">
        <f t="shared" si="113"/>
        <v/>
      </c>
      <c r="HB6" s="44" t="str">
        <f t="shared" si="114"/>
        <v>"cl_WHI",</v>
      </c>
      <c r="HC6" s="44" t="str">
        <f t="shared" si="115"/>
        <v>["cl_BLU","cl_YEL","cl_WHI"]</v>
      </c>
      <c r="HE6" s="64"/>
      <c r="HF6" s="65" t="str">
        <f t="shared" si="116"/>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links: "https://www.crwflags.com/fotw/flags/ar-u.html"},</v>
      </c>
      <c r="HG6" s="66" t="str">
        <f t="shared" si="117"/>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links: "https://www.crwflags.com/fotw/flags/ar-u.html"},</v>
      </c>
      <c r="HH6" s="44" t="str">
        <f t="shared" si="118"/>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I6" s="44" t="str">
        <f t="shared" si="119"/>
        <v>"\nIn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v>
      </c>
      <c r="HJ6" s="44" t="str">
        <f t="shared" si="120"/>
        <v>"2004"</v>
      </c>
      <c r="HL6" s="44" t="str">
        <f t="shared" si="121"/>
        <v>"https://www.crwflags.com/fotw/flags/ar-u.html"</v>
      </c>
      <c r="HM6" s="65" t="str">
        <f t="shared" si="122"/>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N6" s="67" t="str">
        <f t="shared" si="123"/>
        <v>{"couname":"[ARG] Chubut","year":"2004","region":"rgn_South America","Colors":["cl_BLU","cl_YEL","cl_WHI"],"Items":["3Color","lets06","startC","LUELHI","year00","allhor","4+Band","Diagon","Horizo","Circle","Plants","HasSun","Center","Geogrh","Builds","NO_RED","NO_GRE","NO_BLA","001BLU","002YEL","003BLU","myrBLU","NoStar"],"Flag":"https://upload.wikimedia.org/wikipedia/commons/thumb/8/88/Bandera_de_la_Provincia_del_Chubut.svg/320px-Bandera_de_la_Provincia_del_Chubut.svg.png","HDFlag":"https://upload.wikimedia.org/wikipedia/commons/thumb/8/88/Bandera_de_la_Provincia_del_Chubut.svg/800px-Bandera_de_la_Provincia_del_Chubut.svg.png","type":"Province", "describe": "\nIn the center of the flag, a wheel of gears is shown: a symbol of industrial production. Behind the gear and over it a rising sun similar to the one shown in the Provincial Shield: 'a [...] sun, whose rigid rays represent the fifteen departments that integrate the Province and forecasting a shining future'. \n\nUnderneath the rising sun, the identificatory attributes of the Provincial Shield are represented: 'the Florentino Ameghino Hydroelectrical Dam, [...] symbolizes the concretion of the efforts to dominate the River and the conquest of modern engineering, next to the creative effort of man for the development of the agriculture is represented by a great stem of wheat that stands perpendicular from the top of the dam'. The yellow horizontal line represents the rivers of the Province, and in particular, the Chubut River, which crosses the territory from the West to the East and from which the Province takes its name. This line expresses 'the two historical stages of the political organization: the National Territory and the Province'.\n\nThe zigzag line alludes to the Mountain range of the Andes. The waving lower line represents the Atlantic Ocean. The celestial sky blue color symbolizes the sky and beauty. The yellow [symbolizes] force, vitality, and splendor as well as the wheat of the provincial agricultural production and the sun. The blue color symbolizes justice, loyalty, and truth. The white color symbolizes purity and faith.", "isnew": ".", "links": "https://www.crwflags.com/fotw/flags/ar-u.html"},</v>
      </c>
      <c r="HO6" s="71">
        <v>45610</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 t="shared" si="124"/>
        <v>-3</v>
      </c>
      <c r="IN6" s="69" t="str">
        <f t="shared" si="125"/>
        <v>http://mkweb.bcgsc.ca/color-summarizer/?url=https://upload.wikimedia.org/wikipedia/commons/thumb/8/88/Bandera_de_la_Provincia_del_Chubut.svg/320px-Bandera_de_la_Provincia_del_Chubut.svg.png&amp;precision=low&amp;num_clusters=3&amp;text=1</v>
      </c>
      <c r="IO6" s="44" t="str">
        <f t="shared" si="126"/>
        <v/>
      </c>
      <c r="IP6" s="44" t="str">
        <f t="shared" si="127"/>
        <v>"blue"</v>
      </c>
      <c r="IQ6" s="44" t="str">
        <f t="shared" si="128"/>
        <v/>
      </c>
      <c r="IR6" s="44" t="str">
        <f t="shared" si="129"/>
        <v/>
      </c>
      <c r="IS6" s="44" t="str">
        <f t="shared" si="130"/>
        <v>"yellow"</v>
      </c>
      <c r="IT6" s="44" t="str">
        <f t="shared" si="131"/>
        <v/>
      </c>
      <c r="IU6" s="44" t="str">
        <f t="shared" si="132"/>
        <v/>
      </c>
      <c r="IV6" s="44" t="str">
        <f t="shared" si="133"/>
        <v/>
      </c>
      <c r="IW6" s="44" t="str">
        <f t="shared" si="134"/>
        <v>"white"</v>
      </c>
      <c r="IX6" s="44" t="str">
        <f t="shared" si="135"/>
        <v>{"url":"http://mkweb.bcgsc.ca/color-summarizer/?url=https://upload.wikimedia.org/wikipedia/commons/thumb/8/88/Bandera_de_la_Provincia_del_Chubut.svg/320px-Bandera_de_la_Provincia_del_Chubut.svg.png&amp;precision=low&amp;num_clusters=3&amp;text=1","name":"[ARG] Chubut"},</v>
      </c>
      <c r="IY6" s="44">
        <v>1235</v>
      </c>
    </row>
    <row r="7" spans="1:259" s="44" customFormat="1" ht="38.4" customHeight="1" thickBot="1" x14ac:dyDescent="0.35">
      <c r="A7" s="84" t="s">
        <v>290</v>
      </c>
      <c r="B7" s="83" t="e" vm="6">
        <v>#VALUE!</v>
      </c>
      <c r="C7" s="39">
        <v>2</v>
      </c>
      <c r="D7" s="70" t="s">
        <v>291</v>
      </c>
      <c r="E7" s="40" t="s">
        <v>292</v>
      </c>
      <c r="F7" s="41" t="s">
        <v>163</v>
      </c>
      <c r="G7" s="42">
        <f t="shared" si="0"/>
        <v>1</v>
      </c>
      <c r="H7" s="43"/>
      <c r="I7" s="59" t="s">
        <v>293</v>
      </c>
      <c r="J7" s="44" t="str">
        <f>""</f>
        <v/>
      </c>
      <c r="K7" s="45"/>
      <c r="L7" s="46"/>
      <c r="M7" s="46"/>
      <c r="N7" s="47" t="s">
        <v>177</v>
      </c>
      <c r="O7" s="74" t="s">
        <v>229</v>
      </c>
      <c r="P7" s="48" t="s">
        <v>294</v>
      </c>
      <c r="Q7" s="73">
        <v>1</v>
      </c>
      <c r="R7" s="49" t="s">
        <v>177</v>
      </c>
      <c r="S7" s="50">
        <v>3</v>
      </c>
      <c r="T7" s="51" t="s">
        <v>164</v>
      </c>
      <c r="U7" s="52" t="s">
        <v>164</v>
      </c>
      <c r="V7" s="52" t="s">
        <v>164</v>
      </c>
      <c r="W7" s="52" t="s">
        <v>165</v>
      </c>
      <c r="X7" s="52" t="s">
        <v>165</v>
      </c>
      <c r="Y7" s="52" t="s">
        <v>164</v>
      </c>
      <c r="Z7" s="52" t="s">
        <v>164</v>
      </c>
      <c r="AA7" s="52" t="s">
        <v>164</v>
      </c>
      <c r="AB7" s="52" t="s">
        <v>164</v>
      </c>
      <c r="AC7" s="52" t="s">
        <v>164</v>
      </c>
      <c r="AD7" s="52" t="s">
        <v>165</v>
      </c>
      <c r="AE7" s="52" t="s">
        <v>164</v>
      </c>
      <c r="AF7" s="53" t="s">
        <v>164</v>
      </c>
      <c r="AG7" s="53" t="s">
        <v>164</v>
      </c>
      <c r="AH7" s="53" t="s">
        <v>165</v>
      </c>
      <c r="AI7" s="53" t="s">
        <v>164</v>
      </c>
      <c r="AJ7" s="53" t="s">
        <v>164</v>
      </c>
      <c r="AK7" s="53" t="s">
        <v>164</v>
      </c>
      <c r="AL7" s="53" t="s">
        <v>164</v>
      </c>
      <c r="AM7" s="53" t="s">
        <v>164</v>
      </c>
      <c r="AN7" s="53" t="s">
        <v>164</v>
      </c>
      <c r="AO7" s="53" t="s">
        <v>164</v>
      </c>
      <c r="AP7" s="53" t="s">
        <v>164</v>
      </c>
      <c r="AQ7" s="53" t="s">
        <v>164</v>
      </c>
      <c r="AR7" s="53" t="s">
        <v>164</v>
      </c>
      <c r="AS7" s="53" t="s">
        <v>164</v>
      </c>
      <c r="AT7" s="54">
        <v>0</v>
      </c>
      <c r="AU7" s="53" t="s">
        <v>284</v>
      </c>
      <c r="AV7" s="53" t="str">
        <f t="shared" si="1"/>
        <v>[ARG]Province[ARG] Cordoba</v>
      </c>
      <c r="AW7" s="53" t="str">
        <f t="shared" si="2"/>
        <v>2[ARG] Cordoba</v>
      </c>
      <c r="AX7" s="55"/>
      <c r="AY7" s="55"/>
      <c r="AZ7" s="56"/>
      <c r="BA7" s="56"/>
      <c r="BB7" s="56"/>
      <c r="BC7" s="57"/>
      <c r="BD7" s="58" t="s">
        <v>167</v>
      </c>
      <c r="BE7" s="59"/>
      <c r="BF7" s="58" t="s">
        <v>154</v>
      </c>
      <c r="BG7" s="58" t="s">
        <v>159</v>
      </c>
      <c r="BH7" s="58" t="s">
        <v>152</v>
      </c>
      <c r="BI7" s="58"/>
      <c r="BJ7" s="58"/>
      <c r="BK7" s="59"/>
      <c r="BL7" s="58" t="s">
        <v>154</v>
      </c>
      <c r="BM7" s="58" t="s">
        <v>159</v>
      </c>
      <c r="BN7" s="58" t="s">
        <v>152</v>
      </c>
      <c r="BO7" s="58" t="s">
        <v>155</v>
      </c>
      <c r="BP7" s="58"/>
      <c r="BQ7" s="58"/>
      <c r="BR7" s="58"/>
      <c r="BS7" s="58"/>
      <c r="BT7" s="58"/>
      <c r="BU7" s="60"/>
      <c r="BV7" s="61"/>
      <c r="BW7" s="61">
        <v>0</v>
      </c>
      <c r="BX7" s="59"/>
      <c r="CB7" s="5"/>
      <c r="CC7" s="5"/>
      <c r="CD7" s="62">
        <v>0</v>
      </c>
      <c r="CE7" s="62">
        <v>0</v>
      </c>
      <c r="CF7" s="62" t="e">
        <v>#REF!</v>
      </c>
      <c r="CG7" s="75" cm="1">
        <f t="array" ref="CG7">SUMPRODUCT(--(LEN(TRIM(BL7:BT7))&gt;0))</f>
        <v>4</v>
      </c>
      <c r="CH7" s="53" t="str">
        <f t="shared" si="3"/>
        <v>n</v>
      </c>
      <c r="CI7" s="53" t="str">
        <f t="shared" si="4"/>
        <v>n</v>
      </c>
      <c r="CJ7" s="53" t="str">
        <f t="shared" si="5"/>
        <v>y</v>
      </c>
      <c r="CK7" s="53" t="str">
        <f t="shared" si="6"/>
        <v>n</v>
      </c>
      <c r="CL7" s="53" t="str">
        <f t="shared" si="7"/>
        <v>n</v>
      </c>
      <c r="CM7" s="53" t="str">
        <f t="shared" si="8"/>
        <v>n</v>
      </c>
      <c r="CN7" s="53" t="str">
        <f t="shared" si="9"/>
        <v>y</v>
      </c>
      <c r="CO7" s="53" t="str">
        <f t="shared" si="10"/>
        <v>n</v>
      </c>
      <c r="CP7" s="53" t="str">
        <f t="shared" si="11"/>
        <v>y</v>
      </c>
      <c r="CQ7" s="53" t="str">
        <f t="shared" si="12"/>
        <v>n</v>
      </c>
      <c r="CR7" s="53" t="str">
        <f t="shared" si="13"/>
        <v>n</v>
      </c>
      <c r="CS7" s="53" t="str">
        <f t="shared" si="14"/>
        <v>n</v>
      </c>
      <c r="CT7" s="38" t="str">
        <f t="shared" si="15"/>
        <v>"[ARG] Cordoba"</v>
      </c>
      <c r="CU7" s="63" t="str">
        <f t="shared" si="16"/>
        <v>"rgn_South America"</v>
      </c>
      <c r="CV7" s="44" t="str">
        <f t="shared" si="17"/>
        <v>"https://upload.wikimedia.org/wikipedia/commons/thumb/f/f6/Bandera_de_la_Provincia_de_C%C3%B3rdoba_2014.svg/640px-Bandera_de_la_Provincia_de_C%C3%B3rdoba_2014.svg.png"</v>
      </c>
      <c r="CW7" s="44" t="str">
        <f t="shared" si="18"/>
        <v/>
      </c>
      <c r="CX7" s="44" t="str">
        <f t="shared" si="19"/>
        <v/>
      </c>
      <c r="CY7" s="44" t="str">
        <f t="shared" si="20"/>
        <v>"4Color",</v>
      </c>
      <c r="CZ7" s="44" t="str">
        <f t="shared" si="21"/>
        <v/>
      </c>
      <c r="DA7" s="44" t="str">
        <f t="shared" si="22"/>
        <v/>
      </c>
      <c r="DB7" s="44" t="str">
        <f t="shared" si="23"/>
        <v/>
      </c>
      <c r="DC7" s="44" t="str">
        <f>IF(Q7=2,CHAR(34)&amp;"exact2"&amp;CHAR(34)&amp;",","")</f>
        <v/>
      </c>
      <c r="DD7" s="44"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"lets07",</v>
      </c>
      <c r="DE7" s="44"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"startC",</v>
      </c>
      <c r="DF7" s="44" t="str">
        <f t="shared" si="24"/>
        <v/>
      </c>
      <c r="DG7" s="44" t="str">
        <f t="shared" si="25"/>
        <v/>
      </c>
      <c r="DH7" s="44" t="str">
        <f t="shared" si="26"/>
        <v/>
      </c>
      <c r="DI7" s="44" t="str">
        <f t="shared" si="27"/>
        <v/>
      </c>
      <c r="DJ7" s="44" t="str">
        <f t="shared" si="28"/>
        <v/>
      </c>
      <c r="DK7" s="44" t="str">
        <f t="shared" si="29"/>
        <v/>
      </c>
      <c r="DL7" s="44" t="str">
        <f t="shared" si="30"/>
        <v/>
      </c>
      <c r="DM7" s="44" t="str" cm="1">
        <f t="array" ref="DM7">IF(CG7=3,CHAR(34) &amp; _xlfn.TEXTJOIN("", TRUE, RIGHT(HP7:HX7, 2)) &amp; CHAR(34) &amp; ",", "")</f>
        <v/>
      </c>
      <c r="DN7" s="44" t="str">
        <f t="shared" si="31"/>
        <v/>
      </c>
      <c r="DO7" s="44" t="str">
        <f t="shared" si="32"/>
        <v/>
      </c>
      <c r="DP7" s="5" t="str">
        <f t="shared" si="33"/>
        <v>"year00",</v>
      </c>
      <c r="DQ7" s="5" t="str">
        <f t="shared" si="34"/>
        <v/>
      </c>
      <c r="DR7" s="5" t="str">
        <f t="shared" si="35"/>
        <v/>
      </c>
      <c r="DS7" s="5" t="str">
        <f t="shared" si="36"/>
        <v>"allver",</v>
      </c>
      <c r="DT7" s="5" t="str">
        <f t="shared" si="37"/>
        <v/>
      </c>
      <c r="DU7" s="5" t="str">
        <f t="shared" si="38"/>
        <v/>
      </c>
      <c r="DV7" s="44" t="str">
        <f>IF(IA7&lt;&gt;"",(IF(IA7="y",CHAR(34)&amp;"largec"&amp;CHAR(34)&amp;",",CHAR(34)&amp;"smallc"&amp;CHAR(34)&amp;",")),"")</f>
        <v/>
      </c>
      <c r="DW7" s="44" t="str">
        <f t="shared" si="39"/>
        <v/>
      </c>
      <c r="DX7" s="44" t="str">
        <f t="shared" si="40"/>
        <v/>
      </c>
      <c r="DY7" s="44" t="str">
        <f t="shared" si="41"/>
        <v>"3Bands",</v>
      </c>
      <c r="DZ7" s="44" t="str">
        <f t="shared" si="42"/>
        <v/>
      </c>
      <c r="EA7" s="44" t="str">
        <f t="shared" si="43"/>
        <v/>
      </c>
      <c r="EB7" s="44" t="str">
        <f t="shared" si="44"/>
        <v/>
      </c>
      <c r="EC7" s="44" t="str">
        <f t="shared" si="45"/>
        <v/>
      </c>
      <c r="ED7" s="44" t="str">
        <f t="shared" si="46"/>
        <v>"Vertic",</v>
      </c>
      <c r="EE7" s="44" t="str">
        <f t="shared" si="47"/>
        <v>"Circle",</v>
      </c>
      <c r="EF7" s="44" t="str">
        <f t="shared" si="48"/>
        <v/>
      </c>
      <c r="EG7" s="44" t="str">
        <f t="shared" si="49"/>
        <v/>
      </c>
      <c r="EH7" s="44" t="str">
        <f t="shared" si="50"/>
        <v/>
      </c>
      <c r="EI7" s="44" t="str">
        <f t="shared" si="51"/>
        <v/>
      </c>
      <c r="EJ7" s="44" t="str">
        <f t="shared" si="52"/>
        <v/>
      </c>
      <c r="EK7" s="44" t="str">
        <f t="shared" si="53"/>
        <v>"HasSun",</v>
      </c>
      <c r="EL7" s="44" t="str">
        <f t="shared" si="54"/>
        <v/>
      </c>
      <c r="EM7" s="44" t="str">
        <f t="shared" si="55"/>
        <v/>
      </c>
      <c r="EN7" s="44" t="str">
        <f t="shared" si="56"/>
        <v/>
      </c>
      <c r="EO7" s="44" t="str">
        <f t="shared" si="57"/>
        <v>"Center",</v>
      </c>
      <c r="EP7" s="44" t="str">
        <f t="shared" si="58"/>
        <v/>
      </c>
      <c r="EQ7" s="44" t="str">
        <f t="shared" si="59"/>
        <v/>
      </c>
      <c r="ER7" s="44" t="str">
        <f t="shared" si="60"/>
        <v/>
      </c>
      <c r="ES7" s="44" t="str">
        <f t="shared" si="61"/>
        <v/>
      </c>
      <c r="ET7" s="44" t="str">
        <f t="shared" si="62"/>
        <v/>
      </c>
      <c r="EU7" s="44" t="str">
        <f t="shared" si="63"/>
        <v/>
      </c>
      <c r="EV7" s="44" t="str">
        <f t="shared" si="64"/>
        <v/>
      </c>
      <c r="EW7" s="44" t="str">
        <f t="shared" si="65"/>
        <v/>
      </c>
      <c r="EX7" s="44" t="str">
        <f t="shared" si="66"/>
        <v/>
      </c>
      <c r="EY7" s="44" t="str">
        <f t="shared" si="67"/>
        <v/>
      </c>
      <c r="EZ7" s="44" t="str">
        <f t="shared" si="68"/>
        <v/>
      </c>
      <c r="FA7" s="44" t="str">
        <f t="shared" si="69"/>
        <v/>
      </c>
      <c r="FB7" s="44" t="str">
        <f t="shared" si="70"/>
        <v/>
      </c>
      <c r="FC7" s="44" t="str">
        <f>IF(AND(AT7&gt;0,BB7&lt;&gt;""),CHAR(34)&amp;"sta"&amp;BB7&amp;CHAR(34)&amp;",","")</f>
        <v/>
      </c>
      <c r="FD7" s="44" t="str">
        <f t="shared" si="71"/>
        <v/>
      </c>
      <c r="FE7" s="44" t="str">
        <f t="shared" si="72"/>
        <v/>
      </c>
      <c r="FF7" s="44" t="str">
        <f t="shared" si="73"/>
        <v/>
      </c>
      <c r="FG7" s="44" t="str">
        <f t="shared" si="74"/>
        <v/>
      </c>
      <c r="FH7" s="44" t="str">
        <f t="shared" si="75"/>
        <v>"NO_GRE",</v>
      </c>
      <c r="FI7" s="44" t="str">
        <f t="shared" si="76"/>
        <v/>
      </c>
      <c r="FJ7" s="44" t="str">
        <f t="shared" si="77"/>
        <v>"NO_BLA",</v>
      </c>
      <c r="FK7" s="44" t="str">
        <f t="shared" si="78"/>
        <v/>
      </c>
      <c r="FL7" s="44" t="str">
        <f t="shared" si="79"/>
        <v/>
      </c>
      <c r="FM7" s="44" t="str">
        <f t="shared" si="80"/>
        <v/>
      </c>
      <c r="FN7" s="44" t="str">
        <f t="shared" si="81"/>
        <v/>
      </c>
      <c r="FO7" s="44" t="str">
        <f t="shared" si="82"/>
        <v/>
      </c>
      <c r="FP7" s="44" t="str">
        <f t="shared" si="83"/>
        <v/>
      </c>
      <c r="FQ7" s="44" t="str">
        <f t="shared" si="84"/>
        <v>"001RED",</v>
      </c>
      <c r="FR7" s="44" t="str">
        <f t="shared" si="85"/>
        <v>"002WHI",</v>
      </c>
      <c r="FS7" s="44" t="str">
        <f t="shared" si="86"/>
        <v>"003BLU",</v>
      </c>
      <c r="FT7" s="44" t="str">
        <f t="shared" si="87"/>
        <v>"myrEQ",</v>
      </c>
      <c r="FU7" s="44" t="str">
        <f t="shared" si="88"/>
        <v/>
      </c>
      <c r="FV7" s="44" t="str">
        <f t="shared" si="89"/>
        <v/>
      </c>
      <c r="FW7" s="44" t="str">
        <f t="shared" si="90"/>
        <v/>
      </c>
      <c r="FX7" s="44" t="str">
        <f>SUBSTITUTE(IFERROR(SEARCH("[",A7),IFERROR(IF(AND(CA7&lt;&gt;"y",SEARCH("Europe",R7)&gt;0),CHAR(34)&amp;"noeuni"&amp;CHAR(34)&amp;",",""),"")),"1","")</f>
        <v/>
      </c>
      <c r="FY7" s="44" t="str">
        <f t="shared" si="91"/>
        <v/>
      </c>
      <c r="FZ7" s="44" t="str">
        <f t="shared" si="92"/>
        <v/>
      </c>
      <c r="GA7" s="44" t="str">
        <f t="shared" si="93"/>
        <v/>
      </c>
      <c r="GB7" s="44" t="str">
        <f t="shared" si="94"/>
        <v/>
      </c>
      <c r="GC7" s="44" t="str">
        <f>IFERROR(IF(SEARCH("Portuguese",CB7)&gt;0,CHAR(34)&amp;"portug"&amp;CHAR(34)&amp;",",""),"")</f>
        <v/>
      </c>
      <c r="GD7" s="44" t="str">
        <f>IFERROR(IF(SEARCH("German",CB7)&gt;0,CHAR(34)&amp;"german"&amp;CHAR(34)&amp;",",""),"")</f>
        <v/>
      </c>
      <c r="GE7" s="44" t="str">
        <f t="shared" si="95"/>
        <v/>
      </c>
      <c r="GF7" s="44" t="str">
        <f>IFERROR(IF(SEARCH("Histor",AU7)&gt;0,CHAR(34)&amp;"histor"&amp;CHAR(34)&amp;",",""),"")</f>
        <v/>
      </c>
      <c r="GG7" s="44" t="str">
        <f t="shared" si="96"/>
        <v/>
      </c>
      <c r="GH7" s="44" t="str">
        <f t="shared" si="97"/>
        <v/>
      </c>
      <c r="GI7" s="44" t="str">
        <f t="shared" si="98"/>
        <v/>
      </c>
      <c r="GJ7" s="44" t="str">
        <f t="shared" si="99"/>
        <v>"NoStar",</v>
      </c>
      <c r="GK7" s="44" t="str">
        <f t="shared" si="100"/>
        <v/>
      </c>
      <c r="GL7" s="44" t="str">
        <f t="shared" si="101"/>
        <v/>
      </c>
      <c r="GM7" s="44" t="str">
        <f t="shared" si="102"/>
        <v/>
      </c>
      <c r="GN7" s="44" t="str">
        <f t="shared" si="103"/>
        <v/>
      </c>
      <c r="GP7" s="44" t="str">
        <f t="shared" si="104"/>
        <v>"Province"</v>
      </c>
      <c r="GS7" s="44" t="str">
        <f t="shared" si="105"/>
        <v>["4Color","lets07","startC","year00","allver","3Bands","Vertic","Circle","HasSun","Center","NO_GRE","NO_BLA","001RED","002WHI","003BLU","myrEQ","NoStar"]</v>
      </c>
      <c r="GT7" s="44" t="str">
        <f t="shared" si="106"/>
        <v>"cl_RED",</v>
      </c>
      <c r="GU7" s="44" t="str">
        <f t="shared" si="107"/>
        <v>"cl_WHI",</v>
      </c>
      <c r="GV7" s="44" t="str">
        <f t="shared" si="108"/>
        <v>"cl_BLU",</v>
      </c>
      <c r="GW7" s="44" t="str">
        <f t="shared" si="109"/>
        <v>"cl_YEL",</v>
      </c>
      <c r="GX7" s="44" t="str">
        <f t="shared" si="110"/>
        <v/>
      </c>
      <c r="GY7" s="44" t="str">
        <f t="shared" si="111"/>
        <v/>
      </c>
      <c r="GZ7" s="44" t="str">
        <f t="shared" si="112"/>
        <v/>
      </c>
      <c r="HA7" s="44" t="str">
        <f t="shared" si="113"/>
        <v/>
      </c>
      <c r="HB7" s="44" t="str">
        <f t="shared" si="114"/>
        <v/>
      </c>
      <c r="HC7" s="44" t="str">
        <f t="shared" si="115"/>
        <v>["cl_RED","cl_WHI","cl_BLU","cl_YEL"]</v>
      </c>
      <c r="HE7" s="64"/>
      <c r="HF7" s="65" t="str">
        <f t="shared" si="116"/>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links: "https://es.wikipedia.org/wiki/Bandera_de_la_provincia_de_Córdoba_(Argentina)"},</v>
      </c>
      <c r="HG7" s="66" t="str">
        <f t="shared" si="117"/>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links: "https://es.wikipedia.org/wiki/Bandera_de_la_provincia_de_Córdoba_(Argentina)"},</v>
      </c>
      <c r="HH7" s="44" t="str">
        <f t="shared" si="118"/>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I7" s="44" t="str">
        <f t="shared" si="119"/>
        <v>"\nThese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v>
      </c>
      <c r="HJ7" s="44" t="str">
        <f t="shared" si="120"/>
        <v>"2010 "</v>
      </c>
      <c r="HL7" s="44" t="str">
        <f t="shared" si="121"/>
        <v>"https://es.wikipedia.org/wiki/Bandera_de_la_provincia_de_Córdoba_(Argentina)"</v>
      </c>
      <c r="HM7" s="65" t="str">
        <f t="shared" si="122"/>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N7" s="67" t="str">
        <f t="shared" si="123"/>
        <v>{"couname":"[ARG] Cordoba","year":"2010 ","region":"rgn_South America","Colors":["cl_RED","cl_WHI","cl_BLU","cl_YEL"],"Items":["4Color","lets07","startC","year00","allver","3Bands","Vertic","Circle","HasSun","Center","NO_GRE","NO_BLA","001RED","002WHI","003BLU","myrEQ","NoStar"],"Flag":"https://upload.wikimedia.org/wikipedia/commons/thumb/f/f6/Bandera_de_la_Provincia_de_C%C3%B3rdoba_2014.svg/640px-Bandera_de_la_Provincia_de_C%C3%B3rdoba_2014.svg.png","HDFlag":"https://upload.wikimedia.org/wikipedia/commons/thumb/f/f6/Bandera_de_la_Provincia_de_C%C3%B3rdoba_2014.svg/2560px-Bandera_de_la_Provincia_de_C%C3%B3rdoba_2014.svg.png","type":"Province", "describe": "\nThese colors serve a dual purpose: to revive the colors used by José Gervasio Artigas, who was a leader and creator of the League of Free Peoples. The design also aimed to be compatible with the colors of the flags of the provinces of Entre Ríos and Santa Fe, both of which, along with Córdoba, make up the so-called Central Region.", "isnew": ".", "links": "https://es.wikipedia.org/wiki/Bandera_de_la_provincia_de_Córdoba_(Argentina)"},</v>
      </c>
      <c r="HO7" s="71"/>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
      </c>
      <c r="HS7" s="44" t="str" cm="1">
        <f t="array" ref="HS7">IF(_xlfn.TEXTJOIN(", ", TRUE, IF(ISNUMBER(SEARCH("RED", BL7:BT7)), COLUMN(BL7:BT7) - COLUMN(BL7) + 1, ""))&lt;&gt;"","RED","")</f>
        <v>RED</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SUM(IC7:IK7)</f>
        <v>0</v>
      </c>
      <c r="IM7" s="42">
        <f t="shared" si="124"/>
        <v>-4</v>
      </c>
      <c r="IN7" s="69" t="str">
        <f t="shared" si="125"/>
        <v>http://mkweb.bcgsc.ca/color-summarizer/?url=https://upload.wikimedia.org/wikipedia/commons/thumb/f/f6/Bandera_de_la_Provincia_de_C%C3%B3rdoba_2014.svg/640px-Bandera_de_la_Provincia_de_C%C3%B3rdoba_2014.svg.png&amp;precision=low&amp;num_clusters=4&amp;text=1</v>
      </c>
      <c r="IO7" s="44" t="str">
        <f t="shared" si="126"/>
        <v/>
      </c>
      <c r="IP7" s="44" t="str">
        <f t="shared" si="127"/>
        <v>"blue"</v>
      </c>
      <c r="IQ7" s="44" t="str">
        <f t="shared" si="128"/>
        <v/>
      </c>
      <c r="IR7" s="44" t="str">
        <f t="shared" si="129"/>
        <v>"red"</v>
      </c>
      <c r="IS7" s="44" t="str">
        <f t="shared" si="130"/>
        <v>"yellow"</v>
      </c>
      <c r="IT7" s="44" t="str">
        <f t="shared" si="131"/>
        <v/>
      </c>
      <c r="IU7" s="44" t="str">
        <f t="shared" si="132"/>
        <v/>
      </c>
      <c r="IV7" s="44" t="str">
        <f t="shared" si="133"/>
        <v/>
      </c>
      <c r="IW7" s="44" t="str">
        <f t="shared" si="134"/>
        <v>"white"</v>
      </c>
      <c r="IX7" s="44" t="str">
        <f t="shared" si="135"/>
        <v>{"url":"http://mkweb.bcgsc.ca/color-summarizer/?url=https://upload.wikimedia.org/wikipedia/commons/thumb/f/f6/Bandera_de_la_Provincia_de_C%C3%B3rdoba_2014.svg/640px-Bandera_de_la_Provincia_de_C%C3%B3rdoba_2014.svg.png&amp;precision=low&amp;num_clusters=4&amp;text=1","name":"[ARG] Cordoba"},</v>
      </c>
      <c r="IY7" s="44">
        <v>284</v>
      </c>
    </row>
    <row r="8" spans="1:259" s="44" customFormat="1" ht="38.4" customHeight="1" thickBot="1" x14ac:dyDescent="0.35">
      <c r="A8" s="84" t="s">
        <v>609</v>
      </c>
      <c r="B8" s="83" t="e" vm="7">
        <v>#VALUE!</v>
      </c>
      <c r="C8" s="39">
        <v>2</v>
      </c>
      <c r="D8" s="70" t="s">
        <v>610</v>
      </c>
      <c r="E8" s="40" t="s">
        <v>611</v>
      </c>
      <c r="F8" s="41" t="s">
        <v>163</v>
      </c>
      <c r="G8" s="42">
        <f t="shared" si="0"/>
        <v>1</v>
      </c>
      <c r="H8" s="43"/>
      <c r="I8" s="59" t="s">
        <v>612</v>
      </c>
      <c r="J8" s="44" t="str">
        <f>""</f>
        <v/>
      </c>
      <c r="K8" s="45"/>
      <c r="L8" s="46"/>
      <c r="M8" s="46"/>
      <c r="N8" s="47" t="s">
        <v>177</v>
      </c>
      <c r="O8" s="74">
        <v>1986</v>
      </c>
      <c r="P8" s="48" t="s">
        <v>613</v>
      </c>
      <c r="Q8" s="73">
        <v>1</v>
      </c>
      <c r="R8" s="49" t="s">
        <v>177</v>
      </c>
      <c r="S8" s="50">
        <v>3</v>
      </c>
      <c r="T8" s="51" t="s">
        <v>165</v>
      </c>
      <c r="U8" s="52" t="s">
        <v>165</v>
      </c>
      <c r="V8" s="52" t="s">
        <v>165</v>
      </c>
      <c r="W8" s="52" t="s">
        <v>164</v>
      </c>
      <c r="X8" s="52" t="s">
        <v>165</v>
      </c>
      <c r="Y8" s="52" t="s">
        <v>164</v>
      </c>
      <c r="Z8" s="52" t="s">
        <v>164</v>
      </c>
      <c r="AA8" s="52" t="s">
        <v>165</v>
      </c>
      <c r="AB8" s="52" t="s">
        <v>165</v>
      </c>
      <c r="AC8" s="52" t="s">
        <v>164</v>
      </c>
      <c r="AD8" s="52" t="s">
        <v>165</v>
      </c>
      <c r="AE8" s="52" t="s">
        <v>164</v>
      </c>
      <c r="AF8" s="53" t="s">
        <v>165</v>
      </c>
      <c r="AG8" s="53" t="s">
        <v>165</v>
      </c>
      <c r="AH8" s="53" t="s">
        <v>164</v>
      </c>
      <c r="AI8" s="53" t="s">
        <v>164</v>
      </c>
      <c r="AJ8" s="53" t="s">
        <v>164</v>
      </c>
      <c r="AK8" s="53" t="s">
        <v>164</v>
      </c>
      <c r="AL8" s="53" t="s">
        <v>164</v>
      </c>
      <c r="AM8" s="53" t="s">
        <v>164</v>
      </c>
      <c r="AN8" s="53" t="s">
        <v>165</v>
      </c>
      <c r="AO8" s="53" t="s">
        <v>164</v>
      </c>
      <c r="AP8" s="53" t="s">
        <v>164</v>
      </c>
      <c r="AQ8" s="53" t="s">
        <v>164</v>
      </c>
      <c r="AR8" s="53" t="s">
        <v>164</v>
      </c>
      <c r="AS8" s="53" t="s">
        <v>164</v>
      </c>
      <c r="AT8" s="54">
        <v>0</v>
      </c>
      <c r="AU8" s="53" t="s">
        <v>284</v>
      </c>
      <c r="AV8" s="53" t="str">
        <f t="shared" si="1"/>
        <v>[ARG]Province[ARG] Corrientes</v>
      </c>
      <c r="AW8" s="53" t="str">
        <f t="shared" si="2"/>
        <v>2[ARG] Corrientes</v>
      </c>
      <c r="AX8" s="55"/>
      <c r="AY8" s="55"/>
      <c r="AZ8" s="56" t="s">
        <v>234</v>
      </c>
      <c r="BA8" s="56" t="s">
        <v>234</v>
      </c>
      <c r="BB8" s="56"/>
      <c r="BC8" s="57"/>
      <c r="BD8" s="58" t="s">
        <v>152</v>
      </c>
      <c r="BE8" s="59"/>
      <c r="BF8" s="58" t="s">
        <v>152</v>
      </c>
      <c r="BG8" s="58" t="s">
        <v>159</v>
      </c>
      <c r="BH8" s="58" t="s">
        <v>152</v>
      </c>
      <c r="BI8" s="58"/>
      <c r="BJ8" s="58"/>
      <c r="BK8" s="59"/>
      <c r="BL8" s="58" t="s">
        <v>151</v>
      </c>
      <c r="BM8" s="58" t="s">
        <v>152</v>
      </c>
      <c r="BN8" s="58" t="s">
        <v>153</v>
      </c>
      <c r="BO8" s="58" t="s">
        <v>154</v>
      </c>
      <c r="BP8" s="58" t="s">
        <v>155</v>
      </c>
      <c r="BQ8" s="58" t="s">
        <v>234</v>
      </c>
      <c r="BR8" s="58" t="s">
        <v>157</v>
      </c>
      <c r="BS8" s="58" t="s">
        <v>234</v>
      </c>
      <c r="BT8" s="58" t="s">
        <v>159</v>
      </c>
      <c r="BU8" s="60"/>
      <c r="BV8" s="61"/>
      <c r="BW8" s="61">
        <v>0</v>
      </c>
      <c r="BX8" s="59"/>
      <c r="BY8" s="44" t="s">
        <v>164</v>
      </c>
      <c r="CB8" s="5"/>
      <c r="CC8" s="5"/>
      <c r="CD8" s="62">
        <v>0</v>
      </c>
      <c r="CE8" s="62">
        <v>0</v>
      </c>
      <c r="CF8" s="62" t="e">
        <v>#REF!</v>
      </c>
      <c r="CG8" s="75" cm="1">
        <f t="array" ref="CG8">SUMPRODUCT(--(LEN(TRIM(BL8:BT8))&gt;0))</f>
        <v>7</v>
      </c>
      <c r="CH8" s="53" t="str">
        <f t="shared" si="3"/>
        <v>n</v>
      </c>
      <c r="CI8" s="53" t="str">
        <f t="shared" si="4"/>
        <v>n</v>
      </c>
      <c r="CJ8" s="53" t="str">
        <f t="shared" si="5"/>
        <v>n</v>
      </c>
      <c r="CK8" s="53" t="str">
        <f t="shared" si="6"/>
        <v>y</v>
      </c>
      <c r="CL8" s="53" t="str">
        <f t="shared" si="7"/>
        <v>n</v>
      </c>
      <c r="CM8" s="53" t="str">
        <f t="shared" si="8"/>
        <v>n</v>
      </c>
      <c r="CN8" s="53" t="str">
        <f t="shared" si="9"/>
        <v>y</v>
      </c>
      <c r="CO8" s="53" t="str">
        <f t="shared" si="10"/>
        <v>n</v>
      </c>
      <c r="CP8" s="53" t="str">
        <f t="shared" si="11"/>
        <v>y</v>
      </c>
      <c r="CQ8" s="53" t="str">
        <f t="shared" si="12"/>
        <v>n</v>
      </c>
      <c r="CR8" s="53" t="str">
        <f t="shared" si="13"/>
        <v>n</v>
      </c>
      <c r="CS8" s="53" t="str">
        <f t="shared" si="14"/>
        <v>n</v>
      </c>
      <c r="CT8" s="38" t="str">
        <f t="shared" si="15"/>
        <v>"[ARG] Corrientes"</v>
      </c>
      <c r="CU8" s="63" t="str">
        <f t="shared" si="16"/>
        <v>"rgn_South America"</v>
      </c>
      <c r="CV8" s="44" t="str">
        <f t="shared" si="17"/>
        <v>"https://upload.wikimedia.org/wikipedia/commons/thumb/4/46/Bandera_de_la_Provincia_de_Corrientes.svg/320px-Bandera_de_la_Provincia_de_Corrientes.svg.png"</v>
      </c>
      <c r="CW8" s="44" t="str">
        <f t="shared" si="18"/>
        <v/>
      </c>
      <c r="CX8" s="44" t="str">
        <f t="shared" si="19"/>
        <v/>
      </c>
      <c r="CY8" s="44" t="str">
        <f t="shared" si="20"/>
        <v/>
      </c>
      <c r="CZ8" s="44" t="str">
        <f t="shared" si="21"/>
        <v>"5+Colo",</v>
      </c>
      <c r="DA8" s="44" t="str">
        <f t="shared" si="22"/>
        <v/>
      </c>
      <c r="DB8" s="44" t="str">
        <f t="shared" si="23"/>
        <v/>
      </c>
      <c r="DD8" s="44"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"lets10",</v>
      </c>
      <c r="DE8" s="44" t="str">
        <f>CHAR(34)&amp;"start"&amp;IFERROR(LEFT(SUBSTITUTE(A8,"["&amp;MID(A8,FIND("[",A8)+1,FIND("]",A8)-FIND("[",A8)-1)&amp;"] ",""),1),LEFT(A8,1))&amp;CHAR(34)&amp;","</f>
        <v>"startC",</v>
      </c>
      <c r="DF8" s="44" t="str">
        <f t="shared" si="24"/>
        <v/>
      </c>
      <c r="DG8" s="44" t="str">
        <f t="shared" si="25"/>
        <v/>
      </c>
      <c r="DH8" s="44" t="str">
        <f t="shared" si="26"/>
        <v/>
      </c>
      <c r="DI8" s="44" t="str">
        <f t="shared" si="27"/>
        <v/>
      </c>
      <c r="DJ8" s="44" t="str">
        <f t="shared" si="28"/>
        <v/>
      </c>
      <c r="DK8" s="44" t="str">
        <f t="shared" si="29"/>
        <v/>
      </c>
      <c r="DL8" s="44" t="str">
        <f t="shared" si="30"/>
        <v/>
      </c>
      <c r="DM8" s="44" t="str" cm="1">
        <f t="array" ref="DM8">IF(CG8=3,CHAR(34) &amp; _xlfn.TEXTJOIN("", TRUE, RIGHT(HP8:HX8, 2)) &amp; CHAR(34) &amp; ",", "")</f>
        <v/>
      </c>
      <c r="DN8" s="44" t="str">
        <f t="shared" si="31"/>
        <v/>
      </c>
      <c r="DO8" s="44" t="str">
        <f t="shared" si="32"/>
        <v>"year19",</v>
      </c>
      <c r="DP8" s="5" t="str">
        <f t="shared" si="33"/>
        <v/>
      </c>
      <c r="DQ8" s="5" t="str">
        <f t="shared" si="34"/>
        <v/>
      </c>
      <c r="DR8" s="5" t="str">
        <f t="shared" si="35"/>
        <v/>
      </c>
      <c r="DS8" s="5" t="str">
        <f t="shared" si="36"/>
        <v/>
      </c>
      <c r="DT8" s="5" t="str">
        <f t="shared" si="37"/>
        <v>"allhor",</v>
      </c>
      <c r="DU8" s="5" t="str">
        <f t="shared" si="38"/>
        <v/>
      </c>
      <c r="DW8" s="44" t="str">
        <f t="shared" si="39"/>
        <v/>
      </c>
      <c r="DX8" s="44" t="str">
        <f t="shared" si="40"/>
        <v/>
      </c>
      <c r="DY8" s="44" t="str">
        <f t="shared" si="41"/>
        <v>"3Bands",</v>
      </c>
      <c r="DZ8" s="44" t="str">
        <f t="shared" si="42"/>
        <v/>
      </c>
      <c r="EA8" s="44" t="str">
        <f t="shared" si="43"/>
        <v>"Diagon",</v>
      </c>
      <c r="EB8" s="44" t="str">
        <f t="shared" si="44"/>
        <v>"Crosse",</v>
      </c>
      <c r="EC8" s="44" t="str">
        <f t="shared" si="45"/>
        <v>"Horizo",</v>
      </c>
      <c r="ED8" s="44" t="str">
        <f t="shared" si="46"/>
        <v/>
      </c>
      <c r="EE8" s="44" t="str">
        <f t="shared" si="47"/>
        <v>"Circle",</v>
      </c>
      <c r="EF8" s="44" t="str">
        <f t="shared" si="48"/>
        <v/>
      </c>
      <c r="EG8" s="44" t="str">
        <f t="shared" si="49"/>
        <v/>
      </c>
      <c r="EH8" s="44" t="str">
        <f t="shared" si="50"/>
        <v>"Plants",</v>
      </c>
      <c r="EI8" s="44" t="str">
        <f t="shared" si="51"/>
        <v>"Texted",</v>
      </c>
      <c r="EJ8" s="44" t="str">
        <f t="shared" si="52"/>
        <v/>
      </c>
      <c r="EK8" s="44" t="str">
        <f t="shared" si="53"/>
        <v>"HasSun",</v>
      </c>
      <c r="EL8" s="44" t="str">
        <f t="shared" si="54"/>
        <v/>
      </c>
      <c r="EM8" s="44" t="str">
        <f t="shared" si="55"/>
        <v>"Trside",</v>
      </c>
      <c r="EN8" s="44" t="str">
        <f t="shared" si="56"/>
        <v>"Unequa",</v>
      </c>
      <c r="EO8" s="44" t="str">
        <f t="shared" si="57"/>
        <v/>
      </c>
      <c r="EP8" s="44" t="str">
        <f t="shared" si="58"/>
        <v/>
      </c>
      <c r="EQ8" s="44" t="str">
        <f t="shared" si="59"/>
        <v/>
      </c>
      <c r="ER8" s="44" t="str">
        <f t="shared" si="60"/>
        <v/>
      </c>
      <c r="ES8" s="44" t="str">
        <f t="shared" si="61"/>
        <v/>
      </c>
      <c r="ET8" s="44" t="str">
        <f t="shared" si="62"/>
        <v/>
      </c>
      <c r="EU8" s="44" t="str">
        <f t="shared" si="63"/>
        <v>"Humans",</v>
      </c>
      <c r="EV8" s="44" t="str">
        <f t="shared" si="64"/>
        <v/>
      </c>
      <c r="EW8" s="44" t="str">
        <f t="shared" si="65"/>
        <v/>
      </c>
      <c r="EX8" s="44" t="str">
        <f t="shared" si="66"/>
        <v/>
      </c>
      <c r="EY8" s="44" t="str">
        <f t="shared" si="67"/>
        <v/>
      </c>
      <c r="EZ8" s="44" t="str">
        <f t="shared" si="68"/>
        <v/>
      </c>
      <c r="FA8" s="44" t="str">
        <f t="shared" si="69"/>
        <v/>
      </c>
      <c r="FB8" s="44" t="str">
        <f t="shared" si="70"/>
        <v/>
      </c>
      <c r="FD8" s="44" t="str">
        <f t="shared" si="71"/>
        <v/>
      </c>
      <c r="FE8" s="44" t="str">
        <f t="shared" si="72"/>
        <v/>
      </c>
      <c r="FF8" s="44" t="str">
        <f t="shared" si="73"/>
        <v/>
      </c>
      <c r="FG8" s="44" t="str">
        <f t="shared" si="74"/>
        <v/>
      </c>
      <c r="FH8" s="44" t="str">
        <f t="shared" si="75"/>
        <v/>
      </c>
      <c r="FI8" s="44" t="str">
        <f t="shared" si="76"/>
        <v/>
      </c>
      <c r="FJ8" s="44" t="str">
        <f t="shared" si="77"/>
        <v/>
      </c>
      <c r="FK8" s="44" t="str">
        <f t="shared" si="78"/>
        <v/>
      </c>
      <c r="FL8" s="44" t="str">
        <f t="shared" si="79"/>
        <v/>
      </c>
      <c r="FM8" s="44" t="str">
        <f t="shared" si="80"/>
        <v/>
      </c>
      <c r="FN8" s="44" t="str">
        <f t="shared" si="81"/>
        <v/>
      </c>
      <c r="FO8" s="44" t="str">
        <f t="shared" si="82"/>
        <v/>
      </c>
      <c r="FP8" s="44" t="str">
        <f t="shared" si="83"/>
        <v/>
      </c>
      <c r="FQ8" s="44" t="str">
        <f t="shared" si="84"/>
        <v>"001BLU",</v>
      </c>
      <c r="FR8" s="44" t="str">
        <f t="shared" si="85"/>
        <v>"002WHI",</v>
      </c>
      <c r="FS8" s="44" t="str">
        <f t="shared" si="86"/>
        <v>"003BLU",</v>
      </c>
      <c r="FT8" s="44" t="str">
        <f t="shared" si="87"/>
        <v>"myrBLU",</v>
      </c>
      <c r="FU8" s="44" t="str">
        <f t="shared" si="88"/>
        <v/>
      </c>
      <c r="FV8" s="44" t="str">
        <f t="shared" si="89"/>
        <v/>
      </c>
      <c r="FW8" s="44" t="str">
        <f t="shared" si="90"/>
        <v/>
      </c>
      <c r="FY8" s="44" t="str">
        <f t="shared" si="91"/>
        <v/>
      </c>
      <c r="FZ8" s="44" t="str">
        <f t="shared" si="92"/>
        <v/>
      </c>
      <c r="GA8" s="44" t="str">
        <f t="shared" si="93"/>
        <v/>
      </c>
      <c r="GB8" s="44" t="str">
        <f t="shared" si="94"/>
        <v/>
      </c>
      <c r="GE8" s="44" t="str">
        <f t="shared" si="95"/>
        <v/>
      </c>
      <c r="GF8" s="44" t="str">
        <f>IFERROR(IF(SEARCH("Historical",AU8)&gt;0,CHAR(34)&amp;"histor"&amp;CHAR(34)&amp;",",""),"")</f>
        <v/>
      </c>
      <c r="GG8" s="44" t="str">
        <f t="shared" si="96"/>
        <v/>
      </c>
      <c r="GH8" s="44" t="str">
        <f t="shared" si="97"/>
        <v/>
      </c>
      <c r="GI8" s="44" t="str">
        <f t="shared" si="98"/>
        <v/>
      </c>
      <c r="GJ8" s="44" t="str">
        <f t="shared" si="99"/>
        <v>"NoStar",</v>
      </c>
      <c r="GK8" s="44" t="str">
        <f t="shared" si="100"/>
        <v/>
      </c>
      <c r="GL8" s="44" t="str">
        <f t="shared" si="101"/>
        <v/>
      </c>
      <c r="GM8" s="44" t="str">
        <f t="shared" si="102"/>
        <v/>
      </c>
      <c r="GN8" s="44" t="str">
        <f t="shared" si="103"/>
        <v/>
      </c>
      <c r="GP8" s="44" t="str">
        <f t="shared" si="104"/>
        <v>"Province"</v>
      </c>
      <c r="GS8" s="44" t="str">
        <f t="shared" si="105"/>
        <v>["5+Colo","lets10","startC","year19","allhor","3Bands","Diagon","Crosse","Horizo","Circle","Plants","Texted","HasSun","Trside","Unequa","Humans","001BLU","002WHI","003BLU","myrBLU","NoStar"]</v>
      </c>
      <c r="GT8" s="44" t="str">
        <f t="shared" si="106"/>
        <v>"cl_BLA",</v>
      </c>
      <c r="GU8" s="44" t="str">
        <f t="shared" si="107"/>
        <v>"cl_BLU",</v>
      </c>
      <c r="GV8" s="44" t="str">
        <f t="shared" si="108"/>
        <v>"cl_GRE",</v>
      </c>
      <c r="GW8" s="44" t="str">
        <f t="shared" si="109"/>
        <v>"cl_RED",</v>
      </c>
      <c r="GX8" s="44" t="str">
        <f t="shared" si="110"/>
        <v>"cl_YEL",</v>
      </c>
      <c r="GY8" s="44" t="str">
        <f t="shared" si="111"/>
        <v/>
      </c>
      <c r="GZ8" s="44" t="str">
        <f t="shared" si="112"/>
        <v>"cl_BRO",</v>
      </c>
      <c r="HA8" s="44" t="str">
        <f t="shared" si="113"/>
        <v/>
      </c>
      <c r="HB8" s="44" t="str">
        <f t="shared" si="114"/>
        <v>"cl_WHI",</v>
      </c>
      <c r="HC8" s="44" t="str">
        <f t="shared" si="115"/>
        <v>["cl_BLA","cl_BLU","cl_GRE","cl_RED","cl_YEL","cl_BRO","cl_WHI"]</v>
      </c>
      <c r="HE8" s="64"/>
      <c r="HF8" s="65" t="str">
        <f t="shared" si="116"/>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links: "https://www.crwflags.com/fotw/flags/ar-w.html#1823"},</v>
      </c>
      <c r="HG8" s="66" t="str">
        <f t="shared" si="117"/>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links: "https://www.crwflags.com/fotw/flags/ar-w.html#1823"},</v>
      </c>
      <c r="HH8" s="44" t="str">
        <f t="shared" si="118"/>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I8" s="44" t="str">
        <f t="shared" si="119"/>
        <v>"\nBy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v>
      </c>
      <c r="HJ8" s="44" t="str">
        <f t="shared" si="120"/>
        <v>"1986"</v>
      </c>
      <c r="HL8" s="44" t="str">
        <f t="shared" si="121"/>
        <v>"https://www.crwflags.com/fotw/flags/ar-w.html#1823"</v>
      </c>
      <c r="HM8" s="65" t="str">
        <f t="shared" si="122"/>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N8" s="67" t="str">
        <f t="shared" si="123"/>
        <v>{"couname":"[ARG] Corrientes","year":"1986","region":"rgn_South America","Colors":["cl_BLA","cl_BLU","cl_GRE","cl_RED","cl_YEL","cl_BRO","cl_WHI"],"Items":["5+Colo","lets10","startC","year19","allhor","3Bands","Diagon","Crosse","Horizo","Circle","Plants","Texted","HasSun","Trside","Unequa","Humans","001BLU","002WHI","003BLU","myrBLU","NoStar"],"Flag":"https://upload.wikimedia.org/wikipedia/commons/thumb/4/46/Bandera_de_la_Provincia_de_Corrientes.svg/320px-Bandera_de_la_Provincia_de_Corrientes.svg.png","HDFlag":"https://upload.wikimedia.org/wikipedia/commons/thumb/4/46/Bandera_de_la_Provincia_de_Corrientes.svg/800px-Bandera_de_la_Provincia_de_Corrientes.svg.png","type":"Province", "describe": "\nBy provincial decree of 1986, the previous historical flag, perhaps in 1823, with the provincial Assembly removed the emblem from the flag and replaced it with a blue triangle at the hoist — known as Bandera del Pico, was adopted with some changes: The provincial emblem was added, as also the motto 'Patria, Libertad y Constitución' ('Fatherland, Freedom and Constitution')", "isnew": ".", "links": "https://www.crwflags.com/fotw/flags/ar-w.html#1823"},</v>
      </c>
      <c r="HO8" s="71">
        <v>45610</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GRE</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BRO</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 t="shared" si="124"/>
        <v>-7</v>
      </c>
      <c r="IN8" s="69" t="str">
        <f t="shared" si="125"/>
        <v>http://mkweb.bcgsc.ca/color-summarizer/?url=https://upload.wikimedia.org/wikipedia/commons/thumb/4/46/Bandera_de_la_Provincia_de_Corrientes.svg/320px-Bandera_de_la_Provincia_de_Corrientes.svg.png&amp;precision=low&amp;num_clusters=7&amp;text=1</v>
      </c>
      <c r="IO8" s="44" t="str">
        <f t="shared" si="126"/>
        <v>"black"</v>
      </c>
      <c r="IP8" s="44" t="str">
        <f t="shared" si="127"/>
        <v>"blue"</v>
      </c>
      <c r="IQ8" s="44" t="str">
        <f t="shared" si="128"/>
        <v>"green"</v>
      </c>
      <c r="IR8" s="44" t="str">
        <f t="shared" si="129"/>
        <v>"red"</v>
      </c>
      <c r="IS8" s="44" t="str">
        <f t="shared" si="130"/>
        <v>"yellow"</v>
      </c>
      <c r="IT8" s="44" t="str">
        <f t="shared" si="131"/>
        <v/>
      </c>
      <c r="IU8" s="44" t="str">
        <f t="shared" si="132"/>
        <v>"brown"</v>
      </c>
      <c r="IV8" s="44" t="str">
        <f t="shared" si="133"/>
        <v/>
      </c>
      <c r="IW8" s="44" t="str">
        <f t="shared" si="134"/>
        <v>"white"</v>
      </c>
      <c r="IX8" s="44" t="str">
        <f t="shared" si="135"/>
        <v>{"url":"http://mkweb.bcgsc.ca/color-summarizer/?url=https://upload.wikimedia.org/wikipedia/commons/thumb/4/46/Bandera_de_la_Provincia_de_Corrientes.svg/320px-Bandera_de_la_Provincia_de_Corrientes.svg.png&amp;precision=low&amp;num_clusters=7&amp;text=1","name":"[ARG] Corrientes"},</v>
      </c>
      <c r="IY8" s="44">
        <v>1236</v>
      </c>
    </row>
    <row r="9" spans="1:259" s="44" customFormat="1" ht="38.4" customHeight="1" thickBot="1" x14ac:dyDescent="0.35">
      <c r="A9" s="84" t="s">
        <v>614</v>
      </c>
      <c r="B9" s="83" t="e" vm="8">
        <v>#VALUE!</v>
      </c>
      <c r="C9" s="39">
        <v>2</v>
      </c>
      <c r="D9" s="70" t="s">
        <v>615</v>
      </c>
      <c r="E9" s="40" t="s">
        <v>616</v>
      </c>
      <c r="F9" s="41" t="s">
        <v>163</v>
      </c>
      <c r="G9" s="42">
        <f t="shared" si="0"/>
        <v>1</v>
      </c>
      <c r="H9" s="43"/>
      <c r="I9" s="59" t="s">
        <v>617</v>
      </c>
      <c r="J9" s="44" t="str">
        <f>""</f>
        <v/>
      </c>
      <c r="K9" s="45"/>
      <c r="L9" s="46"/>
      <c r="M9" s="46"/>
      <c r="N9" s="47" t="s">
        <v>177</v>
      </c>
      <c r="O9" s="74">
        <v>1991</v>
      </c>
      <c r="P9" s="48" t="s">
        <v>618</v>
      </c>
      <c r="Q9" s="73">
        <f>IFERROR(LEN(TRIM(SUBSTITUTE(SUBSTITUTE(SUBSTITUTE(A9,LEFT(A9,6),""), "(", ""), ")", "")))-LEN(SUBSTITUTE(TRIM(SUBSTITUTE(SUBSTITUTE(SUBSTITUTE(A9,LEFT(A9,6),""), "(", ""), ")", "")), " ", ""))+1, 0)</f>
        <v>1</v>
      </c>
      <c r="R9" s="49" t="s">
        <v>177</v>
      </c>
      <c r="S9" s="50">
        <v>3</v>
      </c>
      <c r="T9" s="51" t="s">
        <v>165</v>
      </c>
      <c r="U9" s="52" t="s">
        <v>164</v>
      </c>
      <c r="V9" s="52" t="s">
        <v>165</v>
      </c>
      <c r="W9" s="52" t="s">
        <v>164</v>
      </c>
      <c r="X9" s="52" t="s">
        <v>165</v>
      </c>
      <c r="Y9" s="52" t="s">
        <v>164</v>
      </c>
      <c r="Z9" s="52" t="s">
        <v>164</v>
      </c>
      <c r="AA9" s="52" t="s">
        <v>165</v>
      </c>
      <c r="AB9" s="52" t="s">
        <v>164</v>
      </c>
      <c r="AC9" s="52" t="s">
        <v>164</v>
      </c>
      <c r="AD9" s="52" t="s">
        <v>164</v>
      </c>
      <c r="AE9" s="52" t="s">
        <v>164</v>
      </c>
      <c r="AF9" s="53" t="s">
        <v>164</v>
      </c>
      <c r="AG9" s="53" t="s">
        <v>164</v>
      </c>
      <c r="AH9" s="53" t="s">
        <v>164</v>
      </c>
      <c r="AI9" s="53" t="s">
        <v>164</v>
      </c>
      <c r="AJ9" s="53" t="s">
        <v>164</v>
      </c>
      <c r="AK9" s="53" t="s">
        <v>164</v>
      </c>
      <c r="AL9" s="53" t="s">
        <v>164</v>
      </c>
      <c r="AM9" s="53" t="s">
        <v>164</v>
      </c>
      <c r="AN9" s="53" t="s">
        <v>164</v>
      </c>
      <c r="AO9" s="53" t="s">
        <v>164</v>
      </c>
      <c r="AP9" s="53" t="s">
        <v>164</v>
      </c>
      <c r="AQ9" s="53" t="s">
        <v>164</v>
      </c>
      <c r="AR9" s="53" t="s">
        <v>164</v>
      </c>
      <c r="AS9" s="53" t="s">
        <v>164</v>
      </c>
      <c r="AT9" s="54">
        <v>9</v>
      </c>
      <c r="AU9" s="53" t="s">
        <v>284</v>
      </c>
      <c r="AV9" s="53" t="str">
        <f t="shared" si="1"/>
        <v>[ARG]Province[ARG] Formosa</v>
      </c>
      <c r="AW9" s="53" t="str">
        <f t="shared" si="2"/>
        <v>2[ARG] Formosa</v>
      </c>
      <c r="AX9" s="55"/>
      <c r="AY9" s="55"/>
      <c r="AZ9" s="56" t="s">
        <v>155</v>
      </c>
      <c r="BA9" s="56" t="s">
        <v>234</v>
      </c>
      <c r="BB9" s="56"/>
      <c r="BC9" s="57"/>
      <c r="BD9" s="58" t="s">
        <v>152</v>
      </c>
      <c r="BE9" s="59"/>
      <c r="BF9" s="58" t="s">
        <v>152</v>
      </c>
      <c r="BG9" s="58" t="s">
        <v>159</v>
      </c>
      <c r="BH9" s="58" t="s">
        <v>152</v>
      </c>
      <c r="BI9" s="58"/>
      <c r="BJ9" s="58"/>
      <c r="BK9" s="59"/>
      <c r="BL9" s="58" t="s">
        <v>234</v>
      </c>
      <c r="BM9" s="58" t="s">
        <v>152</v>
      </c>
      <c r="BN9" s="58" t="s">
        <v>153</v>
      </c>
      <c r="BO9" s="58" t="s">
        <v>234</v>
      </c>
      <c r="BP9" s="58" t="s">
        <v>155</v>
      </c>
      <c r="BQ9" s="58" t="s">
        <v>234</v>
      </c>
      <c r="BR9" s="58" t="s">
        <v>234</v>
      </c>
      <c r="BS9" s="58" t="s">
        <v>234</v>
      </c>
      <c r="BT9" s="58" t="s">
        <v>159</v>
      </c>
      <c r="BU9" s="60"/>
      <c r="BV9" s="61"/>
      <c r="BW9" s="61">
        <v>0</v>
      </c>
      <c r="BX9" s="59"/>
      <c r="BY9" s="44" t="s">
        <v>164</v>
      </c>
      <c r="CB9" s="5"/>
      <c r="CC9" s="5"/>
      <c r="CD9" s="62">
        <v>0</v>
      </c>
      <c r="CE9" s="62">
        <v>0</v>
      </c>
      <c r="CF9" s="62" t="e">
        <v>#REF!</v>
      </c>
      <c r="CG9" s="75" cm="1">
        <f t="array" ref="CG9">SUMPRODUCT(--(LEN(TRIM(BL9:BT9))&gt;0))</f>
        <v>4</v>
      </c>
      <c r="CH9" s="53" t="str">
        <f t="shared" si="3"/>
        <v>n</v>
      </c>
      <c r="CI9" s="53" t="str">
        <f t="shared" si="4"/>
        <v>n</v>
      </c>
      <c r="CJ9" s="53" t="str">
        <f t="shared" si="5"/>
        <v>y</v>
      </c>
      <c r="CK9" s="53" t="str">
        <f t="shared" si="6"/>
        <v>n</v>
      </c>
      <c r="CL9" s="53" t="str">
        <f t="shared" si="7"/>
        <v>n</v>
      </c>
      <c r="CM9" s="53" t="str">
        <f t="shared" si="8"/>
        <v>n</v>
      </c>
      <c r="CN9" s="53" t="str">
        <f t="shared" si="9"/>
        <v>y</v>
      </c>
      <c r="CO9" s="53" t="str">
        <f t="shared" si="10"/>
        <v>n</v>
      </c>
      <c r="CP9" s="53" t="str">
        <f t="shared" si="11"/>
        <v>n</v>
      </c>
      <c r="CQ9" s="53" t="str">
        <f t="shared" si="12"/>
        <v>n</v>
      </c>
      <c r="CR9" s="53" t="str">
        <f t="shared" si="13"/>
        <v>n</v>
      </c>
      <c r="CS9" s="53" t="str">
        <f t="shared" si="14"/>
        <v>y</v>
      </c>
      <c r="CT9" s="38" t="str">
        <f t="shared" si="15"/>
        <v>"[ARG] Formosa"</v>
      </c>
      <c r="CU9" s="63" t="str">
        <f t="shared" si="16"/>
        <v>"rgn_South America"</v>
      </c>
      <c r="CV9" s="44" t="str">
        <f t="shared" si="17"/>
        <v>"https://upload.wikimedia.org/wikipedia/commons/thumb/4/42/Bandera_de_la_Provincia_de_Formosa.svg/320px-Bandera_de_la_Provincia_de_Formosa.svg.png"</v>
      </c>
      <c r="CW9" s="44" t="str">
        <f t="shared" si="18"/>
        <v/>
      </c>
      <c r="CX9" s="44" t="str">
        <f t="shared" si="19"/>
        <v/>
      </c>
      <c r="CY9" s="44" t="str">
        <f t="shared" si="20"/>
        <v>"4Color",</v>
      </c>
      <c r="CZ9" s="44" t="str">
        <f t="shared" si="21"/>
        <v/>
      </c>
      <c r="DA9" s="44" t="str">
        <f t="shared" si="22"/>
        <v/>
      </c>
      <c r="DB9" s="44" t="str">
        <f t="shared" si="23"/>
        <v/>
      </c>
      <c r="DD9" s="44"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"lets07",</v>
      </c>
      <c r="DE9" s="44" t="str">
        <f>CHAR(34)&amp;"start"&amp;IFERROR(LEFT(SUBSTITUTE(A9,"["&amp;MID(A9,FIND("[",A9)+1,FIND("]",A9)-FIND("[",A9)-1)&amp;"] ",""),1),LEFT(A9,1))&amp;CHAR(34)&amp;","</f>
        <v>"startF",</v>
      </c>
      <c r="DF9" s="44" t="str">
        <f t="shared" si="24"/>
        <v/>
      </c>
      <c r="DG9" s="44" t="str">
        <f t="shared" si="25"/>
        <v/>
      </c>
      <c r="DH9" s="44" t="str">
        <f t="shared" si="26"/>
        <v/>
      </c>
      <c r="DI9" s="44" t="str">
        <f t="shared" si="27"/>
        <v/>
      </c>
      <c r="DJ9" s="44" t="str">
        <f t="shared" si="28"/>
        <v/>
      </c>
      <c r="DK9" s="44" t="str">
        <f t="shared" si="29"/>
        <v/>
      </c>
      <c r="DL9" s="44" t="str">
        <f t="shared" si="30"/>
        <v/>
      </c>
      <c r="DM9" s="44" t="str" cm="1">
        <f t="array" ref="DM9">IF(CG9=3,CHAR(34) &amp; _xlfn.TEXTJOIN("", TRUE, RIGHT(HP9:HX9, 2)) &amp; CHAR(34) &amp; ",", "")</f>
        <v/>
      </c>
      <c r="DN9" s="44" t="str">
        <f t="shared" si="31"/>
        <v/>
      </c>
      <c r="DO9" s="44" t="str">
        <f t="shared" si="32"/>
        <v>"year19",</v>
      </c>
      <c r="DP9" s="5" t="str">
        <f t="shared" si="33"/>
        <v/>
      </c>
      <c r="DQ9" s="5" t="str">
        <f t="shared" si="34"/>
        <v/>
      </c>
      <c r="DR9" s="5" t="str">
        <f t="shared" si="35"/>
        <v/>
      </c>
      <c r="DS9" s="5" t="str">
        <f t="shared" si="36"/>
        <v/>
      </c>
      <c r="DT9" s="5" t="str">
        <f t="shared" si="37"/>
        <v>"allhor",</v>
      </c>
      <c r="DU9" s="5" t="str">
        <f t="shared" si="38"/>
        <v/>
      </c>
      <c r="DW9" s="44" t="str">
        <f t="shared" si="39"/>
        <v/>
      </c>
      <c r="DX9" s="44" t="str">
        <f t="shared" si="40"/>
        <v/>
      </c>
      <c r="DY9" s="44" t="str">
        <f t="shared" si="41"/>
        <v>"3Bands",</v>
      </c>
      <c r="DZ9" s="44" t="str">
        <f t="shared" si="42"/>
        <v/>
      </c>
      <c r="EA9" s="44" t="str">
        <f t="shared" si="43"/>
        <v>"Diagon",</v>
      </c>
      <c r="EB9" s="44" t="str">
        <f t="shared" si="44"/>
        <v/>
      </c>
      <c r="EC9" s="44" t="str">
        <f t="shared" si="45"/>
        <v>"Horizo",</v>
      </c>
      <c r="ED9" s="44" t="str">
        <f t="shared" si="46"/>
        <v/>
      </c>
      <c r="EE9" s="44" t="str">
        <f t="shared" si="47"/>
        <v>"Circle",</v>
      </c>
      <c r="EF9" s="44" t="str">
        <f t="shared" si="48"/>
        <v/>
      </c>
      <c r="EG9" s="44" t="str">
        <f t="shared" si="49"/>
        <v/>
      </c>
      <c r="EH9" s="44" t="str">
        <f t="shared" si="50"/>
        <v>"Plants",</v>
      </c>
      <c r="EI9" s="44" t="str">
        <f t="shared" si="51"/>
        <v/>
      </c>
      <c r="EJ9" s="44" t="str">
        <f t="shared" si="52"/>
        <v/>
      </c>
      <c r="EK9" s="44" t="str">
        <f t="shared" si="53"/>
        <v/>
      </c>
      <c r="EL9" s="44" t="str">
        <f t="shared" si="54"/>
        <v/>
      </c>
      <c r="EM9" s="44" t="str">
        <f t="shared" si="55"/>
        <v/>
      </c>
      <c r="EN9" s="44" t="str">
        <f t="shared" si="56"/>
        <v/>
      </c>
      <c r="EO9" s="44" t="str">
        <f t="shared" si="57"/>
        <v/>
      </c>
      <c r="EP9" s="44" t="str">
        <f t="shared" si="58"/>
        <v/>
      </c>
      <c r="EQ9" s="44" t="str">
        <f t="shared" si="59"/>
        <v/>
      </c>
      <c r="ER9" s="44" t="str">
        <f t="shared" si="60"/>
        <v/>
      </c>
      <c r="ES9" s="44" t="str">
        <f t="shared" si="61"/>
        <v/>
      </c>
      <c r="ET9" s="44" t="str">
        <f t="shared" si="62"/>
        <v/>
      </c>
      <c r="EU9" s="44" t="str">
        <f t="shared" si="63"/>
        <v/>
      </c>
      <c r="EV9" s="44" t="str">
        <f t="shared" si="64"/>
        <v/>
      </c>
      <c r="EW9" s="44" t="str">
        <f t="shared" si="65"/>
        <v/>
      </c>
      <c r="EX9" s="44" t="str">
        <f t="shared" si="66"/>
        <v/>
      </c>
      <c r="EY9" s="44" t="str">
        <f t="shared" si="67"/>
        <v/>
      </c>
      <c r="EZ9" s="44" t="str">
        <f t="shared" si="68"/>
        <v/>
      </c>
      <c r="FA9" s="44" t="str">
        <f t="shared" si="69"/>
        <v>"staYEL",</v>
      </c>
      <c r="FB9" s="44" t="str">
        <f t="shared" si="70"/>
        <v/>
      </c>
      <c r="FD9" s="44" t="str">
        <f t="shared" si="71"/>
        <v/>
      </c>
      <c r="FE9" s="44" t="str">
        <f t="shared" si="72"/>
        <v/>
      </c>
      <c r="FF9" s="44" t="str">
        <f t="shared" si="73"/>
        <v/>
      </c>
      <c r="FG9" s="44" t="str">
        <f t="shared" si="74"/>
        <v>"NO_RED",</v>
      </c>
      <c r="FH9" s="44" t="str">
        <f t="shared" si="75"/>
        <v/>
      </c>
      <c r="FI9" s="44" t="str">
        <f t="shared" si="76"/>
        <v/>
      </c>
      <c r="FJ9" s="44" t="str">
        <f t="shared" si="77"/>
        <v>"NO_BLA",</v>
      </c>
      <c r="FK9" s="44" t="str">
        <f t="shared" si="78"/>
        <v/>
      </c>
      <c r="FL9" s="44" t="str">
        <f t="shared" si="79"/>
        <v/>
      </c>
      <c r="FM9" s="44" t="str">
        <f t="shared" si="80"/>
        <v/>
      </c>
      <c r="FN9" s="44" t="str">
        <f t="shared" si="81"/>
        <v/>
      </c>
      <c r="FO9" s="44" t="str">
        <f t="shared" si="82"/>
        <v/>
      </c>
      <c r="FP9" s="44" t="str">
        <f t="shared" si="83"/>
        <v/>
      </c>
      <c r="FQ9" s="44" t="str">
        <f t="shared" si="84"/>
        <v>"001BLU",</v>
      </c>
      <c r="FR9" s="44" t="str">
        <f t="shared" si="85"/>
        <v>"002WHI",</v>
      </c>
      <c r="FS9" s="44" t="str">
        <f t="shared" si="86"/>
        <v>"003BLU",</v>
      </c>
      <c r="FT9" s="44" t="str">
        <f t="shared" si="87"/>
        <v>"myrBLU",</v>
      </c>
      <c r="FU9" s="44" t="str">
        <f t="shared" si="88"/>
        <v/>
      </c>
      <c r="FV9" s="44" t="str">
        <f t="shared" si="89"/>
        <v/>
      </c>
      <c r="FW9" s="44" t="str">
        <f t="shared" si="90"/>
        <v/>
      </c>
      <c r="FY9" s="44" t="str">
        <f t="shared" si="91"/>
        <v/>
      </c>
      <c r="FZ9" s="44" t="str">
        <f t="shared" si="92"/>
        <v/>
      </c>
      <c r="GA9" s="44" t="str">
        <f t="shared" si="93"/>
        <v/>
      </c>
      <c r="GB9" s="44" t="str">
        <f t="shared" si="94"/>
        <v/>
      </c>
      <c r="GE9" s="44" t="str">
        <f t="shared" si="95"/>
        <v/>
      </c>
      <c r="GF9" s="44" t="str">
        <f>IFERROR(IF(SEARCH("Historical",AU9)&gt;0,CHAR(34)&amp;"histor"&amp;CHAR(34)&amp;",",""),"")</f>
        <v/>
      </c>
      <c r="GG9" s="44" t="str">
        <f t="shared" si="96"/>
        <v/>
      </c>
      <c r="GH9" s="44" t="str">
        <f t="shared" si="97"/>
        <v/>
      </c>
      <c r="GI9" s="44" t="str">
        <f t="shared" si="98"/>
        <v/>
      </c>
      <c r="GJ9" s="44" t="str">
        <f t="shared" si="99"/>
        <v/>
      </c>
      <c r="GK9" s="44" t="str">
        <f t="shared" si="100"/>
        <v>"HasSta",</v>
      </c>
      <c r="GL9" s="44" t="str">
        <f t="shared" si="101"/>
        <v/>
      </c>
      <c r="GM9" s="44" t="str">
        <f t="shared" si="102"/>
        <v/>
      </c>
      <c r="GN9" s="44" t="str">
        <f t="shared" si="103"/>
        <v>"3+Star",</v>
      </c>
      <c r="GP9" s="44" t="str">
        <f t="shared" si="104"/>
        <v>"Province"</v>
      </c>
      <c r="GS9" s="44" t="str">
        <f t="shared" si="105"/>
        <v>["4Color","lets07","startF","year19","allhor","3Bands","Diagon","Horizo","Circle","Plants","staYEL","NO_RED","NO_BLA","001BLU","002WHI","003BLU","myrBLU","HasSta","3+Star"]</v>
      </c>
      <c r="GT9" s="44" t="str">
        <f t="shared" si="106"/>
        <v/>
      </c>
      <c r="GU9" s="44" t="str">
        <f t="shared" si="107"/>
        <v>"cl_BLU",</v>
      </c>
      <c r="GV9" s="44" t="str">
        <f t="shared" si="108"/>
        <v>"cl_GRE",</v>
      </c>
      <c r="GW9" s="44" t="str">
        <f t="shared" si="109"/>
        <v/>
      </c>
      <c r="GX9" s="44" t="str">
        <f t="shared" si="110"/>
        <v>"cl_YEL",</v>
      </c>
      <c r="GY9" s="44" t="str">
        <f t="shared" si="111"/>
        <v/>
      </c>
      <c r="GZ9" s="44" t="str">
        <f t="shared" si="112"/>
        <v/>
      </c>
      <c r="HA9" s="44" t="str">
        <f t="shared" si="113"/>
        <v/>
      </c>
      <c r="HB9" s="44" t="str">
        <f t="shared" si="114"/>
        <v>"cl_WHI",</v>
      </c>
      <c r="HC9" s="44" t="str">
        <f t="shared" si="115"/>
        <v>["cl_BLU","cl_GRE","cl_YEL","cl_WHI"]</v>
      </c>
      <c r="HE9" s="64"/>
      <c r="HF9" s="65" t="str">
        <f t="shared" si="116"/>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links: "https://www.crwflags.com/fotw/flags/ar-p.html"},</v>
      </c>
      <c r="HG9" s="66" t="str">
        <f t="shared" si="117"/>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links: "https://www.crwflags.com/fotw/flags/ar-p.html"},</v>
      </c>
      <c r="HH9" s="44" t="str">
        <f t="shared" si="118"/>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I9" s="44" t="str">
        <f t="shared" si="119"/>
        <v>"\nThe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v>
      </c>
      <c r="HJ9" s="44" t="str">
        <f t="shared" si="120"/>
        <v>"1991"</v>
      </c>
      <c r="HL9" s="44" t="str">
        <f t="shared" si="121"/>
        <v>"https://www.crwflags.com/fotw/flags/ar-p.html"</v>
      </c>
      <c r="HM9" s="65" t="str">
        <f t="shared" si="122"/>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N9" s="67" t="str">
        <f t="shared" si="123"/>
        <v>{"couname":"[ARG] Formosa","year":"1991","region":"rgn_South America","Colors":["cl_BLU","cl_GRE","cl_YEL","cl_WHI"],"Items":["4Color","lets07","startF","year19","allhor","3Bands","Diagon","Horizo","Circle","Plants","staYEL","NO_RED","NO_BLA","001BLU","002WHI","003BLU","myrBLU","HasSta","3+Star"],"Flag":"https://upload.wikimedia.org/wikipedia/commons/thumb/4/42/Bandera_de_la_Provincia_de_Formosa.svg/320px-Bandera_de_la_Provincia_de_Formosa.svg.png","HDFlag":"https://upload.wikimedia.org/wikipedia/commons/thumb/4/42/Bandera_de_la_Provincia_de_Formosa.svg/640px-Bandera_de_la_Provincia_de_Formosa.svg.png","type":"Province", "describe": "\nThe flag was adopted by resolution 36 of the provincial parliament in 1991. It also includes a white triangle with nine yellow stars. This design was chosen by a competition in February and was created by Maria Beatriz Saez and Walter Wullimburgh. The white triangle symbolizes the Southern Cone between both oceans, and the green lines are the Tropic of Capricorn. The stars stand for the four administrative subdivisions of the province.", "isnew": ".", "links": "https://www.crwflags.com/fotw/flags/ar-p.html"},</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GRE</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 t="shared" si="124"/>
        <v>-4</v>
      </c>
      <c r="IN9" s="69" t="str">
        <f t="shared" si="125"/>
        <v>http://mkweb.bcgsc.ca/color-summarizer/?url=https://upload.wikimedia.org/wikipedia/commons/thumb/4/42/Bandera_de_la_Provincia_de_Formosa.svg/320px-Bandera_de_la_Provincia_de_Formosa.svg.png&amp;precision=low&amp;num_clusters=4&amp;text=1</v>
      </c>
      <c r="IO9" s="44" t="str">
        <f t="shared" si="126"/>
        <v/>
      </c>
      <c r="IP9" s="44" t="str">
        <f t="shared" si="127"/>
        <v>"blue"</v>
      </c>
      <c r="IQ9" s="44" t="str">
        <f t="shared" si="128"/>
        <v>"green"</v>
      </c>
      <c r="IR9" s="44" t="str">
        <f t="shared" si="129"/>
        <v/>
      </c>
      <c r="IS9" s="44" t="str">
        <f t="shared" si="130"/>
        <v>"yellow"</v>
      </c>
      <c r="IT9" s="44" t="str">
        <f t="shared" si="131"/>
        <v/>
      </c>
      <c r="IU9" s="44" t="str">
        <f t="shared" si="132"/>
        <v/>
      </c>
      <c r="IV9" s="44" t="str">
        <f t="shared" si="133"/>
        <v/>
      </c>
      <c r="IW9" s="44" t="str">
        <f t="shared" si="134"/>
        <v>"white"</v>
      </c>
      <c r="IX9" s="44" t="str">
        <f t="shared" si="135"/>
        <v>{"url":"http://mkweb.bcgsc.ca/color-summarizer/?url=https://upload.wikimedia.org/wikipedia/commons/thumb/4/42/Bandera_de_la_Provincia_de_Formosa.svg/320px-Bandera_de_la_Provincia_de_Formosa.svg.png&amp;precision=low&amp;num_clusters=4&amp;text=1","name":"[ARG] Formosa"},</v>
      </c>
      <c r="IY9" s="44">
        <v>1237</v>
      </c>
    </row>
    <row r="10" spans="1:259" s="44" customFormat="1" ht="38.4" customHeight="1" thickBot="1" x14ac:dyDescent="0.35">
      <c r="A10" s="84" t="s">
        <v>619</v>
      </c>
      <c r="B10" s="83" t="e" vm="9">
        <v>#VALUE!</v>
      </c>
      <c r="C10" s="39">
        <v>2</v>
      </c>
      <c r="D10" s="70" t="s">
        <v>620</v>
      </c>
      <c r="E10" s="40" t="s">
        <v>621</v>
      </c>
      <c r="F10" s="41" t="s">
        <v>163</v>
      </c>
      <c r="G10" s="42">
        <f t="shared" si="0"/>
        <v>1</v>
      </c>
      <c r="H10" s="43"/>
      <c r="I10" s="59" t="s">
        <v>622</v>
      </c>
      <c r="J10" s="44" t="str">
        <f>""</f>
        <v/>
      </c>
      <c r="K10" s="45"/>
      <c r="L10" s="46"/>
      <c r="M10" s="46"/>
      <c r="N10" s="47" t="s">
        <v>177</v>
      </c>
      <c r="O10" s="74">
        <v>1993</v>
      </c>
      <c r="P10" s="48" t="s">
        <v>623</v>
      </c>
      <c r="Q10" s="73">
        <v>2</v>
      </c>
      <c r="R10" s="49" t="s">
        <v>177</v>
      </c>
      <c r="S10" s="50">
        <v>3</v>
      </c>
      <c r="T10" s="51" t="s">
        <v>164</v>
      </c>
      <c r="U10" s="52" t="s">
        <v>164</v>
      </c>
      <c r="V10" s="52" t="s">
        <v>165</v>
      </c>
      <c r="W10" s="52" t="s">
        <v>164</v>
      </c>
      <c r="X10" s="52" t="s">
        <v>164</v>
      </c>
      <c r="Y10" s="52" t="s">
        <v>165</v>
      </c>
      <c r="Z10" s="52" t="s">
        <v>164</v>
      </c>
      <c r="AA10" s="52" t="s">
        <v>165</v>
      </c>
      <c r="AB10" s="52" t="s">
        <v>164</v>
      </c>
      <c r="AC10" s="52" t="s">
        <v>165</v>
      </c>
      <c r="AD10" s="52" t="s">
        <v>165</v>
      </c>
      <c r="AE10" s="52" t="s">
        <v>164</v>
      </c>
      <c r="AF10" s="53" t="s">
        <v>164</v>
      </c>
      <c r="AG10" s="53" t="s">
        <v>165</v>
      </c>
      <c r="AH10" s="53" t="s">
        <v>165</v>
      </c>
      <c r="AI10" s="53" t="s">
        <v>164</v>
      </c>
      <c r="AJ10" s="53" t="s">
        <v>164</v>
      </c>
      <c r="AK10" s="53" t="s">
        <v>164</v>
      </c>
      <c r="AL10" s="53" t="s">
        <v>164</v>
      </c>
      <c r="AM10" s="53" t="s">
        <v>164</v>
      </c>
      <c r="AN10" s="53" t="s">
        <v>165</v>
      </c>
      <c r="AO10" s="53" t="s">
        <v>164</v>
      </c>
      <c r="AP10" s="53" t="s">
        <v>164</v>
      </c>
      <c r="AQ10" s="53" t="s">
        <v>164</v>
      </c>
      <c r="AR10" s="53" t="s">
        <v>164</v>
      </c>
      <c r="AS10" s="53" t="s">
        <v>164</v>
      </c>
      <c r="AT10" s="54">
        <v>0</v>
      </c>
      <c r="AU10" s="53" t="s">
        <v>284</v>
      </c>
      <c r="AV10" s="53" t="str">
        <f t="shared" si="1"/>
        <v>[ARG]Province[ARG] La Pampa</v>
      </c>
      <c r="AW10" s="53" t="str">
        <f t="shared" si="2"/>
        <v>2[ARG] La Pampa</v>
      </c>
      <c r="AX10" s="55"/>
      <c r="AY10" s="55"/>
      <c r="AZ10" s="56" t="s">
        <v>234</v>
      </c>
      <c r="BA10" s="56" t="s">
        <v>234</v>
      </c>
      <c r="BB10" s="56"/>
      <c r="BC10" s="57"/>
      <c r="BD10" s="58" t="s">
        <v>152</v>
      </c>
      <c r="BE10" s="59"/>
      <c r="BF10" s="58" t="s">
        <v>152</v>
      </c>
      <c r="BG10" s="58" t="s">
        <v>159</v>
      </c>
      <c r="BH10" s="58" t="s">
        <v>152</v>
      </c>
      <c r="BI10" s="58"/>
      <c r="BJ10" s="58"/>
      <c r="BK10" s="59"/>
      <c r="BL10" s="58" t="s">
        <v>151</v>
      </c>
      <c r="BM10" s="58" t="s">
        <v>152</v>
      </c>
      <c r="BN10" s="58" t="s">
        <v>153</v>
      </c>
      <c r="BO10" s="58" t="s">
        <v>154</v>
      </c>
      <c r="BP10" s="58" t="s">
        <v>155</v>
      </c>
      <c r="BQ10" s="58" t="s">
        <v>156</v>
      </c>
      <c r="BR10" s="58" t="s">
        <v>157</v>
      </c>
      <c r="BS10" s="58" t="s">
        <v>234</v>
      </c>
      <c r="BT10" s="58" t="s">
        <v>159</v>
      </c>
      <c r="BU10" s="60"/>
      <c r="BV10" s="61"/>
      <c r="BW10" s="61">
        <v>0</v>
      </c>
      <c r="BX10" s="59"/>
      <c r="CB10" s="5"/>
      <c r="CC10" s="5"/>
      <c r="CD10" s="62">
        <v>0</v>
      </c>
      <c r="CE10" s="62">
        <v>0</v>
      </c>
      <c r="CF10" s="62" t="e">
        <v>#REF!</v>
      </c>
      <c r="CG10" s="75" cm="1">
        <f t="array" ref="CG10">SUMPRODUCT(--(LEN(TRIM(BL10:BT10))&gt;0))</f>
        <v>8</v>
      </c>
      <c r="CH10" s="53" t="str">
        <f t="shared" si="3"/>
        <v>n</v>
      </c>
      <c r="CI10" s="53" t="str">
        <f t="shared" si="4"/>
        <v>n</v>
      </c>
      <c r="CJ10" s="53" t="str">
        <f t="shared" si="5"/>
        <v>n</v>
      </c>
      <c r="CK10" s="53" t="str">
        <f t="shared" si="6"/>
        <v>y</v>
      </c>
      <c r="CL10" s="53" t="str">
        <f t="shared" si="7"/>
        <v>n</v>
      </c>
      <c r="CM10" s="53" t="str">
        <f t="shared" si="8"/>
        <v>n</v>
      </c>
      <c r="CN10" s="53" t="str">
        <f t="shared" si="9"/>
        <v>y</v>
      </c>
      <c r="CO10" s="53" t="str">
        <f t="shared" si="10"/>
        <v>n</v>
      </c>
      <c r="CP10" s="53" t="str">
        <f t="shared" si="11"/>
        <v>y</v>
      </c>
      <c r="CQ10" s="53" t="str">
        <f t="shared" si="12"/>
        <v>n</v>
      </c>
      <c r="CR10" s="53" t="str">
        <f t="shared" si="13"/>
        <v>n</v>
      </c>
      <c r="CS10" s="53" t="str">
        <f t="shared" si="14"/>
        <v>n</v>
      </c>
      <c r="CT10" s="38" t="str">
        <f t="shared" si="15"/>
        <v>"[ARG] La Pampa"</v>
      </c>
      <c r="CU10" s="63" t="str">
        <f t="shared" si="16"/>
        <v>"rgn_South America"</v>
      </c>
      <c r="CV10" s="44" t="str">
        <f t="shared" si="17"/>
        <v>"https://upload.wikimedia.org/wikipedia/commons/thumb/8/81/Bandera_de_la_Provincia_de_La_Pampa.svg/320px-Bandera_de_la_Provincia_de_La_Pampa.svg.png"</v>
      </c>
      <c r="CW10" s="44" t="str">
        <f t="shared" si="18"/>
        <v/>
      </c>
      <c r="CX10" s="44" t="str">
        <f t="shared" si="19"/>
        <v/>
      </c>
      <c r="CY10" s="44" t="str">
        <f t="shared" si="20"/>
        <v/>
      </c>
      <c r="CZ10" s="44" t="str">
        <f t="shared" si="21"/>
        <v>"5+Colo",</v>
      </c>
      <c r="DA10" s="44" t="str">
        <f t="shared" si="22"/>
        <v>"words2",</v>
      </c>
      <c r="DB10" s="44" t="str">
        <f t="shared" si="23"/>
        <v/>
      </c>
      <c r="DD10" s="44"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"lets07",</v>
      </c>
      <c r="DE10" s="44" t="str">
        <f>CHAR(34)&amp;"start"&amp;IFERROR(LEFT(SUBSTITUTE(A10,"["&amp;MID(A10,FIND("[",A10)+1,FIND("]",A10)-FIND("[",A10)-1)&amp;"] ",""),1),LEFT(A10,1))&amp;CHAR(34)&amp;","</f>
        <v>"startL",</v>
      </c>
      <c r="DF10" s="44" t="str">
        <f t="shared" si="24"/>
        <v/>
      </c>
      <c r="DG10" s="44" t="str">
        <f t="shared" si="25"/>
        <v/>
      </c>
      <c r="DH10" s="44" t="str">
        <f t="shared" si="26"/>
        <v/>
      </c>
      <c r="DI10" s="44" t="str">
        <f t="shared" si="27"/>
        <v/>
      </c>
      <c r="DJ10" s="44" t="str">
        <f t="shared" si="28"/>
        <v/>
      </c>
      <c r="DK10" s="44" t="str">
        <f t="shared" si="29"/>
        <v/>
      </c>
      <c r="DL10" s="44" t="str">
        <f t="shared" si="30"/>
        <v/>
      </c>
      <c r="DM10" s="44" t="str" cm="1">
        <f t="array" ref="DM10">IF(CG10=3,CHAR(34) &amp; _xlfn.TEXTJOIN("", TRUE, RIGHT(HP10:HX10, 2)) &amp; CHAR(34) &amp; ",", "")</f>
        <v/>
      </c>
      <c r="DN10" s="44" t="str">
        <f t="shared" si="31"/>
        <v/>
      </c>
      <c r="DO10" s="44" t="str">
        <f t="shared" si="32"/>
        <v>"year19",</v>
      </c>
      <c r="DP10" s="5" t="str">
        <f t="shared" si="33"/>
        <v/>
      </c>
      <c r="DQ10" s="5" t="str">
        <f t="shared" si="34"/>
        <v/>
      </c>
      <c r="DR10" s="5" t="str">
        <f t="shared" si="35"/>
        <v/>
      </c>
      <c r="DS10" s="5" t="str">
        <f t="shared" si="36"/>
        <v/>
      </c>
      <c r="DT10" s="5" t="str">
        <f t="shared" si="37"/>
        <v>"allhor",</v>
      </c>
      <c r="DU10" s="5" t="str">
        <f t="shared" si="38"/>
        <v/>
      </c>
      <c r="DW10" s="44" t="str">
        <f t="shared" si="39"/>
        <v/>
      </c>
      <c r="DX10" s="44" t="str">
        <f t="shared" si="40"/>
        <v/>
      </c>
      <c r="DY10" s="44" t="str">
        <f t="shared" si="41"/>
        <v>"3Bands",</v>
      </c>
      <c r="DZ10" s="44" t="str">
        <f t="shared" si="42"/>
        <v/>
      </c>
      <c r="EA10" s="44" t="str">
        <f t="shared" si="43"/>
        <v/>
      </c>
      <c r="EB10" s="44" t="str">
        <f t="shared" si="44"/>
        <v/>
      </c>
      <c r="EC10" s="44" t="str">
        <f t="shared" si="45"/>
        <v>"Horizo",</v>
      </c>
      <c r="ED10" s="44" t="str">
        <f t="shared" si="46"/>
        <v/>
      </c>
      <c r="EE10" s="44" t="str">
        <f t="shared" si="47"/>
        <v/>
      </c>
      <c r="EF10" s="44" t="str">
        <f t="shared" si="48"/>
        <v>"Animal",</v>
      </c>
      <c r="EG10" s="44" t="str">
        <f t="shared" si="49"/>
        <v/>
      </c>
      <c r="EH10" s="44" t="str">
        <f t="shared" si="50"/>
        <v>"Plants",</v>
      </c>
      <c r="EI10" s="44" t="str">
        <f t="shared" si="51"/>
        <v/>
      </c>
      <c r="EJ10" s="44" t="str">
        <f t="shared" si="52"/>
        <v>"Weapon",</v>
      </c>
      <c r="EK10" s="44" t="str">
        <f t="shared" si="53"/>
        <v>"HasSun",</v>
      </c>
      <c r="EL10" s="44" t="str">
        <f t="shared" si="54"/>
        <v/>
      </c>
      <c r="EM10" s="44" t="str">
        <f t="shared" si="55"/>
        <v/>
      </c>
      <c r="EN10" s="44" t="str">
        <f t="shared" si="56"/>
        <v>"Unequa",</v>
      </c>
      <c r="EO10" s="44" t="str">
        <f t="shared" si="57"/>
        <v>"Center",</v>
      </c>
      <c r="EP10" s="44" t="str">
        <f t="shared" si="58"/>
        <v/>
      </c>
      <c r="EQ10" s="44" t="str">
        <f t="shared" si="59"/>
        <v/>
      </c>
      <c r="ER10" s="44" t="str">
        <f t="shared" si="60"/>
        <v/>
      </c>
      <c r="ES10" s="44" t="str">
        <f t="shared" si="61"/>
        <v/>
      </c>
      <c r="ET10" s="44" t="str">
        <f t="shared" si="62"/>
        <v/>
      </c>
      <c r="EU10" s="44" t="str">
        <f t="shared" si="63"/>
        <v>"Humans",</v>
      </c>
      <c r="EV10" s="44" t="str">
        <f t="shared" si="64"/>
        <v/>
      </c>
      <c r="EW10" s="44" t="str">
        <f t="shared" si="65"/>
        <v/>
      </c>
      <c r="EX10" s="44" t="str">
        <f t="shared" si="66"/>
        <v/>
      </c>
      <c r="EY10" s="44" t="str">
        <f t="shared" si="67"/>
        <v/>
      </c>
      <c r="EZ10" s="44" t="str">
        <f t="shared" si="68"/>
        <v/>
      </c>
      <c r="FA10" s="44" t="str">
        <f t="shared" si="69"/>
        <v/>
      </c>
      <c r="FB10" s="44" t="str">
        <f t="shared" si="70"/>
        <v/>
      </c>
      <c r="FD10" s="44" t="str">
        <f t="shared" si="71"/>
        <v/>
      </c>
      <c r="FE10" s="44" t="str">
        <f t="shared" si="72"/>
        <v/>
      </c>
      <c r="FF10" s="44" t="str">
        <f t="shared" si="73"/>
        <v/>
      </c>
      <c r="FG10" s="44" t="str">
        <f t="shared" si="74"/>
        <v/>
      </c>
      <c r="FH10" s="44" t="str">
        <f t="shared" si="75"/>
        <v/>
      </c>
      <c r="FI10" s="44" t="str">
        <f t="shared" si="76"/>
        <v/>
      </c>
      <c r="FJ10" s="44" t="str">
        <f t="shared" si="77"/>
        <v/>
      </c>
      <c r="FK10" s="44" t="str">
        <f t="shared" si="78"/>
        <v/>
      </c>
      <c r="FL10" s="44" t="str">
        <f t="shared" si="79"/>
        <v/>
      </c>
      <c r="FM10" s="44" t="str">
        <f t="shared" si="80"/>
        <v/>
      </c>
      <c r="FN10" s="44" t="str">
        <f t="shared" si="81"/>
        <v/>
      </c>
      <c r="FO10" s="44" t="str">
        <f t="shared" si="82"/>
        <v/>
      </c>
      <c r="FP10" s="44" t="str">
        <f t="shared" si="83"/>
        <v/>
      </c>
      <c r="FQ10" s="44" t="str">
        <f t="shared" si="84"/>
        <v>"001BLU",</v>
      </c>
      <c r="FR10" s="44" t="str">
        <f t="shared" si="85"/>
        <v>"002WHI",</v>
      </c>
      <c r="FS10" s="44" t="str">
        <f t="shared" si="86"/>
        <v>"003BLU",</v>
      </c>
      <c r="FT10" s="44" t="str">
        <f t="shared" si="87"/>
        <v>"myrBLU",</v>
      </c>
      <c r="FU10" s="44" t="str">
        <f t="shared" si="88"/>
        <v/>
      </c>
      <c r="FV10" s="44" t="str">
        <f t="shared" si="89"/>
        <v/>
      </c>
      <c r="FW10" s="44" t="str">
        <f t="shared" si="90"/>
        <v/>
      </c>
      <c r="FY10" s="44" t="str">
        <f t="shared" si="91"/>
        <v/>
      </c>
      <c r="FZ10" s="44" t="str">
        <f t="shared" si="92"/>
        <v/>
      </c>
      <c r="GA10" s="44" t="str">
        <f t="shared" si="93"/>
        <v/>
      </c>
      <c r="GB10" s="44" t="str">
        <f t="shared" si="94"/>
        <v/>
      </c>
      <c r="GE10" s="44" t="str">
        <f t="shared" si="95"/>
        <v/>
      </c>
      <c r="GF10" s="44" t="str">
        <f>IFERROR(IF(SEARCH("Historical",AU10)&gt;0,CHAR(34)&amp;"histor"&amp;CHAR(34)&amp;",",""),"")</f>
        <v/>
      </c>
      <c r="GG10" s="44" t="str">
        <f t="shared" si="96"/>
        <v/>
      </c>
      <c r="GH10" s="44" t="str">
        <f t="shared" si="97"/>
        <v/>
      </c>
      <c r="GI10" s="44" t="str">
        <f t="shared" si="98"/>
        <v/>
      </c>
      <c r="GJ10" s="44" t="str">
        <f t="shared" si="99"/>
        <v>"NoStar",</v>
      </c>
      <c r="GK10" s="44" t="str">
        <f t="shared" si="100"/>
        <v/>
      </c>
      <c r="GL10" s="44" t="str">
        <f t="shared" si="101"/>
        <v/>
      </c>
      <c r="GM10" s="44" t="str">
        <f t="shared" si="102"/>
        <v/>
      </c>
      <c r="GN10" s="44" t="str">
        <f t="shared" si="103"/>
        <v/>
      </c>
      <c r="GP10" s="44" t="str">
        <f t="shared" si="104"/>
        <v>"Province"</v>
      </c>
      <c r="GS10" s="44" t="str">
        <f t="shared" si="105"/>
        <v>["5+Colo","words2","lets07","startL","year19","allhor","3Bands","Horizo","Animal","Plants","Weapon","HasSun","Unequa","Center","Humans","001BLU","002WHI","003BLU","myrBLU","NoStar"]</v>
      </c>
      <c r="GT10" s="44" t="str">
        <f t="shared" si="106"/>
        <v>"cl_BLA",</v>
      </c>
      <c r="GU10" s="44" t="str">
        <f t="shared" si="107"/>
        <v>"cl_BLU",</v>
      </c>
      <c r="GV10" s="44" t="str">
        <f t="shared" si="108"/>
        <v>"cl_GRE",</v>
      </c>
      <c r="GW10" s="44" t="str">
        <f t="shared" si="109"/>
        <v>"cl_RED",</v>
      </c>
      <c r="GX10" s="44" t="str">
        <f t="shared" si="110"/>
        <v>"cl_YEL",</v>
      </c>
      <c r="GY10" s="44" t="str">
        <f t="shared" si="111"/>
        <v>"cl_ORA",</v>
      </c>
      <c r="GZ10" s="44" t="str">
        <f t="shared" si="112"/>
        <v>"cl_BRO",</v>
      </c>
      <c r="HA10" s="44" t="str">
        <f t="shared" si="113"/>
        <v/>
      </c>
      <c r="HB10" s="44" t="str">
        <f t="shared" si="114"/>
        <v>"cl_WHI",</v>
      </c>
      <c r="HC10" s="44" t="str">
        <f t="shared" si="115"/>
        <v>["cl_BLA","cl_BLU","cl_GRE","cl_RED","cl_YEL","cl_ORA","cl_BRO","cl_WHI"]</v>
      </c>
      <c r="HE10" s="64"/>
      <c r="HF10" s="65" t="str">
        <f t="shared" si="116"/>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links: "https://www.crwflags.com/fotw/flags/ar-l.html"},</v>
      </c>
      <c r="HG10" s="66" t="str">
        <f t="shared" si="117"/>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links: "https://www.crwflags.com/fotw/flags/ar-l.html"},</v>
      </c>
      <c r="HH10" s="44" t="str">
        <f t="shared" si="118"/>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I10" s="44" t="str">
        <f t="shared" si="119"/>
        <v>"\nThe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v>
      </c>
      <c r="HJ10" s="44" t="str">
        <f t="shared" si="120"/>
        <v>"1993"</v>
      </c>
      <c r="HL10" s="44" t="str">
        <f t="shared" si="121"/>
        <v>"https://www.crwflags.com/fotw/flags/ar-l.html"</v>
      </c>
      <c r="HM10" s="65" t="str">
        <f t="shared" si="122"/>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N10" s="67" t="str">
        <f t="shared" si="123"/>
        <v>{"couname":"[ARG] La Pampa","year":"1993","region":"rgn_South America","Colors":["cl_BLA","cl_BLU","cl_GRE","cl_RED","cl_YEL","cl_ORA","cl_BRO","cl_WHI"],"Items":["5+Colo","words2","lets07","startL","year19","allhor","3Bands","Horizo","Animal","Plants","Weapon","HasSun","Unequa","Center","Humans","001BLU","002WHI","003BLU","myrBLU","NoStar"],"Flag":"https://upload.wikimedia.org/wikipedia/commons/thumb/8/81/Bandera_de_la_Provincia_de_La_Pampa.svg/320px-Bandera_de_la_Provincia_de_La_Pampa.svg.png","HDFlag":"https://upload.wikimedia.org/wikipedia/commons/thumb/8/81/Bandera_de_la_Provincia_de_La_Pampa.svg/800px-Bandera_de_la_Provincia_de_La_Pampa.svg.png","type":"Province", "describe": "\nThe flag is identical to the national flag, with two horizontal sky-blue stripes and a white one in the middle. At the center of the latter, the provincial coat of arms appears. The arms' blue color stands for justice, perseverance, and loyalty, while the green color stands for hope, hospitality, and politeness. The tree is a Caldén, a common tree of the area, that recalls the landscape. The Indian riding a horse stands for the old inhabitants of the area.\n\nThe sun stands for the new province. However, instead of the traditional wreath of laurels usually shown in the national arms, La Pampa has stems of wheat. They stand for the fertility of the soil of the Pampas.\n\nAppearing behind the shield, are two crossed Indian spears with red tufts that recall the brave warrior spirit of the indigenous people who lived in the area.", "isnew": ".", "links": "https://www.crwflags.com/fotw/flags/ar-l.html"},</v>
      </c>
      <c r="HO10" s="71">
        <v>45610</v>
      </c>
      <c r="HP10" s="44" t="str" cm="1">
        <f t="array" ref="HP10">IF(_xlfn.TEXTJOIN(", ", TRUE, IF(ISNUMBER(SEARCH("BLA", BL10:BT10)), COLUMN(BL10:BT10) - COLUMN(BL10) + 1, ""))&lt;&gt;"","BLA","")</f>
        <v>BLA</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ORA</v>
      </c>
      <c r="HV10" s="44" t="str" cm="1">
        <f t="array" ref="HV10">IF(_xlfn.TEXTJOIN(", ", TRUE, IF(ISNUMBER(SEARCH("BRO", BL10:BT10)), COLUMN(BL10:BT10) - COLUMN(BL10) + 1, ""))&lt;&gt;"","BRO","")</f>
        <v>BRO</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M10" s="42">
        <f t="shared" si="124"/>
        <v>-8</v>
      </c>
      <c r="IN10" s="69" t="str">
        <f t="shared" si="125"/>
        <v>http://mkweb.bcgsc.ca/color-summarizer/?url=https://upload.wikimedia.org/wikipedia/commons/thumb/8/81/Bandera_de_la_Provincia_de_La_Pampa.svg/320px-Bandera_de_la_Provincia_de_La_Pampa.svg.png&amp;precision=low&amp;num_clusters=8&amp;text=1</v>
      </c>
      <c r="IO10" s="44" t="str">
        <f t="shared" si="126"/>
        <v>"black"</v>
      </c>
      <c r="IP10" s="44" t="str">
        <f t="shared" si="127"/>
        <v>"blue"</v>
      </c>
      <c r="IQ10" s="44" t="str">
        <f t="shared" si="128"/>
        <v>"green"</v>
      </c>
      <c r="IR10" s="44" t="str">
        <f t="shared" si="129"/>
        <v>"red"</v>
      </c>
      <c r="IS10" s="44" t="str">
        <f t="shared" si="130"/>
        <v>"yellow"</v>
      </c>
      <c r="IT10" s="44" t="str">
        <f t="shared" si="131"/>
        <v>"orange"</v>
      </c>
      <c r="IU10" s="44" t="str">
        <f t="shared" si="132"/>
        <v>"brown"</v>
      </c>
      <c r="IV10" s="44" t="str">
        <f t="shared" si="133"/>
        <v/>
      </c>
      <c r="IW10" s="44" t="str">
        <f t="shared" si="134"/>
        <v>"white"</v>
      </c>
      <c r="IX10" s="44" t="str">
        <f t="shared" si="135"/>
        <v>{"url":"http://mkweb.bcgsc.ca/color-summarizer/?url=https://upload.wikimedia.org/wikipedia/commons/thumb/8/81/Bandera_de_la_Provincia_de_La_Pampa.svg/320px-Bandera_de_la_Provincia_de_La_Pampa.svg.png&amp;precision=low&amp;num_clusters=8&amp;text=1","name":"[ARG] La Pampa"},</v>
      </c>
      <c r="IY10" s="44">
        <v>1238</v>
      </c>
    </row>
    <row r="11" spans="1:259" s="44" customFormat="1" ht="38.4" customHeight="1" thickBot="1" x14ac:dyDescent="0.35">
      <c r="A11" s="84" t="s">
        <v>624</v>
      </c>
      <c r="B11" s="83" t="e" vm="10">
        <v>#VALUE!</v>
      </c>
      <c r="C11" s="39">
        <v>2</v>
      </c>
      <c r="D11" s="70" t="s">
        <v>625</v>
      </c>
      <c r="E11" s="40" t="s">
        <v>626</v>
      </c>
      <c r="F11" s="41" t="s">
        <v>163</v>
      </c>
      <c r="G11" s="42">
        <f t="shared" si="0"/>
        <v>1</v>
      </c>
      <c r="H11" s="43"/>
      <c r="I11" s="59" t="s">
        <v>627</v>
      </c>
      <c r="J11" s="44" t="str">
        <f>""</f>
        <v/>
      </c>
      <c r="K11" s="45"/>
      <c r="L11" s="46"/>
      <c r="M11" s="46"/>
      <c r="N11" s="47" t="s">
        <v>177</v>
      </c>
      <c r="O11" s="74">
        <v>1986</v>
      </c>
      <c r="P11" s="48" t="s">
        <v>628</v>
      </c>
      <c r="Q11" s="73">
        <v>2</v>
      </c>
      <c r="R11" s="49" t="s">
        <v>177</v>
      </c>
      <c r="S11" s="50">
        <v>3</v>
      </c>
      <c r="T11" s="51" t="s">
        <v>165</v>
      </c>
      <c r="U11" s="52" t="s">
        <v>164</v>
      </c>
      <c r="V11" s="52" t="s">
        <v>165</v>
      </c>
      <c r="W11" s="52" t="s">
        <v>164</v>
      </c>
      <c r="X11" s="52" t="s">
        <v>165</v>
      </c>
      <c r="Y11" s="52" t="s">
        <v>164</v>
      </c>
      <c r="Z11" s="52" t="s">
        <v>164</v>
      </c>
      <c r="AA11" s="52" t="s">
        <v>165</v>
      </c>
      <c r="AB11" s="52" t="s">
        <v>164</v>
      </c>
      <c r="AC11" s="52" t="s">
        <v>164</v>
      </c>
      <c r="AD11" s="52" t="s">
        <v>164</v>
      </c>
      <c r="AE11" s="52" t="s">
        <v>164</v>
      </c>
      <c r="AF11" s="53" t="s">
        <v>164</v>
      </c>
      <c r="AG11" s="53" t="s">
        <v>164</v>
      </c>
      <c r="AH11" s="53" t="s">
        <v>165</v>
      </c>
      <c r="AI11" s="53" t="s">
        <v>164</v>
      </c>
      <c r="AJ11" s="53" t="s">
        <v>164</v>
      </c>
      <c r="AK11" s="53" t="s">
        <v>164</v>
      </c>
      <c r="AL11" s="53" t="s">
        <v>164</v>
      </c>
      <c r="AM11" s="53" t="s">
        <v>164</v>
      </c>
      <c r="AN11" s="53" t="s">
        <v>164</v>
      </c>
      <c r="AO11" s="53" t="s">
        <v>164</v>
      </c>
      <c r="AP11" s="53" t="s">
        <v>164</v>
      </c>
      <c r="AQ11" s="53" t="s">
        <v>164</v>
      </c>
      <c r="AR11" s="53" t="s">
        <v>164</v>
      </c>
      <c r="AS11" s="53" t="s">
        <v>164</v>
      </c>
      <c r="AT11" s="54">
        <v>0</v>
      </c>
      <c r="AU11" s="53" t="s">
        <v>284</v>
      </c>
      <c r="AV11" s="53" t="str">
        <f t="shared" si="1"/>
        <v>[ARG]Province[ARG] La Rioja</v>
      </c>
      <c r="AW11" s="53" t="str">
        <f t="shared" si="2"/>
        <v>2[ARG] La Rioja</v>
      </c>
      <c r="AX11" s="55"/>
      <c r="AY11" s="55"/>
      <c r="AZ11" s="56" t="s">
        <v>234</v>
      </c>
      <c r="BA11" s="56" t="s">
        <v>234</v>
      </c>
      <c r="BB11" s="56"/>
      <c r="BC11" s="57"/>
      <c r="BD11" s="58" t="s">
        <v>154</v>
      </c>
      <c r="BE11" s="59"/>
      <c r="BF11" s="58" t="s">
        <v>159</v>
      </c>
      <c r="BG11" s="58" t="s">
        <v>154</v>
      </c>
      <c r="BH11" s="58" t="s">
        <v>152</v>
      </c>
      <c r="BI11" s="58"/>
      <c r="BJ11" s="58"/>
      <c r="BK11" s="59"/>
      <c r="BL11" s="58" t="s">
        <v>151</v>
      </c>
      <c r="BM11" s="58" t="s">
        <v>152</v>
      </c>
      <c r="BN11" s="58" t="s">
        <v>153</v>
      </c>
      <c r="BO11" s="58" t="s">
        <v>154</v>
      </c>
      <c r="BP11" s="58" t="s">
        <v>234</v>
      </c>
      <c r="BQ11" s="58" t="s">
        <v>234</v>
      </c>
      <c r="BR11" s="58" t="s">
        <v>234</v>
      </c>
      <c r="BS11" s="58" t="s">
        <v>234</v>
      </c>
      <c r="BT11" s="58" t="s">
        <v>159</v>
      </c>
      <c r="BU11" s="60"/>
      <c r="BV11" s="61"/>
      <c r="BW11" s="61">
        <v>0</v>
      </c>
      <c r="BX11" s="59"/>
      <c r="BY11" s="44" t="s">
        <v>164</v>
      </c>
      <c r="CB11" s="5"/>
      <c r="CC11" s="5"/>
      <c r="CD11" s="62">
        <v>0</v>
      </c>
      <c r="CE11" s="62">
        <v>0</v>
      </c>
      <c r="CF11" s="62" t="e">
        <v>#REF!</v>
      </c>
      <c r="CG11" s="75" cm="1">
        <f t="array" ref="CG11">SUMPRODUCT(--(LEN(TRIM(BL11:BT11))&gt;0))</f>
        <v>5</v>
      </c>
      <c r="CH11" s="53" t="str">
        <f t="shared" si="3"/>
        <v>n</v>
      </c>
      <c r="CI11" s="53" t="str">
        <f t="shared" si="4"/>
        <v>n</v>
      </c>
      <c r="CJ11" s="53" t="str">
        <f t="shared" si="5"/>
        <v>n</v>
      </c>
      <c r="CK11" s="53" t="str">
        <f t="shared" si="6"/>
        <v>y</v>
      </c>
      <c r="CL11" s="53" t="str">
        <f t="shared" si="7"/>
        <v>n</v>
      </c>
      <c r="CM11" s="53" t="str">
        <f t="shared" si="8"/>
        <v>n</v>
      </c>
      <c r="CN11" s="53" t="str">
        <f t="shared" si="9"/>
        <v>y</v>
      </c>
      <c r="CO11" s="53" t="str">
        <f t="shared" si="10"/>
        <v>n</v>
      </c>
      <c r="CP11" s="53" t="str">
        <f t="shared" si="11"/>
        <v>y</v>
      </c>
      <c r="CQ11" s="53" t="str">
        <f t="shared" si="12"/>
        <v>n</v>
      </c>
      <c r="CR11" s="53" t="str">
        <f t="shared" si="13"/>
        <v>n</v>
      </c>
      <c r="CS11" s="53" t="str">
        <f t="shared" si="14"/>
        <v>n</v>
      </c>
      <c r="CT11" s="38" t="str">
        <f t="shared" si="15"/>
        <v>"[ARG] La Rioja"</v>
      </c>
      <c r="CU11" s="63" t="str">
        <f t="shared" si="16"/>
        <v>"rgn_South America"</v>
      </c>
      <c r="CV11" s="44" t="str">
        <f t="shared" si="17"/>
        <v>"https://upload.wikimedia.org/wikipedia/commons/thumb/6/60/Bandera_de_la_Provincia_de_La_Rioja.svg/320px-Bandera_de_la_Provincia_de_La_Rioja.svg.png"</v>
      </c>
      <c r="CW11" s="44" t="str">
        <f t="shared" si="18"/>
        <v/>
      </c>
      <c r="CX11" s="44" t="str">
        <f t="shared" si="19"/>
        <v/>
      </c>
      <c r="CY11" s="44" t="str">
        <f t="shared" si="20"/>
        <v/>
      </c>
      <c r="CZ11" s="44" t="str">
        <f t="shared" si="21"/>
        <v>"5+Colo",</v>
      </c>
      <c r="DA11" s="44" t="str">
        <f t="shared" si="22"/>
        <v>"words2",</v>
      </c>
      <c r="DB11" s="44" t="str">
        <f t="shared" si="23"/>
        <v/>
      </c>
      <c r="DD11" s="44"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"lets07",</v>
      </c>
      <c r="DE11" s="44" t="str">
        <f>CHAR(34)&amp;"start"&amp;IFERROR(LEFT(SUBSTITUTE(A11,"["&amp;MID(A11,FIND("[",A11)+1,FIND("]",A11)-FIND("[",A11)-1)&amp;"] ",""),1),LEFT(A11,1))&amp;CHAR(34)&amp;","</f>
        <v>"startL",</v>
      </c>
      <c r="DF11" s="44" t="str">
        <f t="shared" si="24"/>
        <v/>
      </c>
      <c r="DG11" s="44" t="str">
        <f t="shared" si="25"/>
        <v/>
      </c>
      <c r="DH11" s="44" t="str">
        <f t="shared" si="26"/>
        <v/>
      </c>
      <c r="DI11" s="44" t="str">
        <f t="shared" si="27"/>
        <v/>
      </c>
      <c r="DJ11" s="44" t="str">
        <f t="shared" si="28"/>
        <v/>
      </c>
      <c r="DK11" s="44" t="str">
        <f t="shared" si="29"/>
        <v/>
      </c>
      <c r="DL11" s="44" t="str">
        <f t="shared" si="30"/>
        <v/>
      </c>
      <c r="DM11" s="44" t="str" cm="1">
        <f t="array" ref="DM11">IF(CG11=3,CHAR(34) &amp; _xlfn.TEXTJOIN("", TRUE, RIGHT(HP11:HX11, 2)) &amp; CHAR(34) &amp; ",", "")</f>
        <v/>
      </c>
      <c r="DN11" s="44" t="str">
        <f t="shared" si="31"/>
        <v/>
      </c>
      <c r="DO11" s="44" t="str">
        <f t="shared" si="32"/>
        <v>"year19",</v>
      </c>
      <c r="DP11" s="5" t="str">
        <f t="shared" si="33"/>
        <v/>
      </c>
      <c r="DQ11" s="5" t="str">
        <f t="shared" si="34"/>
        <v/>
      </c>
      <c r="DR11" s="5" t="str">
        <f t="shared" si="35"/>
        <v/>
      </c>
      <c r="DS11" s="5" t="str">
        <f t="shared" si="36"/>
        <v/>
      </c>
      <c r="DT11" s="5" t="str">
        <f t="shared" si="37"/>
        <v>"allhor",</v>
      </c>
      <c r="DU11" s="5" t="str">
        <f t="shared" si="38"/>
        <v/>
      </c>
      <c r="DW11" s="44" t="str">
        <f t="shared" si="39"/>
        <v/>
      </c>
      <c r="DX11" s="44" t="str">
        <f t="shared" si="40"/>
        <v/>
      </c>
      <c r="DY11" s="44" t="str">
        <f t="shared" si="41"/>
        <v>"3Bands",</v>
      </c>
      <c r="DZ11" s="44" t="str">
        <f t="shared" si="42"/>
        <v/>
      </c>
      <c r="EA11" s="44" t="str">
        <f t="shared" si="43"/>
        <v>"Diagon",</v>
      </c>
      <c r="EB11" s="44" t="str">
        <f t="shared" si="44"/>
        <v/>
      </c>
      <c r="EC11" s="44" t="str">
        <f t="shared" si="45"/>
        <v>"Horizo",</v>
      </c>
      <c r="ED11" s="44" t="str">
        <f t="shared" si="46"/>
        <v/>
      </c>
      <c r="EE11" s="44" t="str">
        <f t="shared" si="47"/>
        <v>"Circle",</v>
      </c>
      <c r="EF11" s="44" t="str">
        <f t="shared" si="48"/>
        <v/>
      </c>
      <c r="EG11" s="44" t="str">
        <f t="shared" si="49"/>
        <v/>
      </c>
      <c r="EH11" s="44" t="str">
        <f t="shared" si="50"/>
        <v>"Plants",</v>
      </c>
      <c r="EI11" s="44" t="str">
        <f t="shared" si="51"/>
        <v/>
      </c>
      <c r="EJ11" s="44" t="str">
        <f t="shared" si="52"/>
        <v/>
      </c>
      <c r="EK11" s="44" t="str">
        <f t="shared" si="53"/>
        <v/>
      </c>
      <c r="EL11" s="44" t="str">
        <f t="shared" si="54"/>
        <v/>
      </c>
      <c r="EM11" s="44" t="str">
        <f t="shared" si="55"/>
        <v/>
      </c>
      <c r="EN11" s="44" t="str">
        <f t="shared" si="56"/>
        <v/>
      </c>
      <c r="EO11" s="44" t="str">
        <f t="shared" si="57"/>
        <v>"Center",</v>
      </c>
      <c r="EP11" s="44" t="str">
        <f t="shared" si="58"/>
        <v/>
      </c>
      <c r="EQ11" s="44" t="str">
        <f t="shared" si="59"/>
        <v/>
      </c>
      <c r="ER11" s="44" t="str">
        <f t="shared" si="60"/>
        <v/>
      </c>
      <c r="ES11" s="44" t="str">
        <f t="shared" si="61"/>
        <v/>
      </c>
      <c r="ET11" s="44" t="str">
        <f t="shared" si="62"/>
        <v/>
      </c>
      <c r="EU11" s="44" t="str">
        <f t="shared" si="63"/>
        <v/>
      </c>
      <c r="EV11" s="44" t="str">
        <f t="shared" si="64"/>
        <v/>
      </c>
      <c r="EW11" s="44" t="str">
        <f t="shared" si="65"/>
        <v/>
      </c>
      <c r="EX11" s="44" t="str">
        <f t="shared" si="66"/>
        <v/>
      </c>
      <c r="EY11" s="44" t="str">
        <f t="shared" si="67"/>
        <v/>
      </c>
      <c r="EZ11" s="44" t="str">
        <f t="shared" si="68"/>
        <v/>
      </c>
      <c r="FA11" s="44" t="str">
        <f t="shared" si="69"/>
        <v/>
      </c>
      <c r="FB11" s="44" t="str">
        <f t="shared" si="70"/>
        <v/>
      </c>
      <c r="FD11" s="44" t="str">
        <f t="shared" si="71"/>
        <v/>
      </c>
      <c r="FE11" s="44" t="str">
        <f t="shared" si="72"/>
        <v/>
      </c>
      <c r="FF11" s="44" t="str">
        <f t="shared" si="73"/>
        <v/>
      </c>
      <c r="FG11" s="44" t="str">
        <f t="shared" si="74"/>
        <v/>
      </c>
      <c r="FH11" s="44" t="str">
        <f t="shared" si="75"/>
        <v/>
      </c>
      <c r="FI11" s="44" t="str">
        <f t="shared" si="76"/>
        <v>"NO_YEL",</v>
      </c>
      <c r="FJ11" s="44" t="str">
        <f t="shared" si="77"/>
        <v/>
      </c>
      <c r="FK11" s="44" t="str">
        <f t="shared" si="78"/>
        <v/>
      </c>
      <c r="FL11" s="44" t="str">
        <f t="shared" si="79"/>
        <v/>
      </c>
      <c r="FM11" s="44" t="str">
        <f t="shared" si="80"/>
        <v/>
      </c>
      <c r="FN11" s="44" t="str">
        <f t="shared" si="81"/>
        <v/>
      </c>
      <c r="FO11" s="44" t="str">
        <f t="shared" si="82"/>
        <v/>
      </c>
      <c r="FP11" s="44" t="str">
        <f t="shared" si="83"/>
        <v/>
      </c>
      <c r="FQ11" s="44" t="str">
        <f t="shared" si="84"/>
        <v>"001WHI",</v>
      </c>
      <c r="FR11" s="44" t="str">
        <f t="shared" si="85"/>
        <v>"002RED",</v>
      </c>
      <c r="FS11" s="44" t="str">
        <f t="shared" si="86"/>
        <v>"003BLU",</v>
      </c>
      <c r="FT11" s="44" t="str">
        <f t="shared" si="87"/>
        <v>"myrRED",</v>
      </c>
      <c r="FU11" s="44" t="str">
        <f t="shared" si="88"/>
        <v/>
      </c>
      <c r="FV11" s="44" t="str">
        <f t="shared" si="89"/>
        <v/>
      </c>
      <c r="FW11" s="44" t="str">
        <f t="shared" si="90"/>
        <v/>
      </c>
      <c r="FY11" s="44" t="str">
        <f t="shared" si="91"/>
        <v/>
      </c>
      <c r="FZ11" s="44" t="str">
        <f t="shared" si="92"/>
        <v/>
      </c>
      <c r="GA11" s="44" t="str">
        <f t="shared" si="93"/>
        <v/>
      </c>
      <c r="GB11" s="44" t="str">
        <f t="shared" si="94"/>
        <v/>
      </c>
      <c r="GE11" s="44" t="str">
        <f t="shared" si="95"/>
        <v/>
      </c>
      <c r="GF11" s="44" t="str">
        <f>IFERROR(IF(SEARCH("Historical",AU11)&gt;0,CHAR(34)&amp;"histor"&amp;CHAR(34)&amp;",",""),"")</f>
        <v/>
      </c>
      <c r="GG11" s="44" t="str">
        <f t="shared" si="96"/>
        <v/>
      </c>
      <c r="GH11" s="44" t="str">
        <f t="shared" si="97"/>
        <v/>
      </c>
      <c r="GI11" s="44" t="str">
        <f t="shared" si="98"/>
        <v/>
      </c>
      <c r="GJ11" s="44" t="str">
        <f t="shared" si="99"/>
        <v>"NoStar",</v>
      </c>
      <c r="GK11" s="44" t="str">
        <f t="shared" si="100"/>
        <v/>
      </c>
      <c r="GL11" s="44" t="str">
        <f t="shared" si="101"/>
        <v/>
      </c>
      <c r="GM11" s="44" t="str">
        <f t="shared" si="102"/>
        <v/>
      </c>
      <c r="GN11" s="44" t="str">
        <f t="shared" si="103"/>
        <v/>
      </c>
      <c r="GP11" s="44" t="str">
        <f t="shared" si="104"/>
        <v>"Province"</v>
      </c>
      <c r="GS11" s="44" t="str">
        <f t="shared" si="105"/>
        <v>["5+Colo","words2","lets07","startL","year19","allhor","3Bands","Diagon","Horizo","Circle","Plants","Center","NO_YEL","001WHI","002RED","003BLU","myrRED","NoStar"]</v>
      </c>
      <c r="GT11" s="44" t="str">
        <f t="shared" si="106"/>
        <v>"cl_BLA",</v>
      </c>
      <c r="GU11" s="44" t="str">
        <f t="shared" si="107"/>
        <v>"cl_BLU",</v>
      </c>
      <c r="GV11" s="44" t="str">
        <f t="shared" si="108"/>
        <v>"cl_GRE",</v>
      </c>
      <c r="GW11" s="44" t="str">
        <f t="shared" si="109"/>
        <v>"cl_RED",</v>
      </c>
      <c r="GX11" s="44" t="str">
        <f t="shared" si="110"/>
        <v/>
      </c>
      <c r="GY11" s="44" t="str">
        <f t="shared" si="111"/>
        <v/>
      </c>
      <c r="GZ11" s="44" t="str">
        <f t="shared" si="112"/>
        <v/>
      </c>
      <c r="HA11" s="44" t="str">
        <f t="shared" si="113"/>
        <v/>
      </c>
      <c r="HB11" s="44" t="str">
        <f t="shared" si="114"/>
        <v>"cl_WHI",</v>
      </c>
      <c r="HC11" s="44" t="str">
        <f t="shared" si="115"/>
        <v>["cl_BLA","cl_BLU","cl_GRE","cl_RED","cl_WHI"]</v>
      </c>
      <c r="HE11" s="64"/>
      <c r="HF11" s="65" t="str">
        <f t="shared" si="116"/>
        <v>{couname:"[ARG] La Rioja",year:"1986",region:"rgn_South America",Colors:["cl_BLA","cl_BLU","cl_GRE","cl_RED","cl_WHI"],Items:["5+Colo","words2","lets07","startL","year19","allhor","3Bands","Diagon","Horizo","Circle","Plants","Center","NO_YEL","001WHI","002RED","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links: "https://www.crwflags.com/fotw/flags/ar-f.html"},</v>
      </c>
      <c r="HG11" s="66" t="str">
        <f t="shared" si="117"/>
        <v>{couname:"[ARG] La Rioja",year:"1986",region:"rgn_South America",Colors:["cl_BLA","cl_BLU","cl_GRE","cl_RED","cl_WHI"],Items:["5+Colo","words2","lets07","startL","year19","allhor","3Bands","Diagon","Horizo","Circle","Plants","Center","NO_YEL","001WHI","002RED","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links: "https://www.crwflags.com/fotw/flags/ar-f.html"},</v>
      </c>
      <c r="HH11" s="44" t="str">
        <f t="shared" si="118"/>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I11" s="44" t="str">
        <f t="shared" si="119"/>
        <v>"\nThe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v>
      </c>
      <c r="HJ11" s="44" t="str">
        <f t="shared" si="120"/>
        <v>"1986"</v>
      </c>
      <c r="HL11" s="44" t="str">
        <f t="shared" si="121"/>
        <v>"https://www.crwflags.com/fotw/flags/ar-f.html"</v>
      </c>
      <c r="HM11" s="65" t="str">
        <f t="shared" si="122"/>
        <v>{"couname":"[ARG] La Rioja","year":"1986","region":"rgn_South America","Colors":["cl_BLA","cl_BLU","cl_GRE","cl_RED","cl_WHI"],"Items":["5+Colo","words2","lets07","startL","year19","allhor","3Bands","Diagon","Horizo","Circle","Plants","Center","NO_YEL","001WHI","002RED","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N11" s="67" t="str">
        <f t="shared" si="123"/>
        <v>{"couname":"[ARG] La Rioja","year":"1986","region":"rgn_South America","Colors":["cl_BLA","cl_BLU","cl_GRE","cl_RED","cl_WHI"],"Items":["5+Colo","words2","lets07","startL","year19","allhor","3Bands","Diagon","Horizo","Circle","Plants","Center","NO_YEL","001WHI","002RED","003BLU","myrRED","NoStar"],"Flag":"https://upload.wikimedia.org/wikipedia/commons/thumb/6/60/Bandera_de_la_Provincia_de_La_Rioja.svg/320px-Bandera_de_la_Provincia_de_La_Rioja.svg.png","HDFlag":"https://upload.wikimedia.org/wikipedia/commons/thumb/6/60/Bandera_de_la_Provincia_de_La_Rioja.svg/700px-Bandera_de_la_Provincia_de_La_Rioja.svg.png","type":"Province", "describe": "\nThe flag was adopted in 1986. Although the flag of the Province of La Rioja is a modern designed one, it is inspired by the two stripes of the Andes Army flag the red diagonal of the Artigas Flag, and the federalist flags used around 1815-1820 in the Río de la Plata area. It is believed that around 1815 the Artigas Flag was raised in La Rioja to show the support of the province to Artigas federalist ideas and protectorate. The eighteen red fruits of the wreath represent each department of the province.", "isnew": ".", "links": "https://www.crwflags.com/fotw/flags/ar-f.html"},</v>
      </c>
      <c r="HO11" s="71">
        <v>45610</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GRE</v>
      </c>
      <c r="HS11" s="44" t="str" cm="1">
        <f t="array" ref="HS11">IF(_xlfn.TEXTJOIN(", ", TRUE, IF(ISNUMBER(SEARCH("RED", BL11:BT11)), COLUMN(BL11:BT11) - COLUMN(BL11) + 1, ""))&lt;&gt;"","RED","")</f>
        <v>RED</v>
      </c>
      <c r="HT11" s="44" t="str" cm="1">
        <f t="array" ref="HT11">IF(_xlfn.TEXTJOIN(", ", TRUE, IF(ISNUMBER(SEARCH("YEL", BL11:BT11)), COLUMN(BL11:BT11) - COLUMN(BL11) + 1, ""))&lt;&gt;"","YEL","")</f>
        <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M11" s="42">
        <f t="shared" si="124"/>
        <v>-5</v>
      </c>
      <c r="IN11" s="69" t="str">
        <f t="shared" si="125"/>
        <v>http://mkweb.bcgsc.ca/color-summarizer/?url=https://upload.wikimedia.org/wikipedia/commons/thumb/6/60/Bandera_de_la_Provincia_de_La_Rioja.svg/320px-Bandera_de_la_Provincia_de_La_Rioja.svg.png&amp;precision=low&amp;num_clusters=5&amp;text=1</v>
      </c>
      <c r="IO11" s="44" t="str">
        <f t="shared" si="126"/>
        <v>"black"</v>
      </c>
      <c r="IP11" s="44" t="str">
        <f t="shared" si="127"/>
        <v>"blue"</v>
      </c>
      <c r="IQ11" s="44" t="str">
        <f t="shared" si="128"/>
        <v>"green"</v>
      </c>
      <c r="IR11" s="44" t="str">
        <f t="shared" si="129"/>
        <v>"red"</v>
      </c>
      <c r="IS11" s="44" t="str">
        <f t="shared" si="130"/>
        <v/>
      </c>
      <c r="IT11" s="44" t="str">
        <f t="shared" si="131"/>
        <v/>
      </c>
      <c r="IU11" s="44" t="str">
        <f t="shared" si="132"/>
        <v/>
      </c>
      <c r="IV11" s="44" t="str">
        <f t="shared" si="133"/>
        <v/>
      </c>
      <c r="IW11" s="44" t="str">
        <f t="shared" si="134"/>
        <v>"white"</v>
      </c>
      <c r="IX11" s="44" t="str">
        <f t="shared" si="135"/>
        <v>{"url":"http://mkweb.bcgsc.ca/color-summarizer/?url=https://upload.wikimedia.org/wikipedia/commons/thumb/6/60/Bandera_de_la_Provincia_de_La_Rioja.svg/320px-Bandera_de_la_Provincia_de_La_Rioja.svg.png&amp;precision=low&amp;num_clusters=5&amp;text=1","name":"[ARG] La Rioja"},</v>
      </c>
      <c r="IY11" s="44">
        <v>1239</v>
      </c>
    </row>
    <row r="12" spans="1:259" s="44" customFormat="1" ht="38.4" customHeight="1" thickBot="1" x14ac:dyDescent="0.35">
      <c r="A12" s="84" t="s">
        <v>295</v>
      </c>
      <c r="B12" s="83" t="e" vm="11">
        <v>#VALUE!</v>
      </c>
      <c r="C12" s="39">
        <v>2</v>
      </c>
      <c r="D12" s="70" t="s">
        <v>296</v>
      </c>
      <c r="E12" s="40" t="s">
        <v>297</v>
      </c>
      <c r="F12" s="41" t="s">
        <v>163</v>
      </c>
      <c r="G12" s="42">
        <f t="shared" si="0"/>
        <v>1</v>
      </c>
      <c r="H12" s="43"/>
      <c r="I12" s="59" t="s">
        <v>298</v>
      </c>
      <c r="J12" s="44" t="str">
        <f>""</f>
        <v/>
      </c>
      <c r="K12" s="45"/>
      <c r="L12" s="46"/>
      <c r="M12" s="46"/>
      <c r="N12" s="47" t="s">
        <v>177</v>
      </c>
      <c r="O12" s="74" t="s">
        <v>197</v>
      </c>
      <c r="P12" s="48" t="s">
        <v>299</v>
      </c>
      <c r="Q12" s="73">
        <v>1</v>
      </c>
      <c r="R12" s="49" t="s">
        <v>177</v>
      </c>
      <c r="S12" s="50">
        <v>3</v>
      </c>
      <c r="T12" s="51" t="s">
        <v>164</v>
      </c>
      <c r="U12" s="52" t="s">
        <v>164</v>
      </c>
      <c r="V12" s="52" t="s">
        <v>165</v>
      </c>
      <c r="W12" s="52" t="s">
        <v>164</v>
      </c>
      <c r="X12" s="52" t="s">
        <v>164</v>
      </c>
      <c r="Y12" s="52" t="s">
        <v>164</v>
      </c>
      <c r="Z12" s="52" t="s">
        <v>164</v>
      </c>
      <c r="AA12" s="52" t="s">
        <v>164</v>
      </c>
      <c r="AB12" s="52" t="s">
        <v>164</v>
      </c>
      <c r="AC12" s="52" t="s">
        <v>164</v>
      </c>
      <c r="AD12" s="52" t="s">
        <v>164</v>
      </c>
      <c r="AE12" s="52" t="s">
        <v>164</v>
      </c>
      <c r="AF12" s="53" t="s">
        <v>164</v>
      </c>
      <c r="AG12" s="53" t="s">
        <v>164</v>
      </c>
      <c r="AH12" s="53" t="s">
        <v>164</v>
      </c>
      <c r="AI12" s="53" t="s">
        <v>164</v>
      </c>
      <c r="AJ12" s="53" t="s">
        <v>164</v>
      </c>
      <c r="AK12" s="53" t="s">
        <v>165</v>
      </c>
      <c r="AL12" s="53" t="s">
        <v>164</v>
      </c>
      <c r="AM12" s="53" t="s">
        <v>164</v>
      </c>
      <c r="AN12" s="53" t="s">
        <v>164</v>
      </c>
      <c r="AO12" s="53" t="s">
        <v>164</v>
      </c>
      <c r="AP12" s="53" t="s">
        <v>164</v>
      </c>
      <c r="AQ12" s="53" t="s">
        <v>164</v>
      </c>
      <c r="AR12" s="53" t="s">
        <v>164</v>
      </c>
      <c r="AS12" s="53" t="s">
        <v>164</v>
      </c>
      <c r="AT12" s="54">
        <v>0</v>
      </c>
      <c r="AU12" s="53" t="s">
        <v>284</v>
      </c>
      <c r="AV12" s="53" t="str">
        <f t="shared" si="1"/>
        <v>[ARG]Province[ARG] Misiones</v>
      </c>
      <c r="AW12" s="53" t="str">
        <f t="shared" si="2"/>
        <v>2[ARG] Misiones</v>
      </c>
      <c r="AX12" s="55"/>
      <c r="AY12" s="55"/>
      <c r="AZ12" s="56"/>
      <c r="BA12" s="56"/>
      <c r="BB12" s="56"/>
      <c r="BC12" s="57"/>
      <c r="BD12" s="58" t="s">
        <v>167</v>
      </c>
      <c r="BE12" s="59"/>
      <c r="BF12" s="58" t="s">
        <v>154</v>
      </c>
      <c r="BG12" s="58" t="s">
        <v>152</v>
      </c>
      <c r="BH12" s="58" t="s">
        <v>159</v>
      </c>
      <c r="BI12" s="58"/>
      <c r="BJ12" s="58"/>
      <c r="BK12" s="59"/>
      <c r="BL12" s="58" t="s">
        <v>154</v>
      </c>
      <c r="BM12" s="58" t="s">
        <v>159</v>
      </c>
      <c r="BN12" s="58" t="s">
        <v>152</v>
      </c>
      <c r="BO12" s="58"/>
      <c r="BP12" s="58"/>
      <c r="BQ12" s="58"/>
      <c r="BR12" s="58"/>
      <c r="BS12" s="58"/>
      <c r="BT12" s="58"/>
      <c r="BU12" s="60"/>
      <c r="BV12" s="61"/>
      <c r="BW12" s="61">
        <v>0</v>
      </c>
      <c r="BX12" s="59"/>
      <c r="CB12" s="5"/>
      <c r="CC12" s="5"/>
      <c r="CD12" s="62">
        <v>0</v>
      </c>
      <c r="CE12" s="62">
        <v>0</v>
      </c>
      <c r="CF12" s="62" t="e">
        <v>#REF!</v>
      </c>
      <c r="CG12" s="75" cm="1">
        <f t="array" ref="CG12">SUMPRODUCT(--(LEN(TRIM(BL12:BT12))&gt;0))</f>
        <v>3</v>
      </c>
      <c r="CH12" s="53" t="str">
        <f t="shared" si="3"/>
        <v>n</v>
      </c>
      <c r="CI12" s="53" t="str">
        <f t="shared" si="4"/>
        <v>y</v>
      </c>
      <c r="CJ12" s="53" t="str">
        <f t="shared" si="5"/>
        <v>n</v>
      </c>
      <c r="CK12" s="53" t="str">
        <f t="shared" si="6"/>
        <v>n</v>
      </c>
      <c r="CL12" s="53" t="str">
        <f t="shared" si="7"/>
        <v>n</v>
      </c>
      <c r="CM12" s="53" t="str">
        <f t="shared" si="8"/>
        <v>n</v>
      </c>
      <c r="CN12" s="53" t="str">
        <f t="shared" si="9"/>
        <v>y</v>
      </c>
      <c r="CO12" s="53" t="str">
        <f t="shared" si="10"/>
        <v>n</v>
      </c>
      <c r="CP12" s="53" t="str">
        <f t="shared" si="11"/>
        <v>y</v>
      </c>
      <c r="CQ12" s="53" t="str">
        <f t="shared" si="12"/>
        <v>n</v>
      </c>
      <c r="CR12" s="53" t="str">
        <f t="shared" si="13"/>
        <v>n</v>
      </c>
      <c r="CS12" s="53" t="str">
        <f t="shared" si="14"/>
        <v>n</v>
      </c>
      <c r="CT12" s="38" t="str">
        <f t="shared" si="15"/>
        <v>"[ARG] Misiones"</v>
      </c>
      <c r="CU12" s="63" t="str">
        <f t="shared" si="16"/>
        <v>"rgn_South America"</v>
      </c>
      <c r="CV12" s="44" t="str">
        <f t="shared" si="17"/>
        <v>"https://upload.wikimedia.org/wikipedia/commons/thumb/c/ce/Bandera_de_la_Provincia_de_Misiones.svg/640px-Bandera_de_la_Provincia_de_Misiones.svg.png"</v>
      </c>
      <c r="CW12" s="44" t="str">
        <f t="shared" si="18"/>
        <v/>
      </c>
      <c r="CX12" s="44" t="str">
        <f t="shared" si="19"/>
        <v>"3Color",</v>
      </c>
      <c r="CY12" s="44" t="str">
        <f t="shared" si="20"/>
        <v/>
      </c>
      <c r="CZ12" s="44" t="str">
        <f t="shared" si="21"/>
        <v/>
      </c>
      <c r="DA12" s="44" t="str">
        <f t="shared" si="22"/>
        <v/>
      </c>
      <c r="DB12" s="44" t="str">
        <f t="shared" si="23"/>
        <v/>
      </c>
      <c r="DC12" s="44" t="str">
        <f>IF(Q12=2,CHAR(34)&amp;"exact2"&amp;CHAR(34)&amp;",","")</f>
        <v/>
      </c>
      <c r="DD12" s="44"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"lets08",</v>
      </c>
      <c r="DE12" s="44"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"startM",</v>
      </c>
      <c r="DF12" s="44" t="str">
        <f t="shared" si="24"/>
        <v/>
      </c>
      <c r="DG12" s="44" t="str">
        <f t="shared" si="25"/>
        <v/>
      </c>
      <c r="DH12" s="44" t="str">
        <f t="shared" si="26"/>
        <v/>
      </c>
      <c r="DI12" s="44" t="str">
        <f t="shared" si="27"/>
        <v/>
      </c>
      <c r="DJ12" s="44" t="str">
        <f t="shared" si="28"/>
        <v/>
      </c>
      <c r="DK12" s="44" t="str">
        <f t="shared" si="29"/>
        <v/>
      </c>
      <c r="DL12" s="44" t="str">
        <f t="shared" si="30"/>
        <v/>
      </c>
      <c r="DM12" s="44" t="str" cm="1">
        <f t="array" ref="DM12">IF(CG12=3,CHAR(34) &amp; _xlfn.TEXTJOIN("", TRUE, RIGHT(HP12:HX12, 2)) &amp; CHAR(34) &amp; ",", "")</f>
        <v>"LUEDHI",</v>
      </c>
      <c r="DN12" s="44" t="str">
        <f t="shared" si="31"/>
        <v/>
      </c>
      <c r="DO12" s="44" t="str">
        <f t="shared" si="32"/>
        <v>"year19",</v>
      </c>
      <c r="DP12" s="5" t="str">
        <f t="shared" si="33"/>
        <v/>
      </c>
      <c r="DQ12" s="5" t="str">
        <f t="shared" si="34"/>
        <v/>
      </c>
      <c r="DR12" s="5" t="str">
        <f t="shared" si="35"/>
        <v/>
      </c>
      <c r="DS12" s="5" t="str">
        <f t="shared" si="36"/>
        <v/>
      </c>
      <c r="DT12" s="5" t="str">
        <f t="shared" si="37"/>
        <v>"allhor",</v>
      </c>
      <c r="DU12" s="5" t="str">
        <f t="shared" si="38"/>
        <v/>
      </c>
      <c r="DV12" s="44" t="str">
        <f>IF(IA12&lt;&gt;"",(IF(IA12="y",CHAR(34)&amp;"largec"&amp;CHAR(34)&amp;",",CHAR(34)&amp;"smallc"&amp;CHAR(34)&amp;",")),"")</f>
        <v/>
      </c>
      <c r="DW12" s="44" t="str">
        <f t="shared" si="39"/>
        <v/>
      </c>
      <c r="DX12" s="44" t="str">
        <f t="shared" si="40"/>
        <v/>
      </c>
      <c r="DY12" s="44" t="str">
        <f t="shared" si="41"/>
        <v>"3Bands",</v>
      </c>
      <c r="DZ12" s="44" t="str">
        <f t="shared" si="42"/>
        <v/>
      </c>
      <c r="EA12" s="44" t="str">
        <f t="shared" si="43"/>
        <v/>
      </c>
      <c r="EB12" s="44" t="str">
        <f t="shared" si="44"/>
        <v/>
      </c>
      <c r="EC12" s="44" t="str">
        <f t="shared" si="45"/>
        <v>"Horizo",</v>
      </c>
      <c r="ED12" s="44" t="str">
        <f t="shared" si="46"/>
        <v/>
      </c>
      <c r="EE12" s="44" t="str">
        <f t="shared" si="47"/>
        <v/>
      </c>
      <c r="EF12" s="44" t="str">
        <f t="shared" si="48"/>
        <v/>
      </c>
      <c r="EG12" s="44" t="str">
        <f t="shared" si="49"/>
        <v/>
      </c>
      <c r="EH12" s="44" t="str">
        <f t="shared" si="50"/>
        <v/>
      </c>
      <c r="EI12" s="44" t="str">
        <f t="shared" si="51"/>
        <v/>
      </c>
      <c r="EJ12" s="44" t="str">
        <f t="shared" si="52"/>
        <v/>
      </c>
      <c r="EK12" s="44" t="str">
        <f t="shared" si="53"/>
        <v/>
      </c>
      <c r="EL12" s="44" t="str">
        <f t="shared" si="54"/>
        <v/>
      </c>
      <c r="EM12" s="44" t="str">
        <f t="shared" si="55"/>
        <v/>
      </c>
      <c r="EN12" s="44" t="str">
        <f t="shared" si="56"/>
        <v/>
      </c>
      <c r="EO12" s="44" t="str">
        <f t="shared" si="57"/>
        <v/>
      </c>
      <c r="EP12" s="44" t="str">
        <f t="shared" si="58"/>
        <v/>
      </c>
      <c r="EQ12" s="44" t="str">
        <f t="shared" si="59"/>
        <v/>
      </c>
      <c r="ER12" s="44" t="str">
        <f t="shared" si="60"/>
        <v>"OnlyBa",</v>
      </c>
      <c r="ES12" s="44" t="str">
        <f t="shared" si="61"/>
        <v/>
      </c>
      <c r="ET12" s="44" t="str">
        <f t="shared" si="62"/>
        <v/>
      </c>
      <c r="EU12" s="44" t="str">
        <f t="shared" si="63"/>
        <v/>
      </c>
      <c r="EV12" s="44" t="str">
        <f t="shared" si="64"/>
        <v/>
      </c>
      <c r="EW12" s="44" t="str">
        <f t="shared" si="65"/>
        <v/>
      </c>
      <c r="EX12" s="44" t="str">
        <f t="shared" si="66"/>
        <v/>
      </c>
      <c r="EY12" s="44" t="str">
        <f t="shared" si="67"/>
        <v/>
      </c>
      <c r="EZ12" s="44" t="str">
        <f t="shared" si="68"/>
        <v/>
      </c>
      <c r="FA12" s="44" t="str">
        <f t="shared" si="69"/>
        <v/>
      </c>
      <c r="FB12" s="44" t="str">
        <f t="shared" si="70"/>
        <v/>
      </c>
      <c r="FC12" s="44" t="str">
        <f>IF(AND(AT12&gt;0,BB12&lt;&gt;""),CHAR(34)&amp;"sta"&amp;BB12&amp;CHAR(34)&amp;",","")</f>
        <v/>
      </c>
      <c r="FD12" s="44" t="str">
        <f t="shared" si="71"/>
        <v/>
      </c>
      <c r="FE12" s="44" t="str">
        <f t="shared" si="72"/>
        <v/>
      </c>
      <c r="FF12" s="44" t="str">
        <f t="shared" si="73"/>
        <v/>
      </c>
      <c r="FG12" s="44" t="str">
        <f t="shared" si="74"/>
        <v/>
      </c>
      <c r="FH12" s="44" t="str">
        <f t="shared" si="75"/>
        <v>"NO_GRE",</v>
      </c>
      <c r="FI12" s="44" t="str">
        <f t="shared" si="76"/>
        <v>"NO_YEL",</v>
      </c>
      <c r="FJ12" s="44" t="str">
        <f t="shared" si="77"/>
        <v>"NO_BLA",</v>
      </c>
      <c r="FK12" s="44" t="str">
        <f t="shared" si="78"/>
        <v/>
      </c>
      <c r="FL12" s="44" t="str">
        <f t="shared" si="79"/>
        <v/>
      </c>
      <c r="FM12" s="44" t="str">
        <f t="shared" si="80"/>
        <v/>
      </c>
      <c r="FN12" s="44" t="str">
        <f t="shared" si="81"/>
        <v/>
      </c>
      <c r="FO12" s="44" t="str">
        <f t="shared" si="82"/>
        <v/>
      </c>
      <c r="FP12" s="44" t="str">
        <f t="shared" si="83"/>
        <v/>
      </c>
      <c r="FQ12" s="44" t="str">
        <f t="shared" si="84"/>
        <v>"001RED",</v>
      </c>
      <c r="FR12" s="44" t="str">
        <f t="shared" si="85"/>
        <v>"002BLU",</v>
      </c>
      <c r="FS12" s="44" t="str">
        <f t="shared" si="86"/>
        <v>"003WHI",</v>
      </c>
      <c r="FT12" s="44" t="str">
        <f t="shared" si="87"/>
        <v>"myrEQ",</v>
      </c>
      <c r="FU12" s="44" t="str">
        <f t="shared" si="88"/>
        <v/>
      </c>
      <c r="FV12" s="44" t="str">
        <f t="shared" si="89"/>
        <v/>
      </c>
      <c r="FW12" s="44" t="str">
        <f t="shared" si="90"/>
        <v/>
      </c>
      <c r="FX12" s="44" t="str">
        <f>SUBSTITUTE(IFERROR(SEARCH("[",A12),IFERROR(IF(AND(CA12&lt;&gt;"y",SEARCH("Europe",R12)&gt;0),CHAR(34)&amp;"noeuni"&amp;CHAR(34)&amp;",",""),"")),"1","")</f>
        <v/>
      </c>
      <c r="FY12" s="44" t="str">
        <f t="shared" si="91"/>
        <v/>
      </c>
      <c r="FZ12" s="44" t="str">
        <f t="shared" si="92"/>
        <v/>
      </c>
      <c r="GA12" s="44" t="str">
        <f t="shared" si="93"/>
        <v/>
      </c>
      <c r="GB12" s="44" t="str">
        <f t="shared" si="94"/>
        <v/>
      </c>
      <c r="GC12" s="44" t="str">
        <f>IFERROR(IF(SEARCH("Portuguese",CB12)&gt;0,CHAR(34)&amp;"portug"&amp;CHAR(34)&amp;",",""),"")</f>
        <v/>
      </c>
      <c r="GD12" s="44" t="str">
        <f>IFERROR(IF(SEARCH("German",CB12)&gt;0,CHAR(34)&amp;"german"&amp;CHAR(34)&amp;",",""),"")</f>
        <v/>
      </c>
      <c r="GE12" s="44" t="str">
        <f t="shared" si="95"/>
        <v/>
      </c>
      <c r="GF12" s="44" t="str">
        <f>IFERROR(IF(SEARCH("Histor",AU12)&gt;0,CHAR(34)&amp;"histor"&amp;CHAR(34)&amp;",",""),"")</f>
        <v/>
      </c>
      <c r="GG12" s="44" t="str">
        <f t="shared" si="96"/>
        <v/>
      </c>
      <c r="GH12" s="44" t="str">
        <f t="shared" si="97"/>
        <v/>
      </c>
      <c r="GI12" s="44" t="str">
        <f t="shared" si="98"/>
        <v/>
      </c>
      <c r="GJ12" s="44" t="str">
        <f t="shared" si="99"/>
        <v>"NoStar",</v>
      </c>
      <c r="GK12" s="44" t="str">
        <f t="shared" si="100"/>
        <v/>
      </c>
      <c r="GL12" s="44" t="str">
        <f t="shared" si="101"/>
        <v/>
      </c>
      <c r="GM12" s="44" t="str">
        <f t="shared" si="102"/>
        <v/>
      </c>
      <c r="GN12" s="44" t="str">
        <f t="shared" si="103"/>
        <v/>
      </c>
      <c r="GP12" s="44" t="str">
        <f t="shared" si="104"/>
        <v>"Province"</v>
      </c>
      <c r="GS12" s="44" t="str">
        <f t="shared" si="105"/>
        <v>["3Color","lets08","startM","LUEDHI","year19","allhor","3Bands","Horizo","OnlyBa","NO_GRE","NO_YEL","NO_BLA","001RED","002BLU","003WHI","myrEQ","NoStar"]</v>
      </c>
      <c r="GT12" s="44" t="str">
        <f t="shared" si="106"/>
        <v>"cl_RED",</v>
      </c>
      <c r="GU12" s="44" t="str">
        <f t="shared" si="107"/>
        <v>"cl_WHI",</v>
      </c>
      <c r="GV12" s="44" t="str">
        <f t="shared" si="108"/>
        <v>"cl_BLU",</v>
      </c>
      <c r="GW12" s="44" t="str">
        <f t="shared" si="109"/>
        <v/>
      </c>
      <c r="GX12" s="44" t="str">
        <f t="shared" si="110"/>
        <v/>
      </c>
      <c r="GY12" s="44" t="str">
        <f t="shared" si="111"/>
        <v/>
      </c>
      <c r="GZ12" s="44" t="str">
        <f t="shared" si="112"/>
        <v/>
      </c>
      <c r="HA12" s="44" t="str">
        <f t="shared" si="113"/>
        <v/>
      </c>
      <c r="HB12" s="44" t="str">
        <f t="shared" si="114"/>
        <v/>
      </c>
      <c r="HC12" s="44" t="str">
        <f t="shared" si="115"/>
        <v>["cl_RED","cl_WHI","cl_BLU"]</v>
      </c>
      <c r="HE12" s="64"/>
      <c r="HF12" s="65" t="str">
        <f t="shared" si="116"/>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links: "https://es.wikipedia.org/wiki/Bandera_de_Misiones"},</v>
      </c>
      <c r="HG12" s="66" t="str">
        <f t="shared" si="117"/>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links: "https://es.wikipedia.org/wiki/Bandera_de_Misiones"},</v>
      </c>
      <c r="HH12" s="44" t="str">
        <f t="shared" si="118"/>
        <v>"\nAccording to José Artigas himself, the meaning of the flag is as follows:\n\n • Red: for the blood spilled to sustain our freedom and independence.\n\n • Blue: of our decision for the Republic.\n\n • White: of our distinction and greatness."</v>
      </c>
      <c r="HI12" s="44" t="str">
        <f t="shared" si="119"/>
        <v>"\nAccording to José Artigas himself, the meaning of the flag is as follows:\n\n • Red: for the blood spilled to sustain our freedom and independence.\n\n • Blue: of our decision for the Republic.\n\n • White: of our distinction and greatness."</v>
      </c>
      <c r="HJ12" s="44" t="str">
        <f t="shared" si="120"/>
        <v>"1992 "</v>
      </c>
      <c r="HL12" s="44" t="str">
        <f t="shared" si="121"/>
        <v>"https://es.wikipedia.org/wiki/Bandera_de_Misiones"</v>
      </c>
      <c r="HM12" s="65" t="str">
        <f t="shared" si="122"/>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N12" s="67" t="str">
        <f t="shared" si="123"/>
        <v>{"couname":"[ARG] Misiones","year":"1992 ","region":"rgn_South America","Colors":["cl_RED","cl_WHI","cl_BLU"],"Items":["3Color","lets08","startM","LUEDHI","year19","allhor","3Bands","Horizo","OnlyBa","NO_GRE","NO_YEL","NO_BLA","001RED","002BLU","003WHI","myrEQ","NoStar"],"Flag":"https://upload.wikimedia.org/wikipedia/commons/thumb/c/ce/Bandera_de_la_Provincia_de_Misiones.svg/640px-Bandera_de_la_Provincia_de_Misiones.svg.png","HDFlag":"https://upload.wikimedia.org/wikipedia/commons/thumb/c/ce/Bandera_de_la_Provincia_de_Misiones.svg/2560px-Bandera_de_la_Provincia_de_Misiones.svg.png","type":"Province", "describe": "\nAccording to José Artigas himself, the meaning of the flag is as follows:\n\n • Red: for the blood spilled to sustain our freedom and independence.\n\n • Blue: of our decision for the Republic.\n\n • White: of our distinction and greatness.", "isnew": ".", "links": "https://es.wikipedia.org/wiki/Bandera_de_Misiones"},</v>
      </c>
      <c r="HO12" s="71"/>
      <c r="HP12" s="44" t="str" cm="1">
        <f t="array" ref="HP12">IF(_xlfn.TEXTJOIN(", ", TRUE, IF(ISNUMBER(SEARCH("BLA", BL12:BT12)), COLUMN(BL12:BT12) - COLUMN(BL12) + 1, ""))&lt;&gt;"","BLA","")</f>
        <v/>
      </c>
      <c r="HQ12" s="44" t="str" cm="1">
        <f t="array" ref="HQ12">IF(_xlfn.TEXTJOIN(", ", TRUE, IF(ISNUMBER(SEARCH("BLU", BL12:BT12)), COLUMN(BL12:BT12) - COLUMN(BL12) + 1, ""))&lt;&gt;"","BLU","")</f>
        <v>BLU</v>
      </c>
      <c r="HR12" s="44" t="str" cm="1">
        <f t="array" ref="HR12">IF(_xlfn.TEXTJOIN(", ", TRUE, IF(ISNUMBER(SEARCH("GRE", BL12:BT12)), COLUMN(BL12:BT12) - COLUMN(BL12) + 1, ""))&lt;&gt;"","GRE","")</f>
        <v/>
      </c>
      <c r="HS12" s="44" t="str" cm="1">
        <f t="array" ref="HS12">IF(_xlfn.TEXTJOIN(", ", TRUE, IF(ISNUMBER(SEARCH("RED", BL12:BT12)), COLUMN(BL12:BT12) - COLUMN(BL12) + 1, ""))&lt;&gt;"","RED","")</f>
        <v>RED</v>
      </c>
      <c r="HT12" s="44" t="str" cm="1">
        <f t="array" ref="HT12">IF(_xlfn.TEXTJOIN(", ", TRUE, IF(ISNUMBER(SEARCH("YEL", BL12:BT12)), COLUMN(BL12:BT12) - COLUMN(BL12) + 1, ""))&lt;&gt;"","YEL","")</f>
        <v/>
      </c>
      <c r="HU12" s="44" t="str" cm="1">
        <f t="array" ref="HU12">IF(_xlfn.TEXTJOIN(", ", TRUE, IF(ISNUMBER(SEARCH("ORA", BL12:BT12)), COLUMN(BL12:BT12) - COLUMN(BL12) + 1, ""))&lt;&gt;"","ORA","")</f>
        <v/>
      </c>
      <c r="HV12" s="44" t="str" cm="1">
        <f t="array" ref="HV12">IF(_xlfn.TEXTJOIN(", ", TRUE, IF(ISNUMBER(SEARCH("BRO", BL12:BT12)), COLUMN(BL12:BT12) - COLUMN(BL12) + 1, ""))&lt;&gt;"","BRO","")</f>
        <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SUM(IC12:IK12)</f>
        <v>0</v>
      </c>
      <c r="IM12" s="42">
        <f t="shared" si="124"/>
        <v>-3</v>
      </c>
      <c r="IN12" s="69" t="str">
        <f t="shared" si="125"/>
        <v>http://mkweb.bcgsc.ca/color-summarizer/?url=https://upload.wikimedia.org/wikipedia/commons/thumb/c/ce/Bandera_de_la_Provincia_de_Misiones.svg/640px-Bandera_de_la_Provincia_de_Misiones.svg.png&amp;precision=low&amp;num_clusters=3&amp;text=1</v>
      </c>
      <c r="IO12" s="44" t="str">
        <f t="shared" si="126"/>
        <v/>
      </c>
      <c r="IP12" s="44" t="str">
        <f t="shared" si="127"/>
        <v>"blue"</v>
      </c>
      <c r="IQ12" s="44" t="str">
        <f t="shared" si="128"/>
        <v/>
      </c>
      <c r="IR12" s="44" t="str">
        <f t="shared" si="129"/>
        <v>"red"</v>
      </c>
      <c r="IS12" s="44" t="str">
        <f t="shared" si="130"/>
        <v/>
      </c>
      <c r="IT12" s="44" t="str">
        <f t="shared" si="131"/>
        <v/>
      </c>
      <c r="IU12" s="44" t="str">
        <f t="shared" si="132"/>
        <v/>
      </c>
      <c r="IV12" s="44" t="str">
        <f t="shared" si="133"/>
        <v/>
      </c>
      <c r="IW12" s="44" t="str">
        <f t="shared" si="134"/>
        <v>"white"</v>
      </c>
      <c r="IX12" s="44" t="str">
        <f t="shared" si="135"/>
        <v>{"url":"http://mkweb.bcgsc.ca/color-summarizer/?url=https://upload.wikimedia.org/wikipedia/commons/thumb/c/ce/Bandera_de_la_Provincia_de_Misiones.svg/640px-Bandera_de_la_Provincia_de_Misiones.svg.png&amp;precision=low&amp;num_clusters=3&amp;text=1","name":"[ARG] Misiones"},</v>
      </c>
      <c r="IY12" s="44">
        <v>285</v>
      </c>
    </row>
    <row r="13" spans="1:259" s="44" customFormat="1" ht="38.4" customHeight="1" thickBot="1" x14ac:dyDescent="0.35">
      <c r="A13" s="84" t="s">
        <v>629</v>
      </c>
      <c r="B13" s="83" t="e" vm="12">
        <v>#VALUE!</v>
      </c>
      <c r="C13" s="39">
        <v>2</v>
      </c>
      <c r="D13" s="70" t="s">
        <v>630</v>
      </c>
      <c r="E13" s="40" t="s">
        <v>631</v>
      </c>
      <c r="F13" s="41" t="s">
        <v>163</v>
      </c>
      <c r="G13" s="42">
        <f t="shared" si="0"/>
        <v>1</v>
      </c>
      <c r="H13" s="43"/>
      <c r="I13" s="59" t="s">
        <v>632</v>
      </c>
      <c r="J13" s="44" t="str">
        <f>""</f>
        <v/>
      </c>
      <c r="K13" s="45"/>
      <c r="L13" s="46"/>
      <c r="M13" s="46"/>
      <c r="N13" s="47" t="s">
        <v>177</v>
      </c>
      <c r="O13" s="74">
        <v>1989</v>
      </c>
      <c r="P13" s="48" t="s">
        <v>633</v>
      </c>
      <c r="Q13" s="73">
        <v>1</v>
      </c>
      <c r="R13" s="49" t="s">
        <v>177</v>
      </c>
      <c r="S13" s="50">
        <v>3</v>
      </c>
      <c r="T13" s="51" t="s">
        <v>164</v>
      </c>
      <c r="U13" s="52" t="s">
        <v>164</v>
      </c>
      <c r="V13" s="52" t="s">
        <v>164</v>
      </c>
      <c r="W13" s="52" t="s">
        <v>165</v>
      </c>
      <c r="X13" s="52" t="s">
        <v>164</v>
      </c>
      <c r="Y13" s="52" t="s">
        <v>164</v>
      </c>
      <c r="Z13" s="52" t="s">
        <v>164</v>
      </c>
      <c r="AA13" s="52" t="s">
        <v>165</v>
      </c>
      <c r="AB13" s="52" t="s">
        <v>164</v>
      </c>
      <c r="AC13" s="52" t="s">
        <v>164</v>
      </c>
      <c r="AD13" s="52" t="s">
        <v>164</v>
      </c>
      <c r="AE13" s="52" t="s">
        <v>164</v>
      </c>
      <c r="AF13" s="53" t="s">
        <v>164</v>
      </c>
      <c r="AG13" s="53" t="s">
        <v>165</v>
      </c>
      <c r="AH13" s="53" t="s">
        <v>165</v>
      </c>
      <c r="AI13" s="53" t="s">
        <v>164</v>
      </c>
      <c r="AJ13" s="53" t="s">
        <v>164</v>
      </c>
      <c r="AK13" s="53" t="s">
        <v>164</v>
      </c>
      <c r="AL13" s="53" t="s">
        <v>164</v>
      </c>
      <c r="AM13" s="53" t="s">
        <v>165</v>
      </c>
      <c r="AN13" s="53" t="s">
        <v>164</v>
      </c>
      <c r="AO13" s="53" t="s">
        <v>164</v>
      </c>
      <c r="AP13" s="53" t="s">
        <v>164</v>
      </c>
      <c r="AQ13" s="53" t="s">
        <v>164</v>
      </c>
      <c r="AR13" s="53" t="s">
        <v>164</v>
      </c>
      <c r="AS13" s="53" t="s">
        <v>164</v>
      </c>
      <c r="AT13" s="54">
        <v>17</v>
      </c>
      <c r="AU13" s="53" t="s">
        <v>284</v>
      </c>
      <c r="AV13" s="53" t="str">
        <f t="shared" si="1"/>
        <v>[ARG]Province[ARG] Neuquén</v>
      </c>
      <c r="AW13" s="53" t="str">
        <f t="shared" si="2"/>
        <v>2[ARG] Neuquén</v>
      </c>
      <c r="AX13" s="55"/>
      <c r="AY13" s="55"/>
      <c r="AZ13" s="56" t="s">
        <v>154</v>
      </c>
      <c r="BA13" s="56" t="s">
        <v>154</v>
      </c>
      <c r="BB13" s="56"/>
      <c r="BC13" s="57"/>
      <c r="BD13" s="58" t="s">
        <v>152</v>
      </c>
      <c r="BE13" s="59"/>
      <c r="BF13" s="58" t="s">
        <v>152</v>
      </c>
      <c r="BG13" s="58" t="s">
        <v>159</v>
      </c>
      <c r="BH13" s="58" t="s">
        <v>152</v>
      </c>
      <c r="BI13" s="58"/>
      <c r="BJ13" s="58"/>
      <c r="BK13" s="59"/>
      <c r="BL13" s="58" t="s">
        <v>234</v>
      </c>
      <c r="BM13" s="58" t="s">
        <v>152</v>
      </c>
      <c r="BN13" s="58" t="s">
        <v>153</v>
      </c>
      <c r="BO13" s="58" t="s">
        <v>154</v>
      </c>
      <c r="BP13" s="58" t="s">
        <v>155</v>
      </c>
      <c r="BQ13" s="58" t="s">
        <v>234</v>
      </c>
      <c r="BR13" s="58" t="s">
        <v>234</v>
      </c>
      <c r="BS13" s="58" t="s">
        <v>234</v>
      </c>
      <c r="BT13" s="58" t="s">
        <v>159</v>
      </c>
      <c r="BU13" s="60"/>
      <c r="BV13" s="61"/>
      <c r="BW13" s="61">
        <v>0</v>
      </c>
      <c r="BX13" s="59"/>
      <c r="CB13" s="5"/>
      <c r="CC13" s="5"/>
      <c r="CD13" s="62">
        <v>0</v>
      </c>
      <c r="CE13" s="62">
        <v>0</v>
      </c>
      <c r="CF13" s="62" t="e">
        <v>#REF!</v>
      </c>
      <c r="CG13" s="75" cm="1">
        <f t="array" ref="CG13">SUMPRODUCT(--(LEN(TRIM(BL13:BT13))&gt;0))</f>
        <v>5</v>
      </c>
      <c r="CH13" s="53" t="str">
        <f t="shared" si="3"/>
        <v>n</v>
      </c>
      <c r="CI13" s="53" t="str">
        <f t="shared" si="4"/>
        <v>n</v>
      </c>
      <c r="CJ13" s="53" t="str">
        <f t="shared" si="5"/>
        <v>n</v>
      </c>
      <c r="CK13" s="53" t="str">
        <f t="shared" si="6"/>
        <v>y</v>
      </c>
      <c r="CL13" s="53" t="str">
        <f t="shared" si="7"/>
        <v>n</v>
      </c>
      <c r="CM13" s="53" t="str">
        <f t="shared" si="8"/>
        <v>n</v>
      </c>
      <c r="CN13" s="53" t="str">
        <f t="shared" si="9"/>
        <v>y</v>
      </c>
      <c r="CO13" s="53" t="str">
        <f t="shared" si="10"/>
        <v>n</v>
      </c>
      <c r="CP13" s="53" t="str">
        <f t="shared" si="11"/>
        <v>n</v>
      </c>
      <c r="CQ13" s="53" t="str">
        <f t="shared" si="12"/>
        <v>n</v>
      </c>
      <c r="CR13" s="53" t="str">
        <f t="shared" si="13"/>
        <v>n</v>
      </c>
      <c r="CS13" s="53" t="str">
        <f t="shared" si="14"/>
        <v>y</v>
      </c>
      <c r="CT13" s="38" t="str">
        <f t="shared" si="15"/>
        <v>"[ARG] Neuquén"</v>
      </c>
      <c r="CU13" s="63" t="str">
        <f t="shared" si="16"/>
        <v>"rgn_South America"</v>
      </c>
      <c r="CV13" s="44" t="str">
        <f t="shared" si="17"/>
        <v>"https://upload.wikimedia.org/wikipedia/commons/thumb/b/bc/Bandera_de_la_Provincia_de_Neuqu%C3%A9n.svg/301px-Bandera_de_la_Provincia_de_Neuqu%C3%A9n.svg.png"</v>
      </c>
      <c r="CW13" s="44" t="str">
        <f t="shared" si="18"/>
        <v/>
      </c>
      <c r="CX13" s="44" t="str">
        <f t="shared" si="19"/>
        <v/>
      </c>
      <c r="CY13" s="44" t="str">
        <f t="shared" si="20"/>
        <v/>
      </c>
      <c r="CZ13" s="44" t="str">
        <f t="shared" si="21"/>
        <v>"5+Colo",</v>
      </c>
      <c r="DA13" s="44" t="str">
        <f t="shared" si="22"/>
        <v/>
      </c>
      <c r="DB13" s="44" t="str">
        <f t="shared" si="23"/>
        <v/>
      </c>
      <c r="DD13" s="44"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"lets07",</v>
      </c>
      <c r="DE13" s="44" t="str">
        <f>CHAR(34)&amp;"start"&amp;IFERROR(LEFT(SUBSTITUTE(A13,"["&amp;MID(A13,FIND("[",A13)+1,FIND("]",A13)-FIND("[",A13)-1)&amp;"] ",""),1),LEFT(A13,1))&amp;CHAR(34)&amp;","</f>
        <v>"startN",</v>
      </c>
      <c r="DF13" s="44" t="str">
        <f t="shared" si="24"/>
        <v/>
      </c>
      <c r="DG13" s="44" t="str">
        <f t="shared" si="25"/>
        <v>"with_q",</v>
      </c>
      <c r="DH13" s="44" t="str">
        <f t="shared" si="26"/>
        <v/>
      </c>
      <c r="DI13" s="44" t="str">
        <f t="shared" si="27"/>
        <v/>
      </c>
      <c r="DJ13" s="44" t="str">
        <f t="shared" si="28"/>
        <v/>
      </c>
      <c r="DK13" s="44" t="str">
        <f t="shared" si="29"/>
        <v/>
      </c>
      <c r="DL13" s="44" t="str">
        <f t="shared" si="30"/>
        <v/>
      </c>
      <c r="DM13" s="44" t="str" cm="1">
        <f t="array" ref="DM13">IF(CG13=3,CHAR(34) &amp; _xlfn.TEXTJOIN("", TRUE, RIGHT(HP13:HX13, 2)) &amp; CHAR(34) &amp; ",", "")</f>
        <v/>
      </c>
      <c r="DN13" s="44" t="str">
        <f t="shared" si="31"/>
        <v/>
      </c>
      <c r="DO13" s="44" t="str">
        <f t="shared" si="32"/>
        <v>"year19",</v>
      </c>
      <c r="DP13" s="5" t="str">
        <f t="shared" si="33"/>
        <v/>
      </c>
      <c r="DQ13" s="5" t="str">
        <f t="shared" si="34"/>
        <v/>
      </c>
      <c r="DR13" s="5" t="str">
        <f t="shared" si="35"/>
        <v/>
      </c>
      <c r="DS13" s="5" t="str">
        <f t="shared" si="36"/>
        <v>"allver",</v>
      </c>
      <c r="DT13" s="5" t="str">
        <f t="shared" si="37"/>
        <v/>
      </c>
      <c r="DU13" s="5" t="str">
        <f t="shared" si="38"/>
        <v/>
      </c>
      <c r="DW13" s="44" t="str">
        <f t="shared" si="39"/>
        <v/>
      </c>
      <c r="DX13" s="44" t="str">
        <f t="shared" si="40"/>
        <v/>
      </c>
      <c r="DY13" s="44" t="str">
        <f t="shared" si="41"/>
        <v>"3Bands",</v>
      </c>
      <c r="DZ13" s="44" t="str">
        <f t="shared" si="42"/>
        <v/>
      </c>
      <c r="EA13" s="44" t="str">
        <f t="shared" si="43"/>
        <v/>
      </c>
      <c r="EB13" s="44" t="str">
        <f t="shared" si="44"/>
        <v/>
      </c>
      <c r="EC13" s="44" t="str">
        <f t="shared" si="45"/>
        <v/>
      </c>
      <c r="ED13" s="44" t="str">
        <f t="shared" si="46"/>
        <v>"Vertic",</v>
      </c>
      <c r="EE13" s="44" t="str">
        <f t="shared" si="47"/>
        <v/>
      </c>
      <c r="EF13" s="44" t="str">
        <f t="shared" si="48"/>
        <v/>
      </c>
      <c r="EG13" s="44" t="str">
        <f t="shared" si="49"/>
        <v/>
      </c>
      <c r="EH13" s="44" t="str">
        <f t="shared" si="50"/>
        <v>"Plants",</v>
      </c>
      <c r="EI13" s="44" t="str">
        <f t="shared" si="51"/>
        <v/>
      </c>
      <c r="EJ13" s="44" t="str">
        <f t="shared" si="52"/>
        <v/>
      </c>
      <c r="EK13" s="44" t="str">
        <f t="shared" si="53"/>
        <v/>
      </c>
      <c r="EL13" s="44" t="str">
        <f t="shared" si="54"/>
        <v/>
      </c>
      <c r="EM13" s="44" t="str">
        <f t="shared" si="55"/>
        <v/>
      </c>
      <c r="EN13" s="44" t="str">
        <f t="shared" si="56"/>
        <v>"Unequa",</v>
      </c>
      <c r="EO13" s="44" t="str">
        <f t="shared" si="57"/>
        <v>"Center",</v>
      </c>
      <c r="EP13" s="44" t="str">
        <f t="shared" si="58"/>
        <v/>
      </c>
      <c r="EQ13" s="44" t="str">
        <f t="shared" si="59"/>
        <v/>
      </c>
      <c r="ER13" s="44" t="str">
        <f t="shared" si="60"/>
        <v/>
      </c>
      <c r="ES13" s="44" t="str">
        <f t="shared" si="61"/>
        <v/>
      </c>
      <c r="ET13" s="44" t="str">
        <f t="shared" si="62"/>
        <v>"Geogrh",</v>
      </c>
      <c r="EU13" s="44" t="str">
        <f t="shared" si="63"/>
        <v/>
      </c>
      <c r="EV13" s="44" t="str">
        <f t="shared" si="64"/>
        <v/>
      </c>
      <c r="EW13" s="44" t="str">
        <f t="shared" si="65"/>
        <v/>
      </c>
      <c r="EX13" s="44" t="str">
        <f t="shared" si="66"/>
        <v/>
      </c>
      <c r="EY13" s="44" t="str">
        <f t="shared" si="67"/>
        <v/>
      </c>
      <c r="EZ13" s="44" t="str">
        <f t="shared" si="68"/>
        <v/>
      </c>
      <c r="FA13" s="44" t="str">
        <f t="shared" si="69"/>
        <v>"staRED",</v>
      </c>
      <c r="FB13" s="44" t="str">
        <f t="shared" si="70"/>
        <v>"staRED",</v>
      </c>
      <c r="FD13" s="44" t="str">
        <f t="shared" si="71"/>
        <v/>
      </c>
      <c r="FE13" s="44" t="str">
        <f t="shared" si="72"/>
        <v/>
      </c>
      <c r="FF13" s="44" t="str">
        <f t="shared" si="73"/>
        <v/>
      </c>
      <c r="FG13" s="44" t="str">
        <f t="shared" si="74"/>
        <v/>
      </c>
      <c r="FH13" s="44" t="str">
        <f t="shared" si="75"/>
        <v/>
      </c>
      <c r="FI13" s="44" t="str">
        <f t="shared" si="76"/>
        <v/>
      </c>
      <c r="FJ13" s="44" t="str">
        <f t="shared" si="77"/>
        <v>"NO_BLA",</v>
      </c>
      <c r="FK13" s="44" t="str">
        <f t="shared" si="78"/>
        <v/>
      </c>
      <c r="FL13" s="44" t="str">
        <f t="shared" si="79"/>
        <v/>
      </c>
      <c r="FM13" s="44" t="str">
        <f t="shared" si="80"/>
        <v/>
      </c>
      <c r="FN13" s="44" t="str">
        <f t="shared" si="81"/>
        <v/>
      </c>
      <c r="FO13" s="44" t="str">
        <f t="shared" si="82"/>
        <v/>
      </c>
      <c r="FP13" s="44" t="str">
        <f t="shared" si="83"/>
        <v/>
      </c>
      <c r="FQ13" s="44" t="str">
        <f t="shared" si="84"/>
        <v>"001BLU",</v>
      </c>
      <c r="FR13" s="44" t="str">
        <f t="shared" si="85"/>
        <v>"002WHI",</v>
      </c>
      <c r="FS13" s="44" t="str">
        <f t="shared" si="86"/>
        <v>"003BLU",</v>
      </c>
      <c r="FT13" s="44" t="str">
        <f t="shared" si="87"/>
        <v>"myrBLU",</v>
      </c>
      <c r="FU13" s="44" t="str">
        <f t="shared" si="88"/>
        <v/>
      </c>
      <c r="FV13" s="44" t="str">
        <f t="shared" si="89"/>
        <v/>
      </c>
      <c r="FW13" s="44" t="str">
        <f t="shared" si="90"/>
        <v/>
      </c>
      <c r="FY13" s="44" t="str">
        <f t="shared" si="91"/>
        <v/>
      </c>
      <c r="FZ13" s="44" t="str">
        <f t="shared" si="92"/>
        <v/>
      </c>
      <c r="GA13" s="44" t="str">
        <f t="shared" si="93"/>
        <v/>
      </c>
      <c r="GB13" s="44" t="str">
        <f t="shared" si="94"/>
        <v/>
      </c>
      <c r="GE13" s="44" t="str">
        <f t="shared" si="95"/>
        <v/>
      </c>
      <c r="GF13" s="44" t="str">
        <f>IFERROR(IF(SEARCH("Historical",AU13)&gt;0,CHAR(34)&amp;"histor"&amp;CHAR(34)&amp;",",""),"")</f>
        <v/>
      </c>
      <c r="GG13" s="44" t="str">
        <f t="shared" si="96"/>
        <v/>
      </c>
      <c r="GH13" s="44" t="str">
        <f t="shared" si="97"/>
        <v/>
      </c>
      <c r="GI13" s="44" t="str">
        <f t="shared" si="98"/>
        <v/>
      </c>
      <c r="GJ13" s="44" t="str">
        <f t="shared" si="99"/>
        <v/>
      </c>
      <c r="GK13" s="44" t="str">
        <f t="shared" si="100"/>
        <v>"HasSta",</v>
      </c>
      <c r="GL13" s="44" t="str">
        <f t="shared" si="101"/>
        <v/>
      </c>
      <c r="GM13" s="44" t="str">
        <f t="shared" si="102"/>
        <v/>
      </c>
      <c r="GN13" s="44" t="str">
        <f t="shared" si="103"/>
        <v>"3+Star",</v>
      </c>
      <c r="GP13" s="44" t="str">
        <f t="shared" si="104"/>
        <v>"Province"</v>
      </c>
      <c r="GS13" s="44" t="str">
        <f t="shared" si="105"/>
        <v>["5+Colo","lets07","startN","with_q","year19","allver","3Bands","Vertic","Plants","Unequa","Center","Geogrh","staRED","staRED","NO_BLA","001BLU","002WHI","003BLU","myrBLU","HasSta","3+Star"]</v>
      </c>
      <c r="GT13" s="44" t="str">
        <f t="shared" si="106"/>
        <v/>
      </c>
      <c r="GU13" s="44" t="str">
        <f t="shared" si="107"/>
        <v>"cl_BLU",</v>
      </c>
      <c r="GV13" s="44" t="str">
        <f t="shared" si="108"/>
        <v>"cl_GRE",</v>
      </c>
      <c r="GW13" s="44" t="str">
        <f t="shared" si="109"/>
        <v>"cl_RED",</v>
      </c>
      <c r="GX13" s="44" t="str">
        <f t="shared" si="110"/>
        <v>"cl_YEL",</v>
      </c>
      <c r="GY13" s="44" t="str">
        <f t="shared" si="111"/>
        <v/>
      </c>
      <c r="GZ13" s="44" t="str">
        <f t="shared" si="112"/>
        <v/>
      </c>
      <c r="HA13" s="44" t="str">
        <f t="shared" si="113"/>
        <v/>
      </c>
      <c r="HB13" s="44" t="str">
        <f t="shared" si="114"/>
        <v>"cl_WHI",</v>
      </c>
      <c r="HC13" s="44" t="str">
        <f t="shared" si="115"/>
        <v>["cl_BLU","cl_GRE","cl_RED","cl_YEL","cl_WHI"]</v>
      </c>
      <c r="HE13" s="64"/>
      <c r="HF13" s="65" t="str">
        <f t="shared" si="116"/>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links: "https://www.crwflags.com/fotw/flags/ar-q.html"},</v>
      </c>
      <c r="HG13" s="66" t="str">
        <f t="shared" si="117"/>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links: "https://www.crwflags.com/fotw/flags/ar-q.html"},</v>
      </c>
      <c r="HH13" s="44" t="str">
        <f t="shared" si="118"/>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I13" s="44" t="str">
        <f t="shared" si="119"/>
        <v>"\nThe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v>
      </c>
      <c r="HJ13" s="44" t="str">
        <f t="shared" si="120"/>
        <v>"1989"</v>
      </c>
      <c r="HL13" s="44" t="str">
        <f t="shared" si="121"/>
        <v>"https://www.crwflags.com/fotw/flags/ar-q.html"</v>
      </c>
      <c r="HM13" s="65" t="str">
        <f t="shared" si="122"/>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N13" s="67" t="str">
        <f t="shared" si="123"/>
        <v>{"couname":"[ARG] Neuquén","year":"1989","region":"rgn_South America","Colors":["cl_BLU","cl_GRE","cl_RED","cl_YEL","cl_WHI"],"Items":["5+Colo","lets07","startN","with_q","year19","allver","3Bands","Vertic","Plants","Unequa","Center","Geogrh","staRED","staRED","NO_BLA","001BLU","002WHI","003BLU","myrBLU","HasSta","3+Star"],"Flag":"https://upload.wikimedia.org/wikipedia/commons/thumb/b/bc/Bandera_de_la_Provincia_de_Neuqu%C3%A9n.svg/301px-Bandera_de_la_Provincia_de_Neuqu%C3%A9n.svg.png","HDFlag":"https://upload.wikimedia.org/wikipedia/commons/thumb/b/bc/Bandera_de_la_Provincia_de_Neuqu%C3%A9n.svg/664px-Bandera_de_la_Provincia_de_Neuqu%C3%A9n.svg.png","type":"Province", "describe": "\nThe flag of Neuquen has three equal vertical stripes blue, white, and blue. In the center, a badge made from elements of the provincial coat of arms. The same person (Mario Aldo Mástice) designed both the flag and the coat of arms. The badge in the center of the flag consists of a blue disc charged with the Lanín volcano, symbolizing the vertex of its summit the blue of the sky, and superimposing the volcano, a monkey puzzle tree (Araucaria araucana) in front of it. Around the disc, laurel branches are joined at the bottom by a Poinsettia, a local flower, symbolizing the federal spirit of the province.\n\nThe 16 yellow stars around the central symbol stand for the 16 departments that make up the Province.", "isnew": ".", "links": "https://www.crwflags.com/fotw/flags/ar-q.html"},</v>
      </c>
      <c r="HO13" s="71">
        <v>45610</v>
      </c>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GRE</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M13" s="42">
        <f t="shared" si="124"/>
        <v>-5</v>
      </c>
      <c r="IN13" s="69" t="str">
        <f t="shared" si="125"/>
        <v>http://mkweb.bcgsc.ca/color-summarizer/?url=https://upload.wikimedia.org/wikipedia/commons/thumb/b/bc/Bandera_de_la_Provincia_de_Neuqu%C3%A9n.svg/301px-Bandera_de_la_Provincia_de_Neuqu%C3%A9n.svg.png&amp;precision=low&amp;num_clusters=5&amp;text=1</v>
      </c>
      <c r="IO13" s="44" t="str">
        <f t="shared" si="126"/>
        <v/>
      </c>
      <c r="IP13" s="44" t="str">
        <f t="shared" si="127"/>
        <v>"blue"</v>
      </c>
      <c r="IQ13" s="44" t="str">
        <f t="shared" si="128"/>
        <v>"green"</v>
      </c>
      <c r="IR13" s="44" t="str">
        <f t="shared" si="129"/>
        <v>"red"</v>
      </c>
      <c r="IS13" s="44" t="str">
        <f t="shared" si="130"/>
        <v>"yellow"</v>
      </c>
      <c r="IT13" s="44" t="str">
        <f t="shared" si="131"/>
        <v/>
      </c>
      <c r="IU13" s="44" t="str">
        <f t="shared" si="132"/>
        <v/>
      </c>
      <c r="IV13" s="44" t="str">
        <f t="shared" si="133"/>
        <v/>
      </c>
      <c r="IW13" s="44" t="str">
        <f t="shared" si="134"/>
        <v>"white"</v>
      </c>
      <c r="IX13" s="44" t="str">
        <f t="shared" si="135"/>
        <v>{"url":"http://mkweb.bcgsc.ca/color-summarizer/?url=https://upload.wikimedia.org/wikipedia/commons/thumb/b/bc/Bandera_de_la_Provincia_de_Neuqu%C3%A9n.svg/301px-Bandera_de_la_Provincia_de_Neuqu%C3%A9n.svg.png&amp;precision=low&amp;num_clusters=5&amp;text=1","name":"[ARG] Neuquén"},</v>
      </c>
      <c r="IY13" s="44">
        <v>1240</v>
      </c>
    </row>
    <row r="14" spans="1:259" s="44" customFormat="1" ht="38.4" customHeight="1" thickBot="1" x14ac:dyDescent="0.35">
      <c r="A14" s="84" t="s">
        <v>300</v>
      </c>
      <c r="B14" s="83" t="e" vm="13">
        <v>#VALUE!</v>
      </c>
      <c r="C14" s="39">
        <v>2</v>
      </c>
      <c r="D14" s="70" t="s">
        <v>301</v>
      </c>
      <c r="E14" s="40" t="s">
        <v>302</v>
      </c>
      <c r="F14" s="41" t="s">
        <v>163</v>
      </c>
      <c r="G14" s="42">
        <f t="shared" si="0"/>
        <v>1</v>
      </c>
      <c r="H14" s="43"/>
      <c r="I14" s="59" t="s">
        <v>303</v>
      </c>
      <c r="J14" s="44" t="str">
        <f>""</f>
        <v/>
      </c>
      <c r="K14" s="45"/>
      <c r="L14" s="46"/>
      <c r="M14" s="46"/>
      <c r="N14" s="47" t="s">
        <v>177</v>
      </c>
      <c r="O14" s="74" t="s">
        <v>304</v>
      </c>
      <c r="P14" s="48" t="s">
        <v>305</v>
      </c>
      <c r="Q14" s="73">
        <v>2</v>
      </c>
      <c r="R14" s="49" t="s">
        <v>177</v>
      </c>
      <c r="S14" s="50">
        <v>3</v>
      </c>
      <c r="T14" s="51" t="s">
        <v>164</v>
      </c>
      <c r="U14" s="52" t="s">
        <v>164</v>
      </c>
      <c r="V14" s="52" t="s">
        <v>165</v>
      </c>
      <c r="W14" s="52" t="s">
        <v>164</v>
      </c>
      <c r="X14" s="52" t="s">
        <v>165</v>
      </c>
      <c r="Y14" s="52" t="s">
        <v>164</v>
      </c>
      <c r="Z14" s="52" t="s">
        <v>164</v>
      </c>
      <c r="AA14" s="52" t="s">
        <v>164</v>
      </c>
      <c r="AB14" s="52" t="s">
        <v>164</v>
      </c>
      <c r="AC14" s="52" t="s">
        <v>164</v>
      </c>
      <c r="AD14" s="52" t="s">
        <v>164</v>
      </c>
      <c r="AE14" s="52" t="s">
        <v>164</v>
      </c>
      <c r="AF14" s="53" t="s">
        <v>164</v>
      </c>
      <c r="AG14" s="53" t="s">
        <v>164</v>
      </c>
      <c r="AH14" s="53" t="s">
        <v>164</v>
      </c>
      <c r="AI14" s="53" t="s">
        <v>165</v>
      </c>
      <c r="AJ14" s="53" t="s">
        <v>164</v>
      </c>
      <c r="AK14" s="53" t="s">
        <v>164</v>
      </c>
      <c r="AL14" s="53" t="s">
        <v>164</v>
      </c>
      <c r="AM14" s="53" t="s">
        <v>164</v>
      </c>
      <c r="AN14" s="53" t="s">
        <v>164</v>
      </c>
      <c r="AO14" s="53" t="s">
        <v>164</v>
      </c>
      <c r="AP14" s="53" t="s">
        <v>164</v>
      </c>
      <c r="AQ14" s="53" t="s">
        <v>164</v>
      </c>
      <c r="AR14" s="53" t="s">
        <v>164</v>
      </c>
      <c r="AS14" s="53" t="s">
        <v>164</v>
      </c>
      <c r="AT14" s="54">
        <v>13</v>
      </c>
      <c r="AU14" s="53" t="s">
        <v>284</v>
      </c>
      <c r="AV14" s="53" t="str">
        <f t="shared" si="1"/>
        <v>[ARG]Province[ARG] Rio Negro</v>
      </c>
      <c r="AW14" s="53" t="str">
        <f t="shared" si="2"/>
        <v>2[ARG] Rio Negro</v>
      </c>
      <c r="AX14" s="55"/>
      <c r="AY14" s="55"/>
      <c r="AZ14" s="56" t="s">
        <v>159</v>
      </c>
      <c r="BA14" s="56"/>
      <c r="BB14" s="56"/>
      <c r="BC14" s="57"/>
      <c r="BD14" s="58" t="s">
        <v>159</v>
      </c>
      <c r="BE14" s="59"/>
      <c r="BF14" s="58" t="s">
        <v>152</v>
      </c>
      <c r="BG14" s="58" t="s">
        <v>159</v>
      </c>
      <c r="BH14" s="58" t="s">
        <v>153</v>
      </c>
      <c r="BI14" s="58"/>
      <c r="BJ14" s="58"/>
      <c r="BK14" s="59"/>
      <c r="BL14" s="58" t="s">
        <v>151</v>
      </c>
      <c r="BM14" s="58" t="s">
        <v>152</v>
      </c>
      <c r="BN14" s="58" t="s">
        <v>159</v>
      </c>
      <c r="BO14" s="58" t="s">
        <v>153</v>
      </c>
      <c r="BP14" s="58"/>
      <c r="BQ14" s="58"/>
      <c r="BR14" s="58"/>
      <c r="BS14" s="58"/>
      <c r="BT14" s="58"/>
      <c r="BU14" s="60" t="s">
        <v>164</v>
      </c>
      <c r="BV14" s="61"/>
      <c r="BW14" s="61">
        <v>0</v>
      </c>
      <c r="BX14" s="59"/>
      <c r="CB14" s="5"/>
      <c r="CC14" s="5"/>
      <c r="CD14" s="62">
        <v>0</v>
      </c>
      <c r="CE14" s="62">
        <v>0</v>
      </c>
      <c r="CF14" s="62" t="e">
        <v>#REF!</v>
      </c>
      <c r="CG14" s="75" cm="1">
        <f t="array" ref="CG14">SUMPRODUCT(--(LEN(TRIM(BL14:BT14))&gt;0))</f>
        <v>4</v>
      </c>
      <c r="CH14" s="53" t="str">
        <f t="shared" si="3"/>
        <v>n</v>
      </c>
      <c r="CI14" s="53" t="str">
        <f t="shared" si="4"/>
        <v>n</v>
      </c>
      <c r="CJ14" s="53" t="str">
        <f t="shared" si="5"/>
        <v>y</v>
      </c>
      <c r="CK14" s="53" t="str">
        <f t="shared" si="6"/>
        <v>n</v>
      </c>
      <c r="CL14" s="53" t="str">
        <f t="shared" si="7"/>
        <v>n</v>
      </c>
      <c r="CM14" s="53" t="str">
        <f t="shared" si="8"/>
        <v>n</v>
      </c>
      <c r="CN14" s="53" t="str">
        <f t="shared" si="9"/>
        <v>y</v>
      </c>
      <c r="CO14" s="53" t="str">
        <f t="shared" si="10"/>
        <v>n</v>
      </c>
      <c r="CP14" s="53" t="str">
        <f t="shared" si="11"/>
        <v>n</v>
      </c>
      <c r="CQ14" s="53" t="str">
        <f t="shared" si="12"/>
        <v>n</v>
      </c>
      <c r="CR14" s="53" t="str">
        <f t="shared" si="13"/>
        <v>n</v>
      </c>
      <c r="CS14" s="53" t="str">
        <f t="shared" si="14"/>
        <v>y</v>
      </c>
      <c r="CT14" s="38" t="str">
        <f t="shared" si="15"/>
        <v>"[ARG] Rio Negro"</v>
      </c>
      <c r="CU14" s="63" t="str">
        <f t="shared" si="16"/>
        <v>"rgn_South America"</v>
      </c>
      <c r="CV14" s="44" t="str">
        <f t="shared" si="17"/>
        <v>"https://upload.wikimedia.org/wikipedia/commons/thumb/5/5d/Bandera_de_la_Provincia_del_R%C3%ADo_Negro.svg/320px-Bandera_de_la_Provincia_del_R%C3%ADo_Negro.svg.png"</v>
      </c>
      <c r="CW14" s="44" t="str">
        <f t="shared" si="18"/>
        <v/>
      </c>
      <c r="CX14" s="44" t="str">
        <f t="shared" si="19"/>
        <v/>
      </c>
      <c r="CY14" s="44" t="str">
        <f t="shared" si="20"/>
        <v>"4Color",</v>
      </c>
      <c r="CZ14" s="44" t="str">
        <f t="shared" si="21"/>
        <v/>
      </c>
      <c r="DA14" s="44" t="str">
        <f t="shared" si="22"/>
        <v>"words2",</v>
      </c>
      <c r="DB14" s="44" t="str">
        <f t="shared" si="23"/>
        <v/>
      </c>
      <c r="DC14" s="44" t="str">
        <f>IF(Q14=2,CHAR(34)&amp;"exact2"&amp;CHAR(34)&amp;",","")</f>
        <v>"exact2",</v>
      </c>
      <c r="DD14" s="44"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"lets08",</v>
      </c>
      <c r="DE14" s="44"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"startR",</v>
      </c>
      <c r="DF14" s="44" t="str">
        <f t="shared" si="24"/>
        <v/>
      </c>
      <c r="DG14" s="44" t="str">
        <f t="shared" si="25"/>
        <v/>
      </c>
      <c r="DH14" s="44" t="str">
        <f t="shared" si="26"/>
        <v/>
      </c>
      <c r="DI14" s="44" t="str">
        <f t="shared" si="27"/>
        <v/>
      </c>
      <c r="DJ14" s="44" t="str">
        <f t="shared" si="28"/>
        <v/>
      </c>
      <c r="DK14" s="44" t="str">
        <f t="shared" si="29"/>
        <v/>
      </c>
      <c r="DL14" s="44" t="str">
        <f t="shared" si="30"/>
        <v/>
      </c>
      <c r="DM14" s="44" t="str" cm="1">
        <f t="array" ref="DM14">IF(CG14=3,CHAR(34) &amp; _xlfn.TEXTJOIN("", TRUE, RIGHT(HP14:HX14, 2)) &amp; CHAR(34) &amp; ",", "")</f>
        <v/>
      </c>
      <c r="DN14" s="44" t="str">
        <f t="shared" si="31"/>
        <v/>
      </c>
      <c r="DO14" s="44" t="str">
        <f t="shared" si="32"/>
        <v/>
      </c>
      <c r="DP14" s="5" t="str">
        <f t="shared" si="33"/>
        <v>"year00",</v>
      </c>
      <c r="DQ14" s="5" t="str">
        <f t="shared" si="34"/>
        <v/>
      </c>
      <c r="DR14" s="5" t="str">
        <f t="shared" si="35"/>
        <v/>
      </c>
      <c r="DS14" s="5" t="str">
        <f t="shared" si="36"/>
        <v/>
      </c>
      <c r="DT14" s="5" t="str">
        <f t="shared" si="37"/>
        <v>"allhor",</v>
      </c>
      <c r="DU14" s="5" t="str">
        <f t="shared" si="38"/>
        <v/>
      </c>
      <c r="DV14" s="44" t="str">
        <f>IF(IA14&lt;&gt;"",(IF(IA14="y",CHAR(34)&amp;"largec"&amp;CHAR(34)&amp;",",CHAR(34)&amp;"smallc"&amp;CHAR(34)&amp;",")),"")</f>
        <v/>
      </c>
      <c r="DW14" s="44" t="str">
        <f t="shared" si="39"/>
        <v/>
      </c>
      <c r="DX14" s="44" t="str">
        <f t="shared" si="40"/>
        <v/>
      </c>
      <c r="DY14" s="44" t="str">
        <f t="shared" si="41"/>
        <v>"3Bands",</v>
      </c>
      <c r="DZ14" s="44" t="str">
        <f t="shared" si="42"/>
        <v/>
      </c>
      <c r="EA14" s="44" t="str">
        <f t="shared" si="43"/>
        <v/>
      </c>
      <c r="EB14" s="44" t="str">
        <f t="shared" si="44"/>
        <v/>
      </c>
      <c r="EC14" s="44" t="str">
        <f t="shared" si="45"/>
        <v>"Horizo",</v>
      </c>
      <c r="ED14" s="44" t="str">
        <f t="shared" si="46"/>
        <v/>
      </c>
      <c r="EE14" s="44" t="str">
        <f t="shared" si="47"/>
        <v>"Circle",</v>
      </c>
      <c r="EF14" s="44" t="str">
        <f t="shared" si="48"/>
        <v/>
      </c>
      <c r="EG14" s="44" t="str">
        <f t="shared" si="49"/>
        <v/>
      </c>
      <c r="EH14" s="44" t="str">
        <f t="shared" si="50"/>
        <v/>
      </c>
      <c r="EI14" s="44" t="str">
        <f t="shared" si="51"/>
        <v/>
      </c>
      <c r="EJ14" s="44" t="str">
        <f t="shared" si="52"/>
        <v/>
      </c>
      <c r="EK14" s="44" t="str">
        <f t="shared" si="53"/>
        <v/>
      </c>
      <c r="EL14" s="44" t="str">
        <f t="shared" si="54"/>
        <v/>
      </c>
      <c r="EM14" s="44" t="str">
        <f t="shared" si="55"/>
        <v/>
      </c>
      <c r="EN14" s="44" t="str">
        <f t="shared" si="56"/>
        <v/>
      </c>
      <c r="EO14" s="44" t="str">
        <f t="shared" si="57"/>
        <v/>
      </c>
      <c r="EP14" s="44" t="str">
        <f t="shared" si="58"/>
        <v>"Canton",</v>
      </c>
      <c r="EQ14" s="44" t="str">
        <f t="shared" si="59"/>
        <v/>
      </c>
      <c r="ER14" s="44" t="str">
        <f t="shared" si="60"/>
        <v/>
      </c>
      <c r="ES14" s="44" t="str">
        <f t="shared" si="61"/>
        <v/>
      </c>
      <c r="ET14" s="44" t="str">
        <f t="shared" si="62"/>
        <v/>
      </c>
      <c r="EU14" s="44" t="str">
        <f t="shared" si="63"/>
        <v/>
      </c>
      <c r="EV14" s="44" t="str">
        <f t="shared" si="64"/>
        <v/>
      </c>
      <c r="EW14" s="44" t="str">
        <f t="shared" si="65"/>
        <v/>
      </c>
      <c r="EX14" s="44" t="str">
        <f t="shared" si="66"/>
        <v/>
      </c>
      <c r="EY14" s="44" t="str">
        <f t="shared" si="67"/>
        <v/>
      </c>
      <c r="EZ14" s="44" t="str">
        <f t="shared" si="68"/>
        <v/>
      </c>
      <c r="FA14" s="44" t="str">
        <f t="shared" si="69"/>
        <v>"staWHI",</v>
      </c>
      <c r="FB14" s="44" t="str">
        <f t="shared" si="70"/>
        <v/>
      </c>
      <c r="FC14" s="44" t="str">
        <f>IF(AND(AT14&gt;0,BB14&lt;&gt;""),CHAR(34)&amp;"sta"&amp;BB14&amp;CHAR(34)&amp;",","")</f>
        <v/>
      </c>
      <c r="FD14" s="44" t="str">
        <f t="shared" si="71"/>
        <v/>
      </c>
      <c r="FE14" s="44" t="str">
        <f t="shared" si="72"/>
        <v/>
      </c>
      <c r="FF14" s="44" t="str">
        <f t="shared" si="73"/>
        <v/>
      </c>
      <c r="FG14" s="44" t="str">
        <f t="shared" si="74"/>
        <v>"NO_RED",</v>
      </c>
      <c r="FH14" s="44" t="str">
        <f t="shared" si="75"/>
        <v/>
      </c>
      <c r="FI14" s="44" t="str">
        <f t="shared" si="76"/>
        <v>"NO_YEL",</v>
      </c>
      <c r="FJ14" s="44" t="str">
        <f t="shared" si="77"/>
        <v/>
      </c>
      <c r="FK14" s="44" t="str">
        <f t="shared" si="78"/>
        <v/>
      </c>
      <c r="FL14" s="44" t="str">
        <f t="shared" si="79"/>
        <v/>
      </c>
      <c r="FM14" s="44" t="str">
        <f t="shared" si="80"/>
        <v/>
      </c>
      <c r="FN14" s="44" t="str">
        <f t="shared" si="81"/>
        <v/>
      </c>
      <c r="FO14" s="44" t="str">
        <f t="shared" si="82"/>
        <v/>
      </c>
      <c r="FP14" s="44" t="str">
        <f t="shared" si="83"/>
        <v/>
      </c>
      <c r="FQ14" s="44" t="str">
        <f t="shared" si="84"/>
        <v>"001BLU",</v>
      </c>
      <c r="FR14" s="44" t="str">
        <f t="shared" si="85"/>
        <v>"002WHI",</v>
      </c>
      <c r="FS14" s="44" t="str">
        <f t="shared" si="86"/>
        <v>"003GRE",</v>
      </c>
      <c r="FT14" s="44" t="str">
        <f t="shared" si="87"/>
        <v>"myrWHI",</v>
      </c>
      <c r="FU14" s="44" t="str">
        <f t="shared" si="88"/>
        <v/>
      </c>
      <c r="FV14" s="44" t="str">
        <f t="shared" si="89"/>
        <v/>
      </c>
      <c r="FW14" s="44" t="str">
        <f t="shared" si="90"/>
        <v/>
      </c>
      <c r="FX14" s="44" t="str">
        <f>SUBSTITUTE(IFERROR(SEARCH("[",A14),IFERROR(IF(AND(CA14&lt;&gt;"y",SEARCH("Europe",R14)&gt;0),CHAR(34)&amp;"noeuni"&amp;CHAR(34)&amp;",",""),"")),"1","")</f>
        <v/>
      </c>
      <c r="FY14" s="44" t="str">
        <f t="shared" si="91"/>
        <v/>
      </c>
      <c r="FZ14" s="44" t="str">
        <f t="shared" si="92"/>
        <v/>
      </c>
      <c r="GA14" s="44" t="str">
        <f t="shared" si="93"/>
        <v/>
      </c>
      <c r="GB14" s="44" t="str">
        <f t="shared" si="94"/>
        <v/>
      </c>
      <c r="GC14" s="44" t="str">
        <f>IFERROR(IF(SEARCH("Portuguese",CB14)&gt;0,CHAR(34)&amp;"portug"&amp;CHAR(34)&amp;",",""),"")</f>
        <v/>
      </c>
      <c r="GD14" s="44" t="str">
        <f>IFERROR(IF(SEARCH("German",CB14)&gt;0,CHAR(34)&amp;"german"&amp;CHAR(34)&amp;",",""),"")</f>
        <v/>
      </c>
      <c r="GE14" s="44" t="str">
        <f t="shared" si="95"/>
        <v/>
      </c>
      <c r="GF14" s="44" t="str">
        <f>IFERROR(IF(SEARCH("Histor",AU14)&gt;0,CHAR(34)&amp;"histor"&amp;CHAR(34)&amp;",",""),"")</f>
        <v/>
      </c>
      <c r="GG14" s="44" t="str">
        <f t="shared" si="96"/>
        <v/>
      </c>
      <c r="GH14" s="44" t="str">
        <f t="shared" si="97"/>
        <v/>
      </c>
      <c r="GI14" s="44" t="str">
        <f t="shared" si="98"/>
        <v/>
      </c>
      <c r="GJ14" s="44" t="str">
        <f t="shared" si="99"/>
        <v/>
      </c>
      <c r="GK14" s="44" t="str">
        <f t="shared" si="100"/>
        <v>"HasSta",</v>
      </c>
      <c r="GL14" s="44" t="str">
        <f t="shared" si="101"/>
        <v/>
      </c>
      <c r="GM14" s="44" t="str">
        <f t="shared" si="102"/>
        <v/>
      </c>
      <c r="GN14" s="44" t="str">
        <f t="shared" si="103"/>
        <v>"3+Star",</v>
      </c>
      <c r="GP14" s="44" t="str">
        <f t="shared" si="104"/>
        <v>"Province"</v>
      </c>
      <c r="GS14" s="44" t="str">
        <f t="shared" si="105"/>
        <v>["4Color","words2","exact2","lets08","startR","year00","allhor","3Bands","Horizo","Circle","Canton","staWHI","NO_RED","NO_YEL","001BLU","002WHI","003GRE","myrWHI","HasSta","3+Star"]</v>
      </c>
      <c r="GT14" s="44" t="str">
        <f t="shared" si="106"/>
        <v>"cl_BLA",</v>
      </c>
      <c r="GU14" s="44" t="str">
        <f t="shared" si="107"/>
        <v>"cl_BLU",</v>
      </c>
      <c r="GV14" s="44" t="str">
        <f t="shared" si="108"/>
        <v>"cl_WHI",</v>
      </c>
      <c r="GW14" s="44" t="str">
        <f t="shared" si="109"/>
        <v>"cl_GRE",</v>
      </c>
      <c r="GX14" s="44" t="str">
        <f t="shared" si="110"/>
        <v/>
      </c>
      <c r="GY14" s="44" t="str">
        <f t="shared" si="111"/>
        <v/>
      </c>
      <c r="GZ14" s="44" t="str">
        <f t="shared" si="112"/>
        <v/>
      </c>
      <c r="HA14" s="44" t="str">
        <f t="shared" si="113"/>
        <v/>
      </c>
      <c r="HB14" s="44" t="str">
        <f t="shared" si="114"/>
        <v/>
      </c>
      <c r="HC14" s="44" t="str">
        <f t="shared" si="115"/>
        <v>["cl_BLA","cl_BLU","cl_WHI","cl_GRE"]</v>
      </c>
      <c r="HE14" s="64"/>
      <c r="HF14" s="65" t="str">
        <f t="shared" si="116"/>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links: "https://es.wikipedia.org/wiki/Bandera_de_la_provincia_del_Río_Negro"},</v>
      </c>
      <c r="HG14" s="66" t="str">
        <f t="shared" si="117"/>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links: "https://es.wikipedia.org/wiki/Bandera_de_la_provincia_del_Río_Negro"},</v>
      </c>
      <c r="HH14" s="44" t="str">
        <f t="shared" si="118"/>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I14" s="44" t="str">
        <f t="shared" si="119"/>
        <v>"\nAccording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v>
      </c>
      <c r="HJ14" s="44" t="str">
        <f t="shared" si="120"/>
        <v>"2009 "</v>
      </c>
      <c r="HL14" s="44" t="str">
        <f t="shared" si="121"/>
        <v>"https://es.wikipedia.org/wiki/Bandera_de_la_provincia_del_Río_Negro"</v>
      </c>
      <c r="HM14" s="65" t="str">
        <f t="shared" si="122"/>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N14" s="67" t="str">
        <f t="shared" si="123"/>
        <v>{"couname":"[ARG] Rio Negro","year":"2009 ","region":"rgn_South America","Colors":["cl_BLA","cl_BLU","cl_WHI","cl_GRE"],"Items":["4Color","words2","exact2","lets08","startR","year00","allhor","3Bands","Horizo","Circle","Canton","staWHI","NO_RED","NO_YEL","001BLU","002WHI","003GRE","myrWHI","HasSta","3+Star"],"Flag":"https://upload.wikimedia.org/wikipedia/commons/thumb/5/5d/Bandera_de_la_Provincia_del_R%C3%ADo_Negro.svg/320px-Bandera_de_la_Provincia_del_R%C3%ADo_Negro.svg.png","HDFlag":"https://upload.wikimedia.org/wikipedia/commons/thumb/5/5d/Bandera_de_la_Provincia_del_R%C3%ADo_Negro.svg/2560px-Bandera_de_la_Provincia_del_R%C3%ADo_Negro.svg.png","type":"Province", "describe": "\nAccording to its creator, the 13 stars symbolize the departments of the province, the blue of the top stripe represents justice, water resources such as the lakes of the mountain range, rivers, and irrigation channels; the central white represents the union of all colors, and the green of the bottom stripe symbolizes hope and the richness of the land. The black canton alludes to the river that gives the province its name.", "isnew": ".", "links": "https://es.wikipedia.org/wiki/Bandera_de_la_provincia_del_Río_Negro"},</v>
      </c>
      <c r="HO14" s="71"/>
      <c r="HP14" s="44" t="str" cm="1">
        <f t="array" ref="HP14">IF(_xlfn.TEXTJOIN(", ", TRUE, IF(ISNUMBER(SEARCH("BLA", BL14:BT14)), COLUMN(BL14:BT14) - COLUMN(BL14) + 1, ""))&lt;&gt;"","BLA","")</f>
        <v>BLA</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
      </c>
      <c r="HT14" s="44" t="str" cm="1">
        <f t="array" ref="HT14">IF(_xlfn.TEXTJOIN(", ", TRUE, IF(ISNUMBER(SEARCH("YEL", BL14:BT14)), COLUMN(BL14:BT14) - COLUMN(BL14) + 1, ""))&lt;&gt;"","YEL","")</f>
        <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L14" s="44">
        <f>SUM(IC14:IK14)</f>
        <v>0</v>
      </c>
      <c r="IM14" s="42">
        <f t="shared" si="124"/>
        <v>-4</v>
      </c>
      <c r="IN14" s="69" t="str">
        <f t="shared" si="125"/>
        <v>http://mkweb.bcgsc.ca/color-summarizer/?url=https://upload.wikimedia.org/wikipedia/commons/thumb/5/5d/Bandera_de_la_Provincia_del_R%C3%ADo_Negro.svg/320px-Bandera_de_la_Provincia_del_R%C3%ADo_Negro.svg.png&amp;precision=low&amp;num_clusters=4&amp;text=1</v>
      </c>
      <c r="IO14" s="44" t="str">
        <f t="shared" si="126"/>
        <v>"black"</v>
      </c>
      <c r="IP14" s="44" t="str">
        <f t="shared" si="127"/>
        <v>"blue"</v>
      </c>
      <c r="IQ14" s="44" t="str">
        <f t="shared" si="128"/>
        <v>"green"</v>
      </c>
      <c r="IR14" s="44" t="str">
        <f t="shared" si="129"/>
        <v/>
      </c>
      <c r="IS14" s="44" t="str">
        <f t="shared" si="130"/>
        <v/>
      </c>
      <c r="IT14" s="44" t="str">
        <f t="shared" si="131"/>
        <v/>
      </c>
      <c r="IU14" s="44" t="str">
        <f t="shared" si="132"/>
        <v/>
      </c>
      <c r="IV14" s="44" t="str">
        <f t="shared" si="133"/>
        <v/>
      </c>
      <c r="IW14" s="44" t="str">
        <f t="shared" si="134"/>
        <v>"white"</v>
      </c>
      <c r="IX14" s="44" t="str">
        <f t="shared" si="135"/>
        <v>{"url":"http://mkweb.bcgsc.ca/color-summarizer/?url=https://upload.wikimedia.org/wikipedia/commons/thumb/5/5d/Bandera_de_la_Provincia_del_R%C3%ADo_Negro.svg/320px-Bandera_de_la_Provincia_del_R%C3%ADo_Negro.svg.png&amp;precision=low&amp;num_clusters=4&amp;text=1","name":"[ARG] Rio Negro"},</v>
      </c>
      <c r="IY14" s="44">
        <v>286</v>
      </c>
    </row>
    <row r="15" spans="1:259" s="44" customFormat="1" ht="38.4" customHeight="1" thickBot="1" x14ac:dyDescent="0.35">
      <c r="A15" s="84" t="s">
        <v>527</v>
      </c>
      <c r="B15" s="83" t="e" vm="14">
        <v>#VALUE!</v>
      </c>
      <c r="C15" s="39">
        <v>2</v>
      </c>
      <c r="D15" s="70" t="s">
        <v>528</v>
      </c>
      <c r="E15" s="40" t="s">
        <v>529</v>
      </c>
      <c r="F15" s="41" t="s">
        <v>163</v>
      </c>
      <c r="G15" s="42">
        <f t="shared" si="0"/>
        <v>1</v>
      </c>
      <c r="H15" s="43"/>
      <c r="I15" s="59" t="s">
        <v>530</v>
      </c>
      <c r="J15" s="44" t="str">
        <f>""</f>
        <v/>
      </c>
      <c r="K15" s="45"/>
      <c r="L15" s="46"/>
      <c r="M15" s="46"/>
      <c r="N15" s="47" t="s">
        <v>177</v>
      </c>
      <c r="O15" s="74">
        <v>1997</v>
      </c>
      <c r="P15" s="48" t="s">
        <v>531</v>
      </c>
      <c r="Q15" s="73">
        <v>1</v>
      </c>
      <c r="R15" s="49" t="s">
        <v>177</v>
      </c>
      <c r="S15" s="50">
        <v>5</v>
      </c>
      <c r="T15" s="51" t="s">
        <v>164</v>
      </c>
      <c r="U15" s="52" t="s">
        <v>164</v>
      </c>
      <c r="V15" s="52" t="s">
        <v>165</v>
      </c>
      <c r="W15" s="52" t="s">
        <v>164</v>
      </c>
      <c r="X15" s="52" t="s">
        <v>165</v>
      </c>
      <c r="Y15" s="52" t="s">
        <v>164</v>
      </c>
      <c r="Z15" s="52" t="s">
        <v>164</v>
      </c>
      <c r="AA15" s="52" t="s">
        <v>164</v>
      </c>
      <c r="AB15" s="52" t="s">
        <v>164</v>
      </c>
      <c r="AC15" s="52" t="s">
        <v>164</v>
      </c>
      <c r="AD15" s="52" t="s">
        <v>165</v>
      </c>
      <c r="AE15" s="52" t="s">
        <v>164</v>
      </c>
      <c r="AF15" s="53" t="s">
        <v>164</v>
      </c>
      <c r="AG15" s="53" t="s">
        <v>164</v>
      </c>
      <c r="AH15" s="53" t="s">
        <v>165</v>
      </c>
      <c r="AI15" s="53" t="s">
        <v>164</v>
      </c>
      <c r="AJ15" s="53" t="s">
        <v>164</v>
      </c>
      <c r="AK15" s="53" t="s">
        <v>164</v>
      </c>
      <c r="AL15" s="53" t="s">
        <v>164</v>
      </c>
      <c r="AM15" s="53" t="s">
        <v>164</v>
      </c>
      <c r="AN15" s="53" t="s">
        <v>165</v>
      </c>
      <c r="AO15" s="53" t="s">
        <v>164</v>
      </c>
      <c r="AP15" s="53" t="s">
        <v>164</v>
      </c>
      <c r="AQ15" s="53" t="s">
        <v>164</v>
      </c>
      <c r="AR15" s="53" t="s">
        <v>164</v>
      </c>
      <c r="AS15" s="53" t="s">
        <v>164</v>
      </c>
      <c r="AT15" s="54">
        <v>24</v>
      </c>
      <c r="AU15" s="53" t="s">
        <v>284</v>
      </c>
      <c r="AV15" s="53" t="str">
        <f t="shared" si="1"/>
        <v>[ARG]Province[ARG] Salta</v>
      </c>
      <c r="AW15" s="53" t="str">
        <f t="shared" si="2"/>
        <v>2[ARG] Salta</v>
      </c>
      <c r="AX15" s="55"/>
      <c r="AY15" s="55"/>
      <c r="AZ15" s="56" t="s">
        <v>155</v>
      </c>
      <c r="BA15" s="56" t="s">
        <v>155</v>
      </c>
      <c r="BB15" s="56"/>
      <c r="BC15" s="57"/>
      <c r="BD15" s="58" t="s">
        <v>154</v>
      </c>
      <c r="BE15" s="59"/>
      <c r="BF15" s="58" t="s">
        <v>154</v>
      </c>
      <c r="BG15" s="58" t="s">
        <v>154</v>
      </c>
      <c r="BH15" s="58" t="s">
        <v>154</v>
      </c>
      <c r="BI15" s="58"/>
      <c r="BJ15" s="58"/>
      <c r="BK15" s="59"/>
      <c r="BL15" s="58" t="s">
        <v>151</v>
      </c>
      <c r="BM15" s="58" t="s">
        <v>152</v>
      </c>
      <c r="BN15" s="58" t="s">
        <v>234</v>
      </c>
      <c r="BO15" s="58" t="s">
        <v>154</v>
      </c>
      <c r="BP15" s="58" t="s">
        <v>155</v>
      </c>
      <c r="BQ15" s="58" t="s">
        <v>234</v>
      </c>
      <c r="BR15" s="58" t="s">
        <v>234</v>
      </c>
      <c r="BS15" s="58" t="s">
        <v>234</v>
      </c>
      <c r="BT15" s="58" t="s">
        <v>159</v>
      </c>
      <c r="BU15" s="60"/>
      <c r="BV15" s="61"/>
      <c r="BW15" s="61">
        <v>0</v>
      </c>
      <c r="BX15" s="59"/>
      <c r="CB15" s="5"/>
      <c r="CC15" s="5"/>
      <c r="CD15" s="62">
        <v>0</v>
      </c>
      <c r="CE15" s="62">
        <v>0</v>
      </c>
      <c r="CF15" s="62" t="e">
        <v>#REF!</v>
      </c>
      <c r="CG15" s="75" cm="1">
        <f t="array" ref="CG15">SUMPRODUCT(--(LEN(TRIM(BL15:BT15))&gt;0))</f>
        <v>5</v>
      </c>
      <c r="CH15" s="53" t="str">
        <f t="shared" si="3"/>
        <v>n</v>
      </c>
      <c r="CI15" s="53" t="str">
        <f t="shared" si="4"/>
        <v>n</v>
      </c>
      <c r="CJ15" s="53" t="str">
        <f t="shared" si="5"/>
        <v>n</v>
      </c>
      <c r="CK15" s="53" t="str">
        <f t="shared" si="6"/>
        <v>y</v>
      </c>
      <c r="CL15" s="53" t="str">
        <f t="shared" si="7"/>
        <v>n</v>
      </c>
      <c r="CM15" s="53" t="str">
        <f t="shared" si="8"/>
        <v>n</v>
      </c>
      <c r="CN15" s="53" t="str">
        <f t="shared" si="9"/>
        <v>n</v>
      </c>
      <c r="CO15" s="53" t="str">
        <f t="shared" si="10"/>
        <v>y</v>
      </c>
      <c r="CP15" s="53" t="str">
        <f t="shared" si="11"/>
        <v>n</v>
      </c>
      <c r="CQ15" s="53" t="str">
        <f t="shared" si="12"/>
        <v>n</v>
      </c>
      <c r="CR15" s="53" t="str">
        <f t="shared" si="13"/>
        <v>n</v>
      </c>
      <c r="CS15" s="53" t="str">
        <f t="shared" si="14"/>
        <v>y</v>
      </c>
      <c r="CT15" s="38" t="str">
        <f t="shared" si="15"/>
        <v>"[ARG] Salta"</v>
      </c>
      <c r="CU15" s="63" t="str">
        <f t="shared" si="16"/>
        <v>"rgn_South America"</v>
      </c>
      <c r="CV15" s="44" t="str">
        <f t="shared" si="17"/>
        <v>"https://upload.wikimedia.org/wikipedia/commons/thumb/6/6a/Bandera_de_la_Provincia_de_Salta.svg/320px-Bandera_de_la_Provincia_de_Salta.svg.png"</v>
      </c>
      <c r="CW15" s="44" t="str">
        <f t="shared" si="18"/>
        <v/>
      </c>
      <c r="CX15" s="44" t="str">
        <f t="shared" si="19"/>
        <v/>
      </c>
      <c r="CY15" s="44" t="str">
        <f t="shared" si="20"/>
        <v/>
      </c>
      <c r="CZ15" s="44" t="str">
        <f t="shared" si="21"/>
        <v>"5+Colo",</v>
      </c>
      <c r="DA15" s="44" t="str">
        <f t="shared" si="22"/>
        <v/>
      </c>
      <c r="DB15" s="44" t="str">
        <f t="shared" si="23"/>
        <v/>
      </c>
      <c r="DD15" s="44"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"lets05",</v>
      </c>
      <c r="DE15" s="44" t="str">
        <f>CHAR(34)&amp;"start"&amp;IFERROR(LEFT(SUBSTITUTE(A15,"["&amp;MID(A15,FIND("[",A15)+1,FIND("]",A15)-FIND("[",A15)-1)&amp;"] ",""),1),LEFT(A15,1))&amp;CHAR(34)&amp;","</f>
        <v>"startS",</v>
      </c>
      <c r="DF15" s="44" t="str">
        <f t="shared" si="24"/>
        <v/>
      </c>
      <c r="DG15" s="44" t="str">
        <f t="shared" si="25"/>
        <v/>
      </c>
      <c r="DH15" s="44" t="str">
        <f t="shared" si="26"/>
        <v/>
      </c>
      <c r="DI15" s="44" t="str">
        <f t="shared" si="27"/>
        <v/>
      </c>
      <c r="DJ15" s="44" t="str">
        <f t="shared" si="28"/>
        <v/>
      </c>
      <c r="DK15" s="44" t="str">
        <f t="shared" si="29"/>
        <v/>
      </c>
      <c r="DL15" s="44" t="str">
        <f t="shared" si="30"/>
        <v/>
      </c>
      <c r="DM15" s="44" t="str" cm="1">
        <f t="array" ref="DM15">IF(CG15=3,CHAR(34) &amp; _xlfn.TEXTJOIN("", TRUE, RIGHT(HP15:HX15, 2)) &amp; CHAR(34) &amp; ",", "")</f>
        <v/>
      </c>
      <c r="DN15" s="44" t="str">
        <f t="shared" si="31"/>
        <v/>
      </c>
      <c r="DO15" s="44" t="str">
        <f t="shared" si="32"/>
        <v>"year19",</v>
      </c>
      <c r="DP15" s="5" t="str">
        <f t="shared" si="33"/>
        <v/>
      </c>
      <c r="DQ15" s="5" t="str">
        <f t="shared" si="34"/>
        <v/>
      </c>
      <c r="DR15" s="5" t="str">
        <f t="shared" si="35"/>
        <v/>
      </c>
      <c r="DS15" s="5" t="str">
        <f t="shared" si="36"/>
        <v/>
      </c>
      <c r="DT15" s="5" t="str">
        <f t="shared" si="37"/>
        <v>"allhor",</v>
      </c>
      <c r="DU15" s="5" t="str">
        <f t="shared" si="38"/>
        <v/>
      </c>
      <c r="DW15" s="44" t="str">
        <f t="shared" si="39"/>
        <v/>
      </c>
      <c r="DX15" s="44" t="str">
        <f t="shared" si="40"/>
        <v/>
      </c>
      <c r="DY15" s="44" t="str">
        <f t="shared" si="41"/>
        <v/>
      </c>
      <c r="DZ15" s="44" t="str">
        <f t="shared" si="42"/>
        <v>"4+Band",</v>
      </c>
      <c r="EA15" s="44" t="str">
        <f t="shared" si="43"/>
        <v/>
      </c>
      <c r="EB15" s="44" t="str">
        <f t="shared" si="44"/>
        <v/>
      </c>
      <c r="EC15" s="44" t="str">
        <f t="shared" si="45"/>
        <v>"Horizo",</v>
      </c>
      <c r="ED15" s="44" t="str">
        <f t="shared" si="46"/>
        <v/>
      </c>
      <c r="EE15" s="44" t="str">
        <f t="shared" si="47"/>
        <v>"Circle",</v>
      </c>
      <c r="EF15" s="44" t="str">
        <f t="shared" si="48"/>
        <v/>
      </c>
      <c r="EG15" s="44" t="str">
        <f t="shared" si="49"/>
        <v/>
      </c>
      <c r="EH15" s="44" t="str">
        <f t="shared" si="50"/>
        <v/>
      </c>
      <c r="EI15" s="44" t="str">
        <f t="shared" si="51"/>
        <v/>
      </c>
      <c r="EJ15" s="44" t="str">
        <f t="shared" si="52"/>
        <v/>
      </c>
      <c r="EK15" s="44" t="str">
        <f t="shared" si="53"/>
        <v>"HasSun",</v>
      </c>
      <c r="EL15" s="44" t="str">
        <f t="shared" si="54"/>
        <v/>
      </c>
      <c r="EM15" s="44" t="str">
        <f t="shared" si="55"/>
        <v/>
      </c>
      <c r="EN15" s="44" t="str">
        <f t="shared" si="56"/>
        <v/>
      </c>
      <c r="EO15" s="44" t="str">
        <f t="shared" si="57"/>
        <v>"Center",</v>
      </c>
      <c r="EP15" s="44" t="str">
        <f t="shared" si="58"/>
        <v/>
      </c>
      <c r="EQ15" s="44" t="str">
        <f t="shared" si="59"/>
        <v/>
      </c>
      <c r="ER15" s="44" t="str">
        <f t="shared" si="60"/>
        <v/>
      </c>
      <c r="ES15" s="44" t="str">
        <f t="shared" si="61"/>
        <v/>
      </c>
      <c r="ET15" s="44" t="str">
        <f t="shared" si="62"/>
        <v/>
      </c>
      <c r="EU15" s="44" t="str">
        <f t="shared" si="63"/>
        <v>"Humans",</v>
      </c>
      <c r="EV15" s="44" t="str">
        <f t="shared" si="64"/>
        <v/>
      </c>
      <c r="EW15" s="44" t="str">
        <f t="shared" si="65"/>
        <v/>
      </c>
      <c r="EX15" s="44" t="str">
        <f t="shared" si="66"/>
        <v/>
      </c>
      <c r="EY15" s="44" t="str">
        <f t="shared" si="67"/>
        <v/>
      </c>
      <c r="EZ15" s="44" t="str">
        <f t="shared" si="68"/>
        <v/>
      </c>
      <c r="FA15" s="44" t="str">
        <f t="shared" si="69"/>
        <v>"staYEL",</v>
      </c>
      <c r="FB15" s="44" t="str">
        <f t="shared" si="70"/>
        <v>"staYEL",</v>
      </c>
      <c r="FD15" s="44" t="str">
        <f t="shared" si="71"/>
        <v/>
      </c>
      <c r="FE15" s="44" t="str">
        <f t="shared" si="72"/>
        <v/>
      </c>
      <c r="FF15" s="44" t="str">
        <f t="shared" si="73"/>
        <v/>
      </c>
      <c r="FG15" s="44" t="str">
        <f t="shared" si="74"/>
        <v/>
      </c>
      <c r="FH15" s="44" t="str">
        <f t="shared" si="75"/>
        <v>"NO_GRE",</v>
      </c>
      <c r="FI15" s="44" t="str">
        <f t="shared" si="76"/>
        <v/>
      </c>
      <c r="FJ15" s="44" t="str">
        <f t="shared" si="77"/>
        <v/>
      </c>
      <c r="FK15" s="44" t="str">
        <f t="shared" si="78"/>
        <v/>
      </c>
      <c r="FL15" s="44" t="str">
        <f t="shared" si="79"/>
        <v/>
      </c>
      <c r="FM15" s="44" t="str">
        <f t="shared" si="80"/>
        <v/>
      </c>
      <c r="FN15" s="44" t="str">
        <f t="shared" si="81"/>
        <v/>
      </c>
      <c r="FO15" s="44" t="str">
        <f t="shared" si="82"/>
        <v/>
      </c>
      <c r="FP15" s="44" t="str">
        <f t="shared" si="83"/>
        <v/>
      </c>
      <c r="FQ15" s="44" t="str">
        <f t="shared" si="84"/>
        <v>"001RED",</v>
      </c>
      <c r="FR15" s="44" t="str">
        <f t="shared" si="85"/>
        <v>"002RED",</v>
      </c>
      <c r="FS15" s="44" t="str">
        <f t="shared" si="86"/>
        <v>"003RED",</v>
      </c>
      <c r="FT15" s="44" t="str">
        <f t="shared" si="87"/>
        <v>"myrRED",</v>
      </c>
      <c r="FU15" s="44" t="str">
        <f t="shared" si="88"/>
        <v/>
      </c>
      <c r="FV15" s="44" t="str">
        <f t="shared" si="89"/>
        <v/>
      </c>
      <c r="FW15" s="44" t="str">
        <f t="shared" si="90"/>
        <v/>
      </c>
      <c r="FY15" s="44" t="str">
        <f t="shared" si="91"/>
        <v/>
      </c>
      <c r="FZ15" s="44" t="str">
        <f t="shared" si="92"/>
        <v/>
      </c>
      <c r="GA15" s="44" t="str">
        <f t="shared" si="93"/>
        <v/>
      </c>
      <c r="GB15" s="44" t="str">
        <f t="shared" si="94"/>
        <v/>
      </c>
      <c r="GE15" s="44" t="str">
        <f t="shared" si="95"/>
        <v/>
      </c>
      <c r="GF15" s="44" t="str">
        <f>IFERROR(IF(SEARCH("Historical",AU15)&gt;0,CHAR(34)&amp;"histor"&amp;CHAR(34)&amp;",",""),"")</f>
        <v/>
      </c>
      <c r="GG15" s="44" t="str">
        <f t="shared" si="96"/>
        <v/>
      </c>
      <c r="GH15" s="44" t="str">
        <f t="shared" si="97"/>
        <v/>
      </c>
      <c r="GI15" s="44" t="str">
        <f t="shared" si="98"/>
        <v/>
      </c>
      <c r="GJ15" s="44" t="str">
        <f t="shared" si="99"/>
        <v/>
      </c>
      <c r="GK15" s="44" t="str">
        <f t="shared" si="100"/>
        <v>"HasSta",</v>
      </c>
      <c r="GL15" s="44" t="str">
        <f t="shared" si="101"/>
        <v/>
      </c>
      <c r="GM15" s="44" t="str">
        <f t="shared" si="102"/>
        <v/>
      </c>
      <c r="GN15" s="44" t="str">
        <f t="shared" si="103"/>
        <v>"3+Star",</v>
      </c>
      <c r="GP15" s="44" t="str">
        <f t="shared" si="104"/>
        <v>"Province"</v>
      </c>
      <c r="GS15" s="44" t="str">
        <f t="shared" si="105"/>
        <v>["5+Colo","lets05","startS","year19","allhor","4+Band","Horizo","Circle","HasSun","Center","Humans","staYEL","staYEL","NO_GRE","001RED","002RED","003RED","myrRED","HasSta","3+Star"]</v>
      </c>
      <c r="GT15" s="44" t="str">
        <f t="shared" si="106"/>
        <v>"cl_BLA",</v>
      </c>
      <c r="GU15" s="44" t="str">
        <f t="shared" si="107"/>
        <v>"cl_BLU",</v>
      </c>
      <c r="GV15" s="44" t="str">
        <f t="shared" si="108"/>
        <v/>
      </c>
      <c r="GW15" s="44" t="str">
        <f t="shared" si="109"/>
        <v>"cl_RED",</v>
      </c>
      <c r="GX15" s="44" t="str">
        <f t="shared" si="110"/>
        <v>"cl_YEL",</v>
      </c>
      <c r="GY15" s="44" t="str">
        <f t="shared" si="111"/>
        <v/>
      </c>
      <c r="GZ15" s="44" t="str">
        <f t="shared" si="112"/>
        <v/>
      </c>
      <c r="HA15" s="44" t="str">
        <f t="shared" si="113"/>
        <v/>
      </c>
      <c r="HB15" s="44" t="str">
        <f t="shared" si="114"/>
        <v>"cl_WHI",</v>
      </c>
      <c r="HC15" s="44" t="str">
        <f t="shared" si="115"/>
        <v>["cl_BLA","cl_BLU","cl_RED","cl_YEL","cl_WHI"]</v>
      </c>
      <c r="HE15" s="64"/>
      <c r="HF15" s="65" t="str">
        <f t="shared" si="116"/>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links: "https://en.wikipedia.org/wiki/Flag_of_Salta"},</v>
      </c>
      <c r="HG15" s="66" t="str">
        <f t="shared" si="117"/>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links: "https://en.wikipedia.org/wiki/Flag_of_Salta"},</v>
      </c>
      <c r="HH15" s="44" t="str">
        <f t="shared" si="118"/>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I15" s="44" t="str">
        <f t="shared" si="119"/>
        <v>"\nThe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v>
      </c>
      <c r="HJ15" s="44" t="str">
        <f t="shared" si="120"/>
        <v>"1997"</v>
      </c>
      <c r="HL15" s="44" t="str">
        <f t="shared" si="121"/>
        <v>"https://en.wikipedia.org/wiki/Flag_of_Salta"</v>
      </c>
      <c r="HM15" s="65" t="str">
        <f t="shared" si="122"/>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N15" s="67" t="str">
        <f t="shared" si="123"/>
        <v>{"couname":"[ARG] Salta","year":"1997","region":"rgn_South America","Colors":["cl_BLA","cl_BLU","cl_RED","cl_YEL","cl_WHI"],"Items":["5+Colo","lets05","startS","year19","allhor","4+Band","Horizo","Circle","HasSun","Center","Humans","staYEL","staYEL","NO_GRE","001RED","002RED","003RED","myrRED","HasSta","3+Star"],"Flag":"https://upload.wikimedia.org/wikipedia/commons/thumb/6/6a/Bandera_de_la_Provincia_de_Salta.svg/320px-Bandera_de_la_Provincia_de_Salta.svg.png","HDFlag":"https://upload.wikimedia.org/wikipedia/commons/thumb/6/6a/Bandera_de_la_Provincia_de_Salta.svg/640px-Bandera_de_la_Provincia_de_Salta.svg.png","type":"Province", "describe": "\nThe flag consists of the provincial coat of arms on a burgundy background. The coat of arms placed in the center is an oval, light blue shield with a white six-pointed star. In the center of the star is a cut-out circle with a Sun of May in it. Around the shield are 23 six-pointed gold gaucho spurs called the Nazarene, that represent the 23 provincial departments. Burgundy and black are the colors of the traditional Salta poncho. Ponchos of this type were worn by the Infernales led by Martín Miguel de Güemes, during the War of Independence.", "isnew": ".", "links": "https://en.wikipedia.org/wiki/Flag_of_Salta"},</v>
      </c>
      <c r="HO15" s="71">
        <v>45618</v>
      </c>
      <c r="HP15" s="44" t="str" cm="1">
        <f t="array" ref="HP15">IF(_xlfn.TEXTJOIN(", ", TRUE, IF(ISNUMBER(SEARCH("BLA", BL15:BT15)), COLUMN(BL15:BT15) - COLUMN(BL15) + 1, ""))&lt;&gt;"","BLA","")</f>
        <v>BLA</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YEL</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M15" s="42">
        <f t="shared" si="124"/>
        <v>-5</v>
      </c>
      <c r="IN15" s="69" t="str">
        <f t="shared" si="125"/>
        <v>http://mkweb.bcgsc.ca/color-summarizer/?url=https://upload.wikimedia.org/wikipedia/commons/thumb/6/6a/Bandera_de_la_Provincia_de_Salta.svg/320px-Bandera_de_la_Provincia_de_Salta.svg.png&amp;precision=low&amp;num_clusters=5&amp;text=1</v>
      </c>
      <c r="IO15" s="44" t="str">
        <f t="shared" si="126"/>
        <v>"black"</v>
      </c>
      <c r="IP15" s="44" t="str">
        <f t="shared" si="127"/>
        <v>"blue"</v>
      </c>
      <c r="IQ15" s="44" t="str">
        <f t="shared" si="128"/>
        <v/>
      </c>
      <c r="IR15" s="44" t="str">
        <f t="shared" si="129"/>
        <v>"red"</v>
      </c>
      <c r="IS15" s="44" t="str">
        <f t="shared" si="130"/>
        <v>"yellow"</v>
      </c>
      <c r="IT15" s="44" t="str">
        <f t="shared" si="131"/>
        <v/>
      </c>
      <c r="IU15" s="44" t="str">
        <f t="shared" si="132"/>
        <v/>
      </c>
      <c r="IV15" s="44" t="str">
        <f t="shared" si="133"/>
        <v/>
      </c>
      <c r="IW15" s="44" t="str">
        <f t="shared" si="134"/>
        <v>"white"</v>
      </c>
      <c r="IX15" s="44" t="str">
        <f t="shared" si="135"/>
        <v>{"url":"http://mkweb.bcgsc.ca/color-summarizer/?url=https://upload.wikimedia.org/wikipedia/commons/thumb/6/6a/Bandera_de_la_Provincia_de_Salta.svg/320px-Bandera_de_la_Provincia_de_Salta.svg.png&amp;precision=low&amp;num_clusters=5&amp;text=1","name":"[ARG] Salta"},</v>
      </c>
      <c r="IY15" s="44">
        <v>937</v>
      </c>
    </row>
    <row r="16" spans="1:259" s="44" customFormat="1" ht="38.4" customHeight="1" thickBot="1" x14ac:dyDescent="0.35">
      <c r="A16" s="84" t="s">
        <v>634</v>
      </c>
      <c r="B16" s="83" t="e" vm="15">
        <v>#VALUE!</v>
      </c>
      <c r="C16" s="39">
        <v>2</v>
      </c>
      <c r="D16" s="70" t="s">
        <v>635</v>
      </c>
      <c r="E16" s="40" t="s">
        <v>636</v>
      </c>
      <c r="F16" s="41" t="s">
        <v>163</v>
      </c>
      <c r="G16" s="42">
        <f t="shared" si="0"/>
        <v>1</v>
      </c>
      <c r="H16" s="43"/>
      <c r="I16" s="59" t="s">
        <v>637</v>
      </c>
      <c r="J16" s="44" t="str">
        <f>""</f>
        <v/>
      </c>
      <c r="K16" s="45"/>
      <c r="L16" s="46"/>
      <c r="M16" s="46"/>
      <c r="N16" s="47" t="s">
        <v>177</v>
      </c>
      <c r="O16" s="74">
        <v>1988</v>
      </c>
      <c r="P16" s="48" t="s">
        <v>638</v>
      </c>
      <c r="Q16" s="73">
        <v>2</v>
      </c>
      <c r="R16" s="49" t="s">
        <v>177</v>
      </c>
      <c r="S16" s="50">
        <v>0</v>
      </c>
      <c r="T16" s="51" t="s">
        <v>164</v>
      </c>
      <c r="U16" s="52" t="s">
        <v>164</v>
      </c>
      <c r="V16" s="52" t="s">
        <v>164</v>
      </c>
      <c r="W16" s="52" t="s">
        <v>164</v>
      </c>
      <c r="X16" s="52" t="s">
        <v>165</v>
      </c>
      <c r="Y16" s="52" t="s">
        <v>165</v>
      </c>
      <c r="Z16" s="52" t="s">
        <v>164</v>
      </c>
      <c r="AA16" s="52" t="s">
        <v>165</v>
      </c>
      <c r="AB16" s="52" t="s">
        <v>164</v>
      </c>
      <c r="AC16" s="52" t="s">
        <v>164</v>
      </c>
      <c r="AD16" s="52" t="s">
        <v>165</v>
      </c>
      <c r="AE16" s="52" t="s">
        <v>164</v>
      </c>
      <c r="AF16" s="53" t="s">
        <v>164</v>
      </c>
      <c r="AG16" s="53" t="s">
        <v>164</v>
      </c>
      <c r="AH16" s="53" t="s">
        <v>165</v>
      </c>
      <c r="AI16" s="53" t="s">
        <v>164</v>
      </c>
      <c r="AJ16" s="53" t="s">
        <v>164</v>
      </c>
      <c r="AK16" s="53" t="s">
        <v>164</v>
      </c>
      <c r="AL16" s="53" t="s">
        <v>164</v>
      </c>
      <c r="AM16" s="53" t="s">
        <v>165</v>
      </c>
      <c r="AN16" s="53" t="s">
        <v>165</v>
      </c>
      <c r="AO16" s="53" t="s">
        <v>164</v>
      </c>
      <c r="AP16" s="53" t="s">
        <v>164</v>
      </c>
      <c r="AQ16" s="53" t="s">
        <v>164</v>
      </c>
      <c r="AR16" s="53" t="s">
        <v>164</v>
      </c>
      <c r="AS16" s="53" t="s">
        <v>164</v>
      </c>
      <c r="AT16" s="54">
        <v>0</v>
      </c>
      <c r="AU16" s="53" t="s">
        <v>284</v>
      </c>
      <c r="AV16" s="53" t="str">
        <f t="shared" si="1"/>
        <v>[ARG]Province[ARG] San Luis</v>
      </c>
      <c r="AW16" s="53" t="str">
        <f t="shared" si="2"/>
        <v>2[ARG] San Luis</v>
      </c>
      <c r="AX16" s="55"/>
      <c r="AY16" s="55"/>
      <c r="AZ16" s="56" t="s">
        <v>234</v>
      </c>
      <c r="BA16" s="56" t="s">
        <v>234</v>
      </c>
      <c r="BB16" s="56"/>
      <c r="BC16" s="57"/>
      <c r="BD16" s="58" t="s">
        <v>159</v>
      </c>
      <c r="BE16" s="59"/>
      <c r="BF16" s="58" t="s">
        <v>234</v>
      </c>
      <c r="BG16" s="58" t="s">
        <v>234</v>
      </c>
      <c r="BH16" s="58" t="s">
        <v>234</v>
      </c>
      <c r="BI16" s="58"/>
      <c r="BJ16" s="58"/>
      <c r="BK16" s="59"/>
      <c r="BL16" s="58" t="s">
        <v>234</v>
      </c>
      <c r="BM16" s="58" t="s">
        <v>152</v>
      </c>
      <c r="BN16" s="58" t="s">
        <v>153</v>
      </c>
      <c r="BO16" s="58" t="s">
        <v>234</v>
      </c>
      <c r="BP16" s="58" t="s">
        <v>155</v>
      </c>
      <c r="BQ16" s="58" t="s">
        <v>156</v>
      </c>
      <c r="BR16" s="58" t="s">
        <v>157</v>
      </c>
      <c r="BS16" s="58" t="s">
        <v>234</v>
      </c>
      <c r="BT16" s="58" t="s">
        <v>159</v>
      </c>
      <c r="BU16" s="60"/>
      <c r="BV16" s="61"/>
      <c r="BW16" s="61">
        <v>0</v>
      </c>
      <c r="BX16" s="59"/>
      <c r="CB16" s="5"/>
      <c r="CC16" s="5"/>
      <c r="CD16" s="62">
        <v>0</v>
      </c>
      <c r="CE16" s="62">
        <v>0</v>
      </c>
      <c r="CF16" s="62" t="e">
        <v>#REF!</v>
      </c>
      <c r="CG16" s="75" cm="1">
        <f t="array" ref="CG16">SUMPRODUCT(--(LEN(TRIM(BL16:BT16))&gt;0))</f>
        <v>6</v>
      </c>
      <c r="CH16" s="53" t="str">
        <f t="shared" si="3"/>
        <v>n</v>
      </c>
      <c r="CI16" s="53" t="str">
        <f t="shared" si="4"/>
        <v>n</v>
      </c>
      <c r="CJ16" s="53" t="str">
        <f t="shared" si="5"/>
        <v>n</v>
      </c>
      <c r="CK16" s="53" t="str">
        <f t="shared" si="6"/>
        <v>y</v>
      </c>
      <c r="CL16" s="53" t="str">
        <f t="shared" si="7"/>
        <v>y</v>
      </c>
      <c r="CM16" s="53" t="str">
        <f t="shared" si="8"/>
        <v>n</v>
      </c>
      <c r="CN16" s="53" t="str">
        <f t="shared" si="9"/>
        <v>n</v>
      </c>
      <c r="CO16" s="53" t="str">
        <f t="shared" si="10"/>
        <v>n</v>
      </c>
      <c r="CP16" s="53" t="str">
        <f t="shared" si="11"/>
        <v>y</v>
      </c>
      <c r="CQ16" s="53" t="str">
        <f t="shared" si="12"/>
        <v>n</v>
      </c>
      <c r="CR16" s="53" t="str">
        <f t="shared" si="13"/>
        <v>n</v>
      </c>
      <c r="CS16" s="53" t="str">
        <f t="shared" si="14"/>
        <v>n</v>
      </c>
      <c r="CT16" s="38" t="str">
        <f t="shared" si="15"/>
        <v>"[ARG] San Luis"</v>
      </c>
      <c r="CU16" s="63" t="str">
        <f t="shared" si="16"/>
        <v>"rgn_South America"</v>
      </c>
      <c r="CV16" s="44" t="str">
        <f t="shared" si="17"/>
        <v>"https://upload.wikimedia.org/wikipedia/commons/thumb/0/0e/Bandera_de_la_Provincia_de_San_Luis.svg/320px-Bandera_de_la_Provincia_de_San_Luis.svg.png"</v>
      </c>
      <c r="CW16" s="44" t="str">
        <f t="shared" si="18"/>
        <v/>
      </c>
      <c r="CX16" s="44" t="str">
        <f t="shared" si="19"/>
        <v/>
      </c>
      <c r="CY16" s="44" t="str">
        <f t="shared" si="20"/>
        <v/>
      </c>
      <c r="CZ16" s="44" t="str">
        <f t="shared" si="21"/>
        <v>"5+Colo",</v>
      </c>
      <c r="DA16" s="44" t="str">
        <f t="shared" si="22"/>
        <v>"words2",</v>
      </c>
      <c r="DB16" s="44" t="str">
        <f t="shared" si="23"/>
        <v/>
      </c>
      <c r="DD16" s="44" t="str">
        <f>IF(LEN(CHAR(34)&amp;"lets"&amp;LEN(SUBSTITUTE(SUBSTITUTE(IFERROR(TRIM(SUBSTITUTE(A16,MID(A16,FIND("[",A16),FIND("]",A16)-FIND("[",A16)+1),"")),A16)," ",""),"-",""))&amp;CHAR(34)&amp;",")=9,CHAR(34)&amp;"lets"&amp;LEN(SUBSTITUTE(SUBSTITUTE(IFERROR(TRIM(SUBSTITUTE(A16,MID(A16,FIND("[",A16),FIND("]",A16)-FIND("[",A16)+1),"")),A16)," ",""),"-",""))&amp;CHAR(34)&amp;",",CHAR(34)&amp;"lets0"&amp;LEN(SUBSTITUTE(SUBSTITUTE(IFERROR(TRIM(SUBSTITUTE(A16,MID(A16,FIND("[",A16),FIND("]",A16)-FIND("[",A16)+1),"")),A16)," ",""),"-",""))&amp;CHAR(34)&amp;",")</f>
        <v>"lets07",</v>
      </c>
      <c r="DE16" s="44" t="str">
        <f>CHAR(34)&amp;"start"&amp;IFERROR(LEFT(SUBSTITUTE(A16,"["&amp;MID(A16,FIND("[",A16)+1,FIND("]",A16)-FIND("[",A16)-1)&amp;"] ",""),1),LEFT(A16,1))&amp;CHAR(34)&amp;","</f>
        <v>"startS",</v>
      </c>
      <c r="DF16" s="44" t="str">
        <f t="shared" si="24"/>
        <v/>
      </c>
      <c r="DG16" s="44" t="str">
        <f t="shared" si="25"/>
        <v/>
      </c>
      <c r="DH16" s="44" t="str">
        <f t="shared" si="26"/>
        <v/>
      </c>
      <c r="DI16" s="44" t="str">
        <f t="shared" si="27"/>
        <v/>
      </c>
      <c r="DJ16" s="44" t="str">
        <f t="shared" si="28"/>
        <v/>
      </c>
      <c r="DK16" s="44" t="str">
        <f t="shared" si="29"/>
        <v/>
      </c>
      <c r="DL16" s="44" t="str">
        <f t="shared" si="30"/>
        <v/>
      </c>
      <c r="DM16" s="44" t="str" cm="1">
        <f t="array" ref="DM16">IF(CG16=3,CHAR(34) &amp; _xlfn.TEXTJOIN("", TRUE, RIGHT(HP16:HX16, 2)) &amp; CHAR(34) &amp; ",", "")</f>
        <v/>
      </c>
      <c r="DN16" s="44" t="str">
        <f t="shared" si="31"/>
        <v/>
      </c>
      <c r="DO16" s="44" t="str">
        <f t="shared" si="32"/>
        <v>"year19",</v>
      </c>
      <c r="DP16" s="5" t="str">
        <f t="shared" si="33"/>
        <v/>
      </c>
      <c r="DQ16" s="5" t="str">
        <f t="shared" si="34"/>
        <v/>
      </c>
      <c r="DR16" s="5" t="str">
        <f t="shared" si="35"/>
        <v/>
      </c>
      <c r="DS16" s="5" t="str">
        <f t="shared" si="36"/>
        <v/>
      </c>
      <c r="DT16" s="5" t="str">
        <f t="shared" si="37"/>
        <v/>
      </c>
      <c r="DU16" s="5" t="str">
        <f t="shared" si="38"/>
        <v/>
      </c>
      <c r="DW16" s="44" t="str">
        <f t="shared" si="39"/>
        <v>"NoBand",</v>
      </c>
      <c r="DX16" s="44" t="str">
        <f t="shared" si="40"/>
        <v/>
      </c>
      <c r="DY16" s="44" t="str">
        <f t="shared" si="41"/>
        <v/>
      </c>
      <c r="DZ16" s="44" t="str">
        <f t="shared" si="42"/>
        <v/>
      </c>
      <c r="EA16" s="44" t="str">
        <f t="shared" si="43"/>
        <v/>
      </c>
      <c r="EB16" s="44" t="str">
        <f t="shared" si="44"/>
        <v/>
      </c>
      <c r="EC16" s="44" t="str">
        <f t="shared" si="45"/>
        <v/>
      </c>
      <c r="ED16" s="44" t="str">
        <f t="shared" si="46"/>
        <v/>
      </c>
      <c r="EE16" s="44" t="str">
        <f t="shared" si="47"/>
        <v>"Circle",</v>
      </c>
      <c r="EF16" s="44" t="str">
        <f t="shared" si="48"/>
        <v>"Animal",</v>
      </c>
      <c r="EG16" s="44" t="str">
        <f t="shared" si="49"/>
        <v/>
      </c>
      <c r="EH16" s="44" t="str">
        <f t="shared" si="50"/>
        <v>"Plants",</v>
      </c>
      <c r="EI16" s="44" t="str">
        <f t="shared" si="51"/>
        <v/>
      </c>
      <c r="EJ16" s="44" t="str">
        <f t="shared" si="52"/>
        <v/>
      </c>
      <c r="EK16" s="44" t="str">
        <f t="shared" si="53"/>
        <v>"HasSun",</v>
      </c>
      <c r="EL16" s="44" t="str">
        <f t="shared" si="54"/>
        <v/>
      </c>
      <c r="EM16" s="44" t="str">
        <f t="shared" si="55"/>
        <v/>
      </c>
      <c r="EN16" s="44" t="str">
        <f t="shared" si="56"/>
        <v/>
      </c>
      <c r="EO16" s="44" t="str">
        <f t="shared" si="57"/>
        <v>"Center",</v>
      </c>
      <c r="EP16" s="44" t="str">
        <f t="shared" si="58"/>
        <v/>
      </c>
      <c r="EQ16" s="44" t="str">
        <f t="shared" si="59"/>
        <v/>
      </c>
      <c r="ER16" s="44" t="str">
        <f t="shared" si="60"/>
        <v/>
      </c>
      <c r="ES16" s="44" t="str">
        <f t="shared" si="61"/>
        <v/>
      </c>
      <c r="ET16" s="44" t="str">
        <f t="shared" si="62"/>
        <v>"Geogrh",</v>
      </c>
      <c r="EU16" s="44" t="str">
        <f t="shared" si="63"/>
        <v>"Humans",</v>
      </c>
      <c r="EV16" s="44" t="str">
        <f t="shared" si="64"/>
        <v/>
      </c>
      <c r="EW16" s="44" t="str">
        <f t="shared" si="65"/>
        <v/>
      </c>
      <c r="EX16" s="44" t="str">
        <f t="shared" si="66"/>
        <v/>
      </c>
      <c r="EY16" s="44" t="str">
        <f t="shared" si="67"/>
        <v/>
      </c>
      <c r="EZ16" s="44" t="str">
        <f t="shared" si="68"/>
        <v/>
      </c>
      <c r="FA16" s="44" t="str">
        <f t="shared" si="69"/>
        <v/>
      </c>
      <c r="FB16" s="44" t="str">
        <f t="shared" si="70"/>
        <v/>
      </c>
      <c r="FD16" s="44" t="str">
        <f t="shared" si="71"/>
        <v/>
      </c>
      <c r="FE16" s="44" t="str">
        <f t="shared" si="72"/>
        <v/>
      </c>
      <c r="FF16" s="44" t="str">
        <f t="shared" si="73"/>
        <v/>
      </c>
      <c r="FG16" s="44" t="str">
        <f t="shared" si="74"/>
        <v>"NO_RED",</v>
      </c>
      <c r="FH16" s="44" t="str">
        <f t="shared" si="75"/>
        <v/>
      </c>
      <c r="FI16" s="44" t="str">
        <f t="shared" si="76"/>
        <v/>
      </c>
      <c r="FJ16" s="44" t="str">
        <f t="shared" si="77"/>
        <v>"NO_BLA",</v>
      </c>
      <c r="FK16" s="44" t="str">
        <f t="shared" si="78"/>
        <v/>
      </c>
      <c r="FL16" s="44" t="str">
        <f t="shared" si="79"/>
        <v/>
      </c>
      <c r="FM16" s="44" t="str">
        <f t="shared" si="80"/>
        <v/>
      </c>
      <c r="FN16" s="44" t="str">
        <f t="shared" si="81"/>
        <v/>
      </c>
      <c r="FO16" s="44" t="str">
        <f t="shared" si="82"/>
        <v/>
      </c>
      <c r="FP16" s="44" t="str">
        <f t="shared" si="83"/>
        <v/>
      </c>
      <c r="FQ16" s="44" t="str">
        <f t="shared" si="84"/>
        <v/>
      </c>
      <c r="FR16" s="44" t="str">
        <f t="shared" si="85"/>
        <v/>
      </c>
      <c r="FS16" s="44" t="str">
        <f t="shared" si="86"/>
        <v/>
      </c>
      <c r="FT16" s="44" t="str">
        <f t="shared" si="87"/>
        <v>"myrWHI",</v>
      </c>
      <c r="FU16" s="44" t="str">
        <f t="shared" si="88"/>
        <v/>
      </c>
      <c r="FV16" s="44" t="str">
        <f t="shared" si="89"/>
        <v/>
      </c>
      <c r="FW16" s="44" t="str">
        <f t="shared" si="90"/>
        <v/>
      </c>
      <c r="FY16" s="44" t="str">
        <f t="shared" si="91"/>
        <v/>
      </c>
      <c r="FZ16" s="44" t="str">
        <f t="shared" si="92"/>
        <v/>
      </c>
      <c r="GA16" s="44" t="str">
        <f t="shared" si="93"/>
        <v/>
      </c>
      <c r="GB16" s="44" t="str">
        <f t="shared" si="94"/>
        <v/>
      </c>
      <c r="GE16" s="44" t="str">
        <f t="shared" si="95"/>
        <v/>
      </c>
      <c r="GF16" s="44" t="str">
        <f>IFERROR(IF(SEARCH("Historical",AU16)&gt;0,CHAR(34)&amp;"histor"&amp;CHAR(34)&amp;",",""),"")</f>
        <v/>
      </c>
      <c r="GG16" s="44" t="str">
        <f t="shared" si="96"/>
        <v/>
      </c>
      <c r="GH16" s="44" t="str">
        <f t="shared" si="97"/>
        <v/>
      </c>
      <c r="GI16" s="44" t="str">
        <f t="shared" si="98"/>
        <v/>
      </c>
      <c r="GJ16" s="44" t="str">
        <f t="shared" si="99"/>
        <v>"NoStar",</v>
      </c>
      <c r="GK16" s="44" t="str">
        <f t="shared" si="100"/>
        <v/>
      </c>
      <c r="GL16" s="44" t="str">
        <f t="shared" si="101"/>
        <v/>
      </c>
      <c r="GM16" s="44" t="str">
        <f t="shared" si="102"/>
        <v/>
      </c>
      <c r="GN16" s="44" t="str">
        <f t="shared" si="103"/>
        <v/>
      </c>
      <c r="GP16" s="44" t="str">
        <f t="shared" si="104"/>
        <v>"Province"</v>
      </c>
      <c r="GS16" s="44" t="str">
        <f t="shared" si="105"/>
        <v>["5+Colo","words2","lets07","startS","year19","NoBand","Circle","Animal","Plants","HasSun","Center","Geogrh","Humans","NO_RED","NO_BLA","myrWHI","NoStar"]</v>
      </c>
      <c r="GT16" s="44" t="str">
        <f t="shared" si="106"/>
        <v/>
      </c>
      <c r="GU16" s="44" t="str">
        <f t="shared" si="107"/>
        <v>"cl_BLU",</v>
      </c>
      <c r="GV16" s="44" t="str">
        <f t="shared" si="108"/>
        <v>"cl_GRE",</v>
      </c>
      <c r="GW16" s="44" t="str">
        <f t="shared" si="109"/>
        <v/>
      </c>
      <c r="GX16" s="44" t="str">
        <f t="shared" si="110"/>
        <v>"cl_YEL",</v>
      </c>
      <c r="GY16" s="44" t="str">
        <f t="shared" si="111"/>
        <v>"cl_ORA",</v>
      </c>
      <c r="GZ16" s="44" t="str">
        <f t="shared" si="112"/>
        <v>"cl_BRO",</v>
      </c>
      <c r="HA16" s="44" t="str">
        <f t="shared" si="113"/>
        <v/>
      </c>
      <c r="HB16" s="44" t="str">
        <f t="shared" si="114"/>
        <v>"cl_WHI",</v>
      </c>
      <c r="HC16" s="44" t="str">
        <f t="shared" si="115"/>
        <v>["cl_BLU","cl_GRE","cl_YEL","cl_ORA","cl_BRO","cl_WHI"]</v>
      </c>
      <c r="HE16" s="64"/>
      <c r="HF16" s="65" t="str">
        <f t="shared" si="116"/>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links: "https://www.crwflags.com/fotw/flags/ar-d.html"},</v>
      </c>
      <c r="HG16" s="66" t="str">
        <f t="shared" si="117"/>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links: "https://www.crwflags.com/fotw/flags/ar-d.html"},</v>
      </c>
      <c r="HH16" s="44" t="str">
        <f t="shared" si="118"/>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I16" s="44" t="str">
        <f t="shared" si="119"/>
        <v>"\nThe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v>
      </c>
      <c r="HJ16" s="44" t="str">
        <f t="shared" si="120"/>
        <v>"1988"</v>
      </c>
      <c r="HL16" s="44" t="str">
        <f t="shared" si="121"/>
        <v>"https://www.crwflags.com/fotw/flags/ar-d.html"</v>
      </c>
      <c r="HM16" s="65" t="str">
        <f t="shared" si="122"/>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N16" s="67" t="str">
        <f t="shared" si="123"/>
        <v>{"couname":"[ARG] San Luis","year":"1988","region":"rgn_South America","Colors":["cl_BLU","cl_GRE","cl_YEL","cl_ORA","cl_BRO","cl_WHI"],"Items":["5+Colo","words2","lets07","startS","year19","NoBand","Circle","Animal","Plants","HasSun","Center","Geogrh","Humans","NO_RED","NO_BLA","myrWHI","NoStar"],"Flag":"https://upload.wikimedia.org/wikipedia/commons/thumb/0/0e/Bandera_de_la_Provincia_de_San_Luis.svg/320px-Bandera_de_la_Provincia_de_San_Luis.svg.png","HDFlag":"https://upload.wikimedia.org/wikipedia/commons/thumb/0/0e/Bandera_de_la_Provincia_de_San_Luis.svg/640px-Bandera_de_la_Provincia_de_San_Luis.svg.png","type":"Province", "describe": "\nThe provincial coat of arms appears at the center of the provincial flag. It was legally adopted by Law No.1640 of October 27, 1939.\n\nThe origins of the coat of arms are traced to 1836 when the first model of a seal appeared showing a deer and a mountain behind. The deer was a very common animal in the area. However, nowadays is almost extinct. The coat of arms has an elliptical shape, surrounded by two laurel branches tied at the bottom by an Argentine ribbon that stands for Argentine Liberty traditions and the relation of San Luis with the rest of Argentina. The four mountains represent the landscape of San Luis, while the deer represent the autochthonous fauna and recall the original full name of the City of San Luis. Finally, a sun with 32 rays is the Sun of May.", "isnew": ".", "links": "https://www.crwflags.com/fotw/flags/ar-d.html"},</v>
      </c>
      <c r="HO16" s="71">
        <v>45610</v>
      </c>
      <c r="HP16" s="44" t="str" cm="1">
        <f t="array" ref="HP16">IF(_xlfn.TEXTJOIN(", ", TRUE, IF(ISNUMBER(SEARCH("BLA", BL16:BT16)), COLUMN(BL16:BT16) - COLUMN(BL16) + 1, ""))&lt;&gt;"","BLA","")</f>
        <v/>
      </c>
      <c r="HQ16" s="44" t="str" cm="1">
        <f t="array" ref="HQ16">IF(_xlfn.TEXTJOIN(", ", TRUE, IF(ISNUMBER(SEARCH("BLU", BL16:BT16)), COLUMN(BL16:BT16) - COLUMN(BL16) + 1, ""))&lt;&gt;"","BLU","")</f>
        <v>BLU</v>
      </c>
      <c r="HR16" s="44" t="str" cm="1">
        <f t="array" ref="HR16">IF(_xlfn.TEXTJOIN(", ", TRUE, IF(ISNUMBER(SEARCH("GRE", BL16:BT16)), COLUMN(BL16:BT16) - COLUMN(BL16) + 1, ""))&lt;&gt;"","GRE","")</f>
        <v>GRE</v>
      </c>
      <c r="HS16" s="44" t="str" cm="1">
        <f t="array" ref="HS16">IF(_xlfn.TEXTJOIN(", ", TRUE, IF(ISNUMBER(SEARCH("RED", BL16:BT16)), COLUMN(BL16:BT16) - COLUMN(BL16) + 1, ""))&lt;&gt;"","RED","")</f>
        <v/>
      </c>
      <c r="HT16" s="44" t="str" cm="1">
        <f t="array" ref="HT16">IF(_xlfn.TEXTJOIN(", ", TRUE, IF(ISNUMBER(SEARCH("YEL", BL16:BT16)), COLUMN(BL16:BT16) - COLUMN(BL16) + 1, ""))&lt;&gt;"","YEL","")</f>
        <v>YEL</v>
      </c>
      <c r="HU16" s="44" t="str" cm="1">
        <f t="array" ref="HU16">IF(_xlfn.TEXTJOIN(", ", TRUE, IF(ISNUMBER(SEARCH("ORA", BL16:BT16)), COLUMN(BL16:BT16) - COLUMN(BL16) + 1, ""))&lt;&gt;"","ORA","")</f>
        <v>ORA</v>
      </c>
      <c r="HV16" s="44" t="str" cm="1">
        <f t="array" ref="HV16">IF(_xlfn.TEXTJOIN(", ", TRUE, IF(ISNUMBER(SEARCH("BRO", BL16:BT16)), COLUMN(BL16:BT16) - COLUMN(BL16) + 1, ""))&lt;&gt;"","BRO","")</f>
        <v>BRO</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 t="shared" si="124"/>
        <v>-6</v>
      </c>
      <c r="IN16" s="69" t="str">
        <f t="shared" si="125"/>
        <v>http://mkweb.bcgsc.ca/color-summarizer/?url=https://upload.wikimedia.org/wikipedia/commons/thumb/0/0e/Bandera_de_la_Provincia_de_San_Luis.svg/320px-Bandera_de_la_Provincia_de_San_Luis.svg.png&amp;precision=low&amp;num_clusters=6&amp;text=1</v>
      </c>
      <c r="IO16" s="44" t="str">
        <f t="shared" si="126"/>
        <v/>
      </c>
      <c r="IP16" s="44" t="str">
        <f t="shared" si="127"/>
        <v>"blue"</v>
      </c>
      <c r="IQ16" s="44" t="str">
        <f t="shared" si="128"/>
        <v>"green"</v>
      </c>
      <c r="IR16" s="44" t="str">
        <f t="shared" si="129"/>
        <v/>
      </c>
      <c r="IS16" s="44" t="str">
        <f t="shared" si="130"/>
        <v>"yellow"</v>
      </c>
      <c r="IT16" s="44" t="str">
        <f t="shared" si="131"/>
        <v>"orange"</v>
      </c>
      <c r="IU16" s="44" t="str">
        <f t="shared" si="132"/>
        <v>"brown"</v>
      </c>
      <c r="IV16" s="44" t="str">
        <f t="shared" si="133"/>
        <v/>
      </c>
      <c r="IW16" s="44" t="str">
        <f t="shared" si="134"/>
        <v>"white"</v>
      </c>
      <c r="IX16" s="44" t="str">
        <f t="shared" si="135"/>
        <v>{"url":"http://mkweb.bcgsc.ca/color-summarizer/?url=https://upload.wikimedia.org/wikipedia/commons/thumb/0/0e/Bandera_de_la_Provincia_de_San_Luis.svg/320px-Bandera_de_la_Provincia_de_San_Luis.svg.png&amp;precision=low&amp;num_clusters=6&amp;text=1","name":"[ARG] San Luis"},</v>
      </c>
      <c r="IY16" s="44">
        <v>1241</v>
      </c>
    </row>
    <row r="17" spans="1:259" s="44" customFormat="1" ht="38.4" customHeight="1" thickBot="1" x14ac:dyDescent="0.35">
      <c r="A17" s="84" t="s">
        <v>639</v>
      </c>
      <c r="B17" s="83" t="e" vm="16">
        <v>#VALUE!</v>
      </c>
      <c r="C17" s="39">
        <v>2</v>
      </c>
      <c r="D17" s="70" t="s">
        <v>640</v>
      </c>
      <c r="E17" s="40" t="s">
        <v>641</v>
      </c>
      <c r="F17" s="41" t="s">
        <v>163</v>
      </c>
      <c r="G17" s="42">
        <f t="shared" si="0"/>
        <v>1</v>
      </c>
      <c r="H17" s="43"/>
      <c r="I17" s="59" t="s">
        <v>642</v>
      </c>
      <c r="J17" s="44" t="str">
        <f>""</f>
        <v/>
      </c>
      <c r="K17" s="45"/>
      <c r="L17" s="46"/>
      <c r="M17" s="46"/>
      <c r="N17" s="47" t="s">
        <v>177</v>
      </c>
      <c r="O17" s="74">
        <v>2000</v>
      </c>
      <c r="P17" s="48" t="s">
        <v>643</v>
      </c>
      <c r="Q17" s="73">
        <v>2</v>
      </c>
      <c r="R17" s="49" t="s">
        <v>177</v>
      </c>
      <c r="S17" s="50">
        <v>5</v>
      </c>
      <c r="T17" s="51" t="s">
        <v>164</v>
      </c>
      <c r="U17" s="52" t="s">
        <v>164</v>
      </c>
      <c r="V17" s="52" t="s">
        <v>165</v>
      </c>
      <c r="W17" s="52" t="s">
        <v>164</v>
      </c>
      <c r="X17" s="52" t="s">
        <v>164</v>
      </c>
      <c r="Y17" s="52" t="s">
        <v>164</v>
      </c>
      <c r="Z17" s="52" t="s">
        <v>164</v>
      </c>
      <c r="AA17" s="52" t="s">
        <v>164</v>
      </c>
      <c r="AB17" s="52" t="s">
        <v>164</v>
      </c>
      <c r="AC17" s="52" t="s">
        <v>164</v>
      </c>
      <c r="AD17" s="52" t="s">
        <v>165</v>
      </c>
      <c r="AE17" s="52" t="s">
        <v>164</v>
      </c>
      <c r="AF17" s="53" t="s">
        <v>164</v>
      </c>
      <c r="AG17" s="53" t="s">
        <v>164</v>
      </c>
      <c r="AH17" s="53" t="s">
        <v>165</v>
      </c>
      <c r="AI17" s="53" t="s">
        <v>164</v>
      </c>
      <c r="AJ17" s="53" t="s">
        <v>164</v>
      </c>
      <c r="AK17" s="53" t="s">
        <v>164</v>
      </c>
      <c r="AL17" s="53" t="s">
        <v>164</v>
      </c>
      <c r="AM17" s="53" t="s">
        <v>165</v>
      </c>
      <c r="AN17" s="53" t="s">
        <v>164</v>
      </c>
      <c r="AO17" s="53" t="s">
        <v>164</v>
      </c>
      <c r="AP17" s="53" t="s">
        <v>164</v>
      </c>
      <c r="AQ17" s="53" t="s">
        <v>164</v>
      </c>
      <c r="AR17" s="53" t="s">
        <v>164</v>
      </c>
      <c r="AS17" s="53" t="s">
        <v>164</v>
      </c>
      <c r="AT17" s="54">
        <v>4</v>
      </c>
      <c r="AU17" s="53" t="s">
        <v>284</v>
      </c>
      <c r="AV17" s="53" t="str">
        <f t="shared" si="1"/>
        <v>[ARG]Province[ARG] Santa Cruz</v>
      </c>
      <c r="AW17" s="53" t="str">
        <f t="shared" si="2"/>
        <v>2[ARG] Santa Cruz</v>
      </c>
      <c r="AX17" s="55"/>
      <c r="AY17" s="55"/>
      <c r="AZ17" s="56" t="s">
        <v>159</v>
      </c>
      <c r="BA17" s="56" t="s">
        <v>234</v>
      </c>
      <c r="BB17" s="56"/>
      <c r="BC17" s="57"/>
      <c r="BD17" s="58" t="s">
        <v>152</v>
      </c>
      <c r="BE17" s="59"/>
      <c r="BF17" s="58" t="s">
        <v>152</v>
      </c>
      <c r="BG17" s="58" t="s">
        <v>152</v>
      </c>
      <c r="BH17" s="58" t="s">
        <v>152</v>
      </c>
      <c r="BI17" s="58"/>
      <c r="BJ17" s="58"/>
      <c r="BK17" s="59"/>
      <c r="BL17" s="58" t="s">
        <v>234</v>
      </c>
      <c r="BM17" s="58" t="s">
        <v>152</v>
      </c>
      <c r="BN17" s="58" t="s">
        <v>234</v>
      </c>
      <c r="BO17" s="58" t="s">
        <v>234</v>
      </c>
      <c r="BP17" s="58" t="s">
        <v>155</v>
      </c>
      <c r="BQ17" s="58" t="s">
        <v>234</v>
      </c>
      <c r="BR17" s="58" t="s">
        <v>157</v>
      </c>
      <c r="BS17" s="58" t="s">
        <v>234</v>
      </c>
      <c r="BT17" s="58" t="s">
        <v>159</v>
      </c>
      <c r="BU17" s="60"/>
      <c r="BV17" s="61"/>
      <c r="BW17" s="61">
        <v>0</v>
      </c>
      <c r="BX17" s="59"/>
      <c r="CB17" s="5"/>
      <c r="CC17" s="5"/>
      <c r="CD17" s="62">
        <v>1</v>
      </c>
      <c r="CE17" s="62">
        <v>0</v>
      </c>
      <c r="CF17" s="62" t="e">
        <v>#REF!</v>
      </c>
      <c r="CG17" s="75" cm="1">
        <f t="array" ref="CG17">SUMPRODUCT(--(LEN(TRIM(BL17:BT17))&gt;0))</f>
        <v>4</v>
      </c>
      <c r="CH17" s="53" t="str">
        <f t="shared" si="3"/>
        <v>n</v>
      </c>
      <c r="CI17" s="53" t="str">
        <f t="shared" si="4"/>
        <v>n</v>
      </c>
      <c r="CJ17" s="53" t="str">
        <f t="shared" si="5"/>
        <v>y</v>
      </c>
      <c r="CK17" s="53" t="str">
        <f t="shared" si="6"/>
        <v>n</v>
      </c>
      <c r="CL17" s="53" t="str">
        <f t="shared" si="7"/>
        <v>n</v>
      </c>
      <c r="CM17" s="53" t="str">
        <f t="shared" si="8"/>
        <v>n</v>
      </c>
      <c r="CN17" s="53" t="str">
        <f t="shared" si="9"/>
        <v>n</v>
      </c>
      <c r="CO17" s="53" t="str">
        <f t="shared" si="10"/>
        <v>y</v>
      </c>
      <c r="CP17" s="53" t="str">
        <f t="shared" si="11"/>
        <v>n</v>
      </c>
      <c r="CQ17" s="53" t="str">
        <f t="shared" si="12"/>
        <v>n</v>
      </c>
      <c r="CR17" s="53" t="str">
        <f t="shared" si="13"/>
        <v>n</v>
      </c>
      <c r="CS17" s="53" t="str">
        <f t="shared" si="14"/>
        <v>y</v>
      </c>
      <c r="CT17" s="38" t="str">
        <f t="shared" si="15"/>
        <v>"[ARG] Santa Cruz"</v>
      </c>
      <c r="CU17" s="63" t="str">
        <f t="shared" si="16"/>
        <v>"rgn_South America"</v>
      </c>
      <c r="CV17" s="44" t="str">
        <f t="shared" si="17"/>
        <v>"https://upload.wikimedia.org/wikipedia/commons/thumb/4/45/Bandera_de_la_Provincia_de_Santa_Cruz.svg/320px-Bandera_de_la_Provincia_de_Santa_Cruz.svg.png"</v>
      </c>
      <c r="CW17" s="44" t="str">
        <f t="shared" si="18"/>
        <v/>
      </c>
      <c r="CX17" s="44" t="str">
        <f t="shared" si="19"/>
        <v/>
      </c>
      <c r="CY17" s="44" t="str">
        <f t="shared" si="20"/>
        <v>"4Color",</v>
      </c>
      <c r="CZ17" s="44" t="str">
        <f t="shared" si="21"/>
        <v/>
      </c>
      <c r="DA17" s="44" t="str">
        <f t="shared" si="22"/>
        <v>"words2",</v>
      </c>
      <c r="DB17" s="44" t="str">
        <f t="shared" si="23"/>
        <v/>
      </c>
      <c r="DD17" s="44" t="str">
        <f>IF(LEN(CHAR(34)&amp;"lets"&amp;LEN(SUBSTITUTE(SUBSTITUTE(IFERROR(TRIM(SUBSTITUTE(A17,MID(A17,FIND("[",A17),FIND("]",A17)-FIND("[",A17)+1),"")),A17)," ",""),"-",""))&amp;CHAR(34)&amp;",")=9,CHAR(34)&amp;"lets"&amp;LEN(SUBSTITUTE(SUBSTITUTE(IFERROR(TRIM(SUBSTITUTE(A17,MID(A17,FIND("[",A17),FIND("]",A17)-FIND("[",A17)+1),"")),A17)," ",""),"-",""))&amp;CHAR(34)&amp;",",CHAR(34)&amp;"lets0"&amp;LEN(SUBSTITUTE(SUBSTITUTE(IFERROR(TRIM(SUBSTITUTE(A17,MID(A17,FIND("[",A17),FIND("]",A17)-FIND("[",A17)+1),"")),A17)," ",""),"-",""))&amp;CHAR(34)&amp;",")</f>
        <v>"lets09",</v>
      </c>
      <c r="DE17" s="44" t="str">
        <f>CHAR(34)&amp;"start"&amp;IFERROR(LEFT(SUBSTITUTE(A17,"["&amp;MID(A17,FIND("[",A17)+1,FIND("]",A17)-FIND("[",A17)-1)&amp;"] ",""),1),LEFT(A17,1))&amp;CHAR(34)&amp;","</f>
        <v>"startS",</v>
      </c>
      <c r="DF17" s="44" t="str">
        <f t="shared" si="24"/>
        <v/>
      </c>
      <c r="DG17" s="44" t="str">
        <f t="shared" si="25"/>
        <v/>
      </c>
      <c r="DH17" s="44" t="str">
        <f t="shared" si="26"/>
        <v/>
      </c>
      <c r="DI17" s="44" t="str">
        <f t="shared" si="27"/>
        <v/>
      </c>
      <c r="DJ17" s="44" t="str">
        <f t="shared" si="28"/>
        <v/>
      </c>
      <c r="DK17" s="44" t="str">
        <f t="shared" si="29"/>
        <v>"with_z",</v>
      </c>
      <c r="DL17" s="44" t="str">
        <f t="shared" si="30"/>
        <v/>
      </c>
      <c r="DM17" s="44" t="str" cm="1">
        <f t="array" ref="DM17">IF(CG17=3,CHAR(34) &amp; _xlfn.TEXTJOIN("", TRUE, RIGHT(HP17:HX17, 2)) &amp; CHAR(34) &amp; ",", "")</f>
        <v/>
      </c>
      <c r="DN17" s="44" t="str">
        <f t="shared" si="31"/>
        <v/>
      </c>
      <c r="DO17" s="44" t="str">
        <f t="shared" si="32"/>
        <v/>
      </c>
      <c r="DP17" s="5" t="str">
        <f t="shared" si="33"/>
        <v>"year00",</v>
      </c>
      <c r="DQ17" s="5" t="str">
        <f t="shared" si="34"/>
        <v/>
      </c>
      <c r="DR17" s="5" t="str">
        <f t="shared" si="35"/>
        <v/>
      </c>
      <c r="DS17" s="5" t="str">
        <f t="shared" si="36"/>
        <v/>
      </c>
      <c r="DT17" s="5" t="str">
        <f t="shared" si="37"/>
        <v>"allhor",</v>
      </c>
      <c r="DU17" s="5" t="str">
        <f t="shared" si="38"/>
        <v/>
      </c>
      <c r="DW17" s="44" t="str">
        <f t="shared" si="39"/>
        <v/>
      </c>
      <c r="DX17" s="44" t="str">
        <f t="shared" si="40"/>
        <v/>
      </c>
      <c r="DY17" s="44" t="str">
        <f t="shared" si="41"/>
        <v/>
      </c>
      <c r="DZ17" s="44" t="str">
        <f t="shared" si="42"/>
        <v>"4+Band",</v>
      </c>
      <c r="EA17" s="44" t="str">
        <f t="shared" si="43"/>
        <v/>
      </c>
      <c r="EB17" s="44" t="str">
        <f t="shared" si="44"/>
        <v/>
      </c>
      <c r="EC17" s="44" t="str">
        <f t="shared" si="45"/>
        <v>"Horizo",</v>
      </c>
      <c r="ED17" s="44" t="str">
        <f t="shared" si="46"/>
        <v/>
      </c>
      <c r="EE17" s="44" t="str">
        <f t="shared" si="47"/>
        <v/>
      </c>
      <c r="EF17" s="44" t="str">
        <f t="shared" si="48"/>
        <v/>
      </c>
      <c r="EG17" s="44" t="str">
        <f t="shared" si="49"/>
        <v/>
      </c>
      <c r="EH17" s="44" t="str">
        <f t="shared" si="50"/>
        <v/>
      </c>
      <c r="EI17" s="44" t="str">
        <f t="shared" si="51"/>
        <v/>
      </c>
      <c r="EJ17" s="44" t="str">
        <f t="shared" si="52"/>
        <v/>
      </c>
      <c r="EK17" s="44" t="str">
        <f t="shared" si="53"/>
        <v>"HasSun",</v>
      </c>
      <c r="EL17" s="44" t="str">
        <f t="shared" si="54"/>
        <v/>
      </c>
      <c r="EM17" s="44" t="str">
        <f t="shared" si="55"/>
        <v/>
      </c>
      <c r="EN17" s="44" t="str">
        <f t="shared" si="56"/>
        <v/>
      </c>
      <c r="EO17" s="44" t="str">
        <f t="shared" si="57"/>
        <v>"Center",</v>
      </c>
      <c r="EP17" s="44" t="str">
        <f t="shared" si="58"/>
        <v/>
      </c>
      <c r="EQ17" s="44" t="str">
        <f t="shared" si="59"/>
        <v/>
      </c>
      <c r="ER17" s="44" t="str">
        <f t="shared" si="60"/>
        <v/>
      </c>
      <c r="ES17" s="44" t="str">
        <f t="shared" si="61"/>
        <v/>
      </c>
      <c r="ET17" s="44" t="str">
        <f t="shared" si="62"/>
        <v>"Geogrh",</v>
      </c>
      <c r="EU17" s="44" t="str">
        <f t="shared" si="63"/>
        <v/>
      </c>
      <c r="EV17" s="44" t="str">
        <f t="shared" si="64"/>
        <v/>
      </c>
      <c r="EW17" s="44" t="str">
        <f t="shared" si="65"/>
        <v/>
      </c>
      <c r="EX17" s="44" t="str">
        <f t="shared" si="66"/>
        <v/>
      </c>
      <c r="EY17" s="44" t="str">
        <f t="shared" si="67"/>
        <v/>
      </c>
      <c r="EZ17" s="44" t="str">
        <f t="shared" si="68"/>
        <v/>
      </c>
      <c r="FA17" s="44" t="str">
        <f t="shared" si="69"/>
        <v>"staWHI",</v>
      </c>
      <c r="FB17" s="44" t="str">
        <f t="shared" si="70"/>
        <v/>
      </c>
      <c r="FD17" s="44" t="str">
        <f t="shared" si="71"/>
        <v/>
      </c>
      <c r="FE17" s="44" t="str">
        <f t="shared" si="72"/>
        <v/>
      </c>
      <c r="FF17" s="44" t="str">
        <f t="shared" si="73"/>
        <v/>
      </c>
      <c r="FG17" s="44" t="str">
        <f t="shared" si="74"/>
        <v>"NO_RED",</v>
      </c>
      <c r="FH17" s="44" t="str">
        <f t="shared" si="75"/>
        <v>"NO_GRE",</v>
      </c>
      <c r="FI17" s="44" t="str">
        <f t="shared" si="76"/>
        <v/>
      </c>
      <c r="FJ17" s="44" t="str">
        <f t="shared" si="77"/>
        <v>"NO_BLA",</v>
      </c>
      <c r="FK17" s="44" t="str">
        <f t="shared" si="78"/>
        <v/>
      </c>
      <c r="FL17" s="44" t="str">
        <f t="shared" si="79"/>
        <v/>
      </c>
      <c r="FM17" s="44" t="str">
        <f t="shared" si="80"/>
        <v/>
      </c>
      <c r="FN17" s="44" t="str">
        <f t="shared" si="81"/>
        <v/>
      </c>
      <c r="FO17" s="44" t="str">
        <f t="shared" si="82"/>
        <v/>
      </c>
      <c r="FP17" s="44" t="str">
        <f t="shared" si="83"/>
        <v/>
      </c>
      <c r="FQ17" s="44" t="str">
        <f t="shared" si="84"/>
        <v>"001BLU",</v>
      </c>
      <c r="FR17" s="44" t="str">
        <f t="shared" si="85"/>
        <v>"002BLU",</v>
      </c>
      <c r="FS17" s="44" t="str">
        <f t="shared" si="86"/>
        <v>"003BLU",</v>
      </c>
      <c r="FT17" s="44" t="str">
        <f t="shared" si="87"/>
        <v>"myrBLU",</v>
      </c>
      <c r="FU17" s="44" t="str">
        <f t="shared" si="88"/>
        <v/>
      </c>
      <c r="FV17" s="44" t="str">
        <f t="shared" si="89"/>
        <v/>
      </c>
      <c r="FW17" s="44" t="str">
        <f t="shared" si="90"/>
        <v/>
      </c>
      <c r="FY17" s="44" t="str">
        <f t="shared" si="91"/>
        <v/>
      </c>
      <c r="FZ17" s="44" t="str">
        <f t="shared" si="92"/>
        <v/>
      </c>
      <c r="GA17" s="44" t="str">
        <f t="shared" si="93"/>
        <v/>
      </c>
      <c r="GB17" s="44" t="str">
        <f t="shared" si="94"/>
        <v/>
      </c>
      <c r="GE17" s="44" t="str">
        <f t="shared" si="95"/>
        <v/>
      </c>
      <c r="GF17" s="44" t="str">
        <f>IFERROR(IF(SEARCH("Historical",AU17)&gt;0,CHAR(34)&amp;"histor"&amp;CHAR(34)&amp;",",""),"")</f>
        <v/>
      </c>
      <c r="GG17" s="44" t="str">
        <f t="shared" si="96"/>
        <v/>
      </c>
      <c r="GH17" s="44" t="str">
        <f t="shared" si="97"/>
        <v>"southc",</v>
      </c>
      <c r="GI17" s="44" t="str">
        <f t="shared" si="98"/>
        <v/>
      </c>
      <c r="GJ17" s="44" t="str">
        <f t="shared" si="99"/>
        <v/>
      </c>
      <c r="GK17" s="44" t="str">
        <f t="shared" si="100"/>
        <v>"HasSta",</v>
      </c>
      <c r="GL17" s="44" t="str">
        <f t="shared" si="101"/>
        <v/>
      </c>
      <c r="GM17" s="44" t="str">
        <f t="shared" si="102"/>
        <v/>
      </c>
      <c r="GN17" s="44" t="str">
        <f t="shared" si="103"/>
        <v>"3+Star",</v>
      </c>
      <c r="GP17" s="44" t="str">
        <f t="shared" si="104"/>
        <v>"Province"</v>
      </c>
      <c r="GS17" s="44" t="str">
        <f t="shared" si="105"/>
        <v>["4Color","words2","lets09","startS","with_z","year00","allhor","4+Band","Horizo","HasSun","Center","Geogrh","staWHI","NO_RED","NO_GRE","NO_BLA","001BLU","002BLU","003BLU","myrBLU","southc","HasSta","3+Star"]</v>
      </c>
      <c r="GT17" s="44" t="str">
        <f t="shared" si="106"/>
        <v/>
      </c>
      <c r="GU17" s="44" t="str">
        <f t="shared" si="107"/>
        <v>"cl_BLU",</v>
      </c>
      <c r="GV17" s="44" t="str">
        <f t="shared" si="108"/>
        <v/>
      </c>
      <c r="GW17" s="44" t="str">
        <f t="shared" si="109"/>
        <v/>
      </c>
      <c r="GX17" s="44" t="str">
        <f t="shared" si="110"/>
        <v>"cl_YEL",</v>
      </c>
      <c r="GY17" s="44" t="str">
        <f t="shared" si="111"/>
        <v/>
      </c>
      <c r="GZ17" s="44" t="str">
        <f t="shared" si="112"/>
        <v>"cl_BRO",</v>
      </c>
      <c r="HA17" s="44" t="str">
        <f t="shared" si="113"/>
        <v/>
      </c>
      <c r="HB17" s="44" t="str">
        <f t="shared" si="114"/>
        <v>"cl_WHI",</v>
      </c>
      <c r="HC17" s="44" t="str">
        <f t="shared" si="115"/>
        <v>["cl_BLU","cl_YEL","cl_BRO","cl_WHI"]</v>
      </c>
      <c r="HE17" s="64"/>
      <c r="HF17" s="65" t="str">
        <f t="shared" si="116"/>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links: "https://www.crwflags.com/fotw/flags/ar-z.html"},</v>
      </c>
      <c r="HG17" s="66" t="str">
        <f t="shared" si="117"/>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links: "https://www.crwflags.com/fotw/flags/ar-z.html"},</v>
      </c>
      <c r="HH17" s="44" t="str">
        <f t="shared" si="118"/>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I17" s="44" t="str">
        <f t="shared" si="119"/>
        <v>"\nAccording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v>
      </c>
      <c r="HJ17" s="44" t="str">
        <f t="shared" si="120"/>
        <v>"2000"</v>
      </c>
      <c r="HL17" s="44" t="str">
        <f t="shared" si="121"/>
        <v>"https://www.crwflags.com/fotw/flags/ar-z.html"</v>
      </c>
      <c r="HM17" s="65" t="str">
        <f t="shared" si="122"/>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N17" s="67" t="str">
        <f t="shared" si="123"/>
        <v>{"couname":"[ARG] Santa Cruz","year":"2000","region":"rgn_South America","Colors":["cl_BLU","cl_YEL","cl_BRO","cl_WHI"],"Items":["4Color","words2","lets09","startS","with_z","year00","allhor","4+Band","Horizo","HasSun","Center","Geogrh","staWHI","NO_RED","NO_GRE","NO_BLA","001BLU","002BLU","003BLU","myrBLU","southc","HasSta","3+Star"],"Flag":"https://upload.wikimedia.org/wikipedia/commons/thumb/4/45/Bandera_de_la_Provincia_de_Santa_Cruz.svg/320px-Bandera_de_la_Provincia_de_Santa_Cruz.svg.png","HDFlag":"https://upload.wikimedia.org/wikipedia/commons/thumb/4/45/Bandera_de_la_Provincia_de_Santa_Cruz.svg/765px-Bandera_de_la_Provincia_de_Santa_Cruz.svg.png","type":"Province", "describe": "\nAccording to the Ley Nº 2566 – BANDERA OFICIAL DE LA PROVINCIA DE SANTA CRUZ (Law No 2566 - OFFICIAL FLAG OF THE PROVINCE OF SANTA CRUZ), under which the flag was officially adopted:\n\n'[...] The sky blue [color] represents the same sky under which [General Manuel] Belgrano created our national flag; the sun is the light reflected off our national sun as a symbol of divinity that was to the aboriginal people. Furthermore, the sun is the rising sun and symbolic of the dawn of the youth of this Province. It has an inferior semi-circle [that has inside] the night sky, the Southern Cross, and the Mount Chaltén. The latter is a symbol of the primitive inhabitants of these southern lands, the Aónikenk.\n\nThe inferior part of the flag, in blue and white colors, represents the sea that bathes the provincial coast from North to South, giving life to the East of our territory. [...]'", "isnew": ".", "links": "https://www.crwflags.com/fotw/flags/ar-z.html"},</v>
      </c>
      <c r="HO17" s="71">
        <v>45610</v>
      </c>
      <c r="HP17" s="44" t="str" cm="1">
        <f t="array" ref="HP17">IF(_xlfn.TEXTJOIN(", ", TRUE, IF(ISNUMBER(SEARCH("BLA", BL17:BT17)), COLUMN(BL17:BT17) - COLUMN(BL17) + 1, ""))&lt;&gt;"","BLA","")</f>
        <v/>
      </c>
      <c r="HQ17" s="44" t="str" cm="1">
        <f t="array" ref="HQ17">IF(_xlfn.TEXTJOIN(", ", TRUE, IF(ISNUMBER(SEARCH("BLU", BL17:BT17)), COLUMN(BL17:BT17) - COLUMN(BL17) + 1, ""))&lt;&gt;"","BLU","")</f>
        <v>BLU</v>
      </c>
      <c r="HR17" s="44" t="str" cm="1">
        <f t="array" ref="HR17">IF(_xlfn.TEXTJOIN(", ", TRUE, IF(ISNUMBER(SEARCH("GRE", BL17:BT17)), COLUMN(BL17:BT17) - COLUMN(BL17) + 1, ""))&lt;&gt;"","GRE","")</f>
        <v/>
      </c>
      <c r="HS17" s="44" t="str" cm="1">
        <f t="array" ref="HS17">IF(_xlfn.TEXTJOIN(", ", TRUE, IF(ISNUMBER(SEARCH("RED", BL17:BT17)), COLUMN(BL17:BT17) - COLUMN(BL17) + 1, ""))&lt;&gt;"","RED","")</f>
        <v/>
      </c>
      <c r="HT17" s="44" t="str" cm="1">
        <f t="array" ref="HT17">IF(_xlfn.TEXTJOIN(", ", TRUE, IF(ISNUMBER(SEARCH("YEL", BL17:BT17)), COLUMN(BL17:BT17) - COLUMN(BL17) + 1, ""))&lt;&gt;"","YEL","")</f>
        <v>YEL</v>
      </c>
      <c r="HU17" s="44" t="str" cm="1">
        <f t="array" ref="HU17">IF(_xlfn.TEXTJOIN(", ", TRUE, IF(ISNUMBER(SEARCH("ORA", BL17:BT17)), COLUMN(BL17:BT17) - COLUMN(BL17) + 1, ""))&lt;&gt;"","ORA","")</f>
        <v/>
      </c>
      <c r="HV17" s="44" t="str" cm="1">
        <f t="array" ref="HV17">IF(_xlfn.TEXTJOIN(", ", TRUE, IF(ISNUMBER(SEARCH("BRO", BL17:BT17)), COLUMN(BL17:BT17) - COLUMN(BL17) + 1, ""))&lt;&gt;"","BRO","")</f>
        <v>BRO</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M17" s="42">
        <f t="shared" si="124"/>
        <v>-4</v>
      </c>
      <c r="IN17" s="69" t="str">
        <f t="shared" si="125"/>
        <v>http://mkweb.bcgsc.ca/color-summarizer/?url=https://upload.wikimedia.org/wikipedia/commons/thumb/4/45/Bandera_de_la_Provincia_de_Santa_Cruz.svg/320px-Bandera_de_la_Provincia_de_Santa_Cruz.svg.png&amp;precision=low&amp;num_clusters=4&amp;text=1</v>
      </c>
      <c r="IO17" s="44" t="str">
        <f t="shared" si="126"/>
        <v/>
      </c>
      <c r="IP17" s="44" t="str">
        <f t="shared" si="127"/>
        <v>"blue"</v>
      </c>
      <c r="IQ17" s="44" t="str">
        <f t="shared" si="128"/>
        <v/>
      </c>
      <c r="IR17" s="44" t="str">
        <f t="shared" si="129"/>
        <v/>
      </c>
      <c r="IS17" s="44" t="str">
        <f t="shared" si="130"/>
        <v>"yellow"</v>
      </c>
      <c r="IT17" s="44" t="str">
        <f t="shared" si="131"/>
        <v/>
      </c>
      <c r="IU17" s="44" t="str">
        <f t="shared" si="132"/>
        <v>"brown"</v>
      </c>
      <c r="IV17" s="44" t="str">
        <f t="shared" si="133"/>
        <v/>
      </c>
      <c r="IW17" s="44" t="str">
        <f t="shared" si="134"/>
        <v>"white"</v>
      </c>
      <c r="IX17" s="44" t="str">
        <f t="shared" si="135"/>
        <v>{"url":"http://mkweb.bcgsc.ca/color-summarizer/?url=https://upload.wikimedia.org/wikipedia/commons/thumb/4/45/Bandera_de_la_Provincia_de_Santa_Cruz.svg/320px-Bandera_de_la_Provincia_de_Santa_Cruz.svg.png&amp;precision=low&amp;num_clusters=4&amp;text=1","name":"[ARG] Santa Cruz"},</v>
      </c>
      <c r="IY17" s="44">
        <v>1242</v>
      </c>
    </row>
    <row r="18" spans="1:259" s="44" customFormat="1" ht="38.4" customHeight="1" thickBot="1" x14ac:dyDescent="0.35">
      <c r="A18" s="84" t="s">
        <v>532</v>
      </c>
      <c r="B18" s="83" t="e" vm="17">
        <v>#VALUE!</v>
      </c>
      <c r="C18" s="39">
        <v>2</v>
      </c>
      <c r="D18" s="70" t="s">
        <v>533</v>
      </c>
      <c r="E18" s="40" t="s">
        <v>534</v>
      </c>
      <c r="F18" s="41" t="s">
        <v>163</v>
      </c>
      <c r="G18" s="42">
        <f t="shared" si="0"/>
        <v>1</v>
      </c>
      <c r="H18" s="43"/>
      <c r="I18" s="59" t="s">
        <v>535</v>
      </c>
      <c r="J18" s="44" t="str">
        <f>""</f>
        <v/>
      </c>
      <c r="K18" s="45"/>
      <c r="L18" s="46"/>
      <c r="M18" s="46"/>
      <c r="N18" s="47" t="s">
        <v>177</v>
      </c>
      <c r="O18" s="74" t="s">
        <v>536</v>
      </c>
      <c r="P18" s="48" t="s">
        <v>537</v>
      </c>
      <c r="Q18" s="73">
        <v>2</v>
      </c>
      <c r="R18" s="49" t="s">
        <v>177</v>
      </c>
      <c r="S18" s="50">
        <v>3</v>
      </c>
      <c r="T18" s="51" t="s">
        <v>164</v>
      </c>
      <c r="U18" s="52" t="s">
        <v>164</v>
      </c>
      <c r="V18" s="52" t="s">
        <v>164</v>
      </c>
      <c r="W18" s="52" t="s">
        <v>165</v>
      </c>
      <c r="X18" s="52" t="s">
        <v>164</v>
      </c>
      <c r="Y18" s="52" t="s">
        <v>164</v>
      </c>
      <c r="Z18" s="52" t="s">
        <v>164</v>
      </c>
      <c r="AA18" s="52" t="s">
        <v>164</v>
      </c>
      <c r="AB18" s="52" t="s">
        <v>165</v>
      </c>
      <c r="AC18" s="52" t="s">
        <v>165</v>
      </c>
      <c r="AD18" s="52" t="s">
        <v>165</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0</v>
      </c>
      <c r="AU18" s="53" t="s">
        <v>284</v>
      </c>
      <c r="AV18" s="53" t="str">
        <f t="shared" si="1"/>
        <v>[ARG]Province[ARG] Santa Fe</v>
      </c>
      <c r="AW18" s="53" t="str">
        <f t="shared" si="2"/>
        <v>2[ARG] Santa Fe</v>
      </c>
      <c r="AX18" s="55"/>
      <c r="AY18" s="55"/>
      <c r="AZ18" s="56" t="s">
        <v>234</v>
      </c>
      <c r="BA18" s="56" t="s">
        <v>234</v>
      </c>
      <c r="BB18" s="56"/>
      <c r="BC18" s="57"/>
      <c r="BD18" s="58" t="s">
        <v>167</v>
      </c>
      <c r="BE18" s="59"/>
      <c r="BF18" s="58" t="s">
        <v>154</v>
      </c>
      <c r="BG18" s="58" t="s">
        <v>159</v>
      </c>
      <c r="BH18" s="58" t="s">
        <v>152</v>
      </c>
      <c r="BI18" s="58"/>
      <c r="BJ18" s="58"/>
      <c r="BK18" s="59"/>
      <c r="BL18" s="58" t="s">
        <v>151</v>
      </c>
      <c r="BM18" s="58" t="s">
        <v>152</v>
      </c>
      <c r="BN18" s="58" t="s">
        <v>234</v>
      </c>
      <c r="BO18" s="58" t="s">
        <v>154</v>
      </c>
      <c r="BP18" s="58" t="s">
        <v>155</v>
      </c>
      <c r="BQ18" s="58" t="s">
        <v>234</v>
      </c>
      <c r="BR18" s="58" t="s">
        <v>157</v>
      </c>
      <c r="BS18" s="58" t="s">
        <v>234</v>
      </c>
      <c r="BT18" s="58" t="s">
        <v>159</v>
      </c>
      <c r="BU18" s="60"/>
      <c r="BV18" s="61"/>
      <c r="BW18" s="61">
        <v>0</v>
      </c>
      <c r="BX18" s="59"/>
      <c r="CB18" s="5"/>
      <c r="CC18" s="5"/>
      <c r="CD18" s="62">
        <v>0</v>
      </c>
      <c r="CE18" s="62">
        <v>0</v>
      </c>
      <c r="CF18" s="62" t="e">
        <v>#REF!</v>
      </c>
      <c r="CG18" s="75" cm="1">
        <f t="array" ref="CG18">SUMPRODUCT(--(LEN(TRIM(BL18:BT18))&gt;0))</f>
        <v>6</v>
      </c>
      <c r="CH18" s="53" t="str">
        <f t="shared" si="3"/>
        <v>n</v>
      </c>
      <c r="CI18" s="53" t="str">
        <f t="shared" si="4"/>
        <v>n</v>
      </c>
      <c r="CJ18" s="53" t="str">
        <f t="shared" si="5"/>
        <v>n</v>
      </c>
      <c r="CK18" s="53" t="str">
        <f t="shared" si="6"/>
        <v>y</v>
      </c>
      <c r="CL18" s="53" t="str">
        <f t="shared" si="7"/>
        <v>n</v>
      </c>
      <c r="CM18" s="53" t="str">
        <f t="shared" si="8"/>
        <v>n</v>
      </c>
      <c r="CN18" s="53" t="str">
        <f t="shared" si="9"/>
        <v>y</v>
      </c>
      <c r="CO18" s="53" t="str">
        <f t="shared" si="10"/>
        <v>n</v>
      </c>
      <c r="CP18" s="53" t="str">
        <f t="shared" si="11"/>
        <v>y</v>
      </c>
      <c r="CQ18" s="53" t="str">
        <f t="shared" si="12"/>
        <v>n</v>
      </c>
      <c r="CR18" s="53" t="str">
        <f t="shared" si="13"/>
        <v>n</v>
      </c>
      <c r="CS18" s="53" t="str">
        <f t="shared" si="14"/>
        <v>n</v>
      </c>
      <c r="CT18" s="38" t="str">
        <f t="shared" si="15"/>
        <v>"[ARG] Santa Fe"</v>
      </c>
      <c r="CU18" s="63" t="str">
        <f t="shared" si="16"/>
        <v>"rgn_South America"</v>
      </c>
      <c r="CV18" s="44" t="str">
        <f t="shared" si="17"/>
        <v>"https://upload.wikimedia.org/wikipedia/commons/thumb/8/84/Bandera_de_la_Provincia_de_Santa_Fe.svg/320px-Bandera_de_la_Provincia_de_Santa_Fe.svg.png"</v>
      </c>
      <c r="CW18" s="44" t="str">
        <f t="shared" si="18"/>
        <v/>
      </c>
      <c r="CX18" s="44" t="str">
        <f t="shared" si="19"/>
        <v/>
      </c>
      <c r="CY18" s="44" t="str">
        <f t="shared" si="20"/>
        <v/>
      </c>
      <c r="CZ18" s="44" t="str">
        <f t="shared" si="21"/>
        <v>"5+Colo",</v>
      </c>
      <c r="DA18" s="44" t="str">
        <f t="shared" si="22"/>
        <v>"words2",</v>
      </c>
      <c r="DB18" s="44" t="str">
        <f t="shared" si="23"/>
        <v/>
      </c>
      <c r="DD18" s="44" t="str">
        <f>IF(LEN(CHAR(34)&amp;"lets"&amp;LEN(SUBSTITUTE(SUBSTITUTE(IFERROR(TRIM(SUBSTITUTE(A18,MID(A18,FIND("[",A18),FIND("]",A18)-FIND("[",A18)+1),"")),A18)," ",""),"-",""))&amp;CHAR(34)&amp;",")=9,CHAR(34)&amp;"lets"&amp;LEN(SUBSTITUTE(SUBSTITUTE(IFERROR(TRIM(SUBSTITUTE(A18,MID(A18,FIND("[",A18),FIND("]",A18)-FIND("[",A18)+1),"")),A18)," ",""),"-",""))&amp;CHAR(34)&amp;",",CHAR(34)&amp;"lets0"&amp;LEN(SUBSTITUTE(SUBSTITUTE(IFERROR(TRIM(SUBSTITUTE(A18,MID(A18,FIND("[",A18),FIND("]",A18)-FIND("[",A18)+1),"")),A18)," ",""),"-",""))&amp;CHAR(34)&amp;",")</f>
        <v>"lets07",</v>
      </c>
      <c r="DE18" s="44" t="str">
        <f>CHAR(34)&amp;"start"&amp;IFERROR(LEFT(SUBSTITUTE(A18,"["&amp;MID(A18,FIND("[",A18)+1,FIND("]",A18)-FIND("[",A18)-1)&amp;"] ",""),1),LEFT(A18,1))&amp;CHAR(34)&amp;","</f>
        <v>"startS",</v>
      </c>
      <c r="DF18" s="44" t="str">
        <f t="shared" si="24"/>
        <v/>
      </c>
      <c r="DG18" s="44" t="str">
        <f t="shared" si="25"/>
        <v/>
      </c>
      <c r="DH18" s="44" t="str">
        <f t="shared" si="26"/>
        <v/>
      </c>
      <c r="DI18" s="44" t="str">
        <f t="shared" si="27"/>
        <v/>
      </c>
      <c r="DJ18" s="44" t="str">
        <f t="shared" si="28"/>
        <v/>
      </c>
      <c r="DK18" s="44" t="str">
        <f t="shared" si="29"/>
        <v/>
      </c>
      <c r="DL18" s="44" t="str">
        <f t="shared" si="30"/>
        <v/>
      </c>
      <c r="DM18" s="44" t="str" cm="1">
        <f t="array" ref="DM18">IF(CG18=3,CHAR(34) &amp; _xlfn.TEXTJOIN("", TRUE, RIGHT(HP18:HX18, 2)) &amp; CHAR(34) &amp; ",", "")</f>
        <v/>
      </c>
      <c r="DN18" s="44" t="str">
        <f t="shared" si="31"/>
        <v>"year18",</v>
      </c>
      <c r="DO18" s="44" t="str">
        <f t="shared" si="32"/>
        <v>"year19",</v>
      </c>
      <c r="DP18" s="5" t="str">
        <f t="shared" si="33"/>
        <v/>
      </c>
      <c r="DQ18" s="5" t="str">
        <f t="shared" si="34"/>
        <v/>
      </c>
      <c r="DR18" s="5" t="str">
        <f t="shared" si="35"/>
        <v/>
      </c>
      <c r="DS18" s="5" t="str">
        <f t="shared" si="36"/>
        <v>"allver",</v>
      </c>
      <c r="DT18" s="5" t="str">
        <f t="shared" si="37"/>
        <v/>
      </c>
      <c r="DU18" s="5" t="str">
        <f t="shared" si="38"/>
        <v/>
      </c>
      <c r="DW18" s="44" t="str">
        <f t="shared" si="39"/>
        <v/>
      </c>
      <c r="DX18" s="44" t="str">
        <f t="shared" si="40"/>
        <v/>
      </c>
      <c r="DY18" s="44" t="str">
        <f t="shared" si="41"/>
        <v>"3Bands",</v>
      </c>
      <c r="DZ18" s="44" t="str">
        <f t="shared" si="42"/>
        <v/>
      </c>
      <c r="EA18" s="44" t="str">
        <f t="shared" si="43"/>
        <v/>
      </c>
      <c r="EB18" s="44" t="str">
        <f t="shared" si="44"/>
        <v/>
      </c>
      <c r="EC18" s="44" t="str">
        <f t="shared" si="45"/>
        <v/>
      </c>
      <c r="ED18" s="44" t="str">
        <f t="shared" si="46"/>
        <v>"Vertic",</v>
      </c>
      <c r="EE18" s="44" t="str">
        <f t="shared" si="47"/>
        <v/>
      </c>
      <c r="EF18" s="44" t="str">
        <f t="shared" si="48"/>
        <v/>
      </c>
      <c r="EG18" s="44" t="str">
        <f t="shared" si="49"/>
        <v/>
      </c>
      <c r="EH18" s="44" t="str">
        <f t="shared" si="50"/>
        <v/>
      </c>
      <c r="EI18" s="44" t="str">
        <f t="shared" si="51"/>
        <v>"Texted",</v>
      </c>
      <c r="EJ18" s="44" t="str">
        <f t="shared" si="52"/>
        <v>"Weapon",</v>
      </c>
      <c r="EK18" s="44" t="str">
        <f t="shared" si="53"/>
        <v>"HasSun",</v>
      </c>
      <c r="EL18" s="44" t="str">
        <f t="shared" si="54"/>
        <v/>
      </c>
      <c r="EM18" s="44" t="str">
        <f t="shared" si="55"/>
        <v/>
      </c>
      <c r="EN18" s="44" t="str">
        <f t="shared" si="56"/>
        <v>"Unequa",</v>
      </c>
      <c r="EO18" s="44" t="str">
        <f t="shared" si="57"/>
        <v>"Center",</v>
      </c>
      <c r="EP18" s="44" t="str">
        <f t="shared" si="58"/>
        <v/>
      </c>
      <c r="EQ18" s="44" t="str">
        <f t="shared" si="59"/>
        <v/>
      </c>
      <c r="ER18" s="44" t="str">
        <f t="shared" si="60"/>
        <v/>
      </c>
      <c r="ES18" s="44" t="str">
        <f t="shared" si="61"/>
        <v/>
      </c>
      <c r="ET18" s="44" t="str">
        <f t="shared" si="62"/>
        <v/>
      </c>
      <c r="EU18" s="44" t="str">
        <f t="shared" si="63"/>
        <v/>
      </c>
      <c r="EV18" s="44" t="str">
        <f t="shared" si="64"/>
        <v/>
      </c>
      <c r="EW18" s="44" t="str">
        <f t="shared" si="65"/>
        <v/>
      </c>
      <c r="EX18" s="44" t="str">
        <f t="shared" si="66"/>
        <v/>
      </c>
      <c r="EY18" s="44" t="str">
        <f t="shared" si="67"/>
        <v/>
      </c>
      <c r="EZ18" s="44" t="str">
        <f t="shared" si="68"/>
        <v/>
      </c>
      <c r="FA18" s="44" t="str">
        <f t="shared" si="69"/>
        <v/>
      </c>
      <c r="FB18" s="44" t="str">
        <f t="shared" si="70"/>
        <v/>
      </c>
      <c r="FD18" s="44" t="str">
        <f t="shared" si="71"/>
        <v/>
      </c>
      <c r="FE18" s="44" t="str">
        <f t="shared" si="72"/>
        <v/>
      </c>
      <c r="FF18" s="44" t="str">
        <f t="shared" si="73"/>
        <v/>
      </c>
      <c r="FG18" s="44" t="str">
        <f t="shared" si="74"/>
        <v/>
      </c>
      <c r="FH18" s="44" t="str">
        <f t="shared" si="75"/>
        <v>"NO_GRE",</v>
      </c>
      <c r="FI18" s="44" t="str">
        <f t="shared" si="76"/>
        <v/>
      </c>
      <c r="FJ18" s="44" t="str">
        <f t="shared" si="77"/>
        <v/>
      </c>
      <c r="FK18" s="44" t="str">
        <f t="shared" si="78"/>
        <v/>
      </c>
      <c r="FL18" s="44" t="str">
        <f t="shared" si="79"/>
        <v/>
      </c>
      <c r="FM18" s="44" t="str">
        <f t="shared" si="80"/>
        <v/>
      </c>
      <c r="FN18" s="44" t="str">
        <f t="shared" si="81"/>
        <v/>
      </c>
      <c r="FO18" s="44" t="str">
        <f t="shared" si="82"/>
        <v/>
      </c>
      <c r="FP18" s="44" t="str">
        <f t="shared" si="83"/>
        <v/>
      </c>
      <c r="FQ18" s="44" t="str">
        <f t="shared" si="84"/>
        <v>"001RED",</v>
      </c>
      <c r="FR18" s="44" t="str">
        <f t="shared" si="85"/>
        <v>"002WHI",</v>
      </c>
      <c r="FS18" s="44" t="str">
        <f t="shared" si="86"/>
        <v>"003BLU",</v>
      </c>
      <c r="FT18" s="44" t="str">
        <f t="shared" si="87"/>
        <v>"myrEQ",</v>
      </c>
      <c r="FU18" s="44" t="str">
        <f t="shared" si="88"/>
        <v/>
      </c>
      <c r="FV18" s="44" t="str">
        <f t="shared" si="89"/>
        <v/>
      </c>
      <c r="FW18" s="44" t="str">
        <f t="shared" si="90"/>
        <v/>
      </c>
      <c r="FY18" s="44" t="str">
        <f t="shared" si="91"/>
        <v/>
      </c>
      <c r="FZ18" s="44" t="str">
        <f t="shared" si="92"/>
        <v/>
      </c>
      <c r="GA18" s="44" t="str">
        <f t="shared" si="93"/>
        <v/>
      </c>
      <c r="GB18" s="44" t="str">
        <f t="shared" si="94"/>
        <v/>
      </c>
      <c r="GE18" s="44" t="str">
        <f t="shared" si="95"/>
        <v/>
      </c>
      <c r="GF18" s="44" t="str">
        <f>IFERROR(IF(SEARCH("Historical",AU18)&gt;0,CHAR(34)&amp;"histor"&amp;CHAR(34)&amp;",",""),"")</f>
        <v/>
      </c>
      <c r="GG18" s="44" t="str">
        <f t="shared" si="96"/>
        <v/>
      </c>
      <c r="GH18" s="44" t="str">
        <f t="shared" si="97"/>
        <v/>
      </c>
      <c r="GI18" s="44" t="str">
        <f t="shared" si="98"/>
        <v/>
      </c>
      <c r="GJ18" s="44" t="str">
        <f t="shared" si="99"/>
        <v>"NoStar",</v>
      </c>
      <c r="GK18" s="44" t="str">
        <f t="shared" si="100"/>
        <v/>
      </c>
      <c r="GL18" s="44" t="str">
        <f t="shared" si="101"/>
        <v/>
      </c>
      <c r="GM18" s="44" t="str">
        <f t="shared" si="102"/>
        <v/>
      </c>
      <c r="GN18" s="44" t="str">
        <f t="shared" si="103"/>
        <v/>
      </c>
      <c r="GP18" s="44" t="str">
        <f t="shared" si="104"/>
        <v>"Province"</v>
      </c>
      <c r="GS18" s="44" t="str">
        <f t="shared" si="105"/>
        <v>["5+Colo","words2","lets07","startS","year18","year19","allver","3Bands","Vertic","Texted","Weapon","HasSun","Unequa","Center","NO_GRE","001RED","002WHI","003BLU","myrEQ","NoStar"]</v>
      </c>
      <c r="GT18" s="44" t="str">
        <f t="shared" si="106"/>
        <v>"cl_BLA",</v>
      </c>
      <c r="GU18" s="44" t="str">
        <f t="shared" si="107"/>
        <v>"cl_BLU",</v>
      </c>
      <c r="GV18" s="44" t="str">
        <f t="shared" si="108"/>
        <v/>
      </c>
      <c r="GW18" s="44" t="str">
        <f t="shared" si="109"/>
        <v>"cl_RED",</v>
      </c>
      <c r="GX18" s="44" t="str">
        <f t="shared" si="110"/>
        <v>"cl_YEL",</v>
      </c>
      <c r="GY18" s="44" t="str">
        <f t="shared" si="111"/>
        <v/>
      </c>
      <c r="GZ18" s="44" t="str">
        <f t="shared" si="112"/>
        <v>"cl_BRO",</v>
      </c>
      <c r="HA18" s="44" t="str">
        <f t="shared" si="113"/>
        <v/>
      </c>
      <c r="HB18" s="44" t="str">
        <f t="shared" si="114"/>
        <v>"cl_WHI",</v>
      </c>
      <c r="HC18" s="44" t="str">
        <f t="shared" si="115"/>
        <v>["cl_BLA","cl_BLU","cl_RED","cl_YEL","cl_BRO","cl_WHI"]</v>
      </c>
      <c r="HE18" s="64"/>
      <c r="HF18" s="65" t="str">
        <f t="shared" si="116"/>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links: "https://en.wikipedia.org/wiki/Flag_of_Santa_Fe_Province"},</v>
      </c>
      <c r="HG18" s="66" t="str">
        <f t="shared" si="117"/>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links: "https://en.wikipedia.org/wiki/Flag_of_Santa_Fe_Province"},</v>
      </c>
      <c r="HH18" s="44" t="str">
        <f t="shared" si="118"/>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I18" s="44" t="str">
        <f t="shared" si="119"/>
        <v>"\nThe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v>
      </c>
      <c r="HJ18" s="44" t="str">
        <f t="shared" si="120"/>
        <v>"1822, 1986"</v>
      </c>
      <c r="HL18" s="44" t="str">
        <f t="shared" si="121"/>
        <v>"https://en.wikipedia.org/wiki/Flag_of_Santa_Fe_Province"</v>
      </c>
      <c r="HM18" s="65" t="str">
        <f t="shared" si="122"/>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N18" s="67" t="str">
        <f t="shared" si="123"/>
        <v>{"couname":"[ARG] Santa Fe","year":"1822, 1986","region":"rgn_South America","Colors":["cl_BLA","cl_BLU","cl_RED","cl_YEL","cl_BRO","cl_WHI"],"Items":["5+Colo","words2","lets07","startS","year18","year19","allver","3Bands","Vertic","Texted","Weapon","HasSun","Unequa","Center","NO_GRE","001RED","002WHI","003BLU","myrEQ","NoStar"],"Flag":"https://upload.wikimedia.org/wikipedia/commons/thumb/8/84/Bandera_de_la_Provincia_de_Santa_Fe.svg/320px-Bandera_de_la_Provincia_de_Santa_Fe.svg.png","HDFlag":"https://upload.wikimedia.org/wikipedia/commons/thumb/8/84/Bandera_de_la_Provincia_de_Santa_Fe.svg/2560px-Bandera_de_la_Provincia_de_Santa_Fe.svg.png","type":"Province", "describe": "\nThe colors are derived from the colors of the Federalist Party of the first half of the 19th century. White and blue are the colours of the Argentine national flag. Red was chosen by José Artigas to represent federalism. In the middle there is a yellow oval with an inscription Provincia Invencible de Santa Fe (Invincible Province of Santa Fe). Inside the oval are two crossed arrows and a spear with half a sun above them. The sun alludes to the Sun of May, although it has no face. A spear with its head pointing upwards and crossed with two arrows with their heads pointing downwards symbolizes the triumph of culture over the aboriginal tribes.", "isnew": ".", "links": "https://en.wikipedia.org/wiki/Flag_of_Santa_Fe_Province"},</v>
      </c>
      <c r="HO18" s="71">
        <v>45618</v>
      </c>
      <c r="HP18" s="44" t="str" cm="1">
        <f t="array" ref="HP18">IF(_xlfn.TEXTJOIN(", ", TRUE, IF(ISNUMBER(SEARCH("BLA", BL18:BT18)), COLUMN(BL18:BT18) - COLUMN(BL18) + 1, ""))&lt;&gt;"","BLA","")</f>
        <v>BLA</v>
      </c>
      <c r="HQ18" s="44" t="str" cm="1">
        <f t="array" ref="HQ18">IF(_xlfn.TEXTJOIN(", ", TRUE, IF(ISNUMBER(SEARCH("BLU", BL18:BT18)), COLUMN(BL18:BT18) - COLUMN(BL18) + 1, ""))&lt;&gt;"","BLU","")</f>
        <v>BLU</v>
      </c>
      <c r="HR18" s="44" t="str" cm="1">
        <f t="array" ref="HR18">IF(_xlfn.TEXTJOIN(", ", TRUE, IF(ISNUMBER(SEARCH("GRE", BL18:BT18)), COLUMN(BL18:BT18) - COLUMN(BL18) + 1, ""))&lt;&gt;"","GRE","")</f>
        <v/>
      </c>
      <c r="HS18" s="44" t="str" cm="1">
        <f t="array" ref="HS18">IF(_xlfn.TEXTJOIN(", ", TRUE, IF(ISNUMBER(SEARCH("RED", BL18:BT18)), COLUMN(BL18:BT18) - COLUMN(BL18) + 1, ""))&lt;&gt;"","RED","")</f>
        <v>RED</v>
      </c>
      <c r="HT18" s="44" t="str" cm="1">
        <f t="array" ref="HT18">IF(_xlfn.TEXTJOIN(", ", TRUE, IF(ISNUMBER(SEARCH("YEL", BL18:BT18)), COLUMN(BL18:BT18) - COLUMN(BL18) + 1, ""))&lt;&gt;"","YEL","")</f>
        <v>YEL</v>
      </c>
      <c r="HU18" s="44" t="str" cm="1">
        <f t="array" ref="HU18">IF(_xlfn.TEXTJOIN(", ", TRUE, IF(ISNUMBER(SEARCH("ORA", BL18:BT18)), COLUMN(BL18:BT18) - COLUMN(BL18) + 1, ""))&lt;&gt;"","ORA","")</f>
        <v/>
      </c>
      <c r="HV18" s="44" t="str" cm="1">
        <f t="array" ref="HV18">IF(_xlfn.TEXTJOIN(", ", TRUE, IF(ISNUMBER(SEARCH("BRO", BL18:BT18)), COLUMN(BL18:BT18) - COLUMN(BL18) + 1, ""))&lt;&gt;"","BRO","")</f>
        <v>BRO</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M18" s="42">
        <f t="shared" si="124"/>
        <v>-6</v>
      </c>
      <c r="IN18" s="69" t="str">
        <f t="shared" si="125"/>
        <v>http://mkweb.bcgsc.ca/color-summarizer/?url=https://upload.wikimedia.org/wikipedia/commons/thumb/8/84/Bandera_de_la_Provincia_de_Santa_Fe.svg/320px-Bandera_de_la_Provincia_de_Santa_Fe.svg.png&amp;precision=low&amp;num_clusters=6&amp;text=1</v>
      </c>
      <c r="IO18" s="44" t="str">
        <f t="shared" si="126"/>
        <v>"black"</v>
      </c>
      <c r="IP18" s="44" t="str">
        <f t="shared" si="127"/>
        <v>"blue"</v>
      </c>
      <c r="IQ18" s="44" t="str">
        <f t="shared" si="128"/>
        <v/>
      </c>
      <c r="IR18" s="44" t="str">
        <f t="shared" si="129"/>
        <v>"red"</v>
      </c>
      <c r="IS18" s="44" t="str">
        <f t="shared" si="130"/>
        <v>"yellow"</v>
      </c>
      <c r="IT18" s="44" t="str">
        <f t="shared" si="131"/>
        <v/>
      </c>
      <c r="IU18" s="44" t="str">
        <f t="shared" si="132"/>
        <v>"brown"</v>
      </c>
      <c r="IV18" s="44" t="str">
        <f t="shared" si="133"/>
        <v/>
      </c>
      <c r="IW18" s="44" t="str">
        <f t="shared" si="134"/>
        <v>"white"</v>
      </c>
      <c r="IX18" s="44" t="str">
        <f t="shared" si="135"/>
        <v>{"url":"http://mkweb.bcgsc.ca/color-summarizer/?url=https://upload.wikimedia.org/wikipedia/commons/thumb/8/84/Bandera_de_la_Provincia_de_Santa_Fe.svg/320px-Bandera_de_la_Provincia_de_Santa_Fe.svg.png&amp;precision=low&amp;num_clusters=6&amp;text=1","name":"[ARG] Santa Fe"},</v>
      </c>
      <c r="IY18" s="44">
        <v>938</v>
      </c>
    </row>
    <row r="19" spans="1:259" s="44" customFormat="1" ht="38.4" customHeight="1" thickBot="1" x14ac:dyDescent="0.35">
      <c r="A19" s="84" t="s">
        <v>538</v>
      </c>
      <c r="B19" s="83" t="e" vm="18">
        <v>#VALUE!</v>
      </c>
      <c r="C19" s="39">
        <v>2</v>
      </c>
      <c r="D19" s="70" t="s">
        <v>539</v>
      </c>
      <c r="E19" s="40" t="s">
        <v>540</v>
      </c>
      <c r="F19" s="41" t="s">
        <v>163</v>
      </c>
      <c r="G19" s="42">
        <f t="shared" si="0"/>
        <v>1</v>
      </c>
      <c r="H19" s="43"/>
      <c r="I19" s="59" t="s">
        <v>541</v>
      </c>
      <c r="J19" s="44" t="str">
        <f>""</f>
        <v/>
      </c>
      <c r="K19" s="45"/>
      <c r="L19" s="46"/>
      <c r="M19" s="46"/>
      <c r="N19" s="47" t="s">
        <v>177</v>
      </c>
      <c r="O19" s="74">
        <v>1985</v>
      </c>
      <c r="P19" s="48" t="s">
        <v>542</v>
      </c>
      <c r="Q19" s="73">
        <v>3</v>
      </c>
      <c r="R19" s="49" t="s">
        <v>177</v>
      </c>
      <c r="S19" s="50">
        <v>5</v>
      </c>
      <c r="T19" s="51" t="s">
        <v>164</v>
      </c>
      <c r="U19" s="52" t="s">
        <v>164</v>
      </c>
      <c r="V19" s="52" t="s">
        <v>164</v>
      </c>
      <c r="W19" s="52" t="s">
        <v>165</v>
      </c>
      <c r="X19" s="52" t="s">
        <v>165</v>
      </c>
      <c r="Y19" s="52" t="s">
        <v>164</v>
      </c>
      <c r="Z19" s="52" t="s">
        <v>164</v>
      </c>
      <c r="AA19" s="52" t="s">
        <v>164</v>
      </c>
      <c r="AB19" s="52" t="s">
        <v>164</v>
      </c>
      <c r="AC19" s="52" t="s">
        <v>165</v>
      </c>
      <c r="AD19" s="52" t="s">
        <v>165</v>
      </c>
      <c r="AE19" s="52" t="s">
        <v>164</v>
      </c>
      <c r="AF19" s="53" t="s">
        <v>164</v>
      </c>
      <c r="AG19" s="53" t="s">
        <v>164</v>
      </c>
      <c r="AH19" s="53" t="s">
        <v>165</v>
      </c>
      <c r="AI19" s="53" t="s">
        <v>164</v>
      </c>
      <c r="AJ19" s="53" t="s">
        <v>164</v>
      </c>
      <c r="AK19" s="53" t="s">
        <v>164</v>
      </c>
      <c r="AL19" s="53" t="s">
        <v>164</v>
      </c>
      <c r="AM19" s="53" t="s">
        <v>164</v>
      </c>
      <c r="AN19" s="53" t="s">
        <v>164</v>
      </c>
      <c r="AO19" s="53" t="s">
        <v>164</v>
      </c>
      <c r="AP19" s="53" t="s">
        <v>164</v>
      </c>
      <c r="AQ19" s="53" t="s">
        <v>164</v>
      </c>
      <c r="AR19" s="53" t="s">
        <v>164</v>
      </c>
      <c r="AS19" s="53" t="s">
        <v>164</v>
      </c>
      <c r="AT19" s="54">
        <v>0</v>
      </c>
      <c r="AU19" s="53" t="s">
        <v>284</v>
      </c>
      <c r="AV19" s="53" t="str">
        <f t="shared" si="1"/>
        <v>[ARG]Province[ARG] Santiago del Estero</v>
      </c>
      <c r="AW19" s="53" t="str">
        <f t="shared" si="2"/>
        <v>2[ARG] Santiago del Estero</v>
      </c>
      <c r="AX19" s="55"/>
      <c r="AY19" s="55"/>
      <c r="AZ19" s="56" t="s">
        <v>234</v>
      </c>
      <c r="BA19" s="56" t="s">
        <v>234</v>
      </c>
      <c r="BB19" s="56"/>
      <c r="BC19" s="57"/>
      <c r="BD19" s="58" t="s">
        <v>152</v>
      </c>
      <c r="BE19" s="59"/>
      <c r="BF19" s="58" t="s">
        <v>152</v>
      </c>
      <c r="BG19" s="58" t="s">
        <v>154</v>
      </c>
      <c r="BH19" s="58" t="s">
        <v>152</v>
      </c>
      <c r="BI19" s="58"/>
      <c r="BJ19" s="58"/>
      <c r="BK19" s="59"/>
      <c r="BL19" s="58" t="s">
        <v>234</v>
      </c>
      <c r="BM19" s="58" t="s">
        <v>152</v>
      </c>
      <c r="BN19" s="58" t="s">
        <v>234</v>
      </c>
      <c r="BO19" s="58" t="s">
        <v>154</v>
      </c>
      <c r="BP19" s="58" t="s">
        <v>155</v>
      </c>
      <c r="BQ19" s="58" t="s">
        <v>234</v>
      </c>
      <c r="BR19" s="58" t="s">
        <v>234</v>
      </c>
      <c r="BS19" s="58" t="s">
        <v>234</v>
      </c>
      <c r="BT19" s="58" t="s">
        <v>159</v>
      </c>
      <c r="BU19" s="60"/>
      <c r="BV19" s="61"/>
      <c r="BW19" s="61">
        <v>0</v>
      </c>
      <c r="BX19" s="59"/>
      <c r="CB19" s="5"/>
      <c r="CC19" s="5"/>
      <c r="CD19" s="62">
        <v>0</v>
      </c>
      <c r="CE19" s="62">
        <v>0</v>
      </c>
      <c r="CF19" s="62" t="e">
        <v>#REF!</v>
      </c>
      <c r="CG19" s="75" cm="1">
        <f t="array" ref="CG19">SUMPRODUCT(--(LEN(TRIM(BL19:BT19))&gt;0))</f>
        <v>4</v>
      </c>
      <c r="CH19" s="53" t="str">
        <f t="shared" si="3"/>
        <v>n</v>
      </c>
      <c r="CI19" s="53" t="str">
        <f t="shared" si="4"/>
        <v>n</v>
      </c>
      <c r="CJ19" s="53" t="str">
        <f t="shared" si="5"/>
        <v>y</v>
      </c>
      <c r="CK19" s="53" t="str">
        <f t="shared" si="6"/>
        <v>n</v>
      </c>
      <c r="CL19" s="53" t="str">
        <f t="shared" si="7"/>
        <v>n</v>
      </c>
      <c r="CM19" s="53" t="str">
        <f t="shared" si="8"/>
        <v>n</v>
      </c>
      <c r="CN19" s="53" t="str">
        <f t="shared" si="9"/>
        <v>n</v>
      </c>
      <c r="CO19" s="53" t="str">
        <f t="shared" si="10"/>
        <v>y</v>
      </c>
      <c r="CP19" s="53" t="str">
        <f t="shared" si="11"/>
        <v>y</v>
      </c>
      <c r="CQ19" s="53" t="str">
        <f t="shared" si="12"/>
        <v>n</v>
      </c>
      <c r="CR19" s="53" t="str">
        <f t="shared" si="13"/>
        <v>n</v>
      </c>
      <c r="CS19" s="53" t="str">
        <f t="shared" si="14"/>
        <v>n</v>
      </c>
      <c r="CT19" s="38" t="str">
        <f t="shared" si="15"/>
        <v>"[ARG] Santiago del Estero"</v>
      </c>
      <c r="CU19" s="63" t="str">
        <f t="shared" si="16"/>
        <v>"rgn_South America"</v>
      </c>
      <c r="CV19" s="44" t="str">
        <f t="shared" si="17"/>
        <v>"https://upload.wikimedia.org/wikipedia/commons/thumb/0/07/Bandera_de_la_Provincia_de_Santiago_del_Estero.svg/320px-Bandera_de_la_Provincia_de_Santiago_del_Estero.svg.png"</v>
      </c>
      <c r="CW19" s="44" t="str">
        <f t="shared" si="18"/>
        <v/>
      </c>
      <c r="CX19" s="44" t="str">
        <f t="shared" si="19"/>
        <v/>
      </c>
      <c r="CY19" s="44" t="str">
        <f t="shared" si="20"/>
        <v>"4Color",</v>
      </c>
      <c r="CZ19" s="44" t="str">
        <f t="shared" si="21"/>
        <v/>
      </c>
      <c r="DA19" s="44" t="str">
        <f t="shared" si="22"/>
        <v>"words2",</v>
      </c>
      <c r="DB19" s="44" t="str">
        <f t="shared" si="23"/>
        <v>"words3",</v>
      </c>
      <c r="DD19" s="44" t="str">
        <f>IF(LEN(CHAR(34)&amp;"lets"&amp;LEN(SUBSTITUTE(SUBSTITUTE(IFERROR(TRIM(SUBSTITUTE(A19,MID(A19,FIND("[",A19),FIND("]",A19)-FIND("[",A19)+1),"")),A19)," ",""),"-",""))&amp;CHAR(34)&amp;",")=9,CHAR(34)&amp;"lets"&amp;LEN(SUBSTITUTE(SUBSTITUTE(IFERROR(TRIM(SUBSTITUTE(A19,MID(A19,FIND("[",A19),FIND("]",A19)-FIND("[",A19)+1),"")),A19)," ",""),"-",""))&amp;CHAR(34)&amp;",",CHAR(34)&amp;"lets0"&amp;LEN(SUBSTITUTE(SUBSTITUTE(IFERROR(TRIM(SUBSTITUTE(A19,MID(A19,FIND("[",A19),FIND("]",A19)-FIND("[",A19)+1),"")),A19)," ",""),"-",""))&amp;CHAR(34)&amp;",")</f>
        <v>"lets17",</v>
      </c>
      <c r="DE19" s="44" t="str">
        <f>CHAR(34)&amp;"start"&amp;IFERROR(LEFT(SUBSTITUTE(A19,"["&amp;MID(A19,FIND("[",A19)+1,FIND("]",A19)-FIND("[",A19)-1)&amp;"] ",""),1),LEFT(A19,1))&amp;CHAR(34)&amp;","</f>
        <v>"startS",</v>
      </c>
      <c r="DF19" s="44" t="str">
        <f t="shared" si="24"/>
        <v/>
      </c>
      <c r="DG19" s="44" t="str">
        <f t="shared" si="25"/>
        <v/>
      </c>
      <c r="DH19" s="44" t="str">
        <f t="shared" si="26"/>
        <v/>
      </c>
      <c r="DI19" s="44" t="str">
        <f t="shared" si="27"/>
        <v/>
      </c>
      <c r="DJ19" s="44" t="str">
        <f t="shared" si="28"/>
        <v/>
      </c>
      <c r="DK19" s="44" t="str">
        <f t="shared" si="29"/>
        <v/>
      </c>
      <c r="DL19" s="44" t="str">
        <f t="shared" si="30"/>
        <v/>
      </c>
      <c r="DM19" s="44" t="str" cm="1">
        <f t="array" ref="DM19">IF(CG19=3,CHAR(34) &amp; _xlfn.TEXTJOIN("", TRUE, RIGHT(HP19:HX19, 2)) &amp; CHAR(34) &amp; ",", "")</f>
        <v/>
      </c>
      <c r="DN19" s="44" t="str">
        <f t="shared" si="31"/>
        <v/>
      </c>
      <c r="DO19" s="44" t="str">
        <f t="shared" si="32"/>
        <v>"year19",</v>
      </c>
      <c r="DP19" s="5" t="str">
        <f t="shared" si="33"/>
        <v/>
      </c>
      <c r="DQ19" s="5" t="str">
        <f t="shared" si="34"/>
        <v/>
      </c>
      <c r="DR19" s="5" t="str">
        <f t="shared" si="35"/>
        <v/>
      </c>
      <c r="DS19" s="5" t="str">
        <f t="shared" si="36"/>
        <v>"allver",</v>
      </c>
      <c r="DT19" s="5" t="str">
        <f t="shared" si="37"/>
        <v/>
      </c>
      <c r="DU19" s="5" t="str">
        <f t="shared" si="38"/>
        <v/>
      </c>
      <c r="DW19" s="44" t="str">
        <f t="shared" si="39"/>
        <v/>
      </c>
      <c r="DX19" s="44" t="str">
        <f t="shared" si="40"/>
        <v/>
      </c>
      <c r="DY19" s="44" t="str">
        <f t="shared" si="41"/>
        <v/>
      </c>
      <c r="DZ19" s="44" t="str">
        <f t="shared" si="42"/>
        <v>"4+Band",</v>
      </c>
      <c r="EA19" s="44" t="str">
        <f t="shared" si="43"/>
        <v/>
      </c>
      <c r="EB19" s="44" t="str">
        <f t="shared" si="44"/>
        <v/>
      </c>
      <c r="EC19" s="44" t="str">
        <f t="shared" si="45"/>
        <v/>
      </c>
      <c r="ED19" s="44" t="str">
        <f t="shared" si="46"/>
        <v>"Vertic",</v>
      </c>
      <c r="EE19" s="44" t="str">
        <f t="shared" si="47"/>
        <v>"Circle",</v>
      </c>
      <c r="EF19" s="44" t="str">
        <f t="shared" si="48"/>
        <v/>
      </c>
      <c r="EG19" s="44" t="str">
        <f t="shared" si="49"/>
        <v/>
      </c>
      <c r="EH19" s="44" t="str">
        <f t="shared" si="50"/>
        <v/>
      </c>
      <c r="EI19" s="44" t="str">
        <f t="shared" si="51"/>
        <v/>
      </c>
      <c r="EJ19" s="44" t="str">
        <f t="shared" si="52"/>
        <v>"Weapon",</v>
      </c>
      <c r="EK19" s="44" t="str">
        <f t="shared" si="53"/>
        <v>"HasSun",</v>
      </c>
      <c r="EL19" s="44" t="str">
        <f t="shared" si="54"/>
        <v/>
      </c>
      <c r="EM19" s="44" t="str">
        <f t="shared" si="55"/>
        <v/>
      </c>
      <c r="EN19" s="44" t="str">
        <f t="shared" si="56"/>
        <v/>
      </c>
      <c r="EO19" s="44" t="str">
        <f t="shared" si="57"/>
        <v>"Center",</v>
      </c>
      <c r="EP19" s="44" t="str">
        <f t="shared" si="58"/>
        <v/>
      </c>
      <c r="EQ19" s="44" t="str">
        <f t="shared" si="59"/>
        <v/>
      </c>
      <c r="ER19" s="44" t="str">
        <f t="shared" si="60"/>
        <v/>
      </c>
      <c r="ES19" s="44" t="str">
        <f t="shared" si="61"/>
        <v/>
      </c>
      <c r="ET19" s="44" t="str">
        <f t="shared" si="62"/>
        <v/>
      </c>
      <c r="EU19" s="44" t="str">
        <f t="shared" si="63"/>
        <v/>
      </c>
      <c r="EV19" s="44" t="str">
        <f t="shared" si="64"/>
        <v/>
      </c>
      <c r="EW19" s="44" t="str">
        <f t="shared" si="65"/>
        <v/>
      </c>
      <c r="EX19" s="44" t="str">
        <f t="shared" si="66"/>
        <v/>
      </c>
      <c r="EY19" s="44" t="str">
        <f t="shared" si="67"/>
        <v/>
      </c>
      <c r="EZ19" s="44" t="str">
        <f t="shared" si="68"/>
        <v/>
      </c>
      <c r="FA19" s="44" t="str">
        <f t="shared" si="69"/>
        <v/>
      </c>
      <c r="FB19" s="44" t="str">
        <f t="shared" si="70"/>
        <v/>
      </c>
      <c r="FD19" s="44" t="str">
        <f t="shared" si="71"/>
        <v/>
      </c>
      <c r="FE19" s="44" t="str">
        <f t="shared" si="72"/>
        <v/>
      </c>
      <c r="FF19" s="44" t="str">
        <f t="shared" si="73"/>
        <v/>
      </c>
      <c r="FG19" s="44" t="str">
        <f t="shared" si="74"/>
        <v/>
      </c>
      <c r="FH19" s="44" t="str">
        <f t="shared" si="75"/>
        <v>"NO_GRE",</v>
      </c>
      <c r="FI19" s="44" t="str">
        <f t="shared" si="76"/>
        <v/>
      </c>
      <c r="FJ19" s="44" t="str">
        <f t="shared" si="77"/>
        <v>"NO_BLA",</v>
      </c>
      <c r="FK19" s="44" t="str">
        <f t="shared" si="78"/>
        <v/>
      </c>
      <c r="FL19" s="44" t="str">
        <f t="shared" si="79"/>
        <v/>
      </c>
      <c r="FM19" s="44" t="str">
        <f t="shared" si="80"/>
        <v/>
      </c>
      <c r="FN19" s="44" t="str">
        <f t="shared" si="81"/>
        <v/>
      </c>
      <c r="FO19" s="44" t="str">
        <f t="shared" si="82"/>
        <v/>
      </c>
      <c r="FP19" s="44" t="str">
        <f t="shared" si="83"/>
        <v/>
      </c>
      <c r="FQ19" s="44" t="str">
        <f t="shared" si="84"/>
        <v>"001BLU",</v>
      </c>
      <c r="FR19" s="44" t="str">
        <f t="shared" si="85"/>
        <v>"002RED",</v>
      </c>
      <c r="FS19" s="44" t="str">
        <f t="shared" si="86"/>
        <v>"003BLU",</v>
      </c>
      <c r="FT19" s="44" t="str">
        <f t="shared" si="87"/>
        <v>"myrBLU",</v>
      </c>
      <c r="FU19" s="44" t="str">
        <f t="shared" si="88"/>
        <v/>
      </c>
      <c r="FV19" s="44" t="str">
        <f t="shared" si="89"/>
        <v/>
      </c>
      <c r="FW19" s="44" t="str">
        <f t="shared" si="90"/>
        <v/>
      </c>
      <c r="FY19" s="44" t="str">
        <f t="shared" si="91"/>
        <v/>
      </c>
      <c r="FZ19" s="44" t="str">
        <f t="shared" si="92"/>
        <v/>
      </c>
      <c r="GA19" s="44" t="str">
        <f t="shared" si="93"/>
        <v/>
      </c>
      <c r="GB19" s="44" t="str">
        <f t="shared" si="94"/>
        <v/>
      </c>
      <c r="GE19" s="44" t="str">
        <f t="shared" si="95"/>
        <v/>
      </c>
      <c r="GF19" s="44" t="str">
        <f>IFERROR(IF(SEARCH("Historical",AU19)&gt;0,CHAR(34)&amp;"histor"&amp;CHAR(34)&amp;",",""),"")</f>
        <v/>
      </c>
      <c r="GG19" s="44" t="str">
        <f t="shared" si="96"/>
        <v/>
      </c>
      <c r="GH19" s="44" t="str">
        <f t="shared" si="97"/>
        <v/>
      </c>
      <c r="GI19" s="44" t="str">
        <f t="shared" si="98"/>
        <v/>
      </c>
      <c r="GJ19" s="44" t="str">
        <f t="shared" si="99"/>
        <v>"NoStar",</v>
      </c>
      <c r="GK19" s="44" t="str">
        <f t="shared" si="100"/>
        <v/>
      </c>
      <c r="GL19" s="44" t="str">
        <f t="shared" si="101"/>
        <v/>
      </c>
      <c r="GM19" s="44" t="str">
        <f t="shared" si="102"/>
        <v/>
      </c>
      <c r="GN19" s="44" t="str">
        <f t="shared" si="103"/>
        <v/>
      </c>
      <c r="GP19" s="44" t="str">
        <f t="shared" si="104"/>
        <v>"Province"</v>
      </c>
      <c r="GS19" s="44" t="str">
        <f t="shared" si="105"/>
        <v>["4Color","words2","words3","lets17","startS","year19","allver","4+Band","Vertic","Circle","Weapon","HasSun","Center","NO_GRE","NO_BLA","001BLU","002RED","003BLU","myrBLU","NoStar"]</v>
      </c>
      <c r="GT19" s="44" t="str">
        <f t="shared" si="106"/>
        <v/>
      </c>
      <c r="GU19" s="44" t="str">
        <f t="shared" si="107"/>
        <v>"cl_BLU",</v>
      </c>
      <c r="GV19" s="44" t="str">
        <f t="shared" si="108"/>
        <v/>
      </c>
      <c r="GW19" s="44" t="str">
        <f t="shared" si="109"/>
        <v>"cl_RED",</v>
      </c>
      <c r="GX19" s="44" t="str">
        <f t="shared" si="110"/>
        <v>"cl_YEL",</v>
      </c>
      <c r="GY19" s="44" t="str">
        <f t="shared" si="111"/>
        <v/>
      </c>
      <c r="GZ19" s="44" t="str">
        <f t="shared" si="112"/>
        <v/>
      </c>
      <c r="HA19" s="44" t="str">
        <f t="shared" si="113"/>
        <v/>
      </c>
      <c r="HB19" s="44" t="str">
        <f t="shared" si="114"/>
        <v>"cl_WHI",</v>
      </c>
      <c r="HC19" s="44" t="str">
        <f t="shared" si="115"/>
        <v>["cl_BLU","cl_RED","cl_YEL","cl_WHI"]</v>
      </c>
      <c r="HE19" s="64"/>
      <c r="HF19" s="65" t="str">
        <f t="shared" si="116"/>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links: "https://en.wikipedia.org/wiki/Flag_of_Santiago_del_Estero_Province"},</v>
      </c>
      <c r="HG19" s="66" t="str">
        <f t="shared" si="117"/>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links: "https://en.wikipedia.org/wiki/Flag_of_Santiago_del_Estero_Province"},</v>
      </c>
      <c r="HH19" s="44" t="str">
        <f t="shared" si="118"/>
        <v>"\nLight blue and white are the Argentine national colors, while red represents the Federalist Party to which the province owes its autonomy. The sun refers to the Sun of May present on the national flag. The cross represents the Catholic and Spanish heritage of the region."</v>
      </c>
      <c r="HI19" s="44" t="str">
        <f t="shared" si="119"/>
        <v>"\nLight blue and white are the Argentine national colors, while red represents the Federalist Party to which the province owes its autonomy. The sun refers to the Sun of May present on the national flag. The cross represents the Catholic and Spanish heritage of the region."</v>
      </c>
      <c r="HJ19" s="44" t="str">
        <f t="shared" si="120"/>
        <v>"1985"</v>
      </c>
      <c r="HL19" s="44" t="str">
        <f t="shared" si="121"/>
        <v>"https://en.wikipedia.org/wiki/Flag_of_Santiago_del_Estero_Province"</v>
      </c>
      <c r="HM19" s="65" t="str">
        <f t="shared" si="122"/>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N19" s="67" t="str">
        <f t="shared" si="123"/>
        <v>{"couname":"[ARG] Santiago del Estero","year":"1985","region":"rgn_South America","Colors":["cl_BLU","cl_RED","cl_YEL","cl_WHI"],"Items":["4Color","words2","words3","lets17","startS","year19","allver","4+Band","Vertic","Circle","Weapon","HasSun","Center","NO_GRE","NO_BLA","001BLU","002RED","003BLU","myrBLU","NoStar"],"Flag":"https://upload.wikimedia.org/wikipedia/commons/thumb/0/07/Bandera_de_la_Provincia_de_Santiago_del_Estero.svg/320px-Bandera_de_la_Provincia_de_Santiago_del_Estero.svg.png","HDFlag":"https://upload.wikimedia.org/wikipedia/commons/thumb/0/07/Bandera_de_la_Provincia_de_Santiago_del_Estero.svg/2560px-Bandera_de_la_Provincia_de_Santiago_del_Estero.svg.png","type":"Province", "describe": "\nLight blue and white are the Argentine national colors, while red represents the Federalist Party to which the province owes its autonomy. The sun refers to the Sun of May present on the national flag. The cross represents the Catholic and Spanish heritage of the region.", "isnew": ".", "links": "https://en.wikipedia.org/wiki/Flag_of_Santiago_del_Estero_Province"},</v>
      </c>
      <c r="HO19" s="71">
        <v>45618</v>
      </c>
      <c r="HP19" s="44" t="str" cm="1">
        <f t="array" ref="HP19">IF(_xlfn.TEXTJOIN(", ", TRUE, IF(ISNUMBER(SEARCH("BLA", BL19:BT19)), COLUMN(BL19:BT19) - COLUMN(BL19) + 1, ""))&lt;&gt;"","BLA","")</f>
        <v/>
      </c>
      <c r="HQ19" s="44" t="str" cm="1">
        <f t="array" ref="HQ19">IF(_xlfn.TEXTJOIN(", ", TRUE, IF(ISNUMBER(SEARCH("BLU", BL19:BT19)), COLUMN(BL19:BT19) - COLUMN(BL19) + 1, ""))&lt;&gt;"","BLU","")</f>
        <v>BLU</v>
      </c>
      <c r="HR19" s="44" t="str" cm="1">
        <f t="array" ref="HR19">IF(_xlfn.TEXTJOIN(", ", TRUE, IF(ISNUMBER(SEARCH("GRE", BL19:BT19)), COLUMN(BL19:BT19) - COLUMN(BL19) + 1, ""))&lt;&gt;"","GRE","")</f>
        <v/>
      </c>
      <c r="HS19" s="44" t="str" cm="1">
        <f t="array" ref="HS19">IF(_xlfn.TEXTJOIN(", ", TRUE, IF(ISNUMBER(SEARCH("RED", BL19:BT19)), COLUMN(BL19:BT19) - COLUMN(BL19) + 1, ""))&lt;&gt;"","RED","")</f>
        <v>RED</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c r="IB19" s="5"/>
      <c r="IC19" s="68"/>
      <c r="ID19" s="68"/>
      <c r="IE19" s="68"/>
      <c r="IF19" s="68"/>
      <c r="IG19" s="68"/>
      <c r="IH19" s="68"/>
      <c r="II19" s="68"/>
      <c r="IJ19" s="68"/>
      <c r="IK19" s="68"/>
      <c r="IM19" s="42">
        <f t="shared" si="124"/>
        <v>-4</v>
      </c>
      <c r="IN19" s="69" t="str">
        <f t="shared" si="125"/>
        <v>http://mkweb.bcgsc.ca/color-summarizer/?url=https://upload.wikimedia.org/wikipedia/commons/thumb/0/07/Bandera_de_la_Provincia_de_Santiago_del_Estero.svg/320px-Bandera_de_la_Provincia_de_Santiago_del_Estero.svg.png&amp;precision=low&amp;num_clusters=4&amp;text=1</v>
      </c>
      <c r="IO19" s="44" t="str">
        <f t="shared" si="126"/>
        <v/>
      </c>
      <c r="IP19" s="44" t="str">
        <f t="shared" si="127"/>
        <v>"blue"</v>
      </c>
      <c r="IQ19" s="44" t="str">
        <f t="shared" si="128"/>
        <v/>
      </c>
      <c r="IR19" s="44" t="str">
        <f t="shared" si="129"/>
        <v>"red"</v>
      </c>
      <c r="IS19" s="44" t="str">
        <f t="shared" si="130"/>
        <v>"yellow"</v>
      </c>
      <c r="IT19" s="44" t="str">
        <f t="shared" si="131"/>
        <v/>
      </c>
      <c r="IU19" s="44" t="str">
        <f t="shared" si="132"/>
        <v/>
      </c>
      <c r="IV19" s="44" t="str">
        <f t="shared" si="133"/>
        <v/>
      </c>
      <c r="IW19" s="44" t="str">
        <f t="shared" si="134"/>
        <v>"white"</v>
      </c>
      <c r="IX19" s="44" t="str">
        <f t="shared" si="135"/>
        <v>{"url":"http://mkweb.bcgsc.ca/color-summarizer/?url=https://upload.wikimedia.org/wikipedia/commons/thumb/0/07/Bandera_de_la_Provincia_de_Santiago_del_Estero.svg/320px-Bandera_de_la_Provincia_de_Santiago_del_Estero.svg.png&amp;precision=low&amp;num_clusters=4&amp;text=1","name":"[ARG] Santiago del Estero"},</v>
      </c>
      <c r="IY19" s="44">
        <v>939</v>
      </c>
    </row>
    <row r="20" spans="1:259" s="44" customFormat="1" ht="38.4" customHeight="1" thickBot="1" x14ac:dyDescent="0.35">
      <c r="A20" s="84" t="s">
        <v>844</v>
      </c>
      <c r="B20" s="83" t="e" vm="19">
        <v>#VALUE!</v>
      </c>
      <c r="C20" s="39">
        <v>2</v>
      </c>
      <c r="D20" s="70" t="s">
        <v>845</v>
      </c>
      <c r="E20" s="40" t="s">
        <v>846</v>
      </c>
      <c r="F20" s="41" t="s">
        <v>163</v>
      </c>
      <c r="G20" s="42">
        <f>COUNTIF($A$1:$A$9999,A20)</f>
        <v>1</v>
      </c>
      <c r="H20" s="43" t="s">
        <v>847</v>
      </c>
      <c r="I20" s="59" t="s">
        <v>848</v>
      </c>
      <c r="J20" s="44" t="str">
        <f>""</f>
        <v/>
      </c>
      <c r="K20" s="45"/>
      <c r="L20" s="46"/>
      <c r="M20" s="46"/>
      <c r="N20" s="47" t="s">
        <v>177</v>
      </c>
      <c r="O20" s="74" t="s">
        <v>180</v>
      </c>
      <c r="P20" s="48" t="s">
        <v>849</v>
      </c>
      <c r="Q20" s="73">
        <v>3</v>
      </c>
      <c r="R20" s="49" t="s">
        <v>850</v>
      </c>
      <c r="S20" s="50">
        <v>3</v>
      </c>
      <c r="T20" s="51" t="s">
        <v>165</v>
      </c>
      <c r="U20" s="52" t="s">
        <v>164</v>
      </c>
      <c r="V20" s="52" t="s">
        <v>164</v>
      </c>
      <c r="W20" s="52" t="s">
        <v>164</v>
      </c>
      <c r="X20" s="52" t="s">
        <v>164</v>
      </c>
      <c r="Y20" s="52" t="s">
        <v>165</v>
      </c>
      <c r="Z20" s="52" t="s">
        <v>165</v>
      </c>
      <c r="AA20" s="52" t="s">
        <v>164</v>
      </c>
      <c r="AB20" s="52" t="s">
        <v>164</v>
      </c>
      <c r="AC20" s="52" t="s">
        <v>164</v>
      </c>
      <c r="AD20" s="52" t="s">
        <v>164</v>
      </c>
      <c r="AE20" s="52" t="s">
        <v>164</v>
      </c>
      <c r="AF20" s="53" t="s">
        <v>164</v>
      </c>
      <c r="AG20" s="53" t="s">
        <v>164</v>
      </c>
      <c r="AH20" s="53" t="s">
        <v>164</v>
      </c>
      <c r="AI20" s="53" t="s">
        <v>164</v>
      </c>
      <c r="AJ20" s="53" t="s">
        <v>164</v>
      </c>
      <c r="AK20" s="53" t="s">
        <v>164</v>
      </c>
      <c r="AL20" s="53" t="s">
        <v>164</v>
      </c>
      <c r="AM20" s="53" t="s">
        <v>164</v>
      </c>
      <c r="AN20" s="53" t="s">
        <v>164</v>
      </c>
      <c r="AO20" s="53" t="s">
        <v>164</v>
      </c>
      <c r="AP20" s="53" t="s">
        <v>164</v>
      </c>
      <c r="AQ20" s="53" t="s">
        <v>164</v>
      </c>
      <c r="AR20" s="53" t="s">
        <v>164</v>
      </c>
      <c r="AS20" s="53" t="s">
        <v>164</v>
      </c>
      <c r="AT20" s="54">
        <v>5</v>
      </c>
      <c r="AU20" s="53" t="s">
        <v>284</v>
      </c>
      <c r="AV20" s="53" t="str">
        <f t="shared" si="1"/>
        <v>[ARG]Province[ARG] [ANT] Tierra del Fuego</v>
      </c>
      <c r="AW20" s="53" t="str">
        <f t="shared" si="2"/>
        <v>2[ARG] Tierra del Fuego</v>
      </c>
      <c r="AX20" s="55"/>
      <c r="AY20" s="55"/>
      <c r="AZ20" s="56" t="s">
        <v>159</v>
      </c>
      <c r="BA20" s="56"/>
      <c r="BB20" s="56"/>
      <c r="BC20" s="57"/>
      <c r="BD20" s="58" t="s">
        <v>156</v>
      </c>
      <c r="BE20" s="59"/>
      <c r="BF20" s="58" t="s">
        <v>156</v>
      </c>
      <c r="BG20" s="58" t="s">
        <v>159</v>
      </c>
      <c r="BH20" s="58" t="s">
        <v>152</v>
      </c>
      <c r="BI20" s="58"/>
      <c r="BJ20" s="58"/>
      <c r="BK20" s="59"/>
      <c r="BL20" s="58" t="s">
        <v>156</v>
      </c>
      <c r="BM20" s="58" t="s">
        <v>159</v>
      </c>
      <c r="BN20" s="58" t="s">
        <v>152</v>
      </c>
      <c r="BO20" s="58"/>
      <c r="BP20" s="58"/>
      <c r="BQ20" s="58"/>
      <c r="BR20" s="58"/>
      <c r="BS20" s="58"/>
      <c r="BT20" s="58"/>
      <c r="BU20" s="60"/>
      <c r="BV20" s="61"/>
      <c r="BW20" s="61">
        <v>0</v>
      </c>
      <c r="BX20" s="59"/>
      <c r="BY20" s="44" t="s">
        <v>165</v>
      </c>
      <c r="CB20" s="5"/>
      <c r="CC20" s="5"/>
      <c r="CD20" s="62">
        <v>1</v>
      </c>
      <c r="CE20" s="62">
        <v>0</v>
      </c>
      <c r="CF20" s="62" t="e">
        <v>#REF!</v>
      </c>
      <c r="CG20" s="75" cm="1">
        <f t="array" ref="CG20">SUMPRODUCT(--(LEN(TRIM(BL20:BT20))&gt;0))</f>
        <v>3</v>
      </c>
      <c r="CH20" s="53" t="str">
        <f t="shared" si="3"/>
        <v>n</v>
      </c>
      <c r="CI20" s="53" t="str">
        <f t="shared" si="4"/>
        <v>y</v>
      </c>
      <c r="CJ20" s="53" t="str">
        <f t="shared" si="5"/>
        <v>n</v>
      </c>
      <c r="CK20" s="53" t="str">
        <f t="shared" si="6"/>
        <v>n</v>
      </c>
      <c r="CL20" s="53" t="str">
        <f t="shared" si="7"/>
        <v>n</v>
      </c>
      <c r="CM20" s="53" t="str">
        <f t="shared" si="8"/>
        <v>n</v>
      </c>
      <c r="CN20" s="53" t="str">
        <f t="shared" si="9"/>
        <v>y</v>
      </c>
      <c r="CO20" s="53" t="str">
        <f t="shared" si="10"/>
        <v>n</v>
      </c>
      <c r="CP20" s="53" t="str">
        <f t="shared" si="11"/>
        <v>n</v>
      </c>
      <c r="CQ20" s="53" t="str">
        <f t="shared" si="12"/>
        <v>n</v>
      </c>
      <c r="CR20" s="53" t="str">
        <f t="shared" si="13"/>
        <v>n</v>
      </c>
      <c r="CS20" s="53" t="str">
        <f t="shared" si="14"/>
        <v>y</v>
      </c>
      <c r="CT20" s="38" t="str">
        <f t="shared" si="15"/>
        <v>"[ARG] [ANT] Tierra del Fuego"</v>
      </c>
      <c r="CU20" s="63" t="str">
        <f t="shared" si="16"/>
        <v>"rgn_Antarctica, rgn_South America"</v>
      </c>
      <c r="CV20" s="44" t="str">
        <f t="shared" si="17"/>
        <v>"https://upload.wikimedia.org/wikipedia/commons/thumb/9/94/Bandera_de_la_Provincia_de_Tierra_del_Fuego.svg/640px-Bandera_de_la_Provincia_de_Tierra_del_Fuego.svg.png"</v>
      </c>
      <c r="CW20" s="44" t="str">
        <f t="shared" si="18"/>
        <v/>
      </c>
      <c r="CX20" s="44" t="str">
        <f t="shared" si="19"/>
        <v>"3Color",</v>
      </c>
      <c r="CY20" s="44" t="str">
        <f t="shared" si="20"/>
        <v/>
      </c>
      <c r="CZ20" s="44" t="str">
        <f t="shared" si="21"/>
        <v/>
      </c>
      <c r="DA20" s="44" t="str">
        <f t="shared" si="22"/>
        <v>"words2",</v>
      </c>
      <c r="DB20" s="44" t="str">
        <f t="shared" si="23"/>
        <v>"words3",</v>
      </c>
      <c r="DC20" s="44" t="str">
        <f>IF(Q20=2,CHAR(34)&amp;"exact2"&amp;CHAR(34)&amp;",","")</f>
        <v/>
      </c>
      <c r="DD20" s="44" t="str">
        <f>IF(LEN(CHAR(34)&amp;"lets"&amp;LEN(SUBSTITUTE(SUBSTITUTE(IFERROR(TRIM(SUBSTITUTE(SUBSTITUTE(SUBSTITUTE(IFERROR(TRIM(SUBSTITUTE(A20,MID(A20,FIND("(",A20),FIND(")",A20)-FIND("(",A20)+1),"")),A20),"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",""),"-",""))&amp;CHAR(34)&amp;",")=9,CHAR(34)&amp;"lets"&amp;LEN(SUBSTITUTE(SUBSTITUTE(IFERROR(TRIM(SUBSTITUTE(SUBSTITUTE(SUBSTITUTE(IFERROR(TRIM(SUBSTITUTE(A20,MID(A20,FIND("(",A20),FIND(")",A20)-FIND("(",A20)+1),"")),A20),"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",""),"-",""))&amp;CHAR(34)&amp;",",CHAR(34)&amp;"lets0"&amp;LEN(SUBSTITUTE(SUBSTITUTE(IFERROR(TRIM(SUBSTITUTE(SUBSTITUTE(SUBSTITUTE(IFERROR(TRIM(SUBSTITUTE(A20,MID(A20,FIND("(",A20),FIND(")",A20)-FIND("(",A20)+1),"")),A20)," ",""),"-",""),MID(SUBSTITUTE(SUBSTITUTE(IFERROR(TRIM(SUBSTITUTE(A20,MID(A20,FIND("(",A20),FIND(")",A20)-FIND("(",A20)+1),"")),A20)," ",""),"-",""),FIND("[",SUBSTITUTE(SUBSTITUTE(IFERROR(TRIM(SUBSTITUTE(A20,MID(A20,FIND("(",A20),FIND(")",A20)-FIND("(",A20)+1),"")),A20)," ",""),"-","")),FIND("]",SUBSTITUTE(SUBSTITUTE(IFERROR(TRIM(SUBSTITUTE(A20,MID(A20,FIND("(",A20),FIND(")",A20)-FIND("(",A20)+1),"")),A20)," ",""),"-",""))-FIND("[",SUBSTITUTE(SUBSTITUTE(IFERROR(TRIM(SUBSTITUTE(A20,MID(A20,FIND("(",A20),FIND(")",A20)-FIND("(",A20)+1),"")),A20)," ",""),"-",""))+1),"")),SUBSTITUTE(SUBSTITUTE(IFERROR(TRIM(SUBSTITUTE(A20,MID(A20,FIND("(",A20),FIND(")",A20)-FIND("(",A20)+1),"")),A20)," ",""),"-",""))," ",""),"-",""))&amp;CHAR(34)&amp;",")</f>
        <v>"lets19",</v>
      </c>
      <c r="DE20" s="44" t="str">
        <f>IFERROR(CHAR(34)&amp;"start"&amp;LEFT(TRIM(SUBSTITUTE(SUBSTITUTE(TRIM(SUBSTITUTE(SUBSTITUTE(A20, MID(A20, FIND("[", A20), FIND("]", A20) - FIND("[", A20) + 1), ""), "  ", " ")), MID(TRIM(SUBSTITUTE(SUBSTITUTE(A20, MID(A20, FIND("[", A20), FIND("]", A20) - FIND("[", A20) + 1), ""), "  ", " ")), FIND("[", TRIM(SUBSTITUTE(SUBSTITUTE(A20, MID(A20, FIND("[", A20), FIND("]", A20) - FIND("[", A20) + 1), ""), "  ", " "))), FIND("]", TRIM(SUBSTITUTE(SUBSTITUTE(A20, MID(A20, FIND("[", A20), FIND("]", A20) - FIND("[", A20) + 1), ""), "  ", " "))) - FIND("[", TRIM(SUBSTITUTE(SUBSTITUTE(A20, MID(A20, FIND("[", A20), FIND("]", A20) - FIND("[", A20) + 1), ""), "  ", " "))) + 1), ""), "  ", " ")),1)&amp;CHAR(34)&amp;",",CHAR(34)&amp;"start"&amp;IFERROR(LEFT(SUBSTITUTE(A20,"["&amp;MID(A20,FIND("[",A20)+1,FIND("]",A20)-FIND("[",A20)-1)&amp;"] ",""),1),LEFT(A20,1))&amp;CHAR(34)&amp;",")</f>
        <v>"startT",</v>
      </c>
      <c r="DF20" s="44" t="str">
        <f t="shared" si="24"/>
        <v/>
      </c>
      <c r="DG20" s="44" t="str">
        <f t="shared" si="25"/>
        <v/>
      </c>
      <c r="DH20" s="44" t="str">
        <f t="shared" si="26"/>
        <v/>
      </c>
      <c r="DI20" s="44" t="str">
        <f t="shared" si="27"/>
        <v/>
      </c>
      <c r="DJ20" s="44" t="str">
        <f t="shared" si="28"/>
        <v/>
      </c>
      <c r="DK20" s="44" t="str">
        <f t="shared" si="29"/>
        <v/>
      </c>
      <c r="DL20" s="44" t="str">
        <f t="shared" si="30"/>
        <v/>
      </c>
      <c r="DM20" s="44" t="str" cm="1">
        <f t="array" ref="DM20">IF(CG20=3,CHAR(34) &amp; _xlfn.TEXTJOIN("", TRUE, RIGHT(HP20:HX20, 2)) &amp; CHAR(34) &amp; ",", "")</f>
        <v>"LURAHI",</v>
      </c>
      <c r="DN20" s="44" t="str">
        <f t="shared" si="31"/>
        <v/>
      </c>
      <c r="DO20" s="44" t="str">
        <f t="shared" si="32"/>
        <v>"year19",</v>
      </c>
      <c r="DP20" s="5" t="str">
        <f t="shared" si="33"/>
        <v/>
      </c>
      <c r="DQ20" s="5" t="str">
        <f t="shared" si="34"/>
        <v/>
      </c>
      <c r="DR20" s="5" t="str">
        <f t="shared" si="35"/>
        <v>"dgband",</v>
      </c>
      <c r="DS20" s="5" t="str">
        <f t="shared" si="36"/>
        <v/>
      </c>
      <c r="DT20" s="5" t="str">
        <f t="shared" si="37"/>
        <v/>
      </c>
      <c r="DU20" s="5" t="str">
        <f t="shared" si="38"/>
        <v>"alldia",</v>
      </c>
      <c r="DV20" s="44" t="str">
        <f>IF(IA20&lt;&gt;"",(IF(IA20="y",CHAR(34)&amp;"largec"&amp;CHAR(34)&amp;",",CHAR(34)&amp;"smallc"&amp;CHAR(34)&amp;",")),"")</f>
        <v/>
      </c>
      <c r="DW20" s="44" t="str">
        <f t="shared" si="39"/>
        <v/>
      </c>
      <c r="DX20" s="44" t="str">
        <f t="shared" si="40"/>
        <v/>
      </c>
      <c r="DY20" s="44" t="str">
        <f t="shared" si="41"/>
        <v>"3Bands",</v>
      </c>
      <c r="DZ20" s="44" t="str">
        <f t="shared" si="42"/>
        <v/>
      </c>
      <c r="EA20" s="44" t="str">
        <f t="shared" si="43"/>
        <v>"Diagon",</v>
      </c>
      <c r="EB20" s="44" t="str">
        <f t="shared" si="44"/>
        <v/>
      </c>
      <c r="EC20" s="44" t="str">
        <f t="shared" si="45"/>
        <v/>
      </c>
      <c r="ED20" s="44" t="str">
        <f t="shared" si="46"/>
        <v/>
      </c>
      <c r="EE20" s="44" t="str">
        <f t="shared" si="47"/>
        <v/>
      </c>
      <c r="EF20" s="44" t="str">
        <f t="shared" si="48"/>
        <v>"Animal",</v>
      </c>
      <c r="EG20" s="44" t="str">
        <f t="shared" si="49"/>
        <v>"Bird",</v>
      </c>
      <c r="EH20" s="44" t="str">
        <f t="shared" si="50"/>
        <v/>
      </c>
      <c r="EI20" s="44" t="str">
        <f t="shared" si="51"/>
        <v/>
      </c>
      <c r="EJ20" s="44" t="str">
        <f t="shared" si="52"/>
        <v/>
      </c>
      <c r="EK20" s="44" t="str">
        <f t="shared" si="53"/>
        <v/>
      </c>
      <c r="EL20" s="44" t="str">
        <f t="shared" si="54"/>
        <v/>
      </c>
      <c r="EM20" s="44" t="str">
        <f t="shared" si="55"/>
        <v/>
      </c>
      <c r="EN20" s="44" t="str">
        <f t="shared" si="56"/>
        <v/>
      </c>
      <c r="EO20" s="44" t="str">
        <f t="shared" si="57"/>
        <v/>
      </c>
      <c r="EP20" s="44" t="str">
        <f t="shared" si="58"/>
        <v/>
      </c>
      <c r="EQ20" s="44" t="str">
        <f t="shared" si="59"/>
        <v/>
      </c>
      <c r="ER20" s="44" t="str">
        <f t="shared" si="60"/>
        <v/>
      </c>
      <c r="ES20" s="44" t="str">
        <f t="shared" si="61"/>
        <v/>
      </c>
      <c r="ET20" s="44" t="str">
        <f t="shared" si="62"/>
        <v/>
      </c>
      <c r="EU20" s="44" t="str">
        <f t="shared" si="63"/>
        <v/>
      </c>
      <c r="EV20" s="44" t="str">
        <f t="shared" si="64"/>
        <v/>
      </c>
      <c r="EW20" s="44" t="str">
        <f t="shared" si="65"/>
        <v/>
      </c>
      <c r="EX20" s="44" t="str">
        <f t="shared" si="66"/>
        <v/>
      </c>
      <c r="EY20" s="44" t="str">
        <f t="shared" si="67"/>
        <v/>
      </c>
      <c r="EZ20" s="44" t="str">
        <f t="shared" si="68"/>
        <v/>
      </c>
      <c r="FA20" s="44" t="str">
        <f t="shared" si="69"/>
        <v>"staWHI",</v>
      </c>
      <c r="FB20" s="44" t="str">
        <f t="shared" si="70"/>
        <v/>
      </c>
      <c r="FC20" s="44" t="str">
        <f>IF(AND(AT20&gt;0,BB20&lt;&gt;""),CHAR(34)&amp;"sta"&amp;BB20&amp;CHAR(34)&amp;",","")</f>
        <v/>
      </c>
      <c r="FD20" s="44" t="str">
        <f t="shared" si="71"/>
        <v/>
      </c>
      <c r="FE20" s="44" t="str">
        <f t="shared" si="72"/>
        <v/>
      </c>
      <c r="FF20" s="44" t="str">
        <f t="shared" si="73"/>
        <v/>
      </c>
      <c r="FG20" s="44" t="str">
        <f t="shared" si="74"/>
        <v>"NO_RED",</v>
      </c>
      <c r="FH20" s="44" t="str">
        <f t="shared" si="75"/>
        <v>"NO_GRE",</v>
      </c>
      <c r="FI20" s="44" t="str">
        <f t="shared" si="76"/>
        <v>"NO_YEL",</v>
      </c>
      <c r="FJ20" s="44" t="str">
        <f t="shared" si="77"/>
        <v>"NO_BLA",</v>
      </c>
      <c r="FK20" s="44" t="str">
        <f t="shared" si="78"/>
        <v/>
      </c>
      <c r="FL20" s="44" t="str">
        <f t="shared" si="79"/>
        <v/>
      </c>
      <c r="FM20" s="44" t="str">
        <f t="shared" si="80"/>
        <v/>
      </c>
      <c r="FN20" s="44" t="str">
        <f t="shared" si="81"/>
        <v/>
      </c>
      <c r="FO20" s="44" t="str">
        <f t="shared" si="82"/>
        <v/>
      </c>
      <c r="FP20" s="44" t="str">
        <f t="shared" si="83"/>
        <v/>
      </c>
      <c r="FQ20" s="44" t="str">
        <f t="shared" si="84"/>
        <v>"001ORA",</v>
      </c>
      <c r="FR20" s="44" t="str">
        <f t="shared" si="85"/>
        <v>"002WHI",</v>
      </c>
      <c r="FS20" s="44" t="str">
        <f t="shared" si="86"/>
        <v>"003BLU",</v>
      </c>
      <c r="FT20" s="44" t="str">
        <f t="shared" si="87"/>
        <v>"myrORA",</v>
      </c>
      <c r="FU20" s="44" t="str">
        <f t="shared" si="88"/>
        <v/>
      </c>
      <c r="FV20" s="44" t="str">
        <f t="shared" si="89"/>
        <v/>
      </c>
      <c r="FW20" s="44" t="str">
        <f t="shared" si="90"/>
        <v/>
      </c>
      <c r="FX20" s="44" t="str">
        <f>SUBSTITUTE(IFERROR(SEARCH("[",A20),IFERROR(IF(AND(CA20&lt;&gt;"y",SEARCH("Europe",R20)&gt;0),CHAR(34)&amp;"noeuni"&amp;CHAR(34)&amp;",",""),"")),"1","")</f>
        <v/>
      </c>
      <c r="FY20" s="44" t="str">
        <f t="shared" si="91"/>
        <v/>
      </c>
      <c r="FZ20" s="44" t="str">
        <f t="shared" si="92"/>
        <v/>
      </c>
      <c r="GA20" s="44" t="str">
        <f t="shared" si="93"/>
        <v/>
      </c>
      <c r="GB20" s="44" t="str">
        <f t="shared" si="94"/>
        <v/>
      </c>
      <c r="GC20" s="44" t="str">
        <f>IFERROR(IF(SEARCH("Portuguese",CB20)&gt;0,CHAR(34)&amp;"portug"&amp;CHAR(34)&amp;",",""),"")</f>
        <v/>
      </c>
      <c r="GD20" s="44" t="str">
        <f>IFERROR(IF(SEARCH("German",CB20)&gt;0,CHAR(34)&amp;"german"&amp;CHAR(34)&amp;",",""),"")</f>
        <v/>
      </c>
      <c r="GE20" s="44" t="str">
        <f t="shared" si="95"/>
        <v/>
      </c>
      <c r="GF20" s="44" t="str">
        <f>IFERROR(IF(SEARCH("Histor",AU20)&gt;0,CHAR(34)&amp;"histor"&amp;CHAR(34)&amp;",",""),"")</f>
        <v/>
      </c>
      <c r="GG20" s="44" t="str">
        <f t="shared" si="96"/>
        <v/>
      </c>
      <c r="GH20" s="44" t="str">
        <f t="shared" si="97"/>
        <v>"southc",</v>
      </c>
      <c r="GI20" s="44" t="str">
        <f t="shared" si="98"/>
        <v/>
      </c>
      <c r="GJ20" s="44" t="str">
        <f t="shared" si="99"/>
        <v/>
      </c>
      <c r="GK20" s="44" t="str">
        <f t="shared" si="100"/>
        <v>"HasSta",</v>
      </c>
      <c r="GL20" s="44" t="str">
        <f t="shared" si="101"/>
        <v/>
      </c>
      <c r="GM20" s="44" t="str">
        <f t="shared" si="102"/>
        <v/>
      </c>
      <c r="GN20" s="44" t="str">
        <f t="shared" si="103"/>
        <v>"3+Star",</v>
      </c>
      <c r="GP20" s="44" t="str">
        <f t="shared" si="104"/>
        <v>"Province"</v>
      </c>
      <c r="GS20" s="44" t="str">
        <f t="shared" si="105"/>
        <v>["3Color","words2","words3","lets19","startT","LURAHI","year19","dgband","alldia","3Bands","Diagon","Animal","Bird","staWHI","NO_RED","NO_GRE","NO_YEL","NO_BLA","001ORA","002WHI","003BLU","myrORA","southc","HasSta","3+Star"]</v>
      </c>
      <c r="GT20" s="44" t="str">
        <f t="shared" si="106"/>
        <v>"cl_ORA",</v>
      </c>
      <c r="GU20" s="44" t="str">
        <f t="shared" si="107"/>
        <v>"cl_WHI",</v>
      </c>
      <c r="GV20" s="44" t="str">
        <f t="shared" si="108"/>
        <v>"cl_BLU",</v>
      </c>
      <c r="GW20" s="44" t="str">
        <f t="shared" si="109"/>
        <v/>
      </c>
      <c r="GX20" s="44" t="str">
        <f t="shared" si="110"/>
        <v/>
      </c>
      <c r="GY20" s="44" t="str">
        <f t="shared" si="111"/>
        <v/>
      </c>
      <c r="GZ20" s="44" t="str">
        <f t="shared" si="112"/>
        <v/>
      </c>
      <c r="HA20" s="44" t="str">
        <f t="shared" si="113"/>
        <v/>
      </c>
      <c r="HB20" s="44" t="str">
        <f t="shared" si="114"/>
        <v/>
      </c>
      <c r="HC20" s="44" t="str">
        <f t="shared" si="115"/>
        <v>["cl_ORA","cl_WHI","cl_BLU"]</v>
      </c>
      <c r="HE20" s="64"/>
      <c r="HF20" s="65" t="str">
        <f t="shared" si="116"/>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links: "https://en.wikipedia.org/wiki/Flag_of_the_Tierra_del_Fuego_Province,_Argentina"},</v>
      </c>
      <c r="HG20" s="66" t="str">
        <f t="shared" si="117"/>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links: "https://en.wikipedia.org/wiki/Flag_of_the_Tierra_del_Fuego_Province,_Argentina"},</v>
      </c>
      <c r="HH20" s="44" t="str">
        <f t="shared" si="118"/>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I20" s="44" t="str">
        <f t="shared" si="119"/>
        <v>"\nThe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v>
      </c>
      <c r="HJ20" s="44" t="str">
        <f t="shared" si="120"/>
        <v>"1999 "</v>
      </c>
      <c r="HK20" s="44" t="s">
        <v>847</v>
      </c>
      <c r="HL20" s="44" t="str">
        <f t="shared" si="121"/>
        <v>"https://en.wikipedia.org/wiki/Flag_of_the_Tierra_del_Fuego_Province,_Argentina"</v>
      </c>
      <c r="HM20" s="65" t="str">
        <f t="shared" si="122"/>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N20" s="67" t="str">
        <f t="shared" si="123"/>
        <v>{"couname":"[ARG] [ANT] Tierra del Fuego","subtype":"[·] Antarctica","year":"1999 ","region":"rgn_Antarctica, rgn_South America","Colors":["cl_ORA","cl_WHI","cl_BLU"],"Items":["3Color","words2","words3","lets19","startT","LURAHI","year19","dgband","alldia","3Bands","Diagon","Animal","Bird","staWHI","NO_RED","NO_GRE","NO_YEL","NO_BLA","001ORA","002WHI","003BLU","myrORA","southc","HasSta","3+Star"],"Flag":"https://upload.wikimedia.org/wikipedia/commons/thumb/9/94/Bandera_de_la_Provincia_de_Tierra_del_Fuego.svg/640px-Bandera_de_la_Provincia_de_Tierra_del_Fuego.svg.png","HDFlag":"https://upload.wikimedia.org/wikipedia/commons/thumb/9/94/Bandera_de_la_Provincia_de_Tierra_del_Fuego.svg/2560px-Bandera_de_la_Provincia_de_Tierra_del_Fuego.svg.png","type":"Province", "describe": "\nThe flag of the Tierra del Fuego Province is composed of two roughly triangular fields of orange and blue which are divided by stylized white albatross that stretches from the top hoist to the bottom fly. The blue field features five white, five-pointed stars tilted to the left, representing the Southern Cross constellation.\n\nThe orange color represents the eponymous fire of Tierra del Fuego (English: Land of Fire). The shape of the orange field is a stylized representation of the outline of the Argentine section of the Isla Grande de Tierra del Fuego. The blue represents the sea that surrounds the island, and the sky. The stars represent the surrounding islands and territorial elements that make up the province. The albatross is a bird native to the local fauna, and in the flag, it represents freedom.", "isnew": ".", "links": "https://en.wikipedia.org/wiki/Flag_of_the_Tierra_del_Fuego_Province,_Argentina"},</v>
      </c>
      <c r="HO20" s="71"/>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
      </c>
      <c r="HS20" s="44" t="str" cm="1">
        <f t="array" ref="HS20">IF(_xlfn.TEXTJOIN(", ", TRUE, IF(ISNUMBER(SEARCH("RED", BL20:BT20)), COLUMN(BL20:BT20) - COLUMN(BL20) + 1, ""))&lt;&gt;"","RED","")</f>
        <v/>
      </c>
      <c r="HT20" s="44" t="str" cm="1">
        <f t="array" ref="HT20">IF(_xlfn.TEXTJOIN(", ", TRUE, IF(ISNUMBER(SEARCH("YEL", BL20:BT20)), COLUMN(BL20:BT20) - COLUMN(BL20) + 1, ""))&lt;&gt;"","YEL","")</f>
        <v/>
      </c>
      <c r="HU20" s="44" t="str" cm="1">
        <f t="array" ref="HU20">IF(_xlfn.TEXTJOIN(", ", TRUE, IF(ISNUMBER(SEARCH("ORA", BL20:BT20)), COLUMN(BL20:BT20) - COLUMN(BL20) + 1, ""))&lt;&gt;"","ORA","")</f>
        <v>ORA</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L20" s="44">
        <f>SUM(IC20:IK20)</f>
        <v>0</v>
      </c>
      <c r="IM20" s="42">
        <f t="shared" si="124"/>
        <v>-3</v>
      </c>
      <c r="IN20" s="69" t="str">
        <f t="shared" si="125"/>
        <v>http://mkweb.bcgsc.ca/color-summarizer/?url=https://upload.wikimedia.org/wikipedia/commons/thumb/9/94/Bandera_de_la_Provincia_de_Tierra_del_Fuego.svg/640px-Bandera_de_la_Provincia_de_Tierra_del_Fuego.svg.png&amp;precision=low&amp;num_clusters=3&amp;text=1</v>
      </c>
      <c r="IO20" s="44" t="str">
        <f t="shared" si="126"/>
        <v/>
      </c>
      <c r="IP20" s="44" t="str">
        <f t="shared" si="127"/>
        <v>"blue"</v>
      </c>
      <c r="IQ20" s="44" t="str">
        <f t="shared" si="128"/>
        <v/>
      </c>
      <c r="IR20" s="44" t="str">
        <f t="shared" si="129"/>
        <v/>
      </c>
      <c r="IS20" s="44" t="str">
        <f t="shared" si="130"/>
        <v/>
      </c>
      <c r="IT20" s="44" t="str">
        <f t="shared" si="131"/>
        <v>"orange"</v>
      </c>
      <c r="IU20" s="44" t="str">
        <f t="shared" si="132"/>
        <v/>
      </c>
      <c r="IV20" s="44" t="str">
        <f t="shared" si="133"/>
        <v/>
      </c>
      <c r="IW20" s="44" t="str">
        <f t="shared" si="134"/>
        <v>"white"</v>
      </c>
      <c r="IX20" s="44" t="str">
        <f t="shared" si="135"/>
        <v>{"url":"http://mkweb.bcgsc.ca/color-summarizer/?url=https://upload.wikimedia.org/wikipedia/commons/thumb/9/94/Bandera_de_la_Provincia_de_Tierra_del_Fuego.svg/640px-Bandera_de_la_Provincia_de_Tierra_del_Fuego.svg.png&amp;precision=low&amp;num_clusters=3&amp;text=1","name":"[ARG] [ANT] Tierra del Fuego"},</v>
      </c>
      <c r="IY20" s="44">
        <v>282</v>
      </c>
    </row>
    <row r="21" spans="1:259" s="44" customFormat="1" ht="38.4" customHeight="1" thickBot="1" x14ac:dyDescent="0.35">
      <c r="A21" s="84" t="s">
        <v>543</v>
      </c>
      <c r="B21" s="83" t="e" vm="20">
        <v>#VALUE!</v>
      </c>
      <c r="C21" s="39">
        <v>2</v>
      </c>
      <c r="D21" s="70" t="s">
        <v>544</v>
      </c>
      <c r="E21" s="40" t="s">
        <v>545</v>
      </c>
      <c r="F21" s="41" t="s">
        <v>163</v>
      </c>
      <c r="G21" s="42">
        <f>COUNTIF($A$1:$A$8299,A21)</f>
        <v>1</v>
      </c>
      <c r="H21" s="43"/>
      <c r="I21" s="59" t="s">
        <v>546</v>
      </c>
      <c r="J21" s="44" t="str">
        <f>""</f>
        <v/>
      </c>
      <c r="K21" s="45"/>
      <c r="L21" s="46"/>
      <c r="M21" s="46"/>
      <c r="N21" s="47" t="s">
        <v>177</v>
      </c>
      <c r="O21" s="74">
        <v>2010</v>
      </c>
      <c r="P21" s="48" t="s">
        <v>547</v>
      </c>
      <c r="Q21" s="73">
        <v>1</v>
      </c>
      <c r="R21" s="49" t="s">
        <v>177</v>
      </c>
      <c r="S21" s="50">
        <v>3</v>
      </c>
      <c r="T21" s="51" t="s">
        <v>164</v>
      </c>
      <c r="U21" s="52" t="s">
        <v>164</v>
      </c>
      <c r="V21" s="52" t="s">
        <v>165</v>
      </c>
      <c r="W21" s="52" t="s">
        <v>164</v>
      </c>
      <c r="X21" s="52" t="s">
        <v>164</v>
      </c>
      <c r="Y21" s="52" t="s">
        <v>164</v>
      </c>
      <c r="Z21" s="52" t="s">
        <v>164</v>
      </c>
      <c r="AA21" s="52" t="s">
        <v>164</v>
      </c>
      <c r="AB21" s="52" t="s">
        <v>164</v>
      </c>
      <c r="AC21" s="52" t="s">
        <v>164</v>
      </c>
      <c r="AD21" s="52" t="s">
        <v>164</v>
      </c>
      <c r="AE21" s="52" t="s">
        <v>164</v>
      </c>
      <c r="AF21" s="53" t="s">
        <v>164</v>
      </c>
      <c r="AG21" s="53" t="s">
        <v>165</v>
      </c>
      <c r="AH21" s="53" t="s">
        <v>164</v>
      </c>
      <c r="AI21" s="53" t="s">
        <v>164</v>
      </c>
      <c r="AJ21" s="53" t="s">
        <v>164</v>
      </c>
      <c r="AK21" s="53" t="s">
        <v>165</v>
      </c>
      <c r="AL21" s="53" t="s">
        <v>164</v>
      </c>
      <c r="AM21" s="53" t="s">
        <v>164</v>
      </c>
      <c r="AN21" s="53" t="s">
        <v>164</v>
      </c>
      <c r="AO21" s="53" t="s">
        <v>164</v>
      </c>
      <c r="AP21" s="53" t="s">
        <v>164</v>
      </c>
      <c r="AQ21" s="53" t="s">
        <v>164</v>
      </c>
      <c r="AR21" s="53" t="s">
        <v>165</v>
      </c>
      <c r="AS21" s="53" t="s">
        <v>164</v>
      </c>
      <c r="AT21" s="54">
        <v>0</v>
      </c>
      <c r="AU21" s="53" t="s">
        <v>284</v>
      </c>
      <c r="AV21" s="53" t="str">
        <f t="shared" si="1"/>
        <v>[ARG]Province[ARG] Tucumán</v>
      </c>
      <c r="AW21" s="53" t="str">
        <f t="shared" si="2"/>
        <v>2[ARG] Tucumán</v>
      </c>
      <c r="AX21" s="55"/>
      <c r="AY21" s="55"/>
      <c r="AZ21" s="56" t="s">
        <v>234</v>
      </c>
      <c r="BA21" s="56" t="s">
        <v>234</v>
      </c>
      <c r="BB21" s="56"/>
      <c r="BC21" s="57"/>
      <c r="BD21" s="58" t="s">
        <v>159</v>
      </c>
      <c r="BE21" s="59"/>
      <c r="BF21" s="58" t="s">
        <v>159</v>
      </c>
      <c r="BG21" s="58" t="s">
        <v>152</v>
      </c>
      <c r="BH21" s="58" t="s">
        <v>159</v>
      </c>
      <c r="BI21" s="58"/>
      <c r="BJ21" s="58"/>
      <c r="BK21" s="59"/>
      <c r="BL21" s="58" t="s">
        <v>234</v>
      </c>
      <c r="BM21" s="58" t="s">
        <v>152</v>
      </c>
      <c r="BN21" s="58" t="s">
        <v>234</v>
      </c>
      <c r="BO21" s="58" t="s">
        <v>234</v>
      </c>
      <c r="BP21" s="58" t="s">
        <v>234</v>
      </c>
      <c r="BQ21" s="58" t="s">
        <v>234</v>
      </c>
      <c r="BR21" s="58" t="s">
        <v>234</v>
      </c>
      <c r="BS21" s="58" t="s">
        <v>234</v>
      </c>
      <c r="BT21" s="58" t="s">
        <v>159</v>
      </c>
      <c r="BU21" s="60"/>
      <c r="BV21" s="61"/>
      <c r="BW21" s="61">
        <v>0</v>
      </c>
      <c r="BX21" s="59"/>
      <c r="CB21" s="5"/>
      <c r="CC21" s="5"/>
      <c r="CD21" s="62">
        <v>0</v>
      </c>
      <c r="CE21" s="62">
        <v>0</v>
      </c>
      <c r="CF21" s="62" t="e">
        <v>#REF!</v>
      </c>
      <c r="CG21" s="75" cm="1">
        <f t="array" ref="CG21">SUMPRODUCT(--(LEN(TRIM(BL21:BT21))&gt;0))</f>
        <v>2</v>
      </c>
      <c r="CH21" s="53" t="str">
        <f t="shared" si="3"/>
        <v>y</v>
      </c>
      <c r="CI21" s="53" t="str">
        <f t="shared" si="4"/>
        <v>n</v>
      </c>
      <c r="CJ21" s="53" t="str">
        <f t="shared" si="5"/>
        <v>n</v>
      </c>
      <c r="CK21" s="53" t="str">
        <f t="shared" si="6"/>
        <v>n</v>
      </c>
      <c r="CL21" s="53" t="str">
        <f t="shared" si="7"/>
        <v>n</v>
      </c>
      <c r="CM21" s="53" t="str">
        <f t="shared" si="8"/>
        <v>n</v>
      </c>
      <c r="CN21" s="53" t="str">
        <f t="shared" si="9"/>
        <v>y</v>
      </c>
      <c r="CO21" s="53" t="str">
        <f t="shared" si="10"/>
        <v>n</v>
      </c>
      <c r="CP21" s="53" t="str">
        <f t="shared" si="11"/>
        <v>y</v>
      </c>
      <c r="CQ21" s="53" t="str">
        <f t="shared" si="12"/>
        <v>n</v>
      </c>
      <c r="CR21" s="53" t="str">
        <f t="shared" si="13"/>
        <v>n</v>
      </c>
      <c r="CS21" s="53" t="str">
        <f t="shared" si="14"/>
        <v>n</v>
      </c>
      <c r="CT21" s="38" t="str">
        <f t="shared" si="15"/>
        <v>"[ARG] Tucumán"</v>
      </c>
      <c r="CU21" s="63" t="str">
        <f t="shared" si="16"/>
        <v>"rgn_South America"</v>
      </c>
      <c r="CV21" s="44" t="str">
        <f t="shared" si="17"/>
        <v>"https://upload.wikimedia.org/wikipedia/commons/thumb/c/ce/Bandera_de_la_Provincia_de_Tucum%C3%A1n.svg/320px-Bandera_de_la_Provincia_de_Tucum%C3%A1n.svg.png"</v>
      </c>
      <c r="CW21" s="44" t="str">
        <f t="shared" si="18"/>
        <v>"2Color",</v>
      </c>
      <c r="CX21" s="44" t="str">
        <f t="shared" si="19"/>
        <v/>
      </c>
      <c r="CY21" s="44" t="str">
        <f t="shared" si="20"/>
        <v/>
      </c>
      <c r="CZ21" s="44" t="str">
        <f t="shared" si="21"/>
        <v/>
      </c>
      <c r="DA21" s="44" t="str">
        <f t="shared" si="22"/>
        <v/>
      </c>
      <c r="DB21" s="44" t="str">
        <f t="shared" si="23"/>
        <v/>
      </c>
      <c r="DD21" s="44" t="str">
        <f>IF(LEN(CHAR(34)&amp;"lets"&amp;LEN(SUBSTITUTE(SUBSTITUTE(IFERROR(TRIM(SUBSTITUTE(A21,MID(A21,FIND("[",A21),FIND("]",A21)-FIND("[",A21)+1),"")),A21)," ",""),"-",""))&amp;CHAR(34)&amp;",")=9,CHAR(34)&amp;"lets"&amp;LEN(SUBSTITUTE(SUBSTITUTE(IFERROR(TRIM(SUBSTITUTE(A21,MID(A21,FIND("[",A21),FIND("]",A21)-FIND("[",A21)+1),"")),A21)," ",""),"-",""))&amp;CHAR(34)&amp;",",CHAR(34)&amp;"lets0"&amp;LEN(SUBSTITUTE(SUBSTITUTE(IFERROR(TRIM(SUBSTITUTE(A21,MID(A21,FIND("[",A21),FIND("]",A21)-FIND("[",A21)+1),"")),A21)," ",""),"-",""))&amp;CHAR(34)&amp;",")</f>
        <v>"lets07",</v>
      </c>
      <c r="DE21" s="44" t="str">
        <f>CHAR(34)&amp;"start"&amp;IFERROR(LEFT(SUBSTITUTE(A21,"["&amp;MID(A21,FIND("[",A21)+1,FIND("]",A21)-FIND("[",A21)-1)&amp;"] ",""),1),LEFT(A21,1))&amp;CHAR(34)&amp;","</f>
        <v>"startT",</v>
      </c>
      <c r="DF21" s="44" t="str">
        <f t="shared" si="24"/>
        <v/>
      </c>
      <c r="DG21" s="44" t="str">
        <f t="shared" si="25"/>
        <v/>
      </c>
      <c r="DH21" s="44" t="str">
        <f t="shared" si="26"/>
        <v/>
      </c>
      <c r="DI21" s="44" t="str">
        <f t="shared" si="27"/>
        <v/>
      </c>
      <c r="DJ21" s="44" t="str">
        <f t="shared" si="28"/>
        <v/>
      </c>
      <c r="DK21" s="44" t="str">
        <f t="shared" si="29"/>
        <v/>
      </c>
      <c r="DL21" s="44" t="str">
        <f t="shared" si="30"/>
        <v>"BLUWHI",</v>
      </c>
      <c r="DM21" s="44" t="str" cm="1">
        <f t="array" ref="DM21">IF(CG21=3,CHAR(34) &amp; _xlfn.TEXTJOIN("", TRUE, RIGHT(HP21:HX21, 2)) &amp; CHAR(34) &amp; ",", "")</f>
        <v/>
      </c>
      <c r="DN21" s="44" t="str">
        <f t="shared" si="31"/>
        <v/>
      </c>
      <c r="DO21" s="44" t="str">
        <f t="shared" si="32"/>
        <v/>
      </c>
      <c r="DP21" s="5" t="str">
        <f t="shared" si="33"/>
        <v>"year00",</v>
      </c>
      <c r="DQ21" s="5" t="str">
        <f t="shared" si="34"/>
        <v/>
      </c>
      <c r="DR21" s="5" t="str">
        <f t="shared" si="35"/>
        <v/>
      </c>
      <c r="DS21" s="5" t="str">
        <f t="shared" si="36"/>
        <v/>
      </c>
      <c r="DT21" s="5" t="str">
        <f t="shared" si="37"/>
        <v>"allhor",</v>
      </c>
      <c r="DU21" s="5" t="str">
        <f t="shared" si="38"/>
        <v/>
      </c>
      <c r="DW21" s="44" t="str">
        <f t="shared" si="39"/>
        <v/>
      </c>
      <c r="DX21" s="44" t="str">
        <f t="shared" si="40"/>
        <v/>
      </c>
      <c r="DY21" s="44" t="str">
        <f t="shared" si="41"/>
        <v>"3Bands",</v>
      </c>
      <c r="DZ21" s="44" t="str">
        <f t="shared" si="42"/>
        <v/>
      </c>
      <c r="EA21" s="44" t="str">
        <f t="shared" si="43"/>
        <v/>
      </c>
      <c r="EB21" s="44" t="str">
        <f t="shared" si="44"/>
        <v/>
      </c>
      <c r="EC21" s="44" t="str">
        <f t="shared" si="45"/>
        <v>"Horizo",</v>
      </c>
      <c r="ED21" s="44" t="str">
        <f t="shared" si="46"/>
        <v/>
      </c>
      <c r="EE21" s="44" t="str">
        <f t="shared" si="47"/>
        <v/>
      </c>
      <c r="EF21" s="44" t="str">
        <f t="shared" si="48"/>
        <v/>
      </c>
      <c r="EG21" s="44" t="str">
        <f t="shared" si="49"/>
        <v/>
      </c>
      <c r="EH21" s="44" t="str">
        <f t="shared" si="50"/>
        <v/>
      </c>
      <c r="EI21" s="44" t="str">
        <f t="shared" si="51"/>
        <v/>
      </c>
      <c r="EJ21" s="44" t="str">
        <f t="shared" si="52"/>
        <v/>
      </c>
      <c r="EK21" s="44" t="str">
        <f t="shared" si="53"/>
        <v/>
      </c>
      <c r="EL21" s="44" t="str">
        <f t="shared" si="54"/>
        <v/>
      </c>
      <c r="EM21" s="44" t="str">
        <f t="shared" si="55"/>
        <v/>
      </c>
      <c r="EN21" s="44" t="str">
        <f t="shared" si="56"/>
        <v>"Unequa",</v>
      </c>
      <c r="EO21" s="44" t="str">
        <f t="shared" si="57"/>
        <v/>
      </c>
      <c r="EP21" s="44" t="str">
        <f t="shared" si="58"/>
        <v/>
      </c>
      <c r="EQ21" s="44" t="str">
        <f t="shared" si="59"/>
        <v/>
      </c>
      <c r="ER21" s="44" t="str">
        <f t="shared" si="60"/>
        <v>"OnlyBa",</v>
      </c>
      <c r="ES21" s="44" t="str">
        <f t="shared" si="61"/>
        <v/>
      </c>
      <c r="ET21" s="44" t="str">
        <f t="shared" si="62"/>
        <v/>
      </c>
      <c r="EU21" s="44" t="str">
        <f t="shared" si="63"/>
        <v/>
      </c>
      <c r="EV21" s="44" t="str">
        <f t="shared" si="64"/>
        <v/>
      </c>
      <c r="EW21" s="44" t="str">
        <f t="shared" si="65"/>
        <v/>
      </c>
      <c r="EX21" s="44" t="str">
        <f t="shared" si="66"/>
        <v/>
      </c>
      <c r="EY21" s="44" t="str">
        <f t="shared" si="67"/>
        <v>"Rotate",</v>
      </c>
      <c r="EZ21" s="44" t="str">
        <f t="shared" si="68"/>
        <v/>
      </c>
      <c r="FA21" s="44" t="str">
        <f t="shared" si="69"/>
        <v/>
      </c>
      <c r="FB21" s="44" t="str">
        <f t="shared" si="70"/>
        <v/>
      </c>
      <c r="FD21" s="44" t="str">
        <f t="shared" si="71"/>
        <v/>
      </c>
      <c r="FE21" s="44" t="str">
        <f t="shared" si="72"/>
        <v/>
      </c>
      <c r="FF21" s="44" t="str">
        <f t="shared" si="73"/>
        <v/>
      </c>
      <c r="FG21" s="44" t="str">
        <f t="shared" si="74"/>
        <v>"NO_RED",</v>
      </c>
      <c r="FH21" s="44" t="str">
        <f t="shared" si="75"/>
        <v>"NO_GRE",</v>
      </c>
      <c r="FI21" s="44" t="str">
        <f t="shared" si="76"/>
        <v>"NO_YEL",</v>
      </c>
      <c r="FJ21" s="44" t="str">
        <f t="shared" si="77"/>
        <v>"NO_BLA",</v>
      </c>
      <c r="FK21" s="44" t="str">
        <f t="shared" si="78"/>
        <v/>
      </c>
      <c r="FL21" s="44" t="str">
        <f t="shared" si="79"/>
        <v/>
      </c>
      <c r="FM21" s="44" t="str">
        <f t="shared" si="80"/>
        <v/>
      </c>
      <c r="FN21" s="44" t="str">
        <f t="shared" si="81"/>
        <v/>
      </c>
      <c r="FO21" s="44" t="str">
        <f t="shared" si="82"/>
        <v/>
      </c>
      <c r="FP21" s="44" t="str">
        <f t="shared" si="83"/>
        <v/>
      </c>
      <c r="FQ21" s="44" t="str">
        <f t="shared" si="84"/>
        <v>"001WHI",</v>
      </c>
      <c r="FR21" s="44" t="str">
        <f t="shared" si="85"/>
        <v>"002BLU",</v>
      </c>
      <c r="FS21" s="44" t="str">
        <f t="shared" si="86"/>
        <v>"003WHI",</v>
      </c>
      <c r="FT21" s="44" t="str">
        <f t="shared" si="87"/>
        <v>"myrWHI",</v>
      </c>
      <c r="FU21" s="44" t="str">
        <f t="shared" si="88"/>
        <v/>
      </c>
      <c r="FV21" s="44" t="str">
        <f t="shared" si="89"/>
        <v/>
      </c>
      <c r="FW21" s="44" t="str">
        <f t="shared" si="90"/>
        <v/>
      </c>
      <c r="FY21" s="44" t="str">
        <f t="shared" si="91"/>
        <v/>
      </c>
      <c r="FZ21" s="44" t="str">
        <f t="shared" si="92"/>
        <v/>
      </c>
      <c r="GA21" s="44" t="str">
        <f t="shared" si="93"/>
        <v/>
      </c>
      <c r="GB21" s="44" t="str">
        <f t="shared" si="94"/>
        <v/>
      </c>
      <c r="GE21" s="44" t="str">
        <f t="shared" si="95"/>
        <v/>
      </c>
      <c r="GF21" s="44" t="str">
        <f>IFERROR(IF(SEARCH("Historical",AU21)&gt;0,CHAR(34)&amp;"histor"&amp;CHAR(34)&amp;",",""),"")</f>
        <v/>
      </c>
      <c r="GG21" s="44" t="str">
        <f t="shared" si="96"/>
        <v/>
      </c>
      <c r="GH21" s="44" t="str">
        <f t="shared" si="97"/>
        <v/>
      </c>
      <c r="GI21" s="44" t="str">
        <f t="shared" si="98"/>
        <v/>
      </c>
      <c r="GJ21" s="44" t="str">
        <f t="shared" si="99"/>
        <v>"NoStar",</v>
      </c>
      <c r="GK21" s="44" t="str">
        <f t="shared" si="100"/>
        <v/>
      </c>
      <c r="GL21" s="44" t="str">
        <f t="shared" si="101"/>
        <v/>
      </c>
      <c r="GM21" s="44" t="str">
        <f t="shared" si="102"/>
        <v/>
      </c>
      <c r="GN21" s="44" t="str">
        <f t="shared" si="103"/>
        <v/>
      </c>
      <c r="GP21" s="44" t="str">
        <f t="shared" si="104"/>
        <v>"Province"</v>
      </c>
      <c r="GS21" s="44" t="str">
        <f t="shared" si="105"/>
        <v>["2Color","lets07","startT","BLUWHI","year00","allhor","3Bands","Horizo","Unequa","OnlyBa","Rotate","NO_RED","NO_GRE","NO_YEL","NO_BLA","001WHI","002BLU","003WHI","myrWHI","NoStar"]</v>
      </c>
      <c r="GT21" s="44" t="str">
        <f t="shared" si="106"/>
        <v/>
      </c>
      <c r="GU21" s="44" t="str">
        <f t="shared" si="107"/>
        <v>"cl_BLU",</v>
      </c>
      <c r="GV21" s="44" t="str">
        <f t="shared" si="108"/>
        <v/>
      </c>
      <c r="GW21" s="44" t="str">
        <f t="shared" si="109"/>
        <v/>
      </c>
      <c r="GX21" s="44" t="str">
        <f t="shared" si="110"/>
        <v/>
      </c>
      <c r="GY21" s="44" t="str">
        <f t="shared" si="111"/>
        <v/>
      </c>
      <c r="GZ21" s="44" t="str">
        <f t="shared" si="112"/>
        <v/>
      </c>
      <c r="HA21" s="44" t="str">
        <f t="shared" si="113"/>
        <v/>
      </c>
      <c r="HB21" s="44" t="str">
        <f t="shared" si="114"/>
        <v>"cl_WHI",</v>
      </c>
      <c r="HC21" s="44" t="str">
        <f t="shared" si="115"/>
        <v>["cl_BLU","cl_WHI"]</v>
      </c>
      <c r="HE21" s="64"/>
      <c r="HF21" s="65" t="str">
        <f t="shared" si="116"/>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links: "https://en.wikipedia.org/wiki/Flag_of_Tucum%C3%A1n"},</v>
      </c>
      <c r="HG21" s="66" t="str">
        <f t="shared" si="117"/>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links: "https://en.wikipedia.org/wiki/Flag_of_Tucum%C3%A1n"},</v>
      </c>
      <c r="HH21" s="44" t="str">
        <f t="shared" si="118"/>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I21" s="44" t="str">
        <f t="shared" si="119"/>
        <v>"\nThe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v>
      </c>
      <c r="HJ21" s="44" t="str">
        <f t="shared" si="120"/>
        <v>"2010"</v>
      </c>
      <c r="HL21" s="44" t="str">
        <f t="shared" si="121"/>
        <v>"https://en.wikipedia.org/wiki/Flag_of_Tucum%C3%A1n"</v>
      </c>
      <c r="HM21" s="65" t="str">
        <f t="shared" si="122"/>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N21" s="67" t="str">
        <f t="shared" si="123"/>
        <v>{"couname":"[ARG] Tucumán","year":"2010","region":"rgn_South America","Colors":["cl_BLU","cl_WHI"],"Items":["2Color","lets07","startT","BLUWHI","year00","allhor","3Bands","Horizo","Unequa","OnlyBa","Rotate","NO_RED","NO_GRE","NO_YEL","NO_BLA","001WHI","002BLU","003WHI","myrWHI","NoStar"],"Flag":"https://upload.wikimedia.org/wikipedia/commons/thumb/c/ce/Bandera_de_la_Provincia_de_Tucum%C3%A1n.svg/320px-Bandera_de_la_Provincia_de_Tucum%C3%A1n.svg.png","HDFlag":"https://upload.wikimedia.org/wikipedia/commons/thumb/c/ce/Bandera_de_la_Provincia_de_Tucum%C3%A1n.svg/2560px-Bandera_de_la_Provincia_de_Tucum%C3%A1n.svg.png","type":"Province", "describe": "\nThe flag currently used in Tucumán is identical to one used by Manuel Belgrano's troops during the Argentine War of Independence. Belgrano, who initiated the creation of the national flag, created its other variant while commanding the Army of the North. It is not known what role the flag with the reversed colors served.", "isnew": ".", "links": "https://en.wikipedia.org/wiki/Flag_of_Tucum%C3%A1n"},</v>
      </c>
      <c r="HO21" s="71">
        <v>45618</v>
      </c>
      <c r="HP21" s="44" t="str" cm="1">
        <f t="array" ref="HP21">IF(_xlfn.TEXTJOIN(", ", TRUE, IF(ISNUMBER(SEARCH("BLA", BL21:BT21)), COLUMN(BL21:BT21) - COLUMN(BL21) + 1, ""))&lt;&gt;"","BLA","")</f>
        <v/>
      </c>
      <c r="HQ21" s="44" t="str" cm="1">
        <f t="array" ref="HQ21">IF(_xlfn.TEXTJOIN(", ", TRUE, IF(ISNUMBER(SEARCH("BLU", BL21:BT21)), COLUMN(BL21:BT21) - COLUMN(BL21) + 1, ""))&lt;&gt;"","BLU","")</f>
        <v>BLU</v>
      </c>
      <c r="HR21" s="44" t="str" cm="1">
        <f t="array" ref="HR21">IF(_xlfn.TEXTJOIN(", ", TRUE, IF(ISNUMBER(SEARCH("GRE", BL21:BT21)), COLUMN(BL21:BT21) - COLUMN(BL21) + 1, ""))&lt;&gt;"","GRE","")</f>
        <v/>
      </c>
      <c r="HS21" s="44" t="str" cm="1">
        <f t="array" ref="HS21">IF(_xlfn.TEXTJOIN(", ", TRUE, IF(ISNUMBER(SEARCH("RED", BL21:BT21)), COLUMN(BL21:BT21) - COLUMN(BL21) + 1, ""))&lt;&gt;"","RED","")</f>
        <v/>
      </c>
      <c r="HT21" s="44" t="str" cm="1">
        <f t="array" ref="HT21">IF(_xlfn.TEXTJOIN(", ", TRUE, IF(ISNUMBER(SEARCH("YEL", BL21:BT21)), COLUMN(BL21:BT21) - COLUMN(BL21) + 1, ""))&lt;&gt;"","YEL","")</f>
        <v/>
      </c>
      <c r="HU21" s="44" t="str" cm="1">
        <f t="array" ref="HU21">IF(_xlfn.TEXTJOIN(", ", TRUE, IF(ISNUMBER(SEARCH("ORA", BL21:BT21)), COLUMN(BL21:BT21) - COLUMN(BL21) + 1, ""))&lt;&gt;"","ORA","")</f>
        <v/>
      </c>
      <c r="HV21" s="44" t="str" cm="1">
        <f t="array" ref="HV21">IF(_xlfn.TEXTJOIN(", ", TRUE, IF(ISNUMBER(SEARCH("BRO", BL21:BT21)), COLUMN(BL21:BT21) - COLUMN(BL21) + 1, ""))&lt;&gt;"","BRO","")</f>
        <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M21" s="42">
        <f t="shared" si="124"/>
        <v>-2</v>
      </c>
      <c r="IN21" s="69" t="str">
        <f t="shared" si="125"/>
        <v>http://mkweb.bcgsc.ca/color-summarizer/?url=https://upload.wikimedia.org/wikipedia/commons/thumb/c/ce/Bandera_de_la_Provincia_de_Tucum%C3%A1n.svg/320px-Bandera_de_la_Provincia_de_Tucum%C3%A1n.svg.png&amp;precision=low&amp;num_clusters=2&amp;text=1</v>
      </c>
      <c r="IO21" s="44" t="str">
        <f t="shared" si="126"/>
        <v/>
      </c>
      <c r="IP21" s="44" t="str">
        <f t="shared" si="127"/>
        <v>"blue"</v>
      </c>
      <c r="IQ21" s="44" t="str">
        <f t="shared" si="128"/>
        <v/>
      </c>
      <c r="IR21" s="44" t="str">
        <f t="shared" si="129"/>
        <v/>
      </c>
      <c r="IS21" s="44" t="str">
        <f t="shared" si="130"/>
        <v/>
      </c>
      <c r="IT21" s="44" t="str">
        <f t="shared" si="131"/>
        <v/>
      </c>
      <c r="IU21" s="44" t="str">
        <f t="shared" si="132"/>
        <v/>
      </c>
      <c r="IV21" s="44" t="str">
        <f t="shared" si="133"/>
        <v/>
      </c>
      <c r="IW21" s="44" t="str">
        <f t="shared" si="134"/>
        <v>"white"</v>
      </c>
      <c r="IX21" s="44" t="str">
        <f t="shared" si="135"/>
        <v>{"url":"http://mkweb.bcgsc.ca/color-summarizer/?url=https://upload.wikimedia.org/wikipedia/commons/thumb/c/ce/Bandera_de_la_Provincia_de_Tucum%C3%A1n.svg/320px-Bandera_de_la_Provincia_de_Tucum%C3%A1n.svg.png&amp;precision=low&amp;num_clusters=2&amp;text=1","name":"[ARG] Tucumán"},</v>
      </c>
      <c r="IY21" s="44">
        <v>940</v>
      </c>
    </row>
    <row r="22" spans="1:259" s="44" customFormat="1" ht="38.4" customHeight="1" thickBot="1" x14ac:dyDescent="0.35">
      <c r="A22" s="85" t="s">
        <v>279</v>
      </c>
      <c r="B22" s="83" t="e" vm="21">
        <v>#VALUE!</v>
      </c>
      <c r="C22" s="39">
        <v>3</v>
      </c>
      <c r="D22" s="70" t="s">
        <v>280</v>
      </c>
      <c r="E22" s="40" t="s">
        <v>281</v>
      </c>
      <c r="F22" s="41" t="s">
        <v>163</v>
      </c>
      <c r="G22" s="42">
        <f>COUNTIF($A$1:$A$8405,A22)</f>
        <v>1</v>
      </c>
      <c r="H22" s="43" t="s">
        <v>851</v>
      </c>
      <c r="I22" s="59" t="s">
        <v>282</v>
      </c>
      <c r="J22" s="44" t="str">
        <f>""</f>
        <v/>
      </c>
      <c r="K22" s="45"/>
      <c r="L22" s="46"/>
      <c r="M22" s="46"/>
      <c r="N22" s="47" t="s">
        <v>177</v>
      </c>
      <c r="O22" s="74">
        <v>1991</v>
      </c>
      <c r="P22" s="48" t="s">
        <v>283</v>
      </c>
      <c r="Q22" s="73">
        <v>2</v>
      </c>
      <c r="R22" s="49" t="s">
        <v>177</v>
      </c>
      <c r="S22" s="50">
        <v>3</v>
      </c>
      <c r="T22" s="51" t="s">
        <v>164</v>
      </c>
      <c r="U22" s="52" t="s">
        <v>164</v>
      </c>
      <c r="V22" s="52" t="s">
        <v>165</v>
      </c>
      <c r="W22" s="52" t="s">
        <v>164</v>
      </c>
      <c r="X22" s="52" t="s">
        <v>164</v>
      </c>
      <c r="Y22" s="52" t="s">
        <v>164</v>
      </c>
      <c r="Z22" s="52" t="s">
        <v>164</v>
      </c>
      <c r="AA22" s="52" t="s">
        <v>164</v>
      </c>
      <c r="AB22" s="52" t="s">
        <v>164</v>
      </c>
      <c r="AC22" s="52" t="s">
        <v>165</v>
      </c>
      <c r="AD22" s="52" t="s">
        <v>164</v>
      </c>
      <c r="AE22" s="52" t="s">
        <v>164</v>
      </c>
      <c r="AF22" s="53" t="s">
        <v>164</v>
      </c>
      <c r="AG22" s="53" t="s">
        <v>165</v>
      </c>
      <c r="AH22" s="53" t="s">
        <v>165</v>
      </c>
      <c r="AI22" s="53" t="s">
        <v>164</v>
      </c>
      <c r="AJ22" s="53" t="s">
        <v>164</v>
      </c>
      <c r="AK22" s="53" t="s">
        <v>164</v>
      </c>
      <c r="AL22" s="53" t="s">
        <v>164</v>
      </c>
      <c r="AM22" s="53" t="s">
        <v>164</v>
      </c>
      <c r="AN22" s="53" t="s">
        <v>164</v>
      </c>
      <c r="AO22" s="53" t="s">
        <v>164</v>
      </c>
      <c r="AP22" s="53" t="s">
        <v>164</v>
      </c>
      <c r="AQ22" s="53" t="s">
        <v>164</v>
      </c>
      <c r="AR22" s="53" t="s">
        <v>164</v>
      </c>
      <c r="AS22" s="53" t="s">
        <v>164</v>
      </c>
      <c r="AT22" s="54">
        <v>0</v>
      </c>
      <c r="AU22" s="53" t="s">
        <v>276</v>
      </c>
      <c r="AV22" s="53" t="str">
        <f t="shared" si="1"/>
        <v>[ARG]People[ARG] Mapuche-Tehuelche</v>
      </c>
      <c r="AW22" s="53" t="str">
        <f t="shared" si="2"/>
        <v>3[ARG] Mapuche-Tehuelche</v>
      </c>
      <c r="AX22" s="55"/>
      <c r="AY22" s="55"/>
      <c r="AZ22" s="56" t="s">
        <v>234</v>
      </c>
      <c r="BA22" s="56"/>
      <c r="BB22" s="56"/>
      <c r="BC22" s="57"/>
      <c r="BD22" s="58" t="s">
        <v>152</v>
      </c>
      <c r="BE22" s="59"/>
      <c r="BF22" s="58" t="s">
        <v>152</v>
      </c>
      <c r="BG22" s="58" t="s">
        <v>159</v>
      </c>
      <c r="BH22" s="58" t="s">
        <v>155</v>
      </c>
      <c r="BI22" s="58"/>
      <c r="BJ22" s="58"/>
      <c r="BK22" s="59"/>
      <c r="BL22" s="58" t="s">
        <v>234</v>
      </c>
      <c r="BM22" s="58" t="s">
        <v>152</v>
      </c>
      <c r="BN22" s="58" t="s">
        <v>234</v>
      </c>
      <c r="BO22" s="58" t="s">
        <v>234</v>
      </c>
      <c r="BP22" s="58" t="s">
        <v>155</v>
      </c>
      <c r="BQ22" s="58" t="s">
        <v>234</v>
      </c>
      <c r="BR22" s="58" t="s">
        <v>234</v>
      </c>
      <c r="BS22" s="58" t="s">
        <v>234</v>
      </c>
      <c r="BT22" s="58" t="s">
        <v>159</v>
      </c>
      <c r="BU22" s="60"/>
      <c r="BV22" s="61"/>
      <c r="BW22" s="61">
        <v>0</v>
      </c>
      <c r="BX22" s="59"/>
      <c r="CB22" s="5"/>
      <c r="CC22" s="5"/>
      <c r="CD22" s="62">
        <v>0</v>
      </c>
      <c r="CE22" s="62">
        <v>0</v>
      </c>
      <c r="CF22" s="62" t="e">
        <v>#REF!</v>
      </c>
      <c r="CG22" s="75" cm="1">
        <f t="array" ref="CG22">SUMPRODUCT(--(LEN(TRIM(BL22:BT22))&gt;0))</f>
        <v>3</v>
      </c>
      <c r="CH22" s="53" t="str">
        <f t="shared" si="3"/>
        <v>n</v>
      </c>
      <c r="CI22" s="53" t="str">
        <f t="shared" si="4"/>
        <v>y</v>
      </c>
      <c r="CJ22" s="53" t="str">
        <f t="shared" si="5"/>
        <v>n</v>
      </c>
      <c r="CK22" s="53" t="str">
        <f t="shared" si="6"/>
        <v>n</v>
      </c>
      <c r="CL22" s="53" t="str">
        <f t="shared" si="7"/>
        <v>n</v>
      </c>
      <c r="CM22" s="53" t="str">
        <f t="shared" si="8"/>
        <v>n</v>
      </c>
      <c r="CN22" s="53" t="str">
        <f t="shared" si="9"/>
        <v>y</v>
      </c>
      <c r="CO22" s="53" t="str">
        <f t="shared" si="10"/>
        <v>n</v>
      </c>
      <c r="CP22" s="53" t="str">
        <f t="shared" si="11"/>
        <v>y</v>
      </c>
      <c r="CQ22" s="53" t="str">
        <f t="shared" si="12"/>
        <v>n</v>
      </c>
      <c r="CR22" s="53" t="str">
        <f t="shared" si="13"/>
        <v>n</v>
      </c>
      <c r="CS22" s="53" t="str">
        <f t="shared" si="14"/>
        <v>n</v>
      </c>
      <c r="CT22" s="38" t="str">
        <f t="shared" si="15"/>
        <v>"[ARG] Mapuche-Tehuelche"</v>
      </c>
      <c r="CU22" s="63" t="str">
        <f t="shared" si="16"/>
        <v>"rgn_South America"</v>
      </c>
      <c r="CV22" s="44" t="str">
        <f t="shared" si="17"/>
        <v>"https://upload.wikimedia.org/wikipedia/commons/thumb/2/25/Tehuelche_flag.svg/320px-Tehuelche_flag.svg.png"</v>
      </c>
      <c r="CW22" s="44" t="str">
        <f t="shared" si="18"/>
        <v/>
      </c>
      <c r="CX22" s="44" t="str">
        <f t="shared" si="19"/>
        <v>"3Color",</v>
      </c>
      <c r="CY22" s="44" t="str">
        <f t="shared" si="20"/>
        <v/>
      </c>
      <c r="CZ22" s="44" t="str">
        <f t="shared" si="21"/>
        <v/>
      </c>
      <c r="DA22" s="44" t="str">
        <f t="shared" si="22"/>
        <v>"words2",</v>
      </c>
      <c r="DB22" s="44" t="str">
        <f t="shared" si="23"/>
        <v/>
      </c>
      <c r="DC22" s="44" t="str">
        <f>IF(Q22=2,CHAR(34)&amp;"exact2"&amp;CHAR(34)&amp;",","")</f>
        <v>"exact2",</v>
      </c>
      <c r="DD22" s="44"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"lets16",</v>
      </c>
      <c r="DE22" s="44"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"startM",</v>
      </c>
      <c r="DF22" s="44" t="str">
        <f t="shared" si="24"/>
        <v/>
      </c>
      <c r="DG22" s="44" t="str">
        <f t="shared" si="25"/>
        <v/>
      </c>
      <c r="DH22" s="44" t="str">
        <f t="shared" si="26"/>
        <v/>
      </c>
      <c r="DI22" s="44" t="str">
        <f t="shared" si="27"/>
        <v/>
      </c>
      <c r="DJ22" s="44" t="str">
        <f t="shared" si="28"/>
        <v/>
      </c>
      <c r="DK22" s="44" t="str">
        <f t="shared" si="29"/>
        <v/>
      </c>
      <c r="DL22" s="44" t="str">
        <f t="shared" si="30"/>
        <v/>
      </c>
      <c r="DM22" s="44" t="str" cm="1">
        <f t="array" ref="DM22">IF(CG22=3,CHAR(34) &amp; _xlfn.TEXTJOIN("", TRUE, RIGHT(HP22:HX22, 2)) &amp; CHAR(34) &amp; ",", "")</f>
        <v>"LUELHI",</v>
      </c>
      <c r="DN22" s="44" t="str">
        <f t="shared" si="31"/>
        <v/>
      </c>
      <c r="DO22" s="44" t="str">
        <f t="shared" si="32"/>
        <v>"year19",</v>
      </c>
      <c r="DP22" s="5" t="str">
        <f t="shared" si="33"/>
        <v/>
      </c>
      <c r="DQ22" s="5" t="str">
        <f t="shared" si="34"/>
        <v/>
      </c>
      <c r="DR22" s="5" t="str">
        <f t="shared" si="35"/>
        <v/>
      </c>
      <c r="DS22" s="5" t="str">
        <f t="shared" si="36"/>
        <v/>
      </c>
      <c r="DT22" s="5" t="str">
        <f t="shared" si="37"/>
        <v>"allhor",</v>
      </c>
      <c r="DU22" s="5" t="str">
        <f t="shared" si="38"/>
        <v/>
      </c>
      <c r="DV22" s="44" t="str">
        <f>IF(IA22&lt;&gt;"",(IF(IA22="y",CHAR(34)&amp;"largec"&amp;CHAR(34)&amp;",",CHAR(34)&amp;"smallc"&amp;CHAR(34)&amp;",")),"")</f>
        <v/>
      </c>
      <c r="DW22" s="44" t="str">
        <f t="shared" si="39"/>
        <v/>
      </c>
      <c r="DX22" s="44" t="str">
        <f t="shared" si="40"/>
        <v/>
      </c>
      <c r="DY22" s="44" t="str">
        <f t="shared" si="41"/>
        <v>"3Bands",</v>
      </c>
      <c r="DZ22" s="44" t="str">
        <f t="shared" si="42"/>
        <v/>
      </c>
      <c r="EA22" s="44" t="str">
        <f t="shared" si="43"/>
        <v/>
      </c>
      <c r="EB22" s="44" t="str">
        <f t="shared" si="44"/>
        <v/>
      </c>
      <c r="EC22" s="44" t="str">
        <f t="shared" si="45"/>
        <v>"Horizo",</v>
      </c>
      <c r="ED22" s="44" t="str">
        <f t="shared" si="46"/>
        <v/>
      </c>
      <c r="EE22" s="44" t="str">
        <f t="shared" si="47"/>
        <v/>
      </c>
      <c r="EF22" s="44" t="str">
        <f t="shared" si="48"/>
        <v/>
      </c>
      <c r="EG22" s="44" t="str">
        <f t="shared" si="49"/>
        <v/>
      </c>
      <c r="EH22" s="44" t="str">
        <f t="shared" si="50"/>
        <v/>
      </c>
      <c r="EI22" s="44" t="str">
        <f t="shared" si="51"/>
        <v/>
      </c>
      <c r="EJ22" s="44" t="str">
        <f t="shared" si="52"/>
        <v>"Weapon",</v>
      </c>
      <c r="EK22" s="44" t="str">
        <f t="shared" si="53"/>
        <v/>
      </c>
      <c r="EL22" s="44" t="str">
        <f t="shared" si="54"/>
        <v/>
      </c>
      <c r="EM22" s="44" t="str">
        <f t="shared" si="55"/>
        <v/>
      </c>
      <c r="EN22" s="44" t="str">
        <f t="shared" si="56"/>
        <v>"Unequa",</v>
      </c>
      <c r="EO22" s="44" t="str">
        <f t="shared" si="57"/>
        <v>"Center",</v>
      </c>
      <c r="EP22" s="44" t="str">
        <f t="shared" si="58"/>
        <v/>
      </c>
      <c r="EQ22" s="44" t="str">
        <f t="shared" si="59"/>
        <v/>
      </c>
      <c r="ER22" s="44" t="str">
        <f t="shared" si="60"/>
        <v/>
      </c>
      <c r="ES22" s="44" t="str">
        <f t="shared" si="61"/>
        <v/>
      </c>
      <c r="ET22" s="44" t="str">
        <f t="shared" si="62"/>
        <v/>
      </c>
      <c r="EU22" s="44" t="str">
        <f t="shared" si="63"/>
        <v/>
      </c>
      <c r="EV22" s="44" t="str">
        <f t="shared" si="64"/>
        <v/>
      </c>
      <c r="EW22" s="44" t="str">
        <f t="shared" si="65"/>
        <v/>
      </c>
      <c r="EX22" s="44" t="str">
        <f t="shared" si="66"/>
        <v/>
      </c>
      <c r="EY22" s="44" t="str">
        <f t="shared" si="67"/>
        <v/>
      </c>
      <c r="EZ22" s="44" t="str">
        <f t="shared" si="68"/>
        <v/>
      </c>
      <c r="FA22" s="44" t="str">
        <f t="shared" si="69"/>
        <v/>
      </c>
      <c r="FB22" s="44" t="str">
        <f t="shared" si="70"/>
        <v/>
      </c>
      <c r="FC22" s="44" t="str">
        <f>IF(AND(AT22&gt;0,BB22&lt;&gt;""),CHAR(34)&amp;"sta"&amp;BB22&amp;CHAR(34)&amp;",","")</f>
        <v/>
      </c>
      <c r="FD22" s="44" t="str">
        <f t="shared" si="71"/>
        <v/>
      </c>
      <c r="FE22" s="44" t="str">
        <f t="shared" si="72"/>
        <v/>
      </c>
      <c r="FF22" s="44" t="str">
        <f t="shared" si="73"/>
        <v/>
      </c>
      <c r="FG22" s="44" t="str">
        <f t="shared" si="74"/>
        <v>"NO_RED",</v>
      </c>
      <c r="FH22" s="44" t="str">
        <f t="shared" si="75"/>
        <v>"NO_GRE",</v>
      </c>
      <c r="FI22" s="44" t="str">
        <f t="shared" si="76"/>
        <v/>
      </c>
      <c r="FJ22" s="44" t="str">
        <f t="shared" si="77"/>
        <v>"NO_BLA",</v>
      </c>
      <c r="FK22" s="44" t="str">
        <f t="shared" si="78"/>
        <v/>
      </c>
      <c r="FL22" s="44" t="str">
        <f t="shared" si="79"/>
        <v/>
      </c>
      <c r="FM22" s="44" t="str">
        <f t="shared" si="80"/>
        <v/>
      </c>
      <c r="FN22" s="44" t="str">
        <f t="shared" si="81"/>
        <v/>
      </c>
      <c r="FO22" s="44" t="str">
        <f t="shared" si="82"/>
        <v/>
      </c>
      <c r="FP22" s="44" t="str">
        <f t="shared" si="83"/>
        <v/>
      </c>
      <c r="FQ22" s="44" t="str">
        <f t="shared" si="84"/>
        <v>"001BLU",</v>
      </c>
      <c r="FR22" s="44" t="str">
        <f t="shared" si="85"/>
        <v>"002WHI",</v>
      </c>
      <c r="FS22" s="44" t="str">
        <f t="shared" si="86"/>
        <v>"003YEL",</v>
      </c>
      <c r="FT22" s="44" t="str">
        <f t="shared" si="87"/>
        <v>"myrBLU",</v>
      </c>
      <c r="FU22" s="44" t="str">
        <f t="shared" si="88"/>
        <v/>
      </c>
      <c r="FV22" s="44" t="str">
        <f t="shared" si="89"/>
        <v/>
      </c>
      <c r="FW22" s="44" t="str">
        <f t="shared" si="90"/>
        <v/>
      </c>
      <c r="FX22" s="44" t="str">
        <f>SUBSTITUTE(IFERROR(SEARCH("[",A22),IFERROR(IF(AND(CA22&lt;&gt;"y",SEARCH("Europe",R22)&gt;0),CHAR(34)&amp;"noeuni"&amp;CHAR(34)&amp;",",""),"")),"1","")</f>
        <v/>
      </c>
      <c r="FY22" s="44" t="str">
        <f t="shared" si="91"/>
        <v/>
      </c>
      <c r="FZ22" s="44" t="str">
        <f t="shared" si="92"/>
        <v/>
      </c>
      <c r="GA22" s="44" t="str">
        <f t="shared" si="93"/>
        <v/>
      </c>
      <c r="GB22" s="44" t="str">
        <f t="shared" si="94"/>
        <v/>
      </c>
      <c r="GC22" s="44" t="str">
        <f>IFERROR(IF(SEARCH("Portuguese",CB22)&gt;0,CHAR(34)&amp;"portug"&amp;CHAR(34)&amp;",",""),"")</f>
        <v/>
      </c>
      <c r="GD22" s="44" t="str">
        <f>IFERROR(IF(SEARCH("German",CB22)&gt;0,CHAR(34)&amp;"german"&amp;CHAR(34)&amp;",",""),"")</f>
        <v/>
      </c>
      <c r="GE22" s="44" t="str">
        <f t="shared" si="95"/>
        <v/>
      </c>
      <c r="GF22" s="44" t="str">
        <f>IFERROR(IF(SEARCH("Historical",AU22)&gt;0,CHAR(34)&amp;"histor"&amp;CHAR(34)&amp;",",""),"")</f>
        <v/>
      </c>
      <c r="GG22" s="44" t="str">
        <f t="shared" si="96"/>
        <v/>
      </c>
      <c r="GH22" s="44" t="str">
        <f t="shared" si="97"/>
        <v/>
      </c>
      <c r="GI22" s="44" t="str">
        <f t="shared" si="98"/>
        <v/>
      </c>
      <c r="GJ22" s="44" t="str">
        <f t="shared" si="99"/>
        <v>"NoStar",</v>
      </c>
      <c r="GK22" s="44" t="str">
        <f t="shared" si="100"/>
        <v/>
      </c>
      <c r="GL22" s="44" t="str">
        <f t="shared" si="101"/>
        <v/>
      </c>
      <c r="GM22" s="44" t="str">
        <f t="shared" si="102"/>
        <v/>
      </c>
      <c r="GN22" s="44" t="str">
        <f t="shared" si="103"/>
        <v/>
      </c>
      <c r="GP22" s="44" t="str">
        <f t="shared" si="104"/>
        <v>"People"</v>
      </c>
      <c r="GS22" s="44" t="str">
        <f t="shared" si="105"/>
        <v>["3Color","words2","exact2","lets16","startM","LUELHI","year19","allhor","3Bands","Horizo","Weapon","Unequa","Center","NO_RED","NO_GRE","NO_BLA","001BLU","002WHI","003YEL","myrBLU","NoStar"]</v>
      </c>
      <c r="GT22" s="44" t="str">
        <f t="shared" si="106"/>
        <v/>
      </c>
      <c r="GU22" s="44" t="str">
        <f t="shared" si="107"/>
        <v>"cl_BLU",</v>
      </c>
      <c r="GV22" s="44" t="str">
        <f t="shared" si="108"/>
        <v/>
      </c>
      <c r="GW22" s="44" t="str">
        <f t="shared" si="109"/>
        <v/>
      </c>
      <c r="GX22" s="44" t="str">
        <f t="shared" si="110"/>
        <v>"cl_YEL",</v>
      </c>
      <c r="GY22" s="44" t="str">
        <f t="shared" si="111"/>
        <v/>
      </c>
      <c r="GZ22" s="44" t="str">
        <f t="shared" si="112"/>
        <v/>
      </c>
      <c r="HA22" s="44" t="str">
        <f t="shared" si="113"/>
        <v/>
      </c>
      <c r="HB22" s="44" t="str">
        <f t="shared" si="114"/>
        <v>"cl_WHI",</v>
      </c>
      <c r="HC22" s="44" t="str">
        <f t="shared" si="115"/>
        <v>["cl_BLU","cl_YEL","cl_WHI"]</v>
      </c>
      <c r="HE22" s="64"/>
      <c r="HF22" s="65" t="str">
        <f t="shared" si="116"/>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links: "https://en.wikipedia.org/wiki/Flag_of_the_Mapuches#In_Argentina"},</v>
      </c>
      <c r="HG22" s="66" t="str">
        <f t="shared" si="117"/>
        <v>{couname:"[ARG] Mapuche-Tehuelche",year:"1991",region:"rgn_South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links: "https://en.wikipedia.org/wiki/Flag_of_the_Mapuches#In_Argentina"},</v>
      </c>
      <c r="HH22" s="44" t="str">
        <f t="shared" si="118"/>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I22" s="44" t="str">
        <f t="shared" si="119"/>
        <v>"\nThe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v>
      </c>
      <c r="HJ22" s="44" t="str">
        <f t="shared" si="120"/>
        <v>"1991"</v>
      </c>
      <c r="HL22" s="44" t="str">
        <f t="shared" si="121"/>
        <v>"https://en.wikipedia.org/wiki/Flag_of_the_Mapuches#In_Argentina"</v>
      </c>
      <c r="HM22" s="65" t="str">
        <f t="shared" si="122"/>
        <v>{"couname":"[ARG] Mapuche-Tehuelche","subtype":"[ARG] Other","year":"1991","region":"rgn_South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N22" s="67" t="str">
        <f t="shared" si="123"/>
        <v>{"couname":"[ARG] Mapuche-Tehuelche","subtype":"[ARG] Other","year":"1991","region":"rgn_South America","Colors":["cl_BLU","cl_YEL","cl_WHI"],"Items":["3Color","words2","exact2","lets16","startM","LUELHI","year19","allhor","3Bands","Horizo","Weapon","Unequa","Center","NO_RED","NO_GRE","NO_BLA","001BLU","002WHI","003YEL","myrBLU","NoStar"],"Flag":"https://upload.wikimedia.org/wikipedia/commons/thumb/2/25/Tehuelche_flag.svg/320px-Tehuelche_flag.svg.png","HDFlag":"https://upload.wikimedia.org/wikipedia/commons/thumb/2/25/Tehuelche_flag.svg/800px-Tehuelche_flag.svg.png","type":"People", "describe": "\nThe flag of Argentinian Mapuche people was created in 1987 by Julio Antieco, and ratified in 1991 by the 1st Assembly of Aboriginal Leaders and Communities in Trevelin. The Chubut Province declares this symbol as 'official emblem of the aboriginal communities of the province'. Their colors and symbolism are:\nBlue: the sky\nWhite: color of the 'holy horse' (a mythological spirit)\nYellow: the sun\nArrow: symbolizes the war. When the Mapuche-Tehuelche people recover their dignity as native nation and the war is over, this arrow will be removed.", "isnew": ".", "links": "https://en.wikipedia.org/wiki/Flag_of_the_Mapuches#In_Argentina"},</v>
      </c>
      <c r="HO22" s="71">
        <v>45583</v>
      </c>
      <c r="HP22" s="44" t="str" cm="1">
        <f t="array" ref="HP22">IF(_xlfn.TEXTJOIN(", ", TRUE, IF(ISNUMBER(SEARCH("BLA", BL22:BT22)), COLUMN(BL22:BT22) - COLUMN(BL22) + 1, ""))&lt;&gt;"","BLA","")</f>
        <v/>
      </c>
      <c r="HQ22" s="44" t="str" cm="1">
        <f t="array" ref="HQ22">IF(_xlfn.TEXTJOIN(", ", TRUE, IF(ISNUMBER(SEARCH("BLU", BL22:BT22)), COLUMN(BL22:BT22) - COLUMN(BL22) + 1, ""))&lt;&gt;"","BLU","")</f>
        <v>BLU</v>
      </c>
      <c r="HR22" s="44" t="str" cm="1">
        <f t="array" ref="HR22">IF(_xlfn.TEXTJOIN(", ", TRUE, IF(ISNUMBER(SEARCH("GRE", BL22:BT22)), COLUMN(BL22:BT22) - COLUMN(BL22) + 1, ""))&lt;&gt;"","GRE","")</f>
        <v/>
      </c>
      <c r="HS22" s="44" t="str" cm="1">
        <f t="array" ref="HS22">IF(_xlfn.TEXTJOIN(", ", TRUE, IF(ISNUMBER(SEARCH("RED", BL22:BT22)), COLUMN(BL22:BT22) - COLUMN(BL22) + 1, ""))&lt;&gt;"","RED","")</f>
        <v/>
      </c>
      <c r="HT22" s="44" t="str" cm="1">
        <f t="array" ref="HT22">IF(_xlfn.TEXTJOIN(", ", TRUE, IF(ISNUMBER(SEARCH("YEL", BL22:BT22)), COLUMN(BL22:BT22) - COLUMN(BL22) + 1, ""))&lt;&gt;"","YEL","")</f>
        <v>YEL</v>
      </c>
      <c r="HU22" s="44" t="str" cm="1">
        <f t="array" ref="HU22">IF(_xlfn.TEXTJOIN(", ", TRUE, IF(ISNUMBER(SEARCH("ORA", BL22:BT22)), COLUMN(BL22:BT22) - COLUMN(BL22) + 1, ""))&lt;&gt;"","ORA","")</f>
        <v/>
      </c>
      <c r="HV22" s="44" t="str" cm="1">
        <f t="array" ref="HV22">IF(_xlfn.TEXTJOIN(", ", TRUE, IF(ISNUMBER(SEARCH("BRO", BL22:BT22)), COLUMN(BL22:BT22) - COLUMN(BL22) + 1, ""))&lt;&gt;"","BRO","")</f>
        <v/>
      </c>
      <c r="HW22" s="44" t="str" cm="1">
        <f t="array" ref="HW22">IF(_xlfn.TEXTJOIN(", ", TRUE, IF(ISNUMBER(SEARCH("PUR", BL22:BT22)), COLUMN(BL22:BT22) - COLUMN(BL22) + 1, ""))&lt;&gt;"","PUR","")</f>
        <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L22" s="44">
        <f>SUM(IC22:IK22)</f>
        <v>0</v>
      </c>
      <c r="IM22" s="42">
        <f t="shared" si="124"/>
        <v>-3</v>
      </c>
      <c r="IN22" s="69" t="str">
        <f t="shared" si="125"/>
        <v>http://mkweb.bcgsc.ca/color-summarizer/?url=https://upload.wikimedia.org/wikipedia/commons/thumb/2/25/Tehuelche_flag.svg/320px-Tehuelche_flag.svg.png&amp;precision=low&amp;num_clusters=3&amp;text=1</v>
      </c>
      <c r="IO22" s="44" t="str">
        <f t="shared" si="126"/>
        <v/>
      </c>
      <c r="IP22" s="44" t="str">
        <f t="shared" si="127"/>
        <v>"blue"</v>
      </c>
      <c r="IQ22" s="44" t="str">
        <f t="shared" si="128"/>
        <v/>
      </c>
      <c r="IR22" s="44" t="str">
        <f t="shared" si="129"/>
        <v/>
      </c>
      <c r="IS22" s="44" t="str">
        <f t="shared" si="130"/>
        <v>"yellow"</v>
      </c>
      <c r="IT22" s="44" t="str">
        <f t="shared" si="131"/>
        <v/>
      </c>
      <c r="IU22" s="44" t="str">
        <f t="shared" si="132"/>
        <v/>
      </c>
      <c r="IV22" s="44" t="str">
        <f t="shared" si="133"/>
        <v/>
      </c>
      <c r="IW22" s="44" t="str">
        <f t="shared" si="134"/>
        <v>"white"</v>
      </c>
      <c r="IX22" s="44" t="str">
        <f t="shared" si="135"/>
        <v>{"url":"http://mkweb.bcgsc.ca/color-summarizer/?url=https://upload.wikimedia.org/wikipedia/commons/thumb/2/25/Tehuelche_flag.svg/320px-Tehuelche_flag.svg.png&amp;precision=low&amp;num_clusters=3&amp;text=1","name":"[ARG] Mapuche-Tehuelche"},</v>
      </c>
      <c r="IY22" s="44">
        <v>281</v>
      </c>
    </row>
    <row r="31" spans="1:259" ht="38.4" customHeight="1" x14ac:dyDescent="0.3">
      <c r="C31" s="76"/>
      <c r="D31" s="76"/>
      <c r="E31" s="76"/>
      <c r="F31" s="76"/>
    </row>
  </sheetData>
  <autoFilter ref="A1:IY20" xr:uid="{A1051193-A95B-4CFB-A73C-F0184620C81F}">
    <sortState xmlns:xlrd2="http://schemas.microsoft.com/office/spreadsheetml/2017/richdata2" ref="A2:IY22">
      <sortCondition ref="AW1:AW20"/>
    </sortState>
  </autoFilter>
  <conditionalFormatting sqref="H1 CW1:GS1 IA1:IB1">
    <cfRule type="cellIs" dxfId="1039" priority="194" operator="greaterThan">
      <formula>0</formula>
    </cfRule>
  </conditionalFormatting>
  <conditionalFormatting sqref="H1:H20 H22:H23 H48:H1048576">
    <cfRule type="cellIs" dxfId="1038" priority="134" stopIfTrue="1" operator="notEqual">
      <formula>""</formula>
    </cfRule>
  </conditionalFormatting>
  <conditionalFormatting sqref="R2:R20 CU2:CU20">
    <cfRule type="cellIs" dxfId="1037" priority="136" operator="greaterThan">
      <formula>0</formula>
    </cfRule>
  </conditionalFormatting>
  <conditionalFormatting sqref="T2:AS20 CH2:CS20">
    <cfRule type="cellIs" dxfId="1036" priority="131" stopIfTrue="1" operator="equal">
      <formula>"n"</formula>
    </cfRule>
    <cfRule type="cellIs" dxfId="1035" priority="132" stopIfTrue="1" operator="equal">
      <formula>"y"</formula>
    </cfRule>
    <cfRule type="cellIs" dxfId="1034" priority="133" operator="greaterThan">
      <formula>0</formula>
    </cfRule>
  </conditionalFormatting>
  <conditionalFormatting sqref="T1:BK1">
    <cfRule type="cellIs" dxfId="1033" priority="197" operator="greaterThan">
      <formula>0</formula>
    </cfRule>
  </conditionalFormatting>
  <conditionalFormatting sqref="AZ2:BB20">
    <cfRule type="expression" dxfId="1032" priority="130">
      <formula>$AT2=0</formula>
    </cfRule>
  </conditionalFormatting>
  <conditionalFormatting sqref="AZ2:BU20">
    <cfRule type="cellIs" dxfId="1031" priority="172" operator="equal">
      <formula>"PIN"</formula>
    </cfRule>
    <cfRule type="cellIs" dxfId="1030" priority="173" operator="equal">
      <formula>"ORA"</formula>
    </cfRule>
    <cfRule type="cellIs" dxfId="1029" priority="174" operator="equal">
      <formula>"GRA"</formula>
    </cfRule>
    <cfRule type="cellIs" dxfId="1028" priority="175" operator="equal">
      <formula>"PUR"</formula>
    </cfRule>
    <cfRule type="cellIs" dxfId="1027" priority="176" operator="equal">
      <formula>"BRO"</formula>
    </cfRule>
    <cfRule type="cellIs" dxfId="1026" priority="177" operator="equal">
      <formula>"YEL"</formula>
    </cfRule>
    <cfRule type="cellIs" dxfId="1025" priority="178" operator="equal">
      <formula>"BLU"</formula>
    </cfRule>
    <cfRule type="cellIs" dxfId="1024" priority="179" operator="equal">
      <formula>"WHI"</formula>
    </cfRule>
    <cfRule type="cellIs" dxfId="1023" priority="180" operator="equal">
      <formula>"GRE"</formula>
    </cfRule>
    <cfRule type="cellIs" dxfId="1022" priority="181" operator="equal">
      <formula>"RED"</formula>
    </cfRule>
    <cfRule type="cellIs" dxfId="1021" priority="182" operator="equal">
      <formula>"BLA"</formula>
    </cfRule>
  </conditionalFormatting>
  <conditionalFormatting sqref="BV1:BW1 BV23:BW1048576 BV2:BV20">
    <cfRule type="cellIs" dxfId="1020" priority="196" operator="equal">
      <formula>"nc"</formula>
    </cfRule>
  </conditionalFormatting>
  <conditionalFormatting sqref="BX2:CA20 CD2:CF20">
    <cfRule type="cellIs" dxfId="1019" priority="135" operator="equal">
      <formula>"y"</formula>
    </cfRule>
    <cfRule type="cellIs" dxfId="1018" priority="183" operator="equal">
      <formula>"PIN"</formula>
    </cfRule>
    <cfRule type="cellIs" dxfId="1017" priority="184" operator="equal">
      <formula>"ORA"</formula>
    </cfRule>
    <cfRule type="cellIs" dxfId="1016" priority="185" operator="equal">
      <formula>"GRA"</formula>
    </cfRule>
    <cfRule type="cellIs" dxfId="1015" priority="186" operator="equal">
      <formula>"PUR"</formula>
    </cfRule>
    <cfRule type="cellIs" dxfId="1014" priority="187" operator="equal">
      <formula>"BRO"</formula>
    </cfRule>
    <cfRule type="cellIs" dxfId="1013" priority="188" operator="equal">
      <formula>"YEL"</formula>
    </cfRule>
    <cfRule type="cellIs" dxfId="1012" priority="189" operator="equal">
      <formula>"BLU"</formula>
    </cfRule>
    <cfRule type="cellIs" dxfId="1011" priority="190" operator="equal">
      <formula>"WHI"</formula>
    </cfRule>
    <cfRule type="cellIs" dxfId="1010" priority="191" operator="equal">
      <formula>"GRE"</formula>
    </cfRule>
    <cfRule type="cellIs" dxfId="1009" priority="192" operator="equal">
      <formula>"RED"</formula>
    </cfRule>
    <cfRule type="cellIs" dxfId="1008" priority="193" operator="equal">
      <formula>"BLA"</formula>
    </cfRule>
  </conditionalFormatting>
  <conditionalFormatting sqref="BZ2:CA20 CD2:CF20">
    <cfRule type="cellIs" dxfId="1007" priority="137" operator="greaterThan">
      <formula>0</formula>
    </cfRule>
  </conditionalFormatting>
  <conditionalFormatting sqref="HF1:HG1">
    <cfRule type="cellIs" dxfId="1006" priority="198" operator="greaterThan">
      <formula>0</formula>
    </cfRule>
  </conditionalFormatting>
  <conditionalFormatting sqref="HK1">
    <cfRule type="cellIs" dxfId="1005" priority="195" operator="greaterThan">
      <formula>0</formula>
    </cfRule>
  </conditionalFormatting>
  <conditionalFormatting sqref="HP1:HX1">
    <cfRule type="cellIs" dxfId="1004" priority="149" operator="equal">
      <formula>"PIN"</formula>
    </cfRule>
    <cfRule type="cellIs" dxfId="1003" priority="150" operator="equal">
      <formula>"ORA"</formula>
    </cfRule>
    <cfRule type="cellIs" dxfId="1002" priority="151" operator="equal">
      <formula>"GRA"</formula>
    </cfRule>
    <cfRule type="cellIs" dxfId="1001" priority="152" operator="equal">
      <formula>"PUR"</formula>
    </cfRule>
    <cfRule type="cellIs" dxfId="1000" priority="153" operator="equal">
      <formula>"BRO"</formula>
    </cfRule>
    <cfRule type="cellIs" dxfId="999" priority="154" operator="equal">
      <formula>"YEL"</formula>
    </cfRule>
    <cfRule type="cellIs" dxfId="998" priority="155" operator="equal">
      <formula>"BLU"</formula>
    </cfRule>
    <cfRule type="cellIs" dxfId="997" priority="156" operator="equal">
      <formula>"WHI"</formula>
    </cfRule>
    <cfRule type="cellIs" dxfId="996" priority="157" operator="equal">
      <formula>"GRE"</formula>
    </cfRule>
    <cfRule type="cellIs" dxfId="995" priority="158" operator="equal">
      <formula>"RED"</formula>
    </cfRule>
    <cfRule type="cellIs" dxfId="994" priority="159" operator="equal">
      <formula>"BLA"</formula>
    </cfRule>
  </conditionalFormatting>
  <conditionalFormatting sqref="IC1:IK1">
    <cfRule type="cellIs" dxfId="993" priority="161" operator="equal">
      <formula>"PIN"</formula>
    </cfRule>
    <cfRule type="cellIs" dxfId="992" priority="162" operator="equal">
      <formula>"ORA"</formula>
    </cfRule>
    <cfRule type="cellIs" dxfId="991" priority="163" operator="equal">
      <formula>"GRA"</formula>
    </cfRule>
    <cfRule type="cellIs" dxfId="990" priority="164" operator="equal">
      <formula>"PUR"</formula>
    </cfRule>
    <cfRule type="cellIs" dxfId="989" priority="165" operator="equal">
      <formula>"BRO"</formula>
    </cfRule>
    <cfRule type="cellIs" dxfId="988" priority="166" operator="equal">
      <formula>"YEL"</formula>
    </cfRule>
    <cfRule type="cellIs" dxfId="987" priority="167" operator="equal">
      <formula>"BLU"</formula>
    </cfRule>
    <cfRule type="cellIs" dxfId="986" priority="168" operator="equal">
      <formula>"WHI"</formula>
    </cfRule>
    <cfRule type="cellIs" dxfId="985" priority="169" operator="equal">
      <formula>"GRE"</formula>
    </cfRule>
    <cfRule type="cellIs" dxfId="984" priority="170" operator="equal">
      <formula>"RED"</formula>
    </cfRule>
    <cfRule type="cellIs" dxfId="983" priority="171" operator="equal">
      <formula>"BLA"</formula>
    </cfRule>
  </conditionalFormatting>
  <conditionalFormatting sqref="IC2:IK20">
    <cfRule type="expression" dxfId="982" priority="160">
      <formula>$IL2&gt;0</formula>
    </cfRule>
  </conditionalFormatting>
  <conditionalFormatting sqref="IO1:IW1">
    <cfRule type="cellIs" dxfId="981" priority="138" operator="equal">
      <formula>"PIN"</formula>
    </cfRule>
    <cfRule type="cellIs" dxfId="980" priority="139" operator="equal">
      <formula>"ORA"</formula>
    </cfRule>
    <cfRule type="cellIs" dxfId="979" priority="140" operator="equal">
      <formula>"GRA"</formula>
    </cfRule>
    <cfRule type="cellIs" dxfId="978" priority="141" operator="equal">
      <formula>"PUR"</formula>
    </cfRule>
    <cfRule type="cellIs" dxfId="977" priority="142" operator="equal">
      <formula>"BRO"</formula>
    </cfRule>
    <cfRule type="cellIs" dxfId="976" priority="143" operator="equal">
      <formula>"YEL"</formula>
    </cfRule>
    <cfRule type="cellIs" dxfId="975" priority="144" operator="equal">
      <formula>"BLU"</formula>
    </cfRule>
    <cfRule type="cellIs" dxfId="974" priority="145" operator="equal">
      <formula>"WHI"</formula>
    </cfRule>
    <cfRule type="cellIs" dxfId="973" priority="146" operator="equal">
      <formula>"GRE"</formula>
    </cfRule>
    <cfRule type="cellIs" dxfId="972" priority="147" operator="equal">
      <formula>"RED"</formula>
    </cfRule>
    <cfRule type="cellIs" dxfId="971" priority="148" operator="equal">
      <formula>"BLA"</formula>
    </cfRule>
  </conditionalFormatting>
  <conditionalFormatting sqref="J2:J20">
    <cfRule type="colorScale" priority="543">
      <colorScale>
        <cfvo type="min"/>
        <cfvo type="percentile" val="50"/>
        <cfvo type="max"/>
        <color rgb="FFF8696B"/>
        <color rgb="FFFFEB84"/>
        <color rgb="FF63BE7B"/>
      </colorScale>
    </cfRule>
  </conditionalFormatting>
  <conditionalFormatting sqref="S2:S20">
    <cfRule type="colorScale" priority="544">
      <colorScale>
        <cfvo type="min"/>
        <cfvo type="max"/>
        <color rgb="FFFCFCFF"/>
        <color rgb="FF754BFB"/>
      </colorScale>
    </cfRule>
  </conditionalFormatting>
  <conditionalFormatting sqref="AT2:AT20">
    <cfRule type="colorScale" priority="545">
      <colorScale>
        <cfvo type="min"/>
        <cfvo type="max"/>
        <color rgb="FFFCFCFF"/>
        <color theme="8" tint="0.39997558519241921"/>
      </colorScale>
    </cfRule>
  </conditionalFormatting>
  <conditionalFormatting sqref="CG2:CG20">
    <cfRule type="colorScale" priority="546">
      <colorScale>
        <cfvo type="min"/>
        <cfvo type="max"/>
        <color rgb="FFFCFCFF"/>
        <color rgb="FF63BE7B"/>
      </colorScale>
    </cfRule>
  </conditionalFormatting>
  <conditionalFormatting sqref="H21">
    <cfRule type="cellIs" dxfId="970" priority="86" stopIfTrue="1" operator="notEqual">
      <formula>""</formula>
    </cfRule>
  </conditionalFormatting>
  <conditionalFormatting sqref="J21:J22">
    <cfRule type="colorScale" priority="115">
      <colorScale>
        <cfvo type="min"/>
        <cfvo type="percentile" val="50"/>
        <cfvo type="max"/>
        <color rgb="FFF8696B"/>
        <color rgb="FFFFEB84"/>
        <color rgb="FF63BE7B"/>
      </colorScale>
    </cfRule>
  </conditionalFormatting>
  <conditionalFormatting sqref="R21 CU21">
    <cfRule type="cellIs" dxfId="969" priority="88" operator="greaterThan">
      <formula>0</formula>
    </cfRule>
  </conditionalFormatting>
  <conditionalFormatting sqref="S21">
    <cfRule type="colorScale" priority="116">
      <colorScale>
        <cfvo type="min"/>
        <cfvo type="max"/>
        <color rgb="FFFCFCFF"/>
        <color rgb="FF754BFB"/>
      </colorScale>
    </cfRule>
  </conditionalFormatting>
  <conditionalFormatting sqref="T21:AS21 CH21:CS21">
    <cfRule type="cellIs" dxfId="968" priority="83" stopIfTrue="1" operator="equal">
      <formula>"n"</formula>
    </cfRule>
    <cfRule type="cellIs" dxfId="967" priority="84" stopIfTrue="1" operator="equal">
      <formula>"y"</formula>
    </cfRule>
    <cfRule type="cellIs" dxfId="966" priority="85" operator="greaterThan">
      <formula>0</formula>
    </cfRule>
  </conditionalFormatting>
  <conditionalFormatting sqref="AT21">
    <cfRule type="colorScale" priority="114">
      <colorScale>
        <cfvo type="min"/>
        <cfvo type="max"/>
        <color rgb="FFFCFCFF"/>
        <color theme="8" tint="0.39997558519241921"/>
      </colorScale>
    </cfRule>
  </conditionalFormatting>
  <conditionalFormatting sqref="AZ21:BB21">
    <cfRule type="expression" dxfId="965" priority="82">
      <formula>$AT21=0</formula>
    </cfRule>
  </conditionalFormatting>
  <conditionalFormatting sqref="AZ21:BU21">
    <cfRule type="cellIs" dxfId="964" priority="91" operator="equal">
      <formula>"PIN"</formula>
    </cfRule>
    <cfRule type="cellIs" dxfId="963" priority="92" operator="equal">
      <formula>"ORA"</formula>
    </cfRule>
    <cfRule type="cellIs" dxfId="962" priority="93" operator="equal">
      <formula>"GRA"</formula>
    </cfRule>
    <cfRule type="cellIs" dxfId="961" priority="94" operator="equal">
      <formula>"PUR"</formula>
    </cfRule>
    <cfRule type="cellIs" dxfId="960" priority="95" operator="equal">
      <formula>"BRO"</formula>
    </cfRule>
    <cfRule type="cellIs" dxfId="959" priority="96" operator="equal">
      <formula>"YEL"</formula>
    </cfRule>
    <cfRule type="cellIs" dxfId="958" priority="97" operator="equal">
      <formula>"BLU"</formula>
    </cfRule>
    <cfRule type="cellIs" dxfId="957" priority="98" operator="equal">
      <formula>"WHI"</formula>
    </cfRule>
    <cfRule type="cellIs" dxfId="956" priority="99" operator="equal">
      <formula>"GRE"</formula>
    </cfRule>
    <cfRule type="cellIs" dxfId="955" priority="100" operator="equal">
      <formula>"RED"</formula>
    </cfRule>
    <cfRule type="cellIs" dxfId="954" priority="101" operator="equal">
      <formula>"BLA"</formula>
    </cfRule>
  </conditionalFormatting>
  <conditionalFormatting sqref="BV21">
    <cfRule type="cellIs" dxfId="953" priority="113" operator="equal">
      <formula>"nc"</formula>
    </cfRule>
  </conditionalFormatting>
  <conditionalFormatting sqref="BX21:CA21 CD21:CF21">
    <cfRule type="cellIs" dxfId="952" priority="87" operator="equal">
      <formula>"y"</formula>
    </cfRule>
    <cfRule type="cellIs" dxfId="951" priority="102" operator="equal">
      <formula>"PIN"</formula>
    </cfRule>
    <cfRule type="cellIs" dxfId="950" priority="103" operator="equal">
      <formula>"ORA"</formula>
    </cfRule>
    <cfRule type="cellIs" dxfId="949" priority="104" operator="equal">
      <formula>"GRA"</formula>
    </cfRule>
    <cfRule type="cellIs" dxfId="948" priority="105" operator="equal">
      <formula>"PUR"</formula>
    </cfRule>
    <cfRule type="cellIs" dxfId="947" priority="106" operator="equal">
      <formula>"BRO"</formula>
    </cfRule>
    <cfRule type="cellIs" dxfId="946" priority="107" operator="equal">
      <formula>"YEL"</formula>
    </cfRule>
    <cfRule type="cellIs" dxfId="945" priority="108" operator="equal">
      <formula>"BLU"</formula>
    </cfRule>
    <cfRule type="cellIs" dxfId="944" priority="109" operator="equal">
      <formula>"WHI"</formula>
    </cfRule>
    <cfRule type="cellIs" dxfId="943" priority="110" operator="equal">
      <formula>"GRE"</formula>
    </cfRule>
    <cfRule type="cellIs" dxfId="942" priority="111" operator="equal">
      <formula>"RED"</formula>
    </cfRule>
    <cfRule type="cellIs" dxfId="941" priority="112" operator="equal">
      <formula>"BLA"</formula>
    </cfRule>
  </conditionalFormatting>
  <conditionalFormatting sqref="BZ21:CA21 CD21:CF21">
    <cfRule type="cellIs" dxfId="940" priority="89" operator="greaterThan">
      <formula>0</formula>
    </cfRule>
  </conditionalFormatting>
  <conditionalFormatting sqref="CG21">
    <cfRule type="colorScale" priority="117">
      <colorScale>
        <cfvo type="min"/>
        <cfvo type="max"/>
        <color rgb="FFFCFCFF"/>
        <color rgb="FF63BE7B"/>
      </colorScale>
    </cfRule>
  </conditionalFormatting>
  <conditionalFormatting sqref="IC21:IK21">
    <cfRule type="expression" dxfId="939" priority="90">
      <formula>$IL21&gt;0</formula>
    </cfRule>
  </conditionalFormatting>
  <conditionalFormatting sqref="R22 CU22">
    <cfRule type="cellIs" dxfId="938" priority="6" operator="greaterThan">
      <formula>0</formula>
    </cfRule>
  </conditionalFormatting>
  <conditionalFormatting sqref="T22:AS22 CH22:CS22">
    <cfRule type="cellIs" dxfId="937" priority="2" stopIfTrue="1" operator="equal">
      <formula>"n"</formula>
    </cfRule>
    <cfRule type="cellIs" dxfId="936" priority="3" stopIfTrue="1" operator="equal">
      <formula>"y"</formula>
    </cfRule>
    <cfRule type="cellIs" dxfId="935" priority="4" operator="greaterThan">
      <formula>0</formula>
    </cfRule>
  </conditionalFormatting>
  <conditionalFormatting sqref="AZ22:BB22">
    <cfRule type="expression" dxfId="934" priority="1">
      <formula>$AT22=0</formula>
    </cfRule>
  </conditionalFormatting>
  <conditionalFormatting sqref="AZ22:BU22">
    <cfRule type="cellIs" dxfId="933" priority="9" operator="equal">
      <formula>"PIN"</formula>
    </cfRule>
    <cfRule type="cellIs" dxfId="932" priority="10" operator="equal">
      <formula>"ORA"</formula>
    </cfRule>
    <cfRule type="cellIs" dxfId="931" priority="11" operator="equal">
      <formula>"GRA"</formula>
    </cfRule>
    <cfRule type="cellIs" dxfId="930" priority="12" operator="equal">
      <formula>"PUR"</formula>
    </cfRule>
    <cfRule type="cellIs" dxfId="929" priority="13" operator="equal">
      <formula>"BRO"</formula>
    </cfRule>
    <cfRule type="cellIs" dxfId="928" priority="14" operator="equal">
      <formula>"YEL"</formula>
    </cfRule>
    <cfRule type="cellIs" dxfId="927" priority="15" operator="equal">
      <formula>"BLU"</formula>
    </cfRule>
    <cfRule type="cellIs" dxfId="926" priority="16" operator="equal">
      <formula>"WHI"</formula>
    </cfRule>
    <cfRule type="cellIs" dxfId="925" priority="17" operator="equal">
      <formula>"GRE"</formula>
    </cfRule>
    <cfRule type="cellIs" dxfId="924" priority="18" operator="equal">
      <formula>"RED"</formula>
    </cfRule>
    <cfRule type="cellIs" dxfId="923" priority="19" operator="equal">
      <formula>"BLA"</formula>
    </cfRule>
  </conditionalFormatting>
  <conditionalFormatting sqref="BV22">
    <cfRule type="cellIs" dxfId="922" priority="31" operator="equal">
      <formula>"nc"</formula>
    </cfRule>
  </conditionalFormatting>
  <conditionalFormatting sqref="BX22:CA22 CD22:CF22">
    <cfRule type="cellIs" dxfId="921" priority="5" operator="equal">
      <formula>"y"</formula>
    </cfRule>
    <cfRule type="cellIs" dxfId="920" priority="20" operator="equal">
      <formula>"PIN"</formula>
    </cfRule>
    <cfRule type="cellIs" dxfId="919" priority="21" operator="equal">
      <formula>"ORA"</formula>
    </cfRule>
    <cfRule type="cellIs" dxfId="918" priority="22" operator="equal">
      <formula>"GRA"</formula>
    </cfRule>
    <cfRule type="cellIs" dxfId="917" priority="23" operator="equal">
      <formula>"PUR"</formula>
    </cfRule>
    <cfRule type="cellIs" dxfId="916" priority="24" operator="equal">
      <formula>"BRO"</formula>
    </cfRule>
    <cfRule type="cellIs" dxfId="915" priority="25" operator="equal">
      <formula>"YEL"</formula>
    </cfRule>
    <cfRule type="cellIs" dxfId="914" priority="26" operator="equal">
      <formula>"BLU"</formula>
    </cfRule>
    <cfRule type="cellIs" dxfId="913" priority="27" operator="equal">
      <formula>"WHI"</formula>
    </cfRule>
    <cfRule type="cellIs" dxfId="912" priority="28" operator="equal">
      <formula>"GRE"</formula>
    </cfRule>
    <cfRule type="cellIs" dxfId="911" priority="29" operator="equal">
      <formula>"RED"</formula>
    </cfRule>
    <cfRule type="cellIs" dxfId="910" priority="30" operator="equal">
      <formula>"BLA"</formula>
    </cfRule>
  </conditionalFormatting>
  <conditionalFormatting sqref="BZ22:CA22 CD22:CF22">
    <cfRule type="cellIs" dxfId="909" priority="7" operator="greaterThan">
      <formula>0</formula>
    </cfRule>
  </conditionalFormatting>
  <conditionalFormatting sqref="IC22:IK22">
    <cfRule type="expression" dxfId="908" priority="8">
      <formula>$IL22&gt;0</formula>
    </cfRule>
  </conditionalFormatting>
  <conditionalFormatting sqref="S22">
    <cfRule type="colorScale" priority="33">
      <colorScale>
        <cfvo type="min"/>
        <cfvo type="max"/>
        <color rgb="FFFCFCFF"/>
        <color rgb="FF754BFB"/>
      </colorScale>
    </cfRule>
  </conditionalFormatting>
  <conditionalFormatting sqref="AT22">
    <cfRule type="colorScale" priority="34">
      <colorScale>
        <cfvo type="min"/>
        <cfvo type="max"/>
        <color rgb="FFFCFCFF"/>
        <color theme="8" tint="0.39997558519241921"/>
      </colorScale>
    </cfRule>
  </conditionalFormatting>
  <conditionalFormatting sqref="CG22">
    <cfRule type="colorScale" priority="35">
      <colorScale>
        <cfvo type="min"/>
        <cfvo type="max"/>
        <color rgb="FFFCFCFF"/>
        <color rgb="FF63BE7B"/>
      </colorScale>
    </cfRule>
  </conditionalFormatting>
  <hyperlinks>
    <hyperlink ref="A2" r:id="rId1" display="https://fbref.com/en/country/ARG/Argentina-Football" xr:uid="{256A448A-1DF0-4EE9-8230-AADD09CE9D2B}"/>
    <hyperlink ref="E2" r:id="rId2" xr:uid="{D8D7E6E6-C140-4E91-AC13-769508CB5AE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3074"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 r:id="rId8" name="Button 3">
              <controlPr defaultSize="0" print="0" autoFill="0" autoPict="0" macro="[0]!GoToSheet">
                <anchor moveWithCells="1" sizeWithCells="1">
                  <from>
                    <xdr:col>0</xdr:col>
                    <xdr:colOff>121920</xdr:colOff>
                    <xdr:row>0</xdr:row>
                    <xdr:rowOff>99060</xdr:rowOff>
                  </from>
                  <to>
                    <xdr:col>0</xdr:col>
                    <xdr:colOff>746760</xdr:colOff>
                    <xdr:row>0</xdr:row>
                    <xdr:rowOff>403860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8EE0-9565-40E4-85F9-2E7C6AD12CDC}">
  <sheetPr codeName="Sheet11"/>
  <dimension ref="A1:IY4"/>
  <sheetViews>
    <sheetView zoomScale="70" zoomScaleNormal="70" workbookViewId="0">
      <pane xSplit="5" ySplit="1" topLeftCell="F2" activePane="bottomRight" state="frozen"/>
      <selection pane="topRight" activeCell="F1" sqref="F1"/>
      <selection pane="bottomLeft" activeCell="A2" sqref="A2"/>
      <selection pane="bottomRight" activeCell="B2" sqref="B2"/>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182</v>
      </c>
      <c r="B2" s="83" t="e" vm="22">
        <v>#VALUE!</v>
      </c>
      <c r="C2" s="39">
        <v>1</v>
      </c>
      <c r="D2" s="70" t="s">
        <v>183</v>
      </c>
      <c r="E2" s="40" t="s">
        <v>184</v>
      </c>
      <c r="F2" s="41" t="s">
        <v>163</v>
      </c>
      <c r="G2" s="42">
        <f>COUNTIF($A$1:$A$8283,A2)</f>
        <v>1</v>
      </c>
      <c r="H2" s="43"/>
      <c r="I2" s="59" t="s">
        <v>185</v>
      </c>
      <c r="J2" s="44" t="str">
        <f>""</f>
        <v/>
      </c>
      <c r="K2" s="45">
        <v>12400000</v>
      </c>
      <c r="L2" s="46">
        <v>1240000</v>
      </c>
      <c r="M2" s="46" t="s">
        <v>1964</v>
      </c>
      <c r="N2" s="47" t="s">
        <v>177</v>
      </c>
      <c r="O2" s="74" t="s">
        <v>186</v>
      </c>
      <c r="P2" s="48" t="s">
        <v>187</v>
      </c>
      <c r="Q2" s="73">
        <v>1</v>
      </c>
      <c r="R2" s="49" t="s">
        <v>177</v>
      </c>
      <c r="S2" s="50">
        <v>3</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164</v>
      </c>
      <c r="AH2" s="53" t="s">
        <v>164</v>
      </c>
      <c r="AI2" s="53" t="s">
        <v>164</v>
      </c>
      <c r="AJ2" s="53" t="s">
        <v>164</v>
      </c>
      <c r="AK2" s="53" t="s">
        <v>165</v>
      </c>
      <c r="AL2" s="53" t="s">
        <v>164</v>
      </c>
      <c r="AM2" s="53" t="s">
        <v>164</v>
      </c>
      <c r="AN2" s="53" t="s">
        <v>164</v>
      </c>
      <c r="AO2" s="53" t="s">
        <v>164</v>
      </c>
      <c r="AP2" s="53" t="s">
        <v>164</v>
      </c>
      <c r="AQ2" s="53" t="s">
        <v>164</v>
      </c>
      <c r="AR2" s="53" t="s">
        <v>164</v>
      </c>
      <c r="AS2" s="53" t="s">
        <v>164</v>
      </c>
      <c r="AT2" s="54">
        <v>0</v>
      </c>
      <c r="AU2" s="53"/>
      <c r="AV2" s="53" t="str">
        <f>IF(LEFT(A2,1)="[",LEFT(A2,5)&amp;AU2&amp;A2,"")</f>
        <v/>
      </c>
      <c r="AW2" s="53" t="str">
        <f>C2&amp;A2</f>
        <v>1Bolivia</v>
      </c>
      <c r="AX2" s="55" t="str">
        <f>_xlfn.TEXTJOIN(";",TRUE,AU2:AW2)</f>
        <v>1Bolivia</v>
      </c>
      <c r="AY2" s="55"/>
      <c r="AZ2" s="56"/>
      <c r="BA2" s="56"/>
      <c r="BB2" s="56"/>
      <c r="BC2" s="57"/>
      <c r="BD2" s="58" t="s">
        <v>167</v>
      </c>
      <c r="BE2" s="59"/>
      <c r="BF2" s="58" t="s">
        <v>154</v>
      </c>
      <c r="BG2" s="58" t="s">
        <v>155</v>
      </c>
      <c r="BH2" s="58" t="s">
        <v>153</v>
      </c>
      <c r="BI2" s="58"/>
      <c r="BJ2" s="58"/>
      <c r="BK2" s="59"/>
      <c r="BL2" s="58" t="s">
        <v>154</v>
      </c>
      <c r="BM2" s="58" t="s">
        <v>155</v>
      </c>
      <c r="BN2" s="58" t="s">
        <v>153</v>
      </c>
      <c r="BO2" s="58"/>
      <c r="BP2" s="58"/>
      <c r="BQ2" s="58"/>
      <c r="BR2" s="58"/>
      <c r="BS2" s="58"/>
      <c r="BT2" s="58"/>
      <c r="BU2" s="60"/>
      <c r="BV2" s="61" t="s">
        <v>166</v>
      </c>
      <c r="BW2" s="61">
        <v>0</v>
      </c>
      <c r="BX2" s="59"/>
      <c r="BZ2" s="44" t="s">
        <v>165</v>
      </c>
      <c r="CB2" s="5" t="s">
        <v>138</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"Bolivia"</v>
      </c>
      <c r="CU2" s="63" t="str">
        <f>CHAR(34)&amp;"rgn_"&amp;R2&amp;CHAR(34)</f>
        <v>"rgn_South America"</v>
      </c>
      <c r="CV2" s="44" t="str">
        <f>CHAR(34)&amp;D2&amp;CHAR(34)</f>
        <v>"https://i.ibb.co/DG7Drzn/Bolivia-Flag.png"</v>
      </c>
      <c r="CW2" s="44" t="str">
        <f t="shared" ref="CW2:CZ4" si="0">IF(CH2="y",CHAR(34)&amp;CH$1&amp;CHAR(34)&amp;",","")</f>
        <v/>
      </c>
      <c r="CX2" s="44" t="str">
        <f t="shared" si="0"/>
        <v>"3Color",</v>
      </c>
      <c r="CY2" s="44" t="str">
        <f t="shared" si="0"/>
        <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4" t="str">
        <f>IFERROR(IF(SEARCH("tan",A2)&gt;0,CHAR(34)&amp;"withtn"&amp;CHAR(34)&amp;",",""),"")</f>
        <v/>
      </c>
      <c r="DG2" s="44" t="str">
        <f>IFERROR(IF(SEARCH("q",A2)&gt;0,CHAR(34)&amp;"with_q"&amp;CHAR(34)&amp;",",""),"")</f>
        <v/>
      </c>
      <c r="DH2" s="44" t="str">
        <f>IFERROR(IF(SEARCH("v",A2)&gt;0,CHAR(34)&amp;"with_v"&amp;CHAR(34)&amp;",",""),"")</f>
        <v>"with_v",</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"REEDEL",</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4" si="1">IF(CL2="y",CHAR(34)&amp;CL$1&amp;CHAR(34)&amp;",","")</f>
        <v/>
      </c>
      <c r="DX2" s="44" t="str">
        <f t="shared" si="1"/>
        <v/>
      </c>
      <c r="DY2" s="44" t="str">
        <f t="shared" si="1"/>
        <v>"3Bands",</v>
      </c>
      <c r="DZ2" s="44" t="str">
        <f t="shared" si="1"/>
        <v/>
      </c>
      <c r="EA2" s="44" t="str">
        <f t="shared" ref="EA2:EE4" si="2">IF(T2="y",CHAR(34)&amp;T$1&amp;CHAR(34)&amp;",","")</f>
        <v/>
      </c>
      <c r="EB2" s="44" t="str">
        <f t="shared" si="2"/>
        <v/>
      </c>
      <c r="EC2" s="44" t="str">
        <f t="shared" si="2"/>
        <v>"Horizo",</v>
      </c>
      <c r="ED2" s="44" t="str">
        <f t="shared" si="2"/>
        <v/>
      </c>
      <c r="EE2" s="44" t="str">
        <f t="shared" si="2"/>
        <v/>
      </c>
      <c r="EF2" s="44" t="str">
        <f>IF(AND(Y2&lt;&gt;"n",Y2&lt;&gt;""),CHAR(34)&amp;Y$1&amp;CHAR(34)&amp;",","")</f>
        <v/>
      </c>
      <c r="EG2" s="44" t="str">
        <f t="shared" ref="EG2:EP4"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
      </c>
      <c r="EQ2" s="44" t="str">
        <f t="shared" ref="EQ2:EZ4" si="4">IF(AJ2="y",CHAR(34)&amp;AJ$1&amp;CHAR(34)&amp;",","")</f>
        <v/>
      </c>
      <c r="ER2" s="44" t="str">
        <f t="shared" si="4"/>
        <v>"OnlyBa",</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"NO_WHI",</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"BAWHNO",</v>
      </c>
      <c r="FN2" s="44" t="str">
        <f>IF(AND(FE2&lt;&gt;"",FF2&lt;&gt;""),CHAR(34)&amp;"BLWHNO"&amp;CHAR(34)&amp;",","")</f>
        <v>"BLWHNO",</v>
      </c>
      <c r="FO2" s="44" t="str">
        <f>IF(AND(FE2&lt;&gt;"",FG2&lt;&gt;""),CHAR(34)&amp;"BLRENO"&amp;CHAR(34)&amp;",","")</f>
        <v/>
      </c>
      <c r="FP2" s="44" t="str">
        <f>IF(AND(FF2&lt;&gt;"",FF2&lt;&gt;""),CHAR(34)&amp;"WHRENO"&amp;CHAR(34)&amp;",","")</f>
        <v>"WHRENO",</v>
      </c>
      <c r="FQ2" s="44" t="str">
        <f>IF(LEN(BF2)=3,CHAR(34)&amp;"001"&amp;BF2&amp;CHAR(34)&amp;",","")</f>
        <v>"001RED",</v>
      </c>
      <c r="FR2" s="44" t="str">
        <f>IF(LEN(BG2)=3,CHAR(34)&amp;"002"&amp;BG2&amp;CHAR(34)&amp;",","")</f>
        <v>"002YEL",</v>
      </c>
      <c r="FS2" s="44" t="str">
        <f>IF(LEN(BH2)=3,CHAR(34)&amp;"003"&amp;BH2&amp;CHAR(34)&amp;",","")</f>
        <v>"003GRE",</v>
      </c>
      <c r="FT2" s="44" t="str">
        <f>CHAR(34)&amp;"myr"&amp;BD2&amp;CHAR(34)&amp;","</f>
        <v>"myrEQ",</v>
      </c>
      <c r="FU2" s="44" t="str">
        <f>IF(AY2="y",CHAR(34)&amp;"island"&amp;CHAR(34)&amp;",","")</f>
        <v/>
      </c>
      <c r="FV2" s="44" t="str">
        <f>IF(BZ2="y",CHAR(34)&amp;"landlo"&amp;CHAR(34)&amp;",","")</f>
        <v>"landlo",</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4" si="5">IF(CQ2="y",CHAR(34)&amp;CQ$1&amp;CHAR(34)&amp;",","")</f>
        <v/>
      </c>
      <c r="GM2" s="44" t="str">
        <f t="shared" si="5"/>
        <v/>
      </c>
      <c r="GN2" s="44" t="str">
        <f t="shared" si="5"/>
        <v/>
      </c>
      <c r="GP2" s="44" t="str">
        <f>CHAR(34)&amp;AU2&amp;CHAR(34)</f>
        <v>""</v>
      </c>
      <c r="GS2" s="44" t="str">
        <f>SUBSTITUTE("["&amp;_xlfn.CONCAT(CW2:GN2)&amp;"]",",]","]")</f>
        <v>["3Color","lets07","startB","with_v","REEDEL","year18","allhor","3Bands","Horizo","OnlyBa","NO_BLU","NO_WHI","NO_BLA","BAWHNO","BLWHNO","WHRENO","001RED","002YEL","003GRE","myrEQ","landlo","spanis","NoStar"]</v>
      </c>
      <c r="GT2" s="44" t="str">
        <f t="shared" ref="GT2:HB4" si="6">IF(BL2&lt;&gt;"",CHAR(34)&amp;"cl_"&amp;BL2&amp;CHAR(34)&amp;",","")</f>
        <v>"cl_RED",</v>
      </c>
      <c r="GU2" s="44" t="str">
        <f t="shared" si="6"/>
        <v>"cl_YEL",</v>
      </c>
      <c r="GV2" s="44" t="str">
        <f t="shared" si="6"/>
        <v>"cl_GRE",</v>
      </c>
      <c r="GW2" s="44" t="str">
        <f t="shared" si="6"/>
        <v/>
      </c>
      <c r="GX2" s="44" t="str">
        <f t="shared" si="6"/>
        <v/>
      </c>
      <c r="GY2" s="44" t="str">
        <f t="shared" si="6"/>
        <v/>
      </c>
      <c r="GZ2" s="44" t="str">
        <f t="shared" si="6"/>
        <v/>
      </c>
      <c r="HA2" s="44" t="str">
        <f t="shared" si="6"/>
        <v/>
      </c>
      <c r="HB2" s="44" t="str">
        <f t="shared" si="6"/>
        <v/>
      </c>
      <c r="HC2" s="44" t="str">
        <f>SUBSTITUTE("["&amp;_xlfn.CONCAT(GT2:HB2)&amp;"]",",]","]")</f>
        <v>["cl_RED","cl_YEL","cl_GRE"]</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links: "https://en.wikipedia.org/wiki/Flag_of_Bolivia"},</v>
      </c>
      <c r="HG2" s="66" t="str">
        <f>"{couname:"&amp;CT2&amp;(IF(HK2&lt;&gt;"",",subtype:"&amp;CHAR(34)&amp;HK2&amp;CHAR(34),""))&amp;",year:"&amp;HJ2&amp;",region:"&amp;CU2&amp;",Colors:"&amp;HC2&amp;",Items:"&amp;GS2&amp;",Flag:"&amp;CV2&amp;",HDFlag:"&amp;CHAR(34)&amp;E2&amp;CHAR(34)&amp;",type:"&amp;GP2&amp;", describe: "&amp;HI2&amp;", links: "&amp;HL2&amp;"},"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links: "https://en.wikipedia.org/wiki/Flag_of_Bolivia"},</v>
      </c>
      <c r="HH2" s="44" t="str">
        <f>IF(P2&lt;&gt;"",CHAR(34)&amp;"\n"&amp;P2&amp;CHAR(34),CHAR(34)&amp;CHAR(34))</f>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I2" s="44" t="str">
        <f>IF(J2=0,CHAR(34)&amp;CHAR(34),HH2)</f>
        <v>"\nThe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v>
      </c>
      <c r="HJ2" s="44" t="str">
        <f>CHAR(34)&amp;O2&amp;CHAR(34)</f>
        <v>"1851 "</v>
      </c>
      <c r="HL2" s="44" t="str">
        <f>CHAR(34)&amp;I2&amp;CHAR(34)</f>
        <v>"https://en.wikipedia.org/wiki/Flag_of_Bolivia"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{"couname":"Bolivia","year":"1851 ","region":"rgn_South America","Colors":["cl_RED","cl_YEL","cl_GRE"],"Items":["3Color","lets07","startB","with_v","REEDEL","year18","allhor","3Bands","Horizo","OnlyBa","NO_BLU","NO_WHI","NO_BLA","BAWHNO","BLWHNO","WHRENO","001RED","002YEL","003GRE","myrEQ","landlo","spanis","NoStar"],"Flag":"https://i.ibb.co/DG7Drzn/Bolivia-Flag.png","HDFlag":"https://upload.wikimedia.org/wikipedia/commons/thumb/4/48/Flag_of_Bolivia.svg/2560px-Flag_of_Bolivia.svg.png","type":"", "describe": "\nThe first red stripe symbolizes the valor of the army. The second stripe, which is yellow, represents the country’s rich mineral resources. The last stripe is green and it depicts the fertility of Bolivia’s land. However, the colors have additional meanings. The Aymara and Quechua peoples widely used these red, yellow, and green colors in clothes and accessories. These native peoples dominated Bolivia’s territory before the Spanish conquerors arrived. ", "isnew": ".", "links": "https://en.wikipedia.org/wiki/Flag_of_Bolivia"},</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http://mkweb.bcgsc.ca/color-summarizer/?url=https://i.ibb.co/DG7Drzn/Bolivia-Flag.png&amp;precision=low&amp;num_clusters=3&amp;text=1</v>
      </c>
      <c r="IO2" s="44" t="str">
        <f>IF(HP2&lt;&gt;"",CHAR(34)&amp;"black"&amp;CHAR(34),"")</f>
        <v/>
      </c>
      <c r="IP2" s="44" t="str">
        <f>IF(HQ2&lt;&gt;"",CHAR(34)&amp;"blue"&amp;CHAR(34),"")</f>
        <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{"url":"http://mkweb.bcgsc.ca/color-summarizer/?url=https://i.ibb.co/DG7Drzn/Bolivia-Flag.png&amp;precision=low&amp;num_clusters=3&amp;text=1","name":"Bolivia"},</v>
      </c>
      <c r="IY2" s="44">
        <v>27</v>
      </c>
    </row>
    <row r="3" spans="1:259" s="44" customFormat="1" ht="38.4" customHeight="1" thickBot="1" x14ac:dyDescent="0.35">
      <c r="A3" s="84" t="s">
        <v>651</v>
      </c>
      <c r="B3" s="83" t="e" vm="23">
        <v>#VALUE!</v>
      </c>
      <c r="C3" s="39">
        <v>2</v>
      </c>
      <c r="D3" s="70" t="s">
        <v>652</v>
      </c>
      <c r="E3" s="40" t="s">
        <v>653</v>
      </c>
      <c r="F3" s="41" t="s">
        <v>163</v>
      </c>
      <c r="G3" s="42">
        <f>COUNTIF($A$1:$A$8283,A3)</f>
        <v>1</v>
      </c>
      <c r="H3" s="43"/>
      <c r="I3" s="59" t="s">
        <v>185</v>
      </c>
      <c r="J3" s="44" t="str">
        <f>""</f>
        <v/>
      </c>
      <c r="K3" s="45"/>
      <c r="L3" s="46"/>
      <c r="M3" s="46"/>
      <c r="N3" s="47" t="s">
        <v>177</v>
      </c>
      <c r="O3" s="74" t="s">
        <v>654</v>
      </c>
      <c r="P3" s="48" t="s">
        <v>655</v>
      </c>
      <c r="Q3" s="73">
        <v>1</v>
      </c>
      <c r="R3" s="49" t="s">
        <v>177</v>
      </c>
      <c r="S3" s="50">
        <v>3</v>
      </c>
      <c r="T3" s="51" t="s">
        <v>164</v>
      </c>
      <c r="U3" s="52" t="s">
        <v>164</v>
      </c>
      <c r="V3" s="52" t="s">
        <v>165</v>
      </c>
      <c r="W3" s="52" t="s">
        <v>164</v>
      </c>
      <c r="X3" s="52" t="s">
        <v>164</v>
      </c>
      <c r="Y3" s="52" t="s">
        <v>165</v>
      </c>
      <c r="Z3" s="52" t="s">
        <v>165</v>
      </c>
      <c r="AA3" s="52" t="s">
        <v>165</v>
      </c>
      <c r="AB3" s="52" t="s">
        <v>165</v>
      </c>
      <c r="AC3" s="52" t="s">
        <v>165</v>
      </c>
      <c r="AD3" s="52" t="s">
        <v>165</v>
      </c>
      <c r="AE3" s="52" t="s">
        <v>164</v>
      </c>
      <c r="AF3" s="53" t="s">
        <v>164</v>
      </c>
      <c r="AG3" s="53" t="s">
        <v>164</v>
      </c>
      <c r="AH3" s="53" t="s">
        <v>165</v>
      </c>
      <c r="AI3" s="53" t="s">
        <v>164</v>
      </c>
      <c r="AJ3" s="53" t="s">
        <v>164</v>
      </c>
      <c r="AK3" s="53" t="s">
        <v>164</v>
      </c>
      <c r="AL3" s="53" t="s">
        <v>164</v>
      </c>
      <c r="AM3" s="53" t="s">
        <v>165</v>
      </c>
      <c r="AN3" s="53" t="s">
        <v>164</v>
      </c>
      <c r="AO3" s="53" t="s">
        <v>165</v>
      </c>
      <c r="AP3" s="53" t="s">
        <v>164</v>
      </c>
      <c r="AQ3" s="53" t="s">
        <v>164</v>
      </c>
      <c r="AR3" s="53" t="s">
        <v>164</v>
      </c>
      <c r="AS3" s="53" t="s">
        <v>164</v>
      </c>
      <c r="AT3" s="54">
        <v>10</v>
      </c>
      <c r="AU3" s="53" t="s">
        <v>308</v>
      </c>
      <c r="AV3" s="53" t="str">
        <f>IF(LEFT(A3,1)="[",LEFT(A3,5)&amp;AU3&amp;A3,"")</f>
        <v>[BOL]State[BOL] Bolivia (State Flag)</v>
      </c>
      <c r="AW3" s="53" t="str">
        <f>C3&amp;A3</f>
        <v>2[BOL] Bolivia (State Flag)</v>
      </c>
      <c r="AX3" s="55"/>
      <c r="AY3" s="55"/>
      <c r="AZ3" s="56" t="s">
        <v>155</v>
      </c>
      <c r="BA3" s="56"/>
      <c r="BB3" s="56"/>
      <c r="BC3" s="57"/>
      <c r="BD3" s="58" t="s">
        <v>167</v>
      </c>
      <c r="BE3" s="59"/>
      <c r="BF3" s="58" t="s">
        <v>154</v>
      </c>
      <c r="BG3" s="58" t="s">
        <v>155</v>
      </c>
      <c r="BH3" s="58" t="s">
        <v>153</v>
      </c>
      <c r="BI3" s="58"/>
      <c r="BJ3" s="58"/>
      <c r="BK3" s="59"/>
      <c r="BL3" s="58" t="s">
        <v>154</v>
      </c>
      <c r="BM3" s="58" t="s">
        <v>155</v>
      </c>
      <c r="BN3" s="58" t="s">
        <v>153</v>
      </c>
      <c r="BO3" s="58" t="s">
        <v>157</v>
      </c>
      <c r="BP3" s="58" t="s">
        <v>151</v>
      </c>
      <c r="BQ3" s="58" t="s">
        <v>159</v>
      </c>
      <c r="BR3" s="58" t="s">
        <v>152</v>
      </c>
      <c r="BS3" s="58" t="s">
        <v>156</v>
      </c>
      <c r="BT3" s="58" t="s">
        <v>218</v>
      </c>
      <c r="BU3" s="60"/>
      <c r="BV3" s="61"/>
      <c r="BW3" s="61">
        <v>0</v>
      </c>
      <c r="BX3" s="59"/>
      <c r="CB3" s="5"/>
      <c r="CC3" s="5"/>
      <c r="CD3" s="62">
        <v>0</v>
      </c>
      <c r="CE3" s="62">
        <v>0</v>
      </c>
      <c r="CF3" s="62" t="e">
        <v>#REF!</v>
      </c>
      <c r="CG3" s="75" cm="1">
        <f t="array" ref="CG3">SUMPRODUCT(--(LEN(TRIM(BL3:BT3))&gt;0))</f>
        <v>9</v>
      </c>
      <c r="CH3" s="53" t="str">
        <f>IF(CG3=2,"y","n")</f>
        <v>n</v>
      </c>
      <c r="CI3" s="53" t="str">
        <f>IF(CG3=3,"y","n")</f>
        <v>n</v>
      </c>
      <c r="CJ3" s="53" t="str">
        <f>IF(CG3=4,"y","n")</f>
        <v>n</v>
      </c>
      <c r="CK3" s="53" t="str">
        <f>IF(CG3&gt;4,"y","n")</f>
        <v>y</v>
      </c>
      <c r="CL3" s="53" t="str">
        <f>IF(S3=0,"y","n")</f>
        <v>n</v>
      </c>
      <c r="CM3" s="53" t="str">
        <f>IF(S3=2,"y","n")</f>
        <v>n</v>
      </c>
      <c r="CN3" s="53" t="str">
        <f>IF(S3=3,"y","n")</f>
        <v>y</v>
      </c>
      <c r="CO3" s="53" t="str">
        <f>IF(S3&gt;=4,"y","n")</f>
        <v>n</v>
      </c>
      <c r="CP3" s="53" t="str">
        <f>IF(AT3=0,"y","n")</f>
        <v>n</v>
      </c>
      <c r="CQ3" s="53" t="str">
        <f>IF(AT3=1,"y","n")</f>
        <v>n</v>
      </c>
      <c r="CR3" s="53" t="str">
        <f>IF(AT3=2,"y","n")</f>
        <v>n</v>
      </c>
      <c r="CS3" s="53" t="str">
        <f>IF(AT3&gt;=3,"y","n")</f>
        <v>y</v>
      </c>
      <c r="CT3" s="38" t="str">
        <f>CHAR(34)&amp;A3&amp;CHAR(34)</f>
        <v>"[BOL] Bolivia (State Flag)"</v>
      </c>
      <c r="CU3" s="63" t="str">
        <f>CHAR(34)&amp;"rgn_"&amp;R3&amp;CHAR(34)</f>
        <v>"rgn_South America"</v>
      </c>
      <c r="CV3" s="44" t="str">
        <f>CHAR(34)&amp;D3&amp;CHAR(34)</f>
        <v>"https://upload.wikimedia.org/wikipedia/commons/thumb/b/b3/Bandera_de_Bolivia_%28Estado%29.svg/640px-Bandera_de_Bolivia_%28Estado%29.svg.png"</v>
      </c>
      <c r="CW3" s="44" t="str">
        <f t="shared" si="0"/>
        <v/>
      </c>
      <c r="CX3" s="44" t="str">
        <f t="shared" si="0"/>
        <v/>
      </c>
      <c r="CY3" s="44" t="str">
        <f t="shared" si="0"/>
        <v/>
      </c>
      <c r="CZ3" s="44" t="str">
        <f t="shared" si="0"/>
        <v>"5+Colo",</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"lets18",</v>
      </c>
      <c r="DE3" s="44" t="str">
        <f>CHAR(34)&amp;"start"&amp;IFERROR(LEFT(SUBSTITUTE(A3,"["&amp;MID(A3,FIND("[",A3)+1,FIND("]",A3)-FIND("[",A3)-1)&amp;"] ",""),1),LEFT(A3,1))&amp;CHAR(34)&amp;","</f>
        <v>"startB",</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"year18",</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"Horizo",</v>
      </c>
      <c r="ED3" s="44" t="str">
        <f t="shared" si="2"/>
        <v/>
      </c>
      <c r="EE3" s="44" t="str">
        <f t="shared" si="2"/>
        <v/>
      </c>
      <c r="EF3" s="44" t="str">
        <f>IF(AND(Y3&lt;&gt;"n",Y3&lt;&gt;""),CHAR(34)&amp;Y$1&amp;CHAR(34)&amp;",","")</f>
        <v>"Animal",</v>
      </c>
      <c r="EG3" s="44" t="str">
        <f t="shared" si="3"/>
        <v>"Bird",</v>
      </c>
      <c r="EH3" s="44" t="str">
        <f t="shared" si="3"/>
        <v>"Plants",</v>
      </c>
      <c r="EI3" s="44" t="str">
        <f t="shared" si="3"/>
        <v>"Texted",</v>
      </c>
      <c r="EJ3" s="44" t="str">
        <f t="shared" si="3"/>
        <v>"Weapon",</v>
      </c>
      <c r="EK3" s="44" t="str">
        <f t="shared" si="3"/>
        <v>"HasSun",</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"Geogrh",</v>
      </c>
      <c r="EU3" s="44" t="str">
        <f t="shared" si="4"/>
        <v/>
      </c>
      <c r="EV3" s="44" t="str">
        <f t="shared" si="4"/>
        <v>"Builds",</v>
      </c>
      <c r="EW3" s="44" t="str">
        <f t="shared" si="4"/>
        <v/>
      </c>
      <c r="EX3" s="44" t="str">
        <f t="shared" si="4"/>
        <v/>
      </c>
      <c r="EY3" s="44" t="str">
        <f t="shared" si="4"/>
        <v/>
      </c>
      <c r="EZ3" s="44" t="str">
        <f t="shared" si="4"/>
        <v/>
      </c>
      <c r="FA3" s="44" t="str">
        <f>IF(AT3&gt;0,CHAR(34)&amp;"sta"&amp;AZ3&amp;CHAR(34)&amp;",","")</f>
        <v>"staYEL",</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"001RED",</v>
      </c>
      <c r="FR3" s="44" t="str">
        <f>IF(LEN(BG3)=3,CHAR(34)&amp;"002"&amp;BG3&amp;CHAR(34)&amp;",","")</f>
        <v>"002YEL",</v>
      </c>
      <c r="FS3" s="44" t="str">
        <f>IF(LEN(BH3)=3,CHAR(34)&amp;"003"&amp;BH3&amp;CHAR(34)&amp;",","")</f>
        <v>"003GRE",</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
      </c>
      <c r="GM3" s="44" t="str">
        <f t="shared" si="5"/>
        <v/>
      </c>
      <c r="GN3" s="44" t="str">
        <f t="shared" si="5"/>
        <v>"3+Star",</v>
      </c>
      <c r="GP3" s="44" t="str">
        <f>CHAR(34)&amp;AU3&amp;CHAR(34)</f>
        <v>"State"</v>
      </c>
      <c r="GS3" s="44" t="str">
        <f>SUBSTITUTE("["&amp;_xlfn.CONCAT(CW3:GN3)&amp;"]",",]","]")</f>
        <v>["5+Colo","lets18","startB","with_v","year18","allhor","3Bands","Horizo","Animal","Bird","Plants","Texted","Weapon","HasSun","Center","Geogrh","Builds","staYEL","001RED","002YEL","003GRE","myrEQ","HasSta","3+Star"]</v>
      </c>
      <c r="GT3" s="44" t="str">
        <f t="shared" si="6"/>
        <v>"cl_RED",</v>
      </c>
      <c r="GU3" s="44" t="str">
        <f t="shared" si="6"/>
        <v>"cl_YEL",</v>
      </c>
      <c r="GV3" s="44" t="str">
        <f t="shared" si="6"/>
        <v>"cl_GRE",</v>
      </c>
      <c r="GW3" s="44" t="str">
        <f t="shared" si="6"/>
        <v>"cl_BRO",</v>
      </c>
      <c r="GX3" s="44" t="str">
        <f t="shared" si="6"/>
        <v>"cl_BLA",</v>
      </c>
      <c r="GY3" s="44" t="str">
        <f t="shared" si="6"/>
        <v>"cl_WHI",</v>
      </c>
      <c r="GZ3" s="44" t="str">
        <f t="shared" si="6"/>
        <v>"cl_BLU",</v>
      </c>
      <c r="HA3" s="44" t="str">
        <f t="shared" si="6"/>
        <v>"cl_ORA",</v>
      </c>
      <c r="HB3" s="44" t="str">
        <f t="shared" si="6"/>
        <v>"cl_GRA",</v>
      </c>
      <c r="HC3" s="44" t="str">
        <f>SUBSTITUTE("["&amp;_xlfn.CONCAT(GT3:HB3)&amp;"]",",]","]")</f>
        <v>["cl_RED","cl_YEL","cl_GRE","cl_BRO","cl_BLA","cl_WHI","cl_BLU","cl_ORA","cl_GRA"]</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links: "https://en.wikipedia.org/wiki/Flag_of_Bolivia"},</v>
      </c>
      <c r="HG3" s="66" t="str">
        <f>"{couname:"&amp;CT3&amp;(IF(HK3&lt;&gt;"",",subtype:"&amp;CHAR(34)&amp;HK3&amp;CHAR(34),""))&amp;",year:"&amp;HJ3&amp;",region:"&amp;CU3&amp;",Colors:"&amp;HC3&amp;",Items:"&amp;GS3&amp;",Flag:"&amp;CV3&amp;",HDFlag:"&amp;CHAR(34)&amp;E3&amp;CHAR(34)&amp;",type:"&amp;GP3&amp;", describe: "&amp;HI3&amp;", links: "&amp;HL3&amp;"},"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links: "https://en.wikipedia.org/wiki/Flag_of_Bolivia"},</v>
      </c>
      <c r="HH3" s="44" t="str">
        <f>IF(P3&lt;&gt;"",CHAR(34)&amp;"\n"&amp;P3&amp;CHAR(34),CHAR(34)&amp;CHAR(34))</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I3" s="44" t="str">
        <f>IF(J3=0,CHAR(34)&amp;CHAR(34),HH3)</f>
        <v>"\nThe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v>
      </c>
      <c r="HJ3" s="44" t="str">
        <f>CHAR(34)&amp;O3&amp;CHAR(34)</f>
        <v>"1851"</v>
      </c>
      <c r="HL3" s="44" t="str">
        <f>CHAR(34)&amp;I3&amp;CHAR(34)</f>
        <v>"https://en.wikipedia.org/wiki/Flag_of_Bolivia"</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{"couname":"[BOL] Bolivia (State Flag)","year":"1851","region":"rgn_South America","Colors":["cl_RED","cl_YEL","cl_GRE","cl_BRO","cl_BLA","cl_WHI","cl_BLU","cl_ORA","cl_GRA"],"Items":["5+Colo","lets18","startB","with_v","year18","allhor","3Bands","Horizo","Animal","Bird","Plants","Texted","Weapon","HasSun","Center","Geogrh","Builds","staYEL","001RED","002YEL","003GRE","myrEQ","HasSta","3+Star"],"Flag":"https://upload.wikimedia.org/wikipedia/commons/thumb/b/b3/Bandera_de_Bolivia_%28Estado%29.svg/640px-Bandera_de_Bolivia_%28Estado%29.svg.png","HDFlag":"https://upload.wikimedia.org/wikipedia/commons/thumb/b/b3/Bandera_de_Bolivia_%28Estado%29.svg/2560px-Bandera_de_Bolivia_%28Estado%29.svg.png","type":"State", "describe": "\nThe coat of arms of the Republic of Bolivia is elliptical in shape. In the upper part is a rising sun appearing behind the Cerro Rico with skies at dawn. In the center, the Cerro Rico of Potosí and the Cerro Menor. On the upper part of the smaller hill, the Chapel of the Sacred Heart of Jesus. In the lower left part of the landscape formed by the hills, a llama. To its right a sheaf of wheat and a palm. Around the shield, a blue oval with golden inner edge. In the upper half of the oval, the inscription BOLIVIA in golden capital letters. In the lower half of the oval, ten golden stars of five points. At each flank, three national flags, a cannon, two rifles, an axe to the right and a liberty cap to the left. Surmounting the shield, an Andean condor in rising attitude. Behind the condor, two interlaced branches of laurel and olive. The laurel to the left and the olive to the right forming a wreath. When relevant, the field outside the shield shall be pearl blue.", "isnew": ".", "links": "https://en.wikipedia.org/wiki/Flag_of_Bolivia"},</v>
      </c>
      <c r="HO3" s="71">
        <v>45596</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ORA</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-9</v>
      </c>
      <c r="IN3" s="69" t="str">
        <f>"http://mkweb.bcgsc.ca/color-summarizer/?url="&amp;D3&amp;"&amp;precision=low&amp;num_clusters="&amp;CG3&amp;"&amp;text=1"</f>
        <v>http://mkweb.bcgsc.ca/color-summarizer/?url=https://upload.wikimedia.org/wikipedia/commons/thumb/b/b3/Bandera_de_Bolivia_%28Estado%29.svg/640px-Bandera_de_Bolivia_%28Estado%29.svg.png&amp;precision=low&amp;num_clusters=9&amp;text=1</v>
      </c>
      <c r="IO3" s="44" t="str">
        <f>IF(HP3&lt;&gt;"",CHAR(34)&amp;"black"&amp;CHAR(34),"")</f>
        <v>"black"</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"orange"</v>
      </c>
      <c r="IU3" s="44" t="str">
        <f>IF(HV3&lt;&gt;"",CHAR(34)&amp;"brown"&amp;CHAR(34),"")</f>
        <v>"brown"</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{"url":"http://mkweb.bcgsc.ca/color-summarizer/?url=https://upload.wikimedia.org/wikipedia/commons/thumb/b/b3/Bandera_de_Bolivia_%28Estado%29.svg/640px-Bandera_de_Bolivia_%28Estado%29.svg.png&amp;precision=low&amp;num_clusters=9&amp;text=1","name":"[BOL] Bolivia (State Flag)"},</v>
      </c>
      <c r="IY3" s="44">
        <v>1253</v>
      </c>
    </row>
    <row r="4" spans="1:259" s="44" customFormat="1" ht="38.4" customHeight="1" thickBot="1" x14ac:dyDescent="0.35">
      <c r="A4" s="85" t="s">
        <v>646</v>
      </c>
      <c r="B4" s="83"/>
      <c r="C4" s="39">
        <v>3</v>
      </c>
      <c r="D4" s="70" t="s">
        <v>647</v>
      </c>
      <c r="E4" s="40" t="s">
        <v>647</v>
      </c>
      <c r="F4" s="41" t="s">
        <v>645</v>
      </c>
      <c r="G4" s="42">
        <f>COUNTIF($A$1:$A$8283,A4)</f>
        <v>1</v>
      </c>
      <c r="H4" s="43"/>
      <c r="I4" s="59" t="s">
        <v>648</v>
      </c>
      <c r="J4" s="44" t="str">
        <f>""</f>
        <v/>
      </c>
      <c r="K4" s="45"/>
      <c r="L4" s="46"/>
      <c r="M4" s="46"/>
      <c r="N4" s="47" t="s">
        <v>177</v>
      </c>
      <c r="O4" s="74">
        <v>2019</v>
      </c>
      <c r="P4" s="48" t="s">
        <v>649</v>
      </c>
      <c r="Q4" s="73">
        <v>2</v>
      </c>
      <c r="R4" s="49" t="s">
        <v>177</v>
      </c>
      <c r="S4" s="50">
        <v>0</v>
      </c>
      <c r="T4" s="51" t="s">
        <v>164</v>
      </c>
      <c r="U4" s="52" t="s">
        <v>164</v>
      </c>
      <c r="V4" s="52" t="s">
        <v>164</v>
      </c>
      <c r="W4" s="52" t="s">
        <v>164</v>
      </c>
      <c r="X4" s="52" t="s">
        <v>164</v>
      </c>
      <c r="Y4" s="52" t="s">
        <v>164</v>
      </c>
      <c r="Z4" s="52" t="s">
        <v>164</v>
      </c>
      <c r="AA4" s="52" t="s">
        <v>165</v>
      </c>
      <c r="AB4" s="52" t="s">
        <v>164</v>
      </c>
      <c r="AC4" s="52" t="s">
        <v>164</v>
      </c>
      <c r="AD4" s="52" t="s">
        <v>164</v>
      </c>
      <c r="AE4" s="52" t="s">
        <v>164</v>
      </c>
      <c r="AF4" s="53" t="s">
        <v>164</v>
      </c>
      <c r="AG4" s="53" t="s">
        <v>164</v>
      </c>
      <c r="AH4" s="53" t="s">
        <v>165</v>
      </c>
      <c r="AI4" s="53" t="s">
        <v>164</v>
      </c>
      <c r="AJ4" s="53" t="s">
        <v>164</v>
      </c>
      <c r="AK4" s="53" t="s">
        <v>164</v>
      </c>
      <c r="AL4" s="53" t="s">
        <v>164</v>
      </c>
      <c r="AM4" s="53" t="s">
        <v>164</v>
      </c>
      <c r="AN4" s="53" t="s">
        <v>164</v>
      </c>
      <c r="AO4" s="53" t="s">
        <v>164</v>
      </c>
      <c r="AP4" s="53" t="s">
        <v>164</v>
      </c>
      <c r="AQ4" s="53" t="s">
        <v>164</v>
      </c>
      <c r="AR4" s="53" t="s">
        <v>164</v>
      </c>
      <c r="AS4" s="53" t="s">
        <v>164</v>
      </c>
      <c r="AT4" s="54">
        <v>0</v>
      </c>
      <c r="AU4" s="53" t="s">
        <v>650</v>
      </c>
      <c r="AV4" s="53" t="str">
        <f>IF(LEFT(A4,1)="[",LEFT(A4,5)&amp;AU4&amp;A4,"")</f>
        <v>[BOL]Civil flag[BOL] Patujú Florette</v>
      </c>
      <c r="AW4" s="53" t="str">
        <f>C4&amp;A4</f>
        <v>3[BOL] Patujú Florette</v>
      </c>
      <c r="AX4" s="55"/>
      <c r="AY4" s="55"/>
      <c r="AZ4" s="56" t="s">
        <v>234</v>
      </c>
      <c r="BA4" s="56" t="s">
        <v>234</v>
      </c>
      <c r="BB4" s="56"/>
      <c r="BC4" s="57"/>
      <c r="BD4" s="58" t="s">
        <v>159</v>
      </c>
      <c r="BE4" s="59"/>
      <c r="BF4" s="58" t="s">
        <v>234</v>
      </c>
      <c r="BG4" s="58" t="s">
        <v>234</v>
      </c>
      <c r="BH4" s="58" t="s">
        <v>234</v>
      </c>
      <c r="BI4" s="58"/>
      <c r="BJ4" s="58"/>
      <c r="BK4" s="59"/>
      <c r="BL4" s="58" t="s">
        <v>234</v>
      </c>
      <c r="BM4" s="58" t="s">
        <v>234</v>
      </c>
      <c r="BN4" s="58" t="s">
        <v>153</v>
      </c>
      <c r="BO4" s="58" t="s">
        <v>154</v>
      </c>
      <c r="BP4" s="58" t="s">
        <v>155</v>
      </c>
      <c r="BQ4" s="58" t="s">
        <v>234</v>
      </c>
      <c r="BR4" s="58" t="s">
        <v>234</v>
      </c>
      <c r="BS4" s="58" t="s">
        <v>234</v>
      </c>
      <c r="BT4" s="58" t="s">
        <v>159</v>
      </c>
      <c r="BU4" s="60"/>
      <c r="BV4" s="61"/>
      <c r="BW4" s="61">
        <v>0</v>
      </c>
      <c r="BX4" s="59"/>
      <c r="CB4" s="5"/>
      <c r="CC4" s="5"/>
      <c r="CD4" s="62">
        <v>0</v>
      </c>
      <c r="CE4" s="62">
        <v>0</v>
      </c>
      <c r="CF4" s="62" t="e">
        <v>#REF!</v>
      </c>
      <c r="CG4" s="75" cm="1">
        <f t="array" ref="CG4">SUMPRODUCT(--(LEN(TRIM(BL4:BT4))&gt;0))</f>
        <v>4</v>
      </c>
      <c r="CH4" s="53" t="str">
        <f>IF(CG4=2,"y","n")</f>
        <v>n</v>
      </c>
      <c r="CI4" s="53" t="str">
        <f>IF(CG4=3,"y","n")</f>
        <v>n</v>
      </c>
      <c r="CJ4" s="53" t="str">
        <f>IF(CG4=4,"y","n")</f>
        <v>y</v>
      </c>
      <c r="CK4" s="53" t="str">
        <f>IF(CG4&gt;4,"y","n")</f>
        <v>n</v>
      </c>
      <c r="CL4" s="53" t="str">
        <f>IF(S4=0,"y","n")</f>
        <v>y</v>
      </c>
      <c r="CM4" s="53" t="str">
        <f>IF(S4=2,"y","n")</f>
        <v>n</v>
      </c>
      <c r="CN4" s="53" t="str">
        <f>IF(S4=3,"y","n")</f>
        <v>n</v>
      </c>
      <c r="CO4" s="53" t="str">
        <f>IF(S4&gt;=4,"y","n")</f>
        <v>n</v>
      </c>
      <c r="CP4" s="53" t="str">
        <f>IF(AT4=0,"y","n")</f>
        <v>y</v>
      </c>
      <c r="CQ4" s="53" t="str">
        <f>IF(AT4=1,"y","n")</f>
        <v>n</v>
      </c>
      <c r="CR4" s="53" t="str">
        <f>IF(AT4=2,"y","n")</f>
        <v>n</v>
      </c>
      <c r="CS4" s="53" t="str">
        <f>IF(AT4&gt;=3,"y","n")</f>
        <v>n</v>
      </c>
      <c r="CT4" s="38" t="str">
        <f>CHAR(34)&amp;A4&amp;CHAR(34)</f>
        <v>"[BOL] Patujú Florette"</v>
      </c>
      <c r="CU4" s="63" t="str">
        <f>CHAR(34)&amp;"rgn_"&amp;R4&amp;CHAR(34)</f>
        <v>"rgn_South America"</v>
      </c>
      <c r="CV4" s="44" t="str">
        <f>CHAR(34)&amp;D4&amp;CHAR(34)</f>
        <v>"https://upload.wikimedia.org/wikipedia/commons/a/ac/Flag_of_the_Patuj%C3%BA_flower.svg"</v>
      </c>
      <c r="CW4" s="44" t="str">
        <f t="shared" si="0"/>
        <v/>
      </c>
      <c r="CX4" s="44" t="str">
        <f t="shared" si="0"/>
        <v/>
      </c>
      <c r="CY4" s="44" t="str">
        <f t="shared" si="0"/>
        <v>"4Color",</v>
      </c>
      <c r="CZ4" s="44" t="str">
        <f t="shared" si="0"/>
        <v/>
      </c>
      <c r="DA4" s="44" t="str">
        <f>IF(Q4&gt;1,CHAR(34)&amp;"words2"&amp;CHAR(34)&amp;",","")</f>
        <v>"words2",</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"lets14",</v>
      </c>
      <c r="DE4" s="44" t="str">
        <f>CHAR(34)&amp;"start"&amp;IFERROR(LEFT(SUBSTITUTE(A4,"["&amp;MID(A4,FIND("[",A4)+1,FIND("]",A4)-FIND("[",A4)-1)&amp;"] ",""),1),LEFT(A4,1))&amp;CHAR(34)&amp;","</f>
        <v>"startP",</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"year00",</v>
      </c>
      <c r="DQ4" s="5" t="str">
        <f>IF(CC4="y",CHAR(34)&amp;"soviet"&amp;CHAR(34)&amp;",","")</f>
        <v/>
      </c>
      <c r="DR4" s="5" t="str">
        <f>IF(BY4="y",CHAR(34)&amp;"dgband"&amp;CHAR(34)&amp;",","")</f>
        <v/>
      </c>
      <c r="DS4" s="5" t="str">
        <f>IF(W4="y",IF(AND(V4="n",BY4&lt;&gt;"y"),CHAR(34)&amp;"allver"&amp;CHAR(34)&amp;",",""),"")</f>
        <v/>
      </c>
      <c r="DT4" s="5" t="str">
        <f>IF(V4="y",IF(AND(W4="n",BY4&lt;&gt;"y"),CHAR(34)&amp;"allhor"&amp;CHAR(34)&amp;",",""),"")</f>
        <v/>
      </c>
      <c r="DU4" s="5" t="str">
        <f>IF(BY4="y",IF(AND(W4="n",V4="n"),CHAR(34)&amp;"alldia"&amp;CHAR(34)&amp;",",""),"")</f>
        <v/>
      </c>
      <c r="DW4" s="44" t="str">
        <f t="shared" si="1"/>
        <v>"NoBand",</v>
      </c>
      <c r="DX4" s="44" t="str">
        <f t="shared" si="1"/>
        <v/>
      </c>
      <c r="DY4" s="44" t="str">
        <f t="shared" si="1"/>
        <v/>
      </c>
      <c r="DZ4" s="44" t="str">
        <f t="shared" si="1"/>
        <v/>
      </c>
      <c r="EA4" s="44" t="str">
        <f t="shared" si="2"/>
        <v/>
      </c>
      <c r="EB4" s="44" t="str">
        <f t="shared" si="2"/>
        <v/>
      </c>
      <c r="EC4" s="44" t="str">
        <f t="shared" si="2"/>
        <v/>
      </c>
      <c r="ED4" s="44" t="str">
        <f t="shared" si="2"/>
        <v/>
      </c>
      <c r="EE4" s="44" t="str">
        <f t="shared" si="2"/>
        <v/>
      </c>
      <c r="EF4" s="44" t="str">
        <f>IF(AND(Y4&lt;&gt;"n",Y4&lt;&gt;""),CHAR(34)&amp;Y$1&amp;CHAR(34)&amp;",","")</f>
        <v/>
      </c>
      <c r="EG4" s="44" t="str">
        <f t="shared" si="3"/>
        <v/>
      </c>
      <c r="EH4" s="44" t="str">
        <f t="shared" si="3"/>
        <v>"Plants",</v>
      </c>
      <c r="EI4" s="44" t="str">
        <f t="shared" si="3"/>
        <v/>
      </c>
      <c r="EJ4" s="44" t="str">
        <f t="shared" si="3"/>
        <v/>
      </c>
      <c r="EK4" s="44" t="str">
        <f t="shared" si="3"/>
        <v/>
      </c>
      <c r="EL4" s="44" t="str">
        <f t="shared" si="3"/>
        <v/>
      </c>
      <c r="EM4" s="44" t="str">
        <f t="shared" si="3"/>
        <v/>
      </c>
      <c r="EN4" s="44" t="str">
        <f t="shared" si="3"/>
        <v/>
      </c>
      <c r="EO4" s="44" t="str">
        <f t="shared" si="3"/>
        <v>"Center",</v>
      </c>
      <c r="EP4" s="44" t="str">
        <f t="shared" si="3"/>
        <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"NO_BLU",</v>
      </c>
      <c r="FF4" s="44" t="str">
        <f>IF(COUNTIF(BL4:BT4,"WHI")=0,CHAR(34)&amp;"NO_WHI"&amp;CHAR(34)&amp;",", "")</f>
        <v/>
      </c>
      <c r="FG4" s="44" t="str">
        <f>IF(COUNTIF(BL4:BT4,"RED")=0,CHAR(34)&amp;"NO_RED"&amp;CHAR(34)&amp;",", "")</f>
        <v/>
      </c>
      <c r="FH4" s="44" t="str">
        <f>IF(COUNTIF(BL4:BS4,"GRE")=0,CHAR(34)&amp;"NO_GRE"&amp;CHAR(34)&amp;",", "")</f>
        <v/>
      </c>
      <c r="FI4" s="44" t="str">
        <f>IF(COUNTIF(BL4:BT4,"YEL")=0,CHAR(34)&amp;"NO_YEL"&amp;CHAR(34)&amp;",", "")</f>
        <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
      </c>
      <c r="FR4" s="44" t="str">
        <f>IF(LEN(BG4)=3,CHAR(34)&amp;"002"&amp;BG4&amp;CHAR(34)&amp;",","")</f>
        <v/>
      </c>
      <c r="FS4" s="44" t="str">
        <f>IF(LEN(BH4)=3,CHAR(34)&amp;"003"&amp;BH4&amp;CHAR(34)&amp;",","")</f>
        <v/>
      </c>
      <c r="FT4" s="44" t="str">
        <f>CHAR(34)&amp;"myr"&amp;BD4&amp;CHAR(34)&amp;","</f>
        <v>"myrWHI",</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 t="shared" si="5"/>
        <v/>
      </c>
      <c r="GM4" s="44" t="str">
        <f t="shared" si="5"/>
        <v/>
      </c>
      <c r="GN4" s="44" t="str">
        <f t="shared" si="5"/>
        <v/>
      </c>
      <c r="GP4" s="44" t="str">
        <f>CHAR(34)&amp;AU4&amp;CHAR(34)</f>
        <v>"Civil flag"</v>
      </c>
      <c r="GS4" s="44" t="str">
        <f>SUBSTITUTE("["&amp;_xlfn.CONCAT(CW4:GN4)&amp;"]",",]","]")</f>
        <v>["4Color","words2","lets14","startP","year00","NoBand","Plants","Center","NO_BLU","NO_BLA","myrWHI","NoStar"]</v>
      </c>
      <c r="GT4" s="44" t="str">
        <f t="shared" si="6"/>
        <v/>
      </c>
      <c r="GU4" s="44" t="str">
        <f t="shared" si="6"/>
        <v/>
      </c>
      <c r="GV4" s="44" t="str">
        <f t="shared" si="6"/>
        <v>"cl_GRE",</v>
      </c>
      <c r="GW4" s="44" t="str">
        <f t="shared" si="6"/>
        <v>"cl_RED",</v>
      </c>
      <c r="GX4" s="44" t="str">
        <f t="shared" si="6"/>
        <v>"cl_YEL",</v>
      </c>
      <c r="GY4" s="44" t="str">
        <f t="shared" si="6"/>
        <v/>
      </c>
      <c r="GZ4" s="44" t="str">
        <f t="shared" si="6"/>
        <v/>
      </c>
      <c r="HA4" s="44" t="str">
        <f t="shared" si="6"/>
        <v/>
      </c>
      <c r="HB4" s="44" t="str">
        <f t="shared" si="6"/>
        <v>"cl_WHI",</v>
      </c>
      <c r="HC4" s="44" t="str">
        <f>SUBSTITUTE("["&amp;_xlfn.CONCAT(GT4:HB4)&amp;"]",",]","]")</f>
        <v>["cl_GRE","cl_RED","cl_YEL","cl_WHI"]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isnew:"www", links: "https://en.wikipedia.org/wiki/Flag_of_the_patuj%C3%BA_flower"},</v>
      </c>
      <c r="HG4" s="66" t="str">
        <f>"{couname:"&amp;CT4&amp;(IF(HK4&lt;&gt;"",",subtype:"&amp;CHAR(34)&amp;HK4&amp;CHAR(34),""))&amp;",year:"&amp;HJ4&amp;",region:"&amp;CU4&amp;",Colors:"&amp;HC4&amp;",Items:"&amp;GS4&amp;",Flag:"&amp;CV4&amp;",HDFlag:"&amp;CHAR(34)&amp;E4&amp;CHAR(34)&amp;",type:"&amp;GP4&amp;", describe: "&amp;HI4&amp;", links: "&amp;HL4&amp;"},"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links: "https://en.wikipedia.org/wiki/Flag_of_the_patuj%C3%BA_flower"},</v>
      </c>
      <c r="HH4" s="44" t="str">
        <f>IF(P4&lt;&gt;"",CHAR(34)&amp;"\n"&amp;P4&amp;CHAR(34),CHAR(34)&amp;CHAR(34))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I4" s="44" t="str">
        <f>IF(J4=0,CHAR(34)&amp;CHAR(34),HH4)</f>
        <v>"\nThe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v>
      </c>
      <c r="HJ4" s="44" t="str">
        <f>CHAR(34)&amp;O4&amp;CHAR(34)</f>
        <v>"2019"</v>
      </c>
      <c r="HL4" s="44" t="str">
        <f>CHAR(34)&amp;I4&amp;CHAR(34)</f>
        <v>"https://en.wikipedia.org/wiki/Flag_of_the_patuj%C3%BA_flower"</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{"couname":"[BOL] Patujú Florette","year":"2019","region":"rgn_South America","Colors":["cl_GRE","cl_RED","cl_YEL","cl_WHI"],"Items":["4Color","words2","lets14","startP","year00","NoBand","Plants","Center","NO_BLU","NO_BLA","myrWHI","NoStar"],"Flag":"https://upload.wikimedia.org/wikipedia/commons/a/ac/Flag_of_the_Patuj%C3%BA_flower.svg","HDFlag":"https://upload.wikimedia.org/wikipedia/commons/a/ac/Flag_of_the_Patuj%C3%BA_flower.svg","type":"Civil flag", "describe": "\nThe flag of the patujú flower is a flag used at official events of the Bolivia government, which shows Bolivia's national flower. The latter represents the indigenous peoples of Eastern Bolivia and has been used as a symbol of protest against the construction of a highway in TIPNIS by the opponents of Evo Morales in that area of the country.", "isnew": "www", "links": "https://en.wikipedia.org/wiki/Flag_of_the_patuj%C3%BA_flower"},</v>
      </c>
      <c r="HO4" s="71">
        <v>45653</v>
      </c>
      <c r="HP4" s="44" t="str" cm="1">
        <f t="array" ref="HP4">IF(_xlfn.TEXTJOIN(", ", TRUE, IF(ISNUMBER(SEARCH("BLA", BL4:BT4)), COLUMN(BL4:BT4) - COLUMN(BL4) + 1, ""))&lt;&gt;"","BLA","")</f>
        <v/>
      </c>
      <c r="HQ4" s="44" t="str" cm="1">
        <f t="array" ref="HQ4">IF(_xlfn.TEXTJOIN(", ", TRUE, IF(ISNUMBER(SEARCH("BLU", BL4:BT4)), COLUMN(BL4:BT4) - COLUMN(BL4) + 1, ""))&lt;&gt;"","BLU","")</f>
        <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-4</v>
      </c>
      <c r="IN4" s="69" t="str">
        <f>"http://mkweb.bcgsc.ca/color-summarizer/?url="&amp;D4&amp;"&amp;precision=low&amp;num_clusters="&amp;CG4&amp;"&amp;text=1"</f>
        <v>http://mkweb.bcgsc.ca/color-summarizer/?url=https://upload.wikimedia.org/wikipedia/commons/a/ac/Flag_of_the_Patuj%C3%BA_flower.svg&amp;precision=low&amp;num_clusters=4&amp;text=1</v>
      </c>
      <c r="IO4" s="44" t="str">
        <f>IF(HP4&lt;&gt;"",CHAR(34)&amp;"black"&amp;CHAR(34),"")</f>
        <v/>
      </c>
      <c r="IP4" s="44" t="str">
        <f>IF(HQ4&lt;&gt;"",CHAR(34)&amp;"blue"&amp;CHAR(34),"")</f>
        <v/>
      </c>
      <c r="IQ4" s="44" t="str">
        <f>IF(HR4&lt;&gt;"",CHAR(34)&amp;"green"&amp;CHAR(34),"")</f>
        <v>"green"</v>
      </c>
      <c r="IR4" s="44" t="str">
        <f>IF(HS4&lt;&gt;"",CHAR(34)&amp;"red"&amp;CHAR(34),"")</f>
        <v>"red"</v>
      </c>
      <c r="IS4" s="44" t="str">
        <f>IF(HT4&lt;&gt;"",CHAR(34)&amp;"yellow"&amp;CHAR(34),"")</f>
        <v>"yellow"</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{"url":"http://mkweb.bcgsc.ca/color-summarizer/?url=https://upload.wikimedia.org/wikipedia/commons/a/ac/Flag_of_the_Patuj%C3%BA_flower.svg&amp;precision=low&amp;num_clusters=4&amp;text=1","name":"[BOL] Patujú Florette"},</v>
      </c>
      <c r="IY4" s="44">
        <v>1503</v>
      </c>
    </row>
  </sheetData>
  <autoFilter ref="A1:IY4" xr:uid="{A1051193-A95B-4CFB-A73C-F0184620C81F}">
    <sortState xmlns:xlrd2="http://schemas.microsoft.com/office/spreadsheetml/2017/richdata2" ref="A2:IY4">
      <sortCondition ref="AW1:AW4"/>
    </sortState>
  </autoFilter>
  <conditionalFormatting sqref="H1 CW1:GS1 IA1:IB1">
    <cfRule type="cellIs" dxfId="907" priority="77" operator="greaterThan">
      <formula>0</formula>
    </cfRule>
  </conditionalFormatting>
  <conditionalFormatting sqref="H1:H1048576">
    <cfRule type="cellIs" dxfId="906" priority="17" stopIfTrue="1" operator="notEqual">
      <formula>""</formula>
    </cfRule>
  </conditionalFormatting>
  <conditionalFormatting sqref="R2:R4 CU2:CU4">
    <cfRule type="cellIs" dxfId="905" priority="19" operator="greaterThan">
      <formula>0</formula>
    </cfRule>
  </conditionalFormatting>
  <conditionalFormatting sqref="T2:AS4 CH2:CS4">
    <cfRule type="cellIs" dxfId="904" priority="14" stopIfTrue="1" operator="equal">
      <formula>"n"</formula>
    </cfRule>
    <cfRule type="cellIs" dxfId="903" priority="15" stopIfTrue="1" operator="equal">
      <formula>"y"</formula>
    </cfRule>
    <cfRule type="cellIs" dxfId="902" priority="16" operator="greaterThan">
      <formula>0</formula>
    </cfRule>
  </conditionalFormatting>
  <conditionalFormatting sqref="T1:BK1">
    <cfRule type="cellIs" dxfId="901" priority="80" operator="greaterThan">
      <formula>0</formula>
    </cfRule>
  </conditionalFormatting>
  <conditionalFormatting sqref="AZ2:BB4">
    <cfRule type="expression" dxfId="900" priority="13">
      <formula>$AT2=0</formula>
    </cfRule>
  </conditionalFormatting>
  <conditionalFormatting sqref="AZ2:BU4">
    <cfRule type="cellIs" dxfId="899" priority="55" operator="equal">
      <formula>"PIN"</formula>
    </cfRule>
    <cfRule type="cellIs" dxfId="898" priority="56" operator="equal">
      <formula>"ORA"</formula>
    </cfRule>
    <cfRule type="cellIs" dxfId="897" priority="57" operator="equal">
      <formula>"GRA"</formula>
    </cfRule>
    <cfRule type="cellIs" dxfId="896" priority="58" operator="equal">
      <formula>"PUR"</formula>
    </cfRule>
    <cfRule type="cellIs" dxfId="895" priority="59" operator="equal">
      <formula>"BRO"</formula>
    </cfRule>
    <cfRule type="cellIs" dxfId="894" priority="60" operator="equal">
      <formula>"YEL"</formula>
    </cfRule>
    <cfRule type="cellIs" dxfId="893" priority="61" operator="equal">
      <formula>"BLU"</formula>
    </cfRule>
    <cfRule type="cellIs" dxfId="892" priority="62" operator="equal">
      <formula>"WHI"</formula>
    </cfRule>
    <cfRule type="cellIs" dxfId="891" priority="63" operator="equal">
      <formula>"GRE"</formula>
    </cfRule>
    <cfRule type="cellIs" dxfId="890" priority="64" operator="equal">
      <formula>"RED"</formula>
    </cfRule>
    <cfRule type="cellIs" dxfId="889" priority="65" operator="equal">
      <formula>"BLA"</formula>
    </cfRule>
  </conditionalFormatting>
  <conditionalFormatting sqref="BV1:BW1 BV5:BW1048576 BV2:BV4">
    <cfRule type="cellIs" dxfId="888" priority="79" operator="equal">
      <formula>"nc"</formula>
    </cfRule>
  </conditionalFormatting>
  <conditionalFormatting sqref="BX2:CA4 CD2:CF4">
    <cfRule type="cellIs" dxfId="887" priority="18" operator="equal">
      <formula>"y"</formula>
    </cfRule>
    <cfRule type="cellIs" dxfId="886" priority="66" operator="equal">
      <formula>"PIN"</formula>
    </cfRule>
    <cfRule type="cellIs" dxfId="885" priority="67" operator="equal">
      <formula>"ORA"</formula>
    </cfRule>
    <cfRule type="cellIs" dxfId="884" priority="68" operator="equal">
      <formula>"GRA"</formula>
    </cfRule>
    <cfRule type="cellIs" dxfId="883" priority="69" operator="equal">
      <formula>"PUR"</formula>
    </cfRule>
    <cfRule type="cellIs" dxfId="882" priority="70" operator="equal">
      <formula>"BRO"</formula>
    </cfRule>
    <cfRule type="cellIs" dxfId="881" priority="71" operator="equal">
      <formula>"YEL"</formula>
    </cfRule>
    <cfRule type="cellIs" dxfId="880" priority="72" operator="equal">
      <formula>"BLU"</formula>
    </cfRule>
    <cfRule type="cellIs" dxfId="879" priority="73" operator="equal">
      <formula>"WHI"</formula>
    </cfRule>
    <cfRule type="cellIs" dxfId="878" priority="74" operator="equal">
      <formula>"GRE"</formula>
    </cfRule>
    <cfRule type="cellIs" dxfId="877" priority="75" operator="equal">
      <formula>"RED"</formula>
    </cfRule>
    <cfRule type="cellIs" dxfId="876" priority="76" operator="equal">
      <formula>"BLA"</formula>
    </cfRule>
  </conditionalFormatting>
  <conditionalFormatting sqref="BZ2:CA4 CD2:CF4">
    <cfRule type="cellIs" dxfId="875" priority="20" operator="greaterThan">
      <formula>0</formula>
    </cfRule>
  </conditionalFormatting>
  <conditionalFormatting sqref="HF1:HG1">
    <cfRule type="cellIs" dxfId="874" priority="81" operator="greaterThan">
      <formula>0</formula>
    </cfRule>
  </conditionalFormatting>
  <conditionalFormatting sqref="HK1">
    <cfRule type="cellIs" dxfId="873" priority="78" operator="greaterThan">
      <formula>0</formula>
    </cfRule>
  </conditionalFormatting>
  <conditionalFormatting sqref="HP1:HX1">
    <cfRule type="cellIs" dxfId="872" priority="32" operator="equal">
      <formula>"PIN"</formula>
    </cfRule>
    <cfRule type="cellIs" dxfId="871" priority="33" operator="equal">
      <formula>"ORA"</formula>
    </cfRule>
    <cfRule type="cellIs" dxfId="870" priority="34" operator="equal">
      <formula>"GRA"</formula>
    </cfRule>
    <cfRule type="cellIs" dxfId="869" priority="35" operator="equal">
      <formula>"PUR"</formula>
    </cfRule>
    <cfRule type="cellIs" dxfId="868" priority="36" operator="equal">
      <formula>"BRO"</formula>
    </cfRule>
    <cfRule type="cellIs" dxfId="867" priority="37" operator="equal">
      <formula>"YEL"</formula>
    </cfRule>
    <cfRule type="cellIs" dxfId="866" priority="38" operator="equal">
      <formula>"BLU"</formula>
    </cfRule>
    <cfRule type="cellIs" dxfId="865" priority="39" operator="equal">
      <formula>"WHI"</formula>
    </cfRule>
    <cfRule type="cellIs" dxfId="864" priority="40" operator="equal">
      <formula>"GRE"</formula>
    </cfRule>
    <cfRule type="cellIs" dxfId="863" priority="41" operator="equal">
      <formula>"RED"</formula>
    </cfRule>
    <cfRule type="cellIs" dxfId="862" priority="42" operator="equal">
      <formula>"BLA"</formula>
    </cfRule>
  </conditionalFormatting>
  <conditionalFormatting sqref="IC1:IK1">
    <cfRule type="cellIs" dxfId="861" priority="44" operator="equal">
      <formula>"PIN"</formula>
    </cfRule>
    <cfRule type="cellIs" dxfId="860" priority="45" operator="equal">
      <formula>"ORA"</formula>
    </cfRule>
    <cfRule type="cellIs" dxfId="859" priority="46" operator="equal">
      <formula>"GRA"</formula>
    </cfRule>
    <cfRule type="cellIs" dxfId="858" priority="47" operator="equal">
      <formula>"PUR"</formula>
    </cfRule>
    <cfRule type="cellIs" dxfId="857" priority="48" operator="equal">
      <formula>"BRO"</formula>
    </cfRule>
    <cfRule type="cellIs" dxfId="856" priority="49" operator="equal">
      <formula>"YEL"</formula>
    </cfRule>
    <cfRule type="cellIs" dxfId="855" priority="50" operator="equal">
      <formula>"BLU"</formula>
    </cfRule>
    <cfRule type="cellIs" dxfId="854" priority="51" operator="equal">
      <formula>"WHI"</formula>
    </cfRule>
    <cfRule type="cellIs" dxfId="853" priority="52" operator="equal">
      <formula>"GRE"</formula>
    </cfRule>
    <cfRule type="cellIs" dxfId="852" priority="53" operator="equal">
      <formula>"RED"</formula>
    </cfRule>
    <cfRule type="cellIs" dxfId="851" priority="54" operator="equal">
      <formula>"BLA"</formula>
    </cfRule>
  </conditionalFormatting>
  <conditionalFormatting sqref="IC2:IK4">
    <cfRule type="expression" dxfId="850" priority="43">
      <formula>$IL2&gt;0</formula>
    </cfRule>
  </conditionalFormatting>
  <conditionalFormatting sqref="IO1:IW1">
    <cfRule type="cellIs" dxfId="849" priority="21" operator="equal">
      <formula>"PIN"</formula>
    </cfRule>
    <cfRule type="cellIs" dxfId="848" priority="22" operator="equal">
      <formula>"ORA"</formula>
    </cfRule>
    <cfRule type="cellIs" dxfId="847" priority="23" operator="equal">
      <formula>"GRA"</formula>
    </cfRule>
    <cfRule type="cellIs" dxfId="846" priority="24" operator="equal">
      <formula>"PUR"</formula>
    </cfRule>
    <cfRule type="cellIs" dxfId="845" priority="25" operator="equal">
      <formula>"BRO"</formula>
    </cfRule>
    <cfRule type="cellIs" dxfId="844" priority="26" operator="equal">
      <formula>"YEL"</formula>
    </cfRule>
    <cfRule type="cellIs" dxfId="843" priority="27" operator="equal">
      <formula>"BLU"</formula>
    </cfRule>
    <cfRule type="cellIs" dxfId="842" priority="28" operator="equal">
      <formula>"WHI"</formula>
    </cfRule>
    <cfRule type="cellIs" dxfId="841" priority="29" operator="equal">
      <formula>"GRE"</formula>
    </cfRule>
    <cfRule type="cellIs" dxfId="840" priority="30" operator="equal">
      <formula>"RED"</formula>
    </cfRule>
    <cfRule type="cellIs" dxfId="839" priority="31" operator="equal">
      <formula>"BLA"</formula>
    </cfRule>
  </conditionalFormatting>
  <conditionalFormatting sqref="J2:J4">
    <cfRule type="colorScale" priority="2046">
      <colorScale>
        <cfvo type="min"/>
        <cfvo type="percentile" val="50"/>
        <cfvo type="max"/>
        <color rgb="FFF8696B"/>
        <color rgb="FFFFEB84"/>
        <color rgb="FF63BE7B"/>
      </colorScale>
    </cfRule>
  </conditionalFormatting>
  <conditionalFormatting sqref="S2:S4">
    <cfRule type="colorScale" priority="2047">
      <colorScale>
        <cfvo type="min"/>
        <cfvo type="max"/>
        <color rgb="FFFCFCFF"/>
        <color rgb="FF754BFB"/>
      </colorScale>
    </cfRule>
  </conditionalFormatting>
  <conditionalFormatting sqref="AT2:AT4">
    <cfRule type="colorScale" priority="2048">
      <colorScale>
        <cfvo type="min"/>
        <cfvo type="max"/>
        <color rgb="FFFCFCFF"/>
        <color theme="8" tint="0.39997558519241921"/>
      </colorScale>
    </cfRule>
  </conditionalFormatting>
  <conditionalFormatting sqref="CG2:CG4">
    <cfRule type="colorScale" priority="2049">
      <colorScale>
        <cfvo type="min"/>
        <cfvo type="max"/>
        <color rgb="FFFCFCFF"/>
        <color rgb="FF63BE7B"/>
      </colorScale>
    </cfRule>
  </conditionalFormatting>
  <hyperlinks>
    <hyperlink ref="A2" r:id="rId1" display="https://fbref.com/en/country/BOL/Bolivia-Football" xr:uid="{E0E8C6BA-4D39-4030-AF2D-6300837E9D17}"/>
    <hyperlink ref="I3" r:id="rId2" xr:uid="{763889DA-719B-4B4A-8056-4CDA287161E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7410"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7411" r:id="rId8" name="Button 3">
              <controlPr defaultSize="0" print="0" autoFill="0" autoPict="0" macro="[0]!GoToSheet">
                <anchor moveWithCells="1" sizeWithCells="1">
                  <from>
                    <xdr:col>0</xdr:col>
                    <xdr:colOff>38100</xdr:colOff>
                    <xdr:row>0</xdr:row>
                    <xdr:rowOff>99060</xdr:rowOff>
                  </from>
                  <to>
                    <xdr:col>0</xdr:col>
                    <xdr:colOff>662940</xdr:colOff>
                    <xdr:row>0</xdr:row>
                    <xdr:rowOff>403860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22A6E-A7FB-4FC8-BBA3-5201D484A8E3}">
  <sheetPr codeName="Sheet4"/>
  <dimension ref="A1:IY33"/>
  <sheetViews>
    <sheetView zoomScale="55" zoomScaleNormal="55" workbookViewId="0">
      <pane xSplit="5" ySplit="1" topLeftCell="F12" activePane="bottomRight" state="frozen"/>
      <selection pane="topRight" activeCell="F1" sqref="F1"/>
      <selection pane="bottomLeft" activeCell="A2" sqref="A2"/>
      <selection pane="bottomRight" activeCell="B29" sqref="B29"/>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189</v>
      </c>
      <c r="B2" s="83" t="e" vm="24">
        <v>#VALUE!</v>
      </c>
      <c r="C2" s="39">
        <v>1</v>
      </c>
      <c r="D2" s="70" t="s">
        <v>190</v>
      </c>
      <c r="E2" s="40" t="s">
        <v>191</v>
      </c>
      <c r="F2" s="41" t="s">
        <v>163</v>
      </c>
      <c r="G2" s="42">
        <f t="shared" ref="G2:G33" si="0">COUNTIF($A$1:$A$8312,A2)</f>
        <v>1</v>
      </c>
      <c r="H2" s="43"/>
      <c r="I2" s="59" t="s">
        <v>192</v>
      </c>
      <c r="J2" s="44" t="str">
        <f>""</f>
        <v/>
      </c>
      <c r="K2" s="45">
        <v>216422446</v>
      </c>
      <c r="L2" s="46">
        <v>6000000</v>
      </c>
      <c r="M2" s="46" t="s">
        <v>1965</v>
      </c>
      <c r="N2" s="47" t="s">
        <v>177</v>
      </c>
      <c r="O2" s="74" t="s">
        <v>193</v>
      </c>
      <c r="P2" s="48" t="s">
        <v>194</v>
      </c>
      <c r="Q2" s="73">
        <v>1</v>
      </c>
      <c r="R2" s="49" t="s">
        <v>177</v>
      </c>
      <c r="S2" s="50">
        <v>0</v>
      </c>
      <c r="T2" s="51" t="s">
        <v>165</v>
      </c>
      <c r="U2" s="52" t="s">
        <v>164</v>
      </c>
      <c r="V2" s="52" t="s">
        <v>164</v>
      </c>
      <c r="W2" s="52" t="s">
        <v>164</v>
      </c>
      <c r="X2" s="52" t="s">
        <v>165</v>
      </c>
      <c r="Y2" s="52" t="s">
        <v>164</v>
      </c>
      <c r="Z2" s="52" t="s">
        <v>164</v>
      </c>
      <c r="AA2" s="52" t="s">
        <v>164</v>
      </c>
      <c r="AB2" s="52" t="s">
        <v>165</v>
      </c>
      <c r="AC2" s="52" t="s">
        <v>164</v>
      </c>
      <c r="AD2" s="52" t="s">
        <v>164</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27</v>
      </c>
      <c r="AU2" s="53"/>
      <c r="AV2" s="53" t="str">
        <f t="shared" ref="AV2:AV33" si="1">IF(LEFT(A2,1)="[",LEFT(A2,5)&amp;AU2&amp;A2,"")</f>
        <v/>
      </c>
      <c r="AW2" s="53" t="str">
        <f t="shared" ref="AW2:AW33" si="2">C2&amp;H2&amp;A2</f>
        <v>1Brazil</v>
      </c>
      <c r="AX2" s="55" t="str">
        <f>_xlfn.TEXTJOIN(";",TRUE,AU2:AW2)</f>
        <v>1Brazil</v>
      </c>
      <c r="AY2" s="55"/>
      <c r="AZ2" s="56" t="s">
        <v>159</v>
      </c>
      <c r="BA2" s="56"/>
      <c r="BB2" s="56"/>
      <c r="BC2" s="57"/>
      <c r="BD2" s="58" t="s">
        <v>153</v>
      </c>
      <c r="BE2" s="59"/>
      <c r="BF2" s="58"/>
      <c r="BG2" s="58"/>
      <c r="BH2" s="58"/>
      <c r="BI2" s="58"/>
      <c r="BJ2" s="58"/>
      <c r="BK2" s="59"/>
      <c r="BL2" s="58" t="s">
        <v>153</v>
      </c>
      <c r="BM2" s="58" t="s">
        <v>155</v>
      </c>
      <c r="BN2" s="58" t="s">
        <v>152</v>
      </c>
      <c r="BO2" s="58" t="s">
        <v>159</v>
      </c>
      <c r="BP2" s="58"/>
      <c r="BQ2" s="58"/>
      <c r="BR2" s="58"/>
      <c r="BS2" s="58"/>
      <c r="BT2" s="58"/>
      <c r="BU2" s="60"/>
      <c r="BV2" s="61" t="s">
        <v>164</v>
      </c>
      <c r="BW2" s="61">
        <v>0</v>
      </c>
      <c r="BX2" s="59"/>
      <c r="BY2" s="44" t="s">
        <v>164</v>
      </c>
      <c r="CB2" s="5" t="s">
        <v>139</v>
      </c>
      <c r="CC2" s="5"/>
      <c r="CD2" s="62">
        <v>1</v>
      </c>
      <c r="CE2" s="62">
        <v>0</v>
      </c>
      <c r="CF2" s="62" t="e">
        <v>#REF!</v>
      </c>
      <c r="CG2" s="75" cm="1">
        <f t="array" ref="CG2">SUMPRODUCT(--(LEN(TRIM(BL2:BT2))&gt;0))</f>
        <v>4</v>
      </c>
      <c r="CH2" s="53" t="str">
        <f t="shared" ref="CH2:CH33" si="3">IF(CG2=2,"y","n")</f>
        <v>n</v>
      </c>
      <c r="CI2" s="53" t="str">
        <f t="shared" ref="CI2:CI33" si="4">IF(CG2=3,"y","n")</f>
        <v>n</v>
      </c>
      <c r="CJ2" s="53" t="str">
        <f t="shared" ref="CJ2:CJ33" si="5">IF(CG2=4,"y","n")</f>
        <v>y</v>
      </c>
      <c r="CK2" s="53" t="str">
        <f t="shared" ref="CK2:CK33" si="6">IF(CG2&gt;4,"y","n")</f>
        <v>n</v>
      </c>
      <c r="CL2" s="53" t="str">
        <f t="shared" ref="CL2:CL33" si="7">IF(S2=0,"y","n")</f>
        <v>y</v>
      </c>
      <c r="CM2" s="53" t="str">
        <f t="shared" ref="CM2:CM33" si="8">IF(S2=2,"y","n")</f>
        <v>n</v>
      </c>
      <c r="CN2" s="53" t="str">
        <f t="shared" ref="CN2:CN33" si="9">IF(S2=3,"y","n")</f>
        <v>n</v>
      </c>
      <c r="CO2" s="53" t="str">
        <f t="shared" ref="CO2:CO33" si="10">IF(S2&gt;=4,"y","n")</f>
        <v>n</v>
      </c>
      <c r="CP2" s="53" t="str">
        <f t="shared" ref="CP2:CP33" si="11">IF(AT2=0,"y","n")</f>
        <v>n</v>
      </c>
      <c r="CQ2" s="53" t="str">
        <f t="shared" ref="CQ2:CQ33" si="12">IF(AT2=1,"y","n")</f>
        <v>n</v>
      </c>
      <c r="CR2" s="53" t="str">
        <f t="shared" ref="CR2:CR33" si="13">IF(AT2=2,"y","n")</f>
        <v>n</v>
      </c>
      <c r="CS2" s="53" t="str">
        <f t="shared" ref="CS2:CS33" si="14">IF(AT2&gt;=3,"y","n")</f>
        <v>y</v>
      </c>
      <c r="CT2" s="38" t="str">
        <f t="shared" ref="CT2:CT33" si="15">CHAR(34)&amp;A2&amp;CHAR(34)</f>
        <v>"Brazil"</v>
      </c>
      <c r="CU2" s="63" t="str">
        <f t="shared" ref="CU2:CU33" si="16">CHAR(34)&amp;"rgn_"&amp;R2&amp;CHAR(34)</f>
        <v>"rgn_South America"</v>
      </c>
      <c r="CV2" s="44" t="str">
        <f t="shared" ref="CV2:CV33" si="17">CHAR(34)&amp;D2&amp;CHAR(34)</f>
        <v>"https://i.ibb.co/M5577xy/Brazil-Flag.png"</v>
      </c>
      <c r="CW2" s="44" t="str">
        <f t="shared" ref="CW2:CW33" si="18">IF(CH2="y",CHAR(34)&amp;CH$1&amp;CHAR(34)&amp;",","")</f>
        <v/>
      </c>
      <c r="CX2" s="44" t="str">
        <f t="shared" ref="CX2:CX33" si="19">IF(CI2="y",CHAR(34)&amp;CI$1&amp;CHAR(34)&amp;",","")</f>
        <v/>
      </c>
      <c r="CY2" s="44" t="str">
        <f t="shared" ref="CY2:CY33" si="20">IF(CJ2="y",CHAR(34)&amp;CJ$1&amp;CHAR(34)&amp;",","")</f>
        <v>"4Color",</v>
      </c>
      <c r="CZ2" s="44" t="str">
        <f t="shared" ref="CZ2:CZ33" si="21">IF(CK2="y",CHAR(34)&amp;CK$1&amp;CHAR(34)&amp;",","")</f>
        <v/>
      </c>
      <c r="DA2" s="44" t="str">
        <f t="shared" ref="DA2:DA33" si="22">IF(Q2&gt;1,CHAR(34)&amp;"words2"&amp;CHAR(34)&amp;",","")</f>
        <v/>
      </c>
      <c r="DB2" s="44" t="str">
        <f t="shared" ref="DB2:DB33" si="23">IF(Q2&gt;2,CHAR(34)&amp;"words3"&amp;CHAR(34)&amp;",","")</f>
        <v/>
      </c>
      <c r="DC2" s="44" t="str">
        <f t="shared" ref="DC2:DC30" si="24">IF(Q2=2,CHAR(34)&amp;"exact2"&amp;CHAR(34)&amp;",","")</f>
        <v/>
      </c>
      <c r="DD2" s="44" t="str">
        <f t="shared" ref="DD2:DD30" si="25">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4" t="str">
        <f t="shared" ref="DE2:DE30" si="26">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"startB",</v>
      </c>
      <c r="DF2" s="44" t="str">
        <f t="shared" ref="DF2:DF33" si="27">IFERROR(IF(SEARCH("tan",A2)&gt;0,CHAR(34)&amp;"withtn"&amp;CHAR(34)&amp;",",""),"")</f>
        <v/>
      </c>
      <c r="DG2" s="44" t="str">
        <f t="shared" ref="DG2:DG33" si="28">IFERROR(IF(SEARCH("q",A2)&gt;0,CHAR(34)&amp;"with_q"&amp;CHAR(34)&amp;",",""),"")</f>
        <v/>
      </c>
      <c r="DH2" s="44" t="str">
        <f t="shared" ref="DH2:DH33" si="29">IFERROR(IF(SEARCH("v",A2)&gt;0,CHAR(34)&amp;"with_v"&amp;CHAR(34)&amp;",",""),"")</f>
        <v/>
      </c>
      <c r="DI2" s="44" t="str">
        <f t="shared" ref="DI2:DI33" si="30">IFERROR(IF(SEARCH("w",A2)&gt;0,CHAR(34)&amp;"with_w"&amp;CHAR(34)&amp;",",""),"")</f>
        <v/>
      </c>
      <c r="DJ2" s="44" t="str">
        <f t="shared" ref="DJ2:DJ33" si="31">IFERROR(IF(SEARCH("y",A2)&gt;0,CHAR(34)&amp;"with_y"&amp;CHAR(34)&amp;",",""),"")</f>
        <v/>
      </c>
      <c r="DK2" s="44" t="str">
        <f t="shared" ref="DK2:DK33" si="32">IFERROR(IF(SEARCH("z",A2)&gt;0,CHAR(34)&amp;"with_z"&amp;CHAR(34)&amp;",",""),"")</f>
        <v>"with_z",</v>
      </c>
      <c r="DL2" s="44" t="str">
        <f t="shared" ref="DL2:DL33" si="33">IF(CG2=2, CHAR(34) &amp; _xlfn.TEXTJOIN("", TRUE, _xlfn._xlws.SORT(HP2:HX2)) &amp; CHAR(34) &amp; ",", "")</f>
        <v/>
      </c>
      <c r="DM2" s="44" t="str" cm="1">
        <f t="array" ref="DM2">IF(CG2=3,CHAR(34) &amp; _xlfn.TEXTJOIN("", TRUE, RIGHT(HP2:HX2, 2)) &amp; CHAR(34) &amp; ",", "")</f>
        <v/>
      </c>
      <c r="DN2" s="44" t="str">
        <f t="shared" ref="DN2:DN33" si="34">IF(AND(ISNUMBER(SEARCH("18", O2)), ISERROR(SEARCH("1918", O2)), ISERROR(SEARCH("2018", O2))), CHAR(34) &amp; "year18" &amp; CHAR(34) &amp; ",", "")</f>
        <v>"year18",</v>
      </c>
      <c r="DO2" s="44" t="str">
        <f t="shared" ref="DO2:DO33" si="35">IF(AND(ISNUMBER(SEARCH("19", O2)), ISERROR(SEARCH("1819", O2)),  ISERROR(SEARCH("1219", O2)),ISERROR(SEARCH("1119", O2)),ISERROR(SEARCH("1190", O2)),ISERROR(SEARCH("2019", O2))), CHAR(34) &amp; "year19" &amp; CHAR(34) &amp; ",", "")</f>
        <v>"year19",</v>
      </c>
      <c r="DP2" s="5" t="str">
        <f t="shared" ref="DP2:DP33" si="36">IF(AND(ISNUMBER(SEARCH("20", O2)), ISERROR(SEARCH("1920", O2))), CHAR(34)&amp;"year00"&amp;CHAR(34)&amp;",", "")</f>
        <v/>
      </c>
      <c r="DQ2" s="5" t="str">
        <f t="shared" ref="DQ2:DQ33" si="37">IF(CC2="y",CHAR(34)&amp;"soviet"&amp;CHAR(34)&amp;",","")</f>
        <v/>
      </c>
      <c r="DR2" s="5" t="str">
        <f t="shared" ref="DR2:DR33" si="38">IF(BY2="y",CHAR(34)&amp;"dgband"&amp;CHAR(34)&amp;",","")</f>
        <v/>
      </c>
      <c r="DS2" s="5" t="str">
        <f t="shared" ref="DS2:DS33" si="39">IF(W2="y",IF(AND(V2="n",BY2&lt;&gt;"y"),CHAR(34)&amp;"allver"&amp;CHAR(34)&amp;",",""),"")</f>
        <v/>
      </c>
      <c r="DT2" s="5" t="str">
        <f t="shared" ref="DT2:DT33" si="40">IF(V2="y",IF(AND(W2="n",BY2&lt;&gt;"y"),CHAR(34)&amp;"allhor"&amp;CHAR(34)&amp;",",""),"")</f>
        <v/>
      </c>
      <c r="DU2" s="5" t="str">
        <f t="shared" ref="DU2:DU33" si="41">IF(BY2="y",IF(AND(W2="n",V2="n"),CHAR(34)&amp;"alldia"&amp;CHAR(34)&amp;",",""),"")</f>
        <v/>
      </c>
      <c r="DV2" s="44" t="str">
        <f t="shared" ref="DV2:DV30" si="42">IF(IA2&lt;&gt;"",(IF(IA2="y",CHAR(34)&amp;"largec"&amp;CHAR(34)&amp;",",CHAR(34)&amp;"smallc"&amp;CHAR(34)&amp;",")),"")</f>
        <v/>
      </c>
      <c r="DW2" s="44" t="str">
        <f t="shared" ref="DW2:DW33" si="43">IF(CL2="y",CHAR(34)&amp;CL$1&amp;CHAR(34)&amp;",","")</f>
        <v>"NoBand",</v>
      </c>
      <c r="DX2" s="44" t="str">
        <f t="shared" ref="DX2:DX33" si="44">IF(CM2="y",CHAR(34)&amp;CM$1&amp;CHAR(34)&amp;",","")</f>
        <v/>
      </c>
      <c r="DY2" s="44" t="str">
        <f t="shared" ref="DY2:DY33" si="45">IF(CN2="y",CHAR(34)&amp;CN$1&amp;CHAR(34)&amp;",","")</f>
        <v/>
      </c>
      <c r="DZ2" s="44" t="str">
        <f t="shared" ref="DZ2:DZ33" si="46">IF(CO2="y",CHAR(34)&amp;CO$1&amp;CHAR(34)&amp;",","")</f>
        <v/>
      </c>
      <c r="EA2" s="44" t="str">
        <f t="shared" ref="EA2:EA33" si="47">IF(T2="y",CHAR(34)&amp;T$1&amp;CHAR(34)&amp;",","")</f>
        <v>"Diagon",</v>
      </c>
      <c r="EB2" s="44" t="str">
        <f t="shared" ref="EB2:EB33" si="48">IF(U2="y",CHAR(34)&amp;U$1&amp;CHAR(34)&amp;",","")</f>
        <v/>
      </c>
      <c r="EC2" s="44" t="str">
        <f t="shared" ref="EC2:EC33" si="49">IF(V2="y",CHAR(34)&amp;V$1&amp;CHAR(34)&amp;",","")</f>
        <v/>
      </c>
      <c r="ED2" s="44" t="str">
        <f t="shared" ref="ED2:ED33" si="50">IF(W2="y",CHAR(34)&amp;W$1&amp;CHAR(34)&amp;",","")</f>
        <v/>
      </c>
      <c r="EE2" s="44" t="str">
        <f t="shared" ref="EE2:EE33" si="51">IF(X2="y",CHAR(34)&amp;X$1&amp;CHAR(34)&amp;",","")</f>
        <v>"Circle",</v>
      </c>
      <c r="EF2" s="44" t="str">
        <f t="shared" ref="EF2:EF33" si="52">IF(AND(Y2&lt;&gt;"n",Y2&lt;&gt;""),CHAR(34)&amp;Y$1&amp;CHAR(34)&amp;",","")</f>
        <v/>
      </c>
      <c r="EG2" s="44" t="str">
        <f t="shared" ref="EG2:EG33" si="53">IF(Z2="y",CHAR(34)&amp;Z$1&amp;CHAR(34)&amp;",","")</f>
        <v/>
      </c>
      <c r="EH2" s="44" t="str">
        <f t="shared" ref="EH2:EH33" si="54">IF(AA2="y",CHAR(34)&amp;AA$1&amp;CHAR(34)&amp;",","")</f>
        <v/>
      </c>
      <c r="EI2" s="44" t="str">
        <f t="shared" ref="EI2:EI33" si="55">IF(AB2="y",CHAR(34)&amp;AB$1&amp;CHAR(34)&amp;",","")</f>
        <v>"Texted",</v>
      </c>
      <c r="EJ2" s="44" t="str">
        <f t="shared" ref="EJ2:EJ33" si="56">IF(AC2="y",CHAR(34)&amp;AC$1&amp;CHAR(34)&amp;",","")</f>
        <v/>
      </c>
      <c r="EK2" s="44" t="str">
        <f t="shared" ref="EK2:EK33" si="57">IF(AD2="y",CHAR(34)&amp;AD$1&amp;CHAR(34)&amp;",","")</f>
        <v/>
      </c>
      <c r="EL2" s="44" t="str">
        <f t="shared" ref="EL2:EL33" si="58">IF(AE2="y",CHAR(34)&amp;AE$1&amp;CHAR(34)&amp;",","")</f>
        <v/>
      </c>
      <c r="EM2" s="44" t="str">
        <f t="shared" ref="EM2:EM33" si="59">IF(AF2="y",CHAR(34)&amp;AF$1&amp;CHAR(34)&amp;",","")</f>
        <v/>
      </c>
      <c r="EN2" s="44" t="str">
        <f t="shared" ref="EN2:EN33" si="60">IF(AG2="y",CHAR(34)&amp;AG$1&amp;CHAR(34)&amp;",","")</f>
        <v/>
      </c>
      <c r="EO2" s="44" t="str">
        <f t="shared" ref="EO2:EO33" si="61">IF(AH2="y",CHAR(34)&amp;AH$1&amp;CHAR(34)&amp;",","")</f>
        <v>"Center",</v>
      </c>
      <c r="EP2" s="44" t="str">
        <f t="shared" ref="EP2:EP33" si="62">IF(AI2="y",CHAR(34)&amp;AI$1&amp;CHAR(34)&amp;",","")</f>
        <v/>
      </c>
      <c r="EQ2" s="44" t="str">
        <f t="shared" ref="EQ2:EQ33" si="63">IF(AJ2="y",CHAR(34)&amp;AJ$1&amp;CHAR(34)&amp;",","")</f>
        <v/>
      </c>
      <c r="ER2" s="44" t="str">
        <f t="shared" ref="ER2:ER33" si="64">IF(AK2="y",CHAR(34)&amp;AK$1&amp;CHAR(34)&amp;",","")</f>
        <v/>
      </c>
      <c r="ES2" s="44" t="str">
        <f t="shared" ref="ES2:ES33" si="65">IF(AL2="y",CHAR(34)&amp;AL$1&amp;CHAR(34)&amp;",","")</f>
        <v/>
      </c>
      <c r="ET2" s="44" t="str">
        <f t="shared" ref="ET2:ET33" si="66">IF(AM2="y",CHAR(34)&amp;AM$1&amp;CHAR(34)&amp;",","")</f>
        <v/>
      </c>
      <c r="EU2" s="44" t="str">
        <f t="shared" ref="EU2:EU33" si="67">IF(AN2="y",CHAR(34)&amp;AN$1&amp;CHAR(34)&amp;",","")</f>
        <v/>
      </c>
      <c r="EV2" s="44" t="str">
        <f t="shared" ref="EV2:EV33" si="68">IF(AO2="y",CHAR(34)&amp;AO$1&amp;CHAR(34)&amp;",","")</f>
        <v/>
      </c>
      <c r="EW2" s="44" t="str">
        <f t="shared" ref="EW2:EW33" si="69">IF(AP2="y",CHAR(34)&amp;AP$1&amp;CHAR(34)&amp;",","")</f>
        <v/>
      </c>
      <c r="EX2" s="44" t="str">
        <f t="shared" ref="EX2:EX33" si="70">IF(AQ2="y",CHAR(34)&amp;AQ$1&amp;CHAR(34)&amp;",","")</f>
        <v/>
      </c>
      <c r="EY2" s="44" t="str">
        <f t="shared" ref="EY2:EY33" si="71">IF(AR2="y",CHAR(34)&amp;AR$1&amp;CHAR(34)&amp;",","")</f>
        <v/>
      </c>
      <c r="EZ2" s="44" t="str">
        <f t="shared" ref="EZ2:EZ33" si="72">IF(AS2="y",CHAR(34)&amp;AS$1&amp;CHAR(34)&amp;",","")</f>
        <v/>
      </c>
      <c r="FA2" s="44" t="str">
        <f t="shared" ref="FA2:FA33" si="73">IF(AT2&gt;0,CHAR(34)&amp;"sta"&amp;AZ2&amp;CHAR(34)&amp;",","")</f>
        <v>"staWHI",</v>
      </c>
      <c r="FB2" s="44" t="str">
        <f t="shared" ref="FB2:FB33" si="74">IF(AND(AT2&gt;0,BA2&lt;&gt;""),CHAR(34)&amp;"sta"&amp;BA2&amp;CHAR(34)&amp;",","")</f>
        <v/>
      </c>
      <c r="FC2" s="44" t="str">
        <f t="shared" ref="FC2:FC30" si="75">IF(AND(AT2&gt;0,BB2&lt;&gt;""),CHAR(34)&amp;"sta"&amp;BB2&amp;CHAR(34)&amp;",","")</f>
        <v/>
      </c>
      <c r="FD2" s="44" t="str">
        <f t="shared" ref="FD2:FD33" si="76">IF(BV2="n",CHAR(34)&amp;"tcWHYE"&amp;CHAR(34)&amp;",",IF(BV2="y",CHAR(34)&amp;FD$1&amp;CHAR(34)&amp;",",""))</f>
        <v>"tcWHYE",</v>
      </c>
      <c r="FE2" s="44" t="str">
        <f t="shared" ref="FE2:FE33" si="77">IF(COUNTIF(BL2:BT2,"BLU")=0,CHAR(34)&amp;"NO_BLU"&amp;CHAR(34)&amp;",", "")</f>
        <v/>
      </c>
      <c r="FF2" s="44" t="str">
        <f t="shared" ref="FF2:FF33" si="78">IF(COUNTIF(BL2:BT2,"WHI")=0,CHAR(34)&amp;"NO_WHI"&amp;CHAR(34)&amp;",", "")</f>
        <v/>
      </c>
      <c r="FG2" s="44" t="str">
        <f t="shared" ref="FG2:FG33" si="79">IF(COUNTIF(BL2:BT2,"RED")=0,CHAR(34)&amp;"NO_RED"&amp;CHAR(34)&amp;",", "")</f>
        <v>"NO_RED",</v>
      </c>
      <c r="FH2" s="44" t="str">
        <f t="shared" ref="FH2:FH33" si="80">IF(COUNTIF(BL2:BS2,"GRE")=0,CHAR(34)&amp;"NO_GRE"&amp;CHAR(34)&amp;",", "")</f>
        <v/>
      </c>
      <c r="FI2" s="44" t="str">
        <f t="shared" ref="FI2:FI33" si="81">IF(COUNTIF(BL2:BT2,"YEL")=0,CHAR(34)&amp;"NO_YEL"&amp;CHAR(34)&amp;",", "")</f>
        <v/>
      </c>
      <c r="FJ2" s="44" t="str">
        <f t="shared" ref="FJ2:FJ33" si="82">IF(COUNTIF(BL2:BT2,"BLA")=0,CHAR(34)&amp;"NO_BLA"&amp;CHAR(34)&amp;",", "")</f>
        <v>"NO_BLA",</v>
      </c>
      <c r="FK2" s="44" t="str">
        <f t="shared" ref="FK2:FK33" si="83">IF(AND(FH2&lt;&gt;"",FF2&lt;&gt;""),CHAR(34)&amp;"WHGRNO"&amp;CHAR(34)&amp;",","")</f>
        <v/>
      </c>
      <c r="FL2" s="44" t="str">
        <f t="shared" ref="FL2:FL33" si="84">IF(AND(FI2&lt;&gt;"",FF2&lt;&gt;""),CHAR(34)&amp;"WHYENO"&amp;CHAR(34)&amp;",","")</f>
        <v/>
      </c>
      <c r="FM2" s="44" t="str">
        <f t="shared" ref="FM2:FM33" si="85">IF(AND(FJ2&lt;&gt;"",FF2&lt;&gt;""),CHAR(34)&amp;"BAWHNO"&amp;CHAR(34)&amp;",","")</f>
        <v/>
      </c>
      <c r="FN2" s="44" t="str">
        <f t="shared" ref="FN2:FN33" si="86">IF(AND(FE2&lt;&gt;"",FF2&lt;&gt;""),CHAR(34)&amp;"BLWHNO"&amp;CHAR(34)&amp;",","")</f>
        <v/>
      </c>
      <c r="FO2" s="44" t="str">
        <f t="shared" ref="FO2:FO33" si="87">IF(AND(FE2&lt;&gt;"",FG2&lt;&gt;""),CHAR(34)&amp;"BLRENO"&amp;CHAR(34)&amp;",","")</f>
        <v/>
      </c>
      <c r="FP2" s="44" t="str">
        <f t="shared" ref="FP2:FP33" si="88">IF(AND(FF2&lt;&gt;"",FF2&lt;&gt;""),CHAR(34)&amp;"WHRENO"&amp;CHAR(34)&amp;",","")</f>
        <v/>
      </c>
      <c r="FQ2" s="44" t="str">
        <f t="shared" ref="FQ2:FQ33" si="89">IF(LEN(BF2)=3,CHAR(34)&amp;"001"&amp;BF2&amp;CHAR(34)&amp;",","")</f>
        <v/>
      </c>
      <c r="FR2" s="44" t="str">
        <f t="shared" ref="FR2:FR33" si="90">IF(LEN(BG2)=3,CHAR(34)&amp;"002"&amp;BG2&amp;CHAR(34)&amp;",","")</f>
        <v/>
      </c>
      <c r="FS2" s="44" t="str">
        <f t="shared" ref="FS2:FS33" si="91">IF(LEN(BH2)=3,CHAR(34)&amp;"003"&amp;BH2&amp;CHAR(34)&amp;",","")</f>
        <v/>
      </c>
      <c r="FT2" s="44" t="str">
        <f t="shared" ref="FT2:FT33" si="92">CHAR(34)&amp;"myr"&amp;BD2&amp;CHAR(34)&amp;","</f>
        <v>"myrGRE",</v>
      </c>
      <c r="FU2" s="44" t="str">
        <f t="shared" ref="FU2:FU33" si="93">IF(AY2="y",CHAR(34)&amp;"island"&amp;CHAR(34)&amp;",","")</f>
        <v/>
      </c>
      <c r="FV2" s="44" t="str">
        <f t="shared" ref="FV2:FV33" si="94">IF(BZ2="y",CHAR(34)&amp;"landlo"&amp;CHAR(34)&amp;",","")</f>
        <v/>
      </c>
      <c r="FW2" s="44" t="str">
        <f t="shared" ref="FW2:FW33" si="95">IF(CA2="y",CHAR(34)&amp;"eunion"&amp;CHAR(34)&amp;",","")</f>
        <v/>
      </c>
      <c r="FX2" s="44" t="str">
        <f t="shared" ref="FX2:FX30" si="96">SUBSTITUTE(IFERROR(SEARCH("[",A2),IFERROR(IF(AND(CA2&lt;&gt;"y",SEARCH("Europe",R2)&gt;0),CHAR(34)&amp;"noeuni"&amp;CHAR(34)&amp;",",""),"")),"1","")</f>
        <v/>
      </c>
      <c r="FY2" s="44" t="str">
        <f t="shared" ref="FY2:FY33" si="97">IFERROR(IF(SEARCH("Arabic",CB2)&gt;0,CHAR(34)&amp;"arabic"&amp;CHAR(34)&amp;",",""),"")</f>
        <v/>
      </c>
      <c r="FZ2" s="44" t="str">
        <f t="shared" ref="FZ2:FZ33" si="98">IFERROR(IF(SEARCH("English",CB2)&gt;0,CHAR(34)&amp;"englis"&amp;CHAR(34)&amp;",",""),"")</f>
        <v/>
      </c>
      <c r="GA2" s="44" t="str">
        <f t="shared" ref="GA2:GA33" si="99">IFERROR(IF(SEARCH("French",CB2)&gt;0,CHAR(34)&amp;"french"&amp;CHAR(34)&amp;",",""),"")</f>
        <v/>
      </c>
      <c r="GB2" s="44" t="str">
        <f t="shared" ref="GB2:GB33" si="100">IFERROR(IF(SEARCH("Spanish",CB2)&gt;0,CHAR(34)&amp;"spanis"&amp;CHAR(34)&amp;",",""),"")</f>
        <v/>
      </c>
      <c r="GC2" s="44" t="str">
        <f t="shared" ref="GC2:GC30" si="101">IFERROR(IF(SEARCH("Portuguese",CB2)&gt;0,CHAR(34)&amp;"portug"&amp;CHAR(34)&amp;",",""),"")</f>
        <v>"portug",</v>
      </c>
      <c r="GD2" s="44" t="str">
        <f t="shared" ref="GD2:GD30" si="102">IFERROR(IF(SEARCH("German",CB2)&gt;0,CHAR(34)&amp;"german"&amp;CHAR(34)&amp;",",""),"")</f>
        <v/>
      </c>
      <c r="GE2" s="44" t="str">
        <f t="shared" ref="GE2:GE33" si="103">IFERROR(IF(SEARCH("Dutch",CB2)&gt;0,CHAR(34)&amp;"dutchs"&amp;CHAR(34)&amp;",",""),"")</f>
        <v/>
      </c>
      <c r="GF2" s="44" t="str">
        <f>IFERROR(IF(SEARCH("Histor",AU2)&gt;0,CHAR(34)&amp;"histor"&amp;CHAR(34)&amp;",",""),"")</f>
        <v/>
      </c>
      <c r="GG2" s="44" t="str">
        <f t="shared" ref="GG2:GG33" si="104">IF(BU2="y",CHAR(34)&amp;"unjack"&amp;CHAR(34)&amp;",","")</f>
        <v/>
      </c>
      <c r="GH2" s="44" t="str">
        <f t="shared" ref="GH2:GH33" si="105">IF(CD2=1,CHAR(34)&amp;"southc"&amp;CHAR(34)&amp;",","")</f>
        <v>"southc",</v>
      </c>
      <c r="GI2" s="44" t="str">
        <f t="shared" ref="GI2:GI33" si="106">IF(CE2=1,CHAR(34)&amp;"hasmap"&amp;CHAR(34)&amp;",","")</f>
        <v/>
      </c>
      <c r="GJ2" s="44" t="str">
        <f t="shared" ref="GJ2:GJ33" si="107">IF(CP2="y",CHAR(34)&amp;CP$1&amp;CHAR(34)&amp;",","")</f>
        <v/>
      </c>
      <c r="GK2" s="44" t="str">
        <f t="shared" ref="GK2:GK33" si="108">IF(GJ2="",CHAR(34)&amp;"HasSta"&amp;CHAR(34)&amp;",","")</f>
        <v>"HasSta",</v>
      </c>
      <c r="GL2" s="44" t="str">
        <f t="shared" ref="GL2:GL33" si="109">IF(CQ2="y",CHAR(34)&amp;CQ$1&amp;CHAR(34)&amp;",","")</f>
        <v/>
      </c>
      <c r="GM2" s="44" t="str">
        <f t="shared" ref="GM2:GM33" si="110">IF(CR2="y",CHAR(34)&amp;CR$1&amp;CHAR(34)&amp;",","")</f>
        <v/>
      </c>
      <c r="GN2" s="44" t="str">
        <f t="shared" ref="GN2:GN33" si="111">IF(CS2="y",CHAR(34)&amp;CS$1&amp;CHAR(34)&amp;",","")</f>
        <v>"3+Star",</v>
      </c>
      <c r="GP2" s="44" t="str">
        <f t="shared" ref="GP2:GP33" si="112">CHAR(34)&amp;AU2&amp;CHAR(34)</f>
        <v>""</v>
      </c>
      <c r="GS2" s="44" t="str">
        <f t="shared" ref="GS2:GS33" si="113">SUBSTITUTE("["&amp;_xlfn.CONCAT(CW2:GN2)&amp;"]",",]","]")</f>
        <v>["4Color","lets06","startB","with_z","year18","year19","NoBand","Diagon","Circle","Texted","Center","staWHI","tcWHYE","NO_RED","NO_BLA","myrGRE","portug","southc","HasSta","3+Star"]</v>
      </c>
      <c r="GT2" s="44" t="str">
        <f t="shared" ref="GT2:GT33" si="114">IF(BL2&lt;&gt;"",CHAR(34)&amp;"cl_"&amp;BL2&amp;CHAR(34)&amp;",","")</f>
        <v>"cl_GRE",</v>
      </c>
      <c r="GU2" s="44" t="str">
        <f t="shared" ref="GU2:GU33" si="115">IF(BM2&lt;&gt;"",CHAR(34)&amp;"cl_"&amp;BM2&amp;CHAR(34)&amp;",","")</f>
        <v>"cl_YEL",</v>
      </c>
      <c r="GV2" s="44" t="str">
        <f t="shared" ref="GV2:GV33" si="116">IF(BN2&lt;&gt;"",CHAR(34)&amp;"cl_"&amp;BN2&amp;CHAR(34)&amp;",","")</f>
        <v>"cl_BLU",</v>
      </c>
      <c r="GW2" s="44" t="str">
        <f t="shared" ref="GW2:GW33" si="117">IF(BO2&lt;&gt;"",CHAR(34)&amp;"cl_"&amp;BO2&amp;CHAR(34)&amp;",","")</f>
        <v>"cl_WHI",</v>
      </c>
      <c r="GX2" s="44" t="str">
        <f t="shared" ref="GX2:GX33" si="118">IF(BP2&lt;&gt;"",CHAR(34)&amp;"cl_"&amp;BP2&amp;CHAR(34)&amp;",","")</f>
        <v/>
      </c>
      <c r="GY2" s="44" t="str">
        <f t="shared" ref="GY2:GY33" si="119">IF(BQ2&lt;&gt;"",CHAR(34)&amp;"cl_"&amp;BQ2&amp;CHAR(34)&amp;",","")</f>
        <v/>
      </c>
      <c r="GZ2" s="44" t="str">
        <f t="shared" ref="GZ2:GZ33" si="120">IF(BR2&lt;&gt;"",CHAR(34)&amp;"cl_"&amp;BR2&amp;CHAR(34)&amp;",","")</f>
        <v/>
      </c>
      <c r="HA2" s="44" t="str">
        <f t="shared" ref="HA2:HA33" si="121">IF(BS2&lt;&gt;"",CHAR(34)&amp;"cl_"&amp;BS2&amp;CHAR(34)&amp;",","")</f>
        <v/>
      </c>
      <c r="HB2" s="44" t="str">
        <f t="shared" ref="HB2:HB33" si="122">IF(BT2&lt;&gt;"",CHAR(34)&amp;"cl_"&amp;BT2&amp;CHAR(34)&amp;",","")</f>
        <v/>
      </c>
      <c r="HC2" s="44" t="str">
        <f t="shared" ref="HC2:HC33" si="123">SUBSTITUTE("["&amp;_xlfn.CONCAT(GT2:HB2)&amp;"]",",]","]")</f>
        <v>["cl_GRE","cl_YEL","cl_BLU","cl_WHI"]</v>
      </c>
      <c r="HE2" s="64"/>
      <c r="HF2" s="65" t="str">
        <f t="shared" ref="HF2:HF33" si="124">"{couname:"&amp;CT2&amp;(IF(HK2&lt;&gt;"",",subtype:"&amp;CHAR(34)&amp;HK2&amp;CHAR(34),""))&amp;",year:"&amp;HJ2&amp;",region:"&amp;CU2&amp;",Colors:"&amp;HC2&amp;",Items:"&amp;GS2&amp;",Flag:"&amp;CV2&amp;",HDFlag:"&amp;CHAR(34)&amp;E2&amp;CHAR(34)&amp;",type:"&amp;GP2&amp;", describe: "&amp;HH2&amp;", isnew:"&amp;CHAR(34)&amp;F2&amp;CHAR(34)&amp;", links: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links: "https://en.wikipedia.org/wiki/Flag_of_Brazil"},</v>
      </c>
      <c r="HG2" s="66" t="str">
        <f t="shared" ref="HG2:HG33" si="125">"{couname:"&amp;CT2&amp;(IF(HK2&lt;&gt;"",",subtype:"&amp;CHAR(34)&amp;HK2&amp;CHAR(34),""))&amp;",year:"&amp;HJ2&amp;",region:"&amp;CU2&amp;",Colors:"&amp;HC2&amp;",Items:"&amp;GS2&amp;",Flag:"&amp;CV2&amp;",HDFlag:"&amp;CHAR(34)&amp;E2&amp;CHAR(34)&amp;",type:"&amp;GP2&amp;", describe: "&amp;HI2&amp;", links: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links: "https://en.wikipedia.org/wiki/Flag_of_Brazil"},</v>
      </c>
      <c r="HH2" s="44" t="str">
        <f t="shared" ref="HH2:HH33" si="126">IF(P2&lt;&gt;"",CHAR(34)&amp;"\n"&amp;P2&amp;CHAR(34),CHAR(34)&amp;CHAR(34))</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I2" s="44" t="str">
        <f t="shared" ref="HI2:HI33" si="127">IF(J2=0,CHAR(34)&amp;CHAR(34),HH2)</f>
        <v>"\nThe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v>
      </c>
      <c r="HJ2" s="44" t="str">
        <f t="shared" ref="HJ2:HJ33" si="128">CHAR(34)&amp;O2&amp;CHAR(34)</f>
        <v>"1889, 1992 "</v>
      </c>
      <c r="HL2" s="44" t="str">
        <f t="shared" ref="HL2:HL33" si="129">CHAR(34)&amp;I2&amp;CHAR(34)</f>
        <v>"https://en.wikipedia.org/wiki/Flag_of_Brazil"</v>
      </c>
      <c r="HM2" s="65" t="str">
        <f t="shared" ref="HM2:HM33" si="13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N2" s="67" t="str">
        <f t="shared" ref="HN2:HN33" si="131">"{"&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{"couname":"Brazil","year":"1889, 1992 ","region":"rgn_South America","Colors":["cl_GRE","cl_YEL","cl_BLU","cl_WHI"],"Items":["4Color","lets06","startB","with_z","year18","year19","NoBand","Diagon","Circle","Texted","Center","staWHI","tcWHYE","NO_RED","NO_BLA","myrGRE","portug","southc","HasSta","3+Star"],"Flag":"https://i.ibb.co/M5577xy/Brazil-Flag.png","HDFlag":"https://upload.wikimedia.org/wikipedia/en/thumb/0/05/Flag_of_Brazil.svg/2560px-Flag_of_Brazil.svg.png","type":"", "describe": "\nThe flag of Brazil contains 27 stars, representing the Brazilian states and the Federal District.The constellation of the Southern Cross is on the meridian (indicated by the number 6 in the diagram). To the south of it is Polaris Australis (Sigma Octantis, numbered 7), representing the Federal District. A single star lies above the band, representing the large northern state of Pará, which straddles the equator.\n\nThe band with its motto appears roughly coincident with the ecliptic, as in the armillary symbol of Manuel I of Portugal and colonial Brazil, or otherwise the celestial equator, while none of the stars symbolized lie north of these lines. Some interpretations of the band also identify it with the Amazon River.", "isnew": ".", "links": "https://en.wikipedia.org/wiki/Flag_of_Brazil"},</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 t="shared" ref="IL2:IL30" si="132">SUM(IC2:IK2)</f>
        <v>0</v>
      </c>
      <c r="IM2" s="42">
        <f t="shared" ref="IM2:IM33" si="133">COUNTIF(IC2:IK2,"&gt;0")-CG2</f>
        <v>-4</v>
      </c>
      <c r="IN2" s="69" t="str">
        <f t="shared" ref="IN2:IN33" si="134">"http://mkweb.bcgsc.ca/color-summarizer/?url="&amp;D2&amp;"&amp;precision=low&amp;num_clusters="&amp;CG2&amp;"&amp;text=1"</f>
        <v>http://mkweb.bcgsc.ca/color-summarizer/?url=https://i.ibb.co/M5577xy/Brazil-Flag.png&amp;precision=low&amp;num_clusters=4&amp;text=1</v>
      </c>
      <c r="IO2" s="44" t="str">
        <f t="shared" ref="IO2:IO33" si="135">IF(HP2&lt;&gt;"",CHAR(34)&amp;"black"&amp;CHAR(34),"")</f>
        <v/>
      </c>
      <c r="IP2" s="44" t="str">
        <f t="shared" ref="IP2:IP33" si="136">IF(HQ2&lt;&gt;"",CHAR(34)&amp;"blue"&amp;CHAR(34),"")</f>
        <v>"blue"</v>
      </c>
      <c r="IQ2" s="44" t="str">
        <f t="shared" ref="IQ2:IQ33" si="137">IF(HR2&lt;&gt;"",CHAR(34)&amp;"green"&amp;CHAR(34),"")</f>
        <v>"green"</v>
      </c>
      <c r="IR2" s="44" t="str">
        <f t="shared" ref="IR2:IR33" si="138">IF(HS2&lt;&gt;"",CHAR(34)&amp;"red"&amp;CHAR(34),"")</f>
        <v/>
      </c>
      <c r="IS2" s="44" t="str">
        <f t="shared" ref="IS2:IS33" si="139">IF(HT2&lt;&gt;"",CHAR(34)&amp;"yellow"&amp;CHAR(34),"")</f>
        <v>"yellow"</v>
      </c>
      <c r="IT2" s="44" t="str">
        <f t="shared" ref="IT2:IT33" si="140">IF(HU2&lt;&gt;"",CHAR(34)&amp;"orange"&amp;CHAR(34),"")</f>
        <v/>
      </c>
      <c r="IU2" s="44" t="str">
        <f t="shared" ref="IU2:IU33" si="141">IF(HV2&lt;&gt;"",CHAR(34)&amp;"brown"&amp;CHAR(34),"")</f>
        <v/>
      </c>
      <c r="IV2" s="44" t="str">
        <f t="shared" ref="IV2:IV33" si="142">IF(HW2&lt;&gt;"",CHAR(34)&amp;"purple"&amp;CHAR(34),"")</f>
        <v/>
      </c>
      <c r="IW2" s="44" t="str">
        <f t="shared" ref="IW2:IW33" si="143">IF(HX2&lt;&gt;"",CHAR(34)&amp;"white"&amp;CHAR(34),"")</f>
        <v>"white"</v>
      </c>
      <c r="IX2" s="44" t="str">
        <f t="shared" ref="IX2:IX33" si="144">"{"&amp;CHAR(34)&amp;"url"&amp;CHAR(34)&amp;":"&amp;CHAR(34)&amp;IN2&amp;CHAR(34)&amp;","&amp;CHAR(34)&amp;"name"&amp;CHAR(34)&amp;":"&amp;CHAR(34)&amp;A2&amp;CHAR(34)&amp;"},"</f>
        <v>{"url":"http://mkweb.bcgsc.ca/color-summarizer/?url=https://i.ibb.co/M5577xy/Brazil-Flag.png&amp;precision=low&amp;num_clusters=4&amp;text=1","name":"Brazil"},</v>
      </c>
      <c r="IY2" s="44">
        <v>31</v>
      </c>
    </row>
    <row r="3" spans="1:259" s="44" customFormat="1" ht="38.4" customHeight="1" thickBot="1" x14ac:dyDescent="0.35">
      <c r="A3" s="84" t="s">
        <v>315</v>
      </c>
      <c r="B3" s="83" t="e" vm="25">
        <v>#VALUE!</v>
      </c>
      <c r="C3" s="39">
        <v>2</v>
      </c>
      <c r="D3" s="70" t="s">
        <v>316</v>
      </c>
      <c r="E3" s="40" t="s">
        <v>317</v>
      </c>
      <c r="F3" s="41" t="s">
        <v>163</v>
      </c>
      <c r="G3" s="42">
        <f t="shared" si="0"/>
        <v>1</v>
      </c>
      <c r="H3" s="43"/>
      <c r="I3" s="59" t="s">
        <v>318</v>
      </c>
      <c r="J3" s="44" t="str">
        <f>""</f>
        <v/>
      </c>
      <c r="K3" s="45"/>
      <c r="L3" s="46"/>
      <c r="M3" s="46"/>
      <c r="N3" s="47" t="s">
        <v>177</v>
      </c>
      <c r="O3" s="74" t="s">
        <v>219</v>
      </c>
      <c r="P3" s="48" t="s">
        <v>319</v>
      </c>
      <c r="Q3" s="73">
        <v>1</v>
      </c>
      <c r="R3" s="49" t="s">
        <v>177</v>
      </c>
      <c r="S3" s="50">
        <v>2</v>
      </c>
      <c r="T3" s="51" t="s">
        <v>165</v>
      </c>
      <c r="U3" s="52" t="s">
        <v>164</v>
      </c>
      <c r="V3" s="52" t="s">
        <v>164</v>
      </c>
      <c r="W3" s="52" t="s">
        <v>164</v>
      </c>
      <c r="X3" s="52" t="s">
        <v>164</v>
      </c>
      <c r="Y3" s="52" t="s">
        <v>164</v>
      </c>
      <c r="Z3" s="52" t="s">
        <v>164</v>
      </c>
      <c r="AA3" s="52" t="s">
        <v>164</v>
      </c>
      <c r="AB3" s="52" t="s">
        <v>164</v>
      </c>
      <c r="AC3" s="52" t="s">
        <v>164</v>
      </c>
      <c r="AD3" s="52" t="s">
        <v>164</v>
      </c>
      <c r="AE3" s="52" t="s">
        <v>164</v>
      </c>
      <c r="AF3" s="53" t="s">
        <v>164</v>
      </c>
      <c r="AG3" s="53" t="s">
        <v>164</v>
      </c>
      <c r="AH3" s="53" t="s">
        <v>164</v>
      </c>
      <c r="AI3" s="53" t="s">
        <v>164</v>
      </c>
      <c r="AJ3" s="53" t="s">
        <v>164</v>
      </c>
      <c r="AK3" s="53" t="s">
        <v>164</v>
      </c>
      <c r="AL3" s="53" t="s">
        <v>164</v>
      </c>
      <c r="AM3" s="53" t="s">
        <v>164</v>
      </c>
      <c r="AN3" s="53" t="s">
        <v>164</v>
      </c>
      <c r="AO3" s="53" t="s">
        <v>164</v>
      </c>
      <c r="AP3" s="53" t="s">
        <v>164</v>
      </c>
      <c r="AQ3" s="53" t="s">
        <v>164</v>
      </c>
      <c r="AR3" s="53" t="s">
        <v>164</v>
      </c>
      <c r="AS3" s="53" t="s">
        <v>164</v>
      </c>
      <c r="AT3" s="54">
        <v>1</v>
      </c>
      <c r="AU3" s="53" t="s">
        <v>308</v>
      </c>
      <c r="AV3" s="53" t="str">
        <f t="shared" si="1"/>
        <v>[BRA]State[BRA] Acre</v>
      </c>
      <c r="AW3" s="53" t="str">
        <f t="shared" si="2"/>
        <v>2[BRA] Acre</v>
      </c>
      <c r="AX3" s="55"/>
      <c r="AY3" s="55"/>
      <c r="AZ3" s="56" t="s">
        <v>154</v>
      </c>
      <c r="BA3" s="56"/>
      <c r="BB3" s="56"/>
      <c r="BC3" s="57"/>
      <c r="BD3" s="58" t="s">
        <v>153</v>
      </c>
      <c r="BE3" s="59"/>
      <c r="BF3" s="58" t="s">
        <v>155</v>
      </c>
      <c r="BG3" s="58"/>
      <c r="BH3" s="58" t="s">
        <v>153</v>
      </c>
      <c r="BI3" s="58"/>
      <c r="BJ3" s="58"/>
      <c r="BK3" s="59"/>
      <c r="BL3" s="58" t="s">
        <v>155</v>
      </c>
      <c r="BM3" s="58" t="s">
        <v>153</v>
      </c>
      <c r="BN3" s="58" t="s">
        <v>154</v>
      </c>
      <c r="BO3" s="58"/>
      <c r="BP3" s="58"/>
      <c r="BQ3" s="58"/>
      <c r="BR3" s="58"/>
      <c r="BS3" s="58"/>
      <c r="BT3" s="58"/>
      <c r="BU3" s="60"/>
      <c r="BV3" s="61"/>
      <c r="BW3" s="61">
        <v>0</v>
      </c>
      <c r="BX3" s="59"/>
      <c r="BY3" s="44" t="s">
        <v>165</v>
      </c>
      <c r="CB3" s="5"/>
      <c r="CC3" s="5"/>
      <c r="CD3" s="62">
        <v>0</v>
      </c>
      <c r="CE3" s="62">
        <v>0</v>
      </c>
      <c r="CF3" s="62" t="e">
        <v>#REF!</v>
      </c>
      <c r="CG3" s="75" cm="1">
        <f t="array" ref="CG3">SUMPRODUCT(--(LEN(TRIM(BL3:BT3))&gt;0))</f>
        <v>3</v>
      </c>
      <c r="CH3" s="53" t="str">
        <f t="shared" si="3"/>
        <v>n</v>
      </c>
      <c r="CI3" s="53" t="str">
        <f t="shared" si="4"/>
        <v>y</v>
      </c>
      <c r="CJ3" s="53" t="str">
        <f t="shared" si="5"/>
        <v>n</v>
      </c>
      <c r="CK3" s="53" t="str">
        <f t="shared" si="6"/>
        <v>n</v>
      </c>
      <c r="CL3" s="53" t="str">
        <f t="shared" si="7"/>
        <v>n</v>
      </c>
      <c r="CM3" s="53" t="str">
        <f t="shared" si="8"/>
        <v>y</v>
      </c>
      <c r="CN3" s="53" t="str">
        <f t="shared" si="9"/>
        <v>n</v>
      </c>
      <c r="CO3" s="53" t="str">
        <f t="shared" si="10"/>
        <v>n</v>
      </c>
      <c r="CP3" s="53" t="str">
        <f t="shared" si="11"/>
        <v>n</v>
      </c>
      <c r="CQ3" s="53" t="str">
        <f t="shared" si="12"/>
        <v>y</v>
      </c>
      <c r="CR3" s="53" t="str">
        <f t="shared" si="13"/>
        <v>n</v>
      </c>
      <c r="CS3" s="53" t="str">
        <f t="shared" si="14"/>
        <v>n</v>
      </c>
      <c r="CT3" s="38" t="str">
        <f t="shared" si="15"/>
        <v>"[BRA] Acre"</v>
      </c>
      <c r="CU3" s="63" t="str">
        <f t="shared" si="16"/>
        <v>"rgn_South America"</v>
      </c>
      <c r="CV3" s="44" t="str">
        <f t="shared" si="17"/>
        <v>"https://upload.wikimedia.org/wikipedia/commons/thumb/4/4c/Bandeira_do_Acre.svg/640px-Bandeira_do_Acre.svg.png"</v>
      </c>
      <c r="CW3" s="44" t="str">
        <f t="shared" si="18"/>
        <v/>
      </c>
      <c r="CX3" s="44" t="str">
        <f t="shared" si="19"/>
        <v>"3Color",</v>
      </c>
      <c r="CY3" s="44" t="str">
        <f t="shared" si="20"/>
        <v/>
      </c>
      <c r="CZ3" s="44" t="str">
        <f t="shared" si="21"/>
        <v/>
      </c>
      <c r="DA3" s="44" t="str">
        <f t="shared" si="22"/>
        <v/>
      </c>
      <c r="DB3" s="44" t="str">
        <f t="shared" si="23"/>
        <v/>
      </c>
      <c r="DC3" s="44" t="str">
        <f t="shared" si="24"/>
        <v/>
      </c>
      <c r="DD3" s="44" t="str">
        <f t="shared" si="25"/>
        <v>"lets04",</v>
      </c>
      <c r="DE3" s="44" t="str">
        <f t="shared" si="26"/>
        <v>"startA",</v>
      </c>
      <c r="DF3" s="44" t="str">
        <f t="shared" si="27"/>
        <v/>
      </c>
      <c r="DG3" s="44" t="str">
        <f t="shared" si="28"/>
        <v/>
      </c>
      <c r="DH3" s="44" t="str">
        <f t="shared" si="29"/>
        <v/>
      </c>
      <c r="DI3" s="44" t="str">
        <f t="shared" si="30"/>
        <v/>
      </c>
      <c r="DJ3" s="44" t="str">
        <f t="shared" si="31"/>
        <v/>
      </c>
      <c r="DK3" s="44" t="str">
        <f t="shared" si="32"/>
        <v/>
      </c>
      <c r="DL3" s="44" t="str">
        <f t="shared" si="33"/>
        <v/>
      </c>
      <c r="DM3" s="44" t="str" cm="1">
        <f t="array" ref="DM3">IF(CG3=3,CHAR(34) &amp; _xlfn.TEXTJOIN("", TRUE, RIGHT(HP3:HX3, 2)) &amp; CHAR(34) &amp; ",", "")</f>
        <v>"REEDEL",</v>
      </c>
      <c r="DN3" s="44" t="str">
        <f t="shared" si="34"/>
        <v/>
      </c>
      <c r="DO3" s="44" t="str">
        <f t="shared" si="35"/>
        <v>"year19",</v>
      </c>
      <c r="DP3" s="5" t="str">
        <f t="shared" si="36"/>
        <v/>
      </c>
      <c r="DQ3" s="5" t="str">
        <f t="shared" si="37"/>
        <v/>
      </c>
      <c r="DR3" s="5" t="str">
        <f t="shared" si="38"/>
        <v>"dgband",</v>
      </c>
      <c r="DS3" s="5" t="str">
        <f t="shared" si="39"/>
        <v/>
      </c>
      <c r="DT3" s="5" t="str">
        <f t="shared" si="40"/>
        <v/>
      </c>
      <c r="DU3" s="5" t="str">
        <f t="shared" si="41"/>
        <v>"alldia",</v>
      </c>
      <c r="DV3" s="44" t="str">
        <f t="shared" si="42"/>
        <v/>
      </c>
      <c r="DW3" s="44" t="str">
        <f t="shared" si="43"/>
        <v/>
      </c>
      <c r="DX3" s="44" t="str">
        <f t="shared" si="44"/>
        <v>"2Bands",</v>
      </c>
      <c r="DY3" s="44" t="str">
        <f t="shared" si="45"/>
        <v/>
      </c>
      <c r="DZ3" s="44" t="str">
        <f t="shared" si="46"/>
        <v/>
      </c>
      <c r="EA3" s="44" t="str">
        <f t="shared" si="47"/>
        <v>"Diagon",</v>
      </c>
      <c r="EB3" s="44" t="str">
        <f t="shared" si="48"/>
        <v/>
      </c>
      <c r="EC3" s="44" t="str">
        <f t="shared" si="49"/>
        <v/>
      </c>
      <c r="ED3" s="44" t="str">
        <f t="shared" si="50"/>
        <v/>
      </c>
      <c r="EE3" s="44" t="str">
        <f t="shared" si="51"/>
        <v/>
      </c>
      <c r="EF3" s="44" t="str">
        <f t="shared" si="52"/>
        <v/>
      </c>
      <c r="EG3" s="44" t="str">
        <f t="shared" si="53"/>
        <v/>
      </c>
      <c r="EH3" s="44" t="str">
        <f t="shared" si="54"/>
        <v/>
      </c>
      <c r="EI3" s="44" t="str">
        <f t="shared" si="55"/>
        <v/>
      </c>
      <c r="EJ3" s="44" t="str">
        <f t="shared" si="56"/>
        <v/>
      </c>
      <c r="EK3" s="44" t="str">
        <f t="shared" si="57"/>
        <v/>
      </c>
      <c r="EL3" s="44" t="str">
        <f t="shared" si="58"/>
        <v/>
      </c>
      <c r="EM3" s="44" t="str">
        <f t="shared" si="59"/>
        <v/>
      </c>
      <c r="EN3" s="44" t="str">
        <f t="shared" si="60"/>
        <v/>
      </c>
      <c r="EO3" s="44" t="str">
        <f t="shared" si="61"/>
        <v/>
      </c>
      <c r="EP3" s="44" t="str">
        <f t="shared" si="62"/>
        <v/>
      </c>
      <c r="EQ3" s="44" t="str">
        <f t="shared" si="63"/>
        <v/>
      </c>
      <c r="ER3" s="44" t="str">
        <f t="shared" si="64"/>
        <v/>
      </c>
      <c r="ES3" s="44" t="str">
        <f t="shared" si="65"/>
        <v/>
      </c>
      <c r="ET3" s="44" t="str">
        <f t="shared" si="66"/>
        <v/>
      </c>
      <c r="EU3" s="44" t="str">
        <f t="shared" si="67"/>
        <v/>
      </c>
      <c r="EV3" s="44" t="str">
        <f t="shared" si="68"/>
        <v/>
      </c>
      <c r="EW3" s="44" t="str">
        <f t="shared" si="69"/>
        <v/>
      </c>
      <c r="EX3" s="44" t="str">
        <f t="shared" si="70"/>
        <v/>
      </c>
      <c r="EY3" s="44" t="str">
        <f t="shared" si="71"/>
        <v/>
      </c>
      <c r="EZ3" s="44" t="str">
        <f t="shared" si="72"/>
        <v/>
      </c>
      <c r="FA3" s="44" t="str">
        <f t="shared" si="73"/>
        <v>"staRED",</v>
      </c>
      <c r="FB3" s="44" t="str">
        <f t="shared" si="74"/>
        <v/>
      </c>
      <c r="FC3" s="44" t="str">
        <f t="shared" si="75"/>
        <v/>
      </c>
      <c r="FD3" s="44" t="str">
        <f t="shared" si="76"/>
        <v/>
      </c>
      <c r="FE3" s="44" t="str">
        <f t="shared" si="77"/>
        <v>"NO_BLU",</v>
      </c>
      <c r="FF3" s="44" t="str">
        <f t="shared" si="78"/>
        <v>"NO_WHI",</v>
      </c>
      <c r="FG3" s="44" t="str">
        <f t="shared" si="79"/>
        <v/>
      </c>
      <c r="FH3" s="44" t="str">
        <f t="shared" si="80"/>
        <v/>
      </c>
      <c r="FI3" s="44" t="str">
        <f t="shared" si="81"/>
        <v/>
      </c>
      <c r="FJ3" s="44" t="str">
        <f t="shared" si="82"/>
        <v>"NO_BLA",</v>
      </c>
      <c r="FK3" s="44" t="str">
        <f t="shared" si="83"/>
        <v/>
      </c>
      <c r="FL3" s="44" t="str">
        <f t="shared" si="84"/>
        <v/>
      </c>
      <c r="FM3" s="44" t="str">
        <f t="shared" si="85"/>
        <v>"BAWHNO",</v>
      </c>
      <c r="FN3" s="44" t="str">
        <f t="shared" si="86"/>
        <v>"BLWHNO",</v>
      </c>
      <c r="FO3" s="44" t="str">
        <f t="shared" si="87"/>
        <v/>
      </c>
      <c r="FP3" s="44" t="str">
        <f t="shared" si="88"/>
        <v>"WHRENO",</v>
      </c>
      <c r="FQ3" s="44" t="str">
        <f t="shared" si="89"/>
        <v>"001YEL",</v>
      </c>
      <c r="FR3" s="44" t="str">
        <f t="shared" si="90"/>
        <v/>
      </c>
      <c r="FS3" s="44" t="str">
        <f t="shared" si="91"/>
        <v>"003GRE",</v>
      </c>
      <c r="FT3" s="44" t="str">
        <f t="shared" si="92"/>
        <v>"myrGRE",</v>
      </c>
      <c r="FU3" s="44" t="str">
        <f t="shared" si="93"/>
        <v/>
      </c>
      <c r="FV3" s="44" t="str">
        <f t="shared" si="94"/>
        <v/>
      </c>
      <c r="FW3" s="44" t="str">
        <f t="shared" si="95"/>
        <v/>
      </c>
      <c r="FX3" s="44" t="str">
        <f t="shared" si="96"/>
        <v/>
      </c>
      <c r="FY3" s="44" t="str">
        <f t="shared" si="97"/>
        <v/>
      </c>
      <c r="FZ3" s="44" t="str">
        <f t="shared" si="98"/>
        <v/>
      </c>
      <c r="GA3" s="44" t="str">
        <f t="shared" si="99"/>
        <v/>
      </c>
      <c r="GB3" s="44" t="str">
        <f t="shared" si="100"/>
        <v/>
      </c>
      <c r="GC3" s="44" t="str">
        <f t="shared" si="101"/>
        <v/>
      </c>
      <c r="GD3" s="44" t="str">
        <f t="shared" si="102"/>
        <v/>
      </c>
      <c r="GE3" s="44" t="str">
        <f t="shared" si="103"/>
        <v/>
      </c>
      <c r="GF3" s="44" t="str">
        <f t="shared" ref="GF3:GF33" si="145">IFERROR(IF(SEARCH("Historical",AU3)&gt;0,CHAR(34)&amp;"histor"&amp;CHAR(34)&amp;",",""),"")</f>
        <v/>
      </c>
      <c r="GG3" s="44" t="str">
        <f t="shared" si="104"/>
        <v/>
      </c>
      <c r="GH3" s="44" t="str">
        <f t="shared" si="105"/>
        <v/>
      </c>
      <c r="GI3" s="44" t="str">
        <f t="shared" si="106"/>
        <v/>
      </c>
      <c r="GJ3" s="44" t="str">
        <f t="shared" si="107"/>
        <v/>
      </c>
      <c r="GK3" s="44" t="str">
        <f t="shared" si="108"/>
        <v>"HasSta",</v>
      </c>
      <c r="GL3" s="44" t="str">
        <f t="shared" si="109"/>
        <v>"1Stars",</v>
      </c>
      <c r="GM3" s="44" t="str">
        <f t="shared" si="110"/>
        <v/>
      </c>
      <c r="GN3" s="44" t="str">
        <f t="shared" si="111"/>
        <v/>
      </c>
      <c r="GP3" s="44" t="str">
        <f t="shared" si="112"/>
        <v>"State"</v>
      </c>
      <c r="GS3" s="44" t="str">
        <f t="shared" si="113"/>
        <v>["3Color","lets04","startA","REEDEL","year19","dgband","alldia","2Bands","Diagon","staRED","NO_BLU","NO_WHI","NO_BLA","BAWHNO","BLWHNO","WHRENO","001YEL","003GRE","myrGRE","HasSta","1Stars"]</v>
      </c>
      <c r="GT3" s="44" t="str">
        <f t="shared" si="114"/>
        <v>"cl_YEL",</v>
      </c>
      <c r="GU3" s="44" t="str">
        <f t="shared" si="115"/>
        <v>"cl_GRE",</v>
      </c>
      <c r="GV3" s="44" t="str">
        <f t="shared" si="116"/>
        <v>"cl_RED",</v>
      </c>
      <c r="GW3" s="44" t="str">
        <f t="shared" si="117"/>
        <v/>
      </c>
      <c r="GX3" s="44" t="str">
        <f t="shared" si="118"/>
        <v/>
      </c>
      <c r="GY3" s="44" t="str">
        <f t="shared" si="119"/>
        <v/>
      </c>
      <c r="GZ3" s="44" t="str">
        <f t="shared" si="120"/>
        <v/>
      </c>
      <c r="HA3" s="44" t="str">
        <f t="shared" si="121"/>
        <v/>
      </c>
      <c r="HB3" s="44" t="str">
        <f t="shared" si="122"/>
        <v/>
      </c>
      <c r="HC3" s="44" t="str">
        <f t="shared" si="123"/>
        <v>["cl_YEL","cl_GRE","cl_RED"]</v>
      </c>
      <c r="HE3" s="64"/>
      <c r="HF3" s="65" t="str">
        <f t="shared" si="124"/>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links: "https://en.wikipedia.org/wiki/Flag_of_Acre"},</v>
      </c>
      <c r="HG3" s="66" t="str">
        <f t="shared" si="125"/>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links: "https://en.wikipedia.org/wiki/Flag_of_Acre"},</v>
      </c>
      <c r="HH3" s="44" t="str">
        <f t="shared" si="126"/>
        <v>"\nThe yellow represents the riches of the earth, the green represents hope, the red star in the upper left, called the Altaneira Star, represents the blood of those who fought for the annexation of the current state of Acre to Brazil. "</v>
      </c>
      <c r="HI3" s="44" t="str">
        <f t="shared" si="127"/>
        <v>"\nThe yellow represents the riches of the earth, the green represents hope, the red star in the upper left, called the Altaneira Star, represents the blood of those who fought for the annexation of the current state of Acre to Brazil. "</v>
      </c>
      <c r="HJ3" s="44" t="str">
        <f t="shared" si="128"/>
        <v>"1995 "</v>
      </c>
      <c r="HL3" s="44" t="str">
        <f t="shared" si="129"/>
        <v>"https://en.wikipedia.org/wiki/Flag_of_Acre"</v>
      </c>
      <c r="HM3" s="65" t="str">
        <f t="shared" si="130"/>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N3" s="67" t="str">
        <f t="shared" si="131"/>
        <v>{"couname":"[BRA] Acre","year":"1995 ","region":"rgn_South America","Colors":["cl_YEL","cl_GRE","cl_RED"],"Items":["3Color","lets04","startA","REEDEL","year19","dgband","alldia","2Bands","Diagon","staRED","NO_BLU","NO_WHI","NO_BLA","BAWHNO","BLWHNO","WHRENO","001YEL","003GRE","myrGRE","HasSta","1Stars"],"Flag":"https://upload.wikimedia.org/wikipedia/commons/thumb/4/4c/Bandeira_do_Acre.svg/640px-Bandeira_do_Acre.svg.png","HDFlag":"https://upload.wikimedia.org/wikipedia/commons/thumb/4/4c/Bandeira_do_Acre.svg/2560px-Bandeira_do_Acre.svg.png","type":"State", "describe": "\nThe yellow represents the riches of the earth, the green represents hope, the red star in the upper left, called the Altaneira Star, represents the blood of those who fought for the annexation of the current state of Acre to Brazil. ", "isnew": ".", "links": "https://en.wikipedia.org/wiki/Flag_of_Acre"},</v>
      </c>
      <c r="HO3" s="71"/>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L3" s="44">
        <f t="shared" si="132"/>
        <v>0</v>
      </c>
      <c r="IM3" s="42">
        <f t="shared" si="133"/>
        <v>-3</v>
      </c>
      <c r="IN3" s="69" t="str">
        <f t="shared" si="134"/>
        <v>http://mkweb.bcgsc.ca/color-summarizer/?url=https://upload.wikimedia.org/wikipedia/commons/thumb/4/4c/Bandeira_do_Acre.svg/640px-Bandeira_do_Acre.svg.png&amp;precision=low&amp;num_clusters=3&amp;text=1</v>
      </c>
      <c r="IO3" s="44" t="str">
        <f t="shared" si="135"/>
        <v/>
      </c>
      <c r="IP3" s="44" t="str">
        <f t="shared" si="136"/>
        <v/>
      </c>
      <c r="IQ3" s="44" t="str">
        <f t="shared" si="137"/>
        <v>"green"</v>
      </c>
      <c r="IR3" s="44" t="str">
        <f t="shared" si="138"/>
        <v>"red"</v>
      </c>
      <c r="IS3" s="44" t="str">
        <f t="shared" si="139"/>
        <v>"yellow"</v>
      </c>
      <c r="IT3" s="44" t="str">
        <f t="shared" si="140"/>
        <v/>
      </c>
      <c r="IU3" s="44" t="str">
        <f t="shared" si="141"/>
        <v/>
      </c>
      <c r="IV3" s="44" t="str">
        <f t="shared" si="142"/>
        <v/>
      </c>
      <c r="IW3" s="44" t="str">
        <f t="shared" si="143"/>
        <v/>
      </c>
      <c r="IX3" s="44" t="str">
        <f t="shared" si="144"/>
        <v>{"url":"http://mkweb.bcgsc.ca/color-summarizer/?url=https://upload.wikimedia.org/wikipedia/commons/thumb/4/4c/Bandeira_do_Acre.svg/640px-Bandeira_do_Acre.svg.png&amp;precision=low&amp;num_clusters=3&amp;text=1","name":"[BRA] Acre"},</v>
      </c>
      <c r="IY3" s="44">
        <v>327</v>
      </c>
    </row>
    <row r="4" spans="1:259" s="44" customFormat="1" ht="38.4" customHeight="1" thickBot="1" x14ac:dyDescent="0.35">
      <c r="A4" s="84" t="s">
        <v>320</v>
      </c>
      <c r="B4" s="83" t="e" vm="26">
        <v>#VALUE!</v>
      </c>
      <c r="C4" s="39">
        <v>2</v>
      </c>
      <c r="D4" s="70" t="s">
        <v>321</v>
      </c>
      <c r="E4" s="40" t="s">
        <v>322</v>
      </c>
      <c r="F4" s="41" t="s">
        <v>163</v>
      </c>
      <c r="G4" s="42">
        <f t="shared" si="0"/>
        <v>1</v>
      </c>
      <c r="H4" s="43"/>
      <c r="I4" s="59" t="s">
        <v>323</v>
      </c>
      <c r="J4" s="44" t="str">
        <f>""</f>
        <v/>
      </c>
      <c r="K4" s="45"/>
      <c r="L4" s="46"/>
      <c r="M4" s="46"/>
      <c r="N4" s="47" t="s">
        <v>177</v>
      </c>
      <c r="O4" s="74" t="s">
        <v>243</v>
      </c>
      <c r="P4" s="48" t="s">
        <v>1197</v>
      </c>
      <c r="Q4" s="73">
        <v>1</v>
      </c>
      <c r="R4" s="49" t="s">
        <v>177</v>
      </c>
      <c r="S4" s="50">
        <v>3</v>
      </c>
      <c r="T4" s="51" t="s">
        <v>164</v>
      </c>
      <c r="U4" s="52" t="s">
        <v>164</v>
      </c>
      <c r="V4" s="52" t="s">
        <v>164</v>
      </c>
      <c r="W4" s="52" t="s">
        <v>165</v>
      </c>
      <c r="X4" s="52" t="s">
        <v>164</v>
      </c>
      <c r="Y4" s="52" t="s">
        <v>324</v>
      </c>
      <c r="Z4" s="52" t="s">
        <v>164</v>
      </c>
      <c r="AA4" s="52" t="s">
        <v>165</v>
      </c>
      <c r="AB4" s="52" t="s">
        <v>164</v>
      </c>
      <c r="AC4" s="52" t="s">
        <v>164</v>
      </c>
      <c r="AD4" s="52" t="s">
        <v>164</v>
      </c>
      <c r="AE4" s="52" t="s">
        <v>164</v>
      </c>
      <c r="AF4" s="53" t="s">
        <v>164</v>
      </c>
      <c r="AG4" s="53" t="s">
        <v>164</v>
      </c>
      <c r="AH4" s="53" t="s">
        <v>165</v>
      </c>
      <c r="AI4" s="53" t="s">
        <v>164</v>
      </c>
      <c r="AJ4" s="53" t="s">
        <v>164</v>
      </c>
      <c r="AK4" s="53" t="s">
        <v>164</v>
      </c>
      <c r="AL4" s="53" t="s">
        <v>165</v>
      </c>
      <c r="AM4" s="53" t="s">
        <v>164</v>
      </c>
      <c r="AN4" s="53" t="s">
        <v>164</v>
      </c>
      <c r="AO4" s="53" t="s">
        <v>165</v>
      </c>
      <c r="AP4" s="53" t="s">
        <v>164</v>
      </c>
      <c r="AQ4" s="53" t="s">
        <v>164</v>
      </c>
      <c r="AR4" s="53" t="s">
        <v>164</v>
      </c>
      <c r="AS4" s="53" t="s">
        <v>165</v>
      </c>
      <c r="AT4" s="54">
        <v>1</v>
      </c>
      <c r="AU4" s="53" t="s">
        <v>308</v>
      </c>
      <c r="AV4" s="53" t="str">
        <f t="shared" si="1"/>
        <v>[BRA]State[BRA] Alagoas</v>
      </c>
      <c r="AW4" s="53" t="str">
        <f t="shared" si="2"/>
        <v>2[BRA] Alagoas</v>
      </c>
      <c r="AX4" s="55"/>
      <c r="AY4" s="55"/>
      <c r="AZ4" s="56" t="s">
        <v>159</v>
      </c>
      <c r="BA4" s="56"/>
      <c r="BB4" s="56"/>
      <c r="BC4" s="57"/>
      <c r="BD4" s="58" t="s">
        <v>167</v>
      </c>
      <c r="BE4" s="59"/>
      <c r="BF4" s="58" t="s">
        <v>154</v>
      </c>
      <c r="BG4" s="58" t="s">
        <v>159</v>
      </c>
      <c r="BH4" s="58" t="s">
        <v>152</v>
      </c>
      <c r="BI4" s="58"/>
      <c r="BJ4" s="58"/>
      <c r="BK4" s="59"/>
      <c r="BL4" s="58" t="s">
        <v>154</v>
      </c>
      <c r="BM4" s="58" t="s">
        <v>159</v>
      </c>
      <c r="BN4" s="58" t="s">
        <v>152</v>
      </c>
      <c r="BO4" s="58" t="s">
        <v>153</v>
      </c>
      <c r="BP4" s="58" t="s">
        <v>155</v>
      </c>
      <c r="BQ4" s="58" t="s">
        <v>151</v>
      </c>
      <c r="BR4" s="58"/>
      <c r="BS4" s="58"/>
      <c r="BT4" s="58"/>
      <c r="BU4" s="60"/>
      <c r="BV4" s="61"/>
      <c r="BW4" s="61">
        <v>0</v>
      </c>
      <c r="BX4" s="59"/>
      <c r="CB4" s="5"/>
      <c r="CC4" s="5"/>
      <c r="CD4" s="62">
        <v>0</v>
      </c>
      <c r="CE4" s="62">
        <v>0</v>
      </c>
      <c r="CF4" s="62" t="e">
        <v>#REF!</v>
      </c>
      <c r="CG4" s="75" cm="1">
        <f t="array" ref="CG4">SUMPRODUCT(--(LEN(TRIM(BL4:BT4))&gt;0))</f>
        <v>6</v>
      </c>
      <c r="CH4" s="53" t="str">
        <f t="shared" si="3"/>
        <v>n</v>
      </c>
      <c r="CI4" s="53" t="str">
        <f t="shared" si="4"/>
        <v>n</v>
      </c>
      <c r="CJ4" s="53" t="str">
        <f t="shared" si="5"/>
        <v>n</v>
      </c>
      <c r="CK4" s="53" t="str">
        <f t="shared" si="6"/>
        <v>y</v>
      </c>
      <c r="CL4" s="53" t="str">
        <f t="shared" si="7"/>
        <v>n</v>
      </c>
      <c r="CM4" s="53" t="str">
        <f t="shared" si="8"/>
        <v>n</v>
      </c>
      <c r="CN4" s="53" t="str">
        <f t="shared" si="9"/>
        <v>y</v>
      </c>
      <c r="CO4" s="53" t="str">
        <f t="shared" si="10"/>
        <v>n</v>
      </c>
      <c r="CP4" s="53" t="str">
        <f t="shared" si="11"/>
        <v>n</v>
      </c>
      <c r="CQ4" s="53" t="str">
        <f t="shared" si="12"/>
        <v>y</v>
      </c>
      <c r="CR4" s="53" t="str">
        <f t="shared" si="13"/>
        <v>n</v>
      </c>
      <c r="CS4" s="53" t="str">
        <f t="shared" si="14"/>
        <v>n</v>
      </c>
      <c r="CT4" s="38" t="str">
        <f t="shared" si="15"/>
        <v>"[BRA] Alagoas"</v>
      </c>
      <c r="CU4" s="63" t="str">
        <f t="shared" si="16"/>
        <v>"rgn_South America"</v>
      </c>
      <c r="CV4" s="44" t="str">
        <f t="shared" si="17"/>
        <v>"https://upload.wikimedia.org/wikipedia/commons/thumb/8/88/Bandeira_de_Alagoas.svg/640px-Bandeira_de_Alagoas.svg.png"</v>
      </c>
      <c r="CW4" s="44" t="str">
        <f t="shared" si="18"/>
        <v/>
      </c>
      <c r="CX4" s="44" t="str">
        <f t="shared" si="19"/>
        <v/>
      </c>
      <c r="CY4" s="44" t="str">
        <f t="shared" si="20"/>
        <v/>
      </c>
      <c r="CZ4" s="44" t="str">
        <f t="shared" si="21"/>
        <v>"5+Colo",</v>
      </c>
      <c r="DA4" s="44" t="str">
        <f t="shared" si="22"/>
        <v/>
      </c>
      <c r="DB4" s="44" t="str">
        <f t="shared" si="23"/>
        <v/>
      </c>
      <c r="DC4" s="44" t="str">
        <f t="shared" si="24"/>
        <v/>
      </c>
      <c r="DD4" s="44" t="str">
        <f t="shared" si="25"/>
        <v>"lets07",</v>
      </c>
      <c r="DE4" s="44" t="str">
        <f t="shared" si="26"/>
        <v>"startA",</v>
      </c>
      <c r="DF4" s="44" t="str">
        <f t="shared" si="27"/>
        <v/>
      </c>
      <c r="DG4" s="44" t="str">
        <f t="shared" si="28"/>
        <v/>
      </c>
      <c r="DH4" s="44" t="str">
        <f t="shared" si="29"/>
        <v/>
      </c>
      <c r="DI4" s="44" t="str">
        <f t="shared" si="30"/>
        <v/>
      </c>
      <c r="DJ4" s="44" t="str">
        <f t="shared" si="31"/>
        <v/>
      </c>
      <c r="DK4" s="44" t="str">
        <f t="shared" si="32"/>
        <v/>
      </c>
      <c r="DL4" s="44" t="str">
        <f t="shared" si="33"/>
        <v/>
      </c>
      <c r="DM4" s="44" t="str" cm="1">
        <f t="array" ref="DM4">IF(CG4=3,CHAR(34) &amp; _xlfn.TEXTJOIN("", TRUE, RIGHT(HP4:HX4, 2)) &amp; CHAR(34) &amp; ",", "")</f>
        <v/>
      </c>
      <c r="DN4" s="44" t="str">
        <f t="shared" si="34"/>
        <v/>
      </c>
      <c r="DO4" s="44" t="str">
        <f t="shared" si="35"/>
        <v>"year19",</v>
      </c>
      <c r="DP4" s="5" t="str">
        <f t="shared" si="36"/>
        <v/>
      </c>
      <c r="DQ4" s="5" t="str">
        <f t="shared" si="37"/>
        <v/>
      </c>
      <c r="DR4" s="5" t="str">
        <f t="shared" si="38"/>
        <v/>
      </c>
      <c r="DS4" s="5" t="str">
        <f t="shared" si="39"/>
        <v>"allver",</v>
      </c>
      <c r="DT4" s="5" t="str">
        <f t="shared" si="40"/>
        <v/>
      </c>
      <c r="DU4" s="5" t="str">
        <f t="shared" si="41"/>
        <v/>
      </c>
      <c r="DV4" s="44" t="str">
        <f t="shared" si="42"/>
        <v/>
      </c>
      <c r="DW4" s="44" t="str">
        <f t="shared" si="43"/>
        <v/>
      </c>
      <c r="DX4" s="44" t="str">
        <f t="shared" si="44"/>
        <v/>
      </c>
      <c r="DY4" s="44" t="str">
        <f t="shared" si="45"/>
        <v>"3Bands",</v>
      </c>
      <c r="DZ4" s="44" t="str">
        <f t="shared" si="46"/>
        <v/>
      </c>
      <c r="EA4" s="44" t="str">
        <f t="shared" si="47"/>
        <v/>
      </c>
      <c r="EB4" s="44" t="str">
        <f t="shared" si="48"/>
        <v/>
      </c>
      <c r="EC4" s="44" t="str">
        <f t="shared" si="49"/>
        <v/>
      </c>
      <c r="ED4" s="44" t="str">
        <f t="shared" si="50"/>
        <v>"Vertic",</v>
      </c>
      <c r="EE4" s="44" t="str">
        <f t="shared" si="51"/>
        <v/>
      </c>
      <c r="EF4" s="44" t="str">
        <f t="shared" si="52"/>
        <v>"Animal",</v>
      </c>
      <c r="EG4" s="44" t="str">
        <f t="shared" si="53"/>
        <v/>
      </c>
      <c r="EH4" s="44" t="str">
        <f t="shared" si="54"/>
        <v>"Plants",</v>
      </c>
      <c r="EI4" s="44" t="str">
        <f t="shared" si="55"/>
        <v/>
      </c>
      <c r="EJ4" s="44" t="str">
        <f t="shared" si="56"/>
        <v/>
      </c>
      <c r="EK4" s="44" t="str">
        <f t="shared" si="57"/>
        <v/>
      </c>
      <c r="EL4" s="44" t="str">
        <f t="shared" si="58"/>
        <v/>
      </c>
      <c r="EM4" s="44" t="str">
        <f t="shared" si="59"/>
        <v/>
      </c>
      <c r="EN4" s="44" t="str">
        <f t="shared" si="60"/>
        <v/>
      </c>
      <c r="EO4" s="44" t="str">
        <f t="shared" si="61"/>
        <v>"Center",</v>
      </c>
      <c r="EP4" s="44" t="str">
        <f t="shared" si="62"/>
        <v/>
      </c>
      <c r="EQ4" s="44" t="str">
        <f t="shared" si="63"/>
        <v/>
      </c>
      <c r="ER4" s="44" t="str">
        <f t="shared" si="64"/>
        <v/>
      </c>
      <c r="ES4" s="44" t="str">
        <f t="shared" si="65"/>
        <v>"Wavess",</v>
      </c>
      <c r="ET4" s="44" t="str">
        <f t="shared" si="66"/>
        <v/>
      </c>
      <c r="EU4" s="44" t="str">
        <f t="shared" si="67"/>
        <v/>
      </c>
      <c r="EV4" s="44" t="str">
        <f t="shared" si="68"/>
        <v>"Builds",</v>
      </c>
      <c r="EW4" s="44" t="str">
        <f t="shared" si="69"/>
        <v/>
      </c>
      <c r="EX4" s="44" t="str">
        <f t="shared" si="70"/>
        <v/>
      </c>
      <c r="EY4" s="44" t="str">
        <f t="shared" si="71"/>
        <v/>
      </c>
      <c r="EZ4" s="44" t="str">
        <f t="shared" si="72"/>
        <v>"Waters",</v>
      </c>
      <c r="FA4" s="44" t="str">
        <f t="shared" si="73"/>
        <v>"staWHI",</v>
      </c>
      <c r="FB4" s="44" t="str">
        <f t="shared" si="74"/>
        <v/>
      </c>
      <c r="FC4" s="44" t="str">
        <f t="shared" si="75"/>
        <v/>
      </c>
      <c r="FD4" s="44" t="str">
        <f t="shared" si="76"/>
        <v/>
      </c>
      <c r="FE4" s="44" t="str">
        <f t="shared" si="77"/>
        <v/>
      </c>
      <c r="FF4" s="44" t="str">
        <f t="shared" si="78"/>
        <v/>
      </c>
      <c r="FG4" s="44" t="str">
        <f t="shared" si="79"/>
        <v/>
      </c>
      <c r="FH4" s="44" t="str">
        <f t="shared" si="80"/>
        <v/>
      </c>
      <c r="FI4" s="44" t="str">
        <f t="shared" si="81"/>
        <v/>
      </c>
      <c r="FJ4" s="44" t="str">
        <f t="shared" si="82"/>
        <v/>
      </c>
      <c r="FK4" s="44" t="str">
        <f t="shared" si="83"/>
        <v/>
      </c>
      <c r="FL4" s="44" t="str">
        <f t="shared" si="84"/>
        <v/>
      </c>
      <c r="FM4" s="44" t="str">
        <f t="shared" si="85"/>
        <v/>
      </c>
      <c r="FN4" s="44" t="str">
        <f t="shared" si="86"/>
        <v/>
      </c>
      <c r="FO4" s="44" t="str">
        <f t="shared" si="87"/>
        <v/>
      </c>
      <c r="FP4" s="44" t="str">
        <f t="shared" si="88"/>
        <v/>
      </c>
      <c r="FQ4" s="44" t="str">
        <f t="shared" si="89"/>
        <v>"001RED",</v>
      </c>
      <c r="FR4" s="44" t="str">
        <f t="shared" si="90"/>
        <v>"002WHI",</v>
      </c>
      <c r="FS4" s="44" t="str">
        <f t="shared" si="91"/>
        <v>"003BLU",</v>
      </c>
      <c r="FT4" s="44" t="str">
        <f t="shared" si="92"/>
        <v>"myrEQ",</v>
      </c>
      <c r="FU4" s="44" t="str">
        <f t="shared" si="93"/>
        <v/>
      </c>
      <c r="FV4" s="44" t="str">
        <f t="shared" si="94"/>
        <v/>
      </c>
      <c r="FW4" s="44" t="str">
        <f t="shared" si="95"/>
        <v/>
      </c>
      <c r="FX4" s="44" t="str">
        <f t="shared" si="96"/>
        <v/>
      </c>
      <c r="FY4" s="44" t="str">
        <f t="shared" si="97"/>
        <v/>
      </c>
      <c r="FZ4" s="44" t="str">
        <f t="shared" si="98"/>
        <v/>
      </c>
      <c r="GA4" s="44" t="str">
        <f t="shared" si="99"/>
        <v/>
      </c>
      <c r="GB4" s="44" t="str">
        <f t="shared" si="100"/>
        <v/>
      </c>
      <c r="GC4" s="44" t="str">
        <f t="shared" si="101"/>
        <v/>
      </c>
      <c r="GD4" s="44" t="str">
        <f t="shared" si="102"/>
        <v/>
      </c>
      <c r="GE4" s="44" t="str">
        <f t="shared" si="103"/>
        <v/>
      </c>
      <c r="GF4" s="44" t="str">
        <f t="shared" si="145"/>
        <v/>
      </c>
      <c r="GG4" s="44" t="str">
        <f t="shared" si="104"/>
        <v/>
      </c>
      <c r="GH4" s="44" t="str">
        <f t="shared" si="105"/>
        <v/>
      </c>
      <c r="GI4" s="44" t="str">
        <f t="shared" si="106"/>
        <v/>
      </c>
      <c r="GJ4" s="44" t="str">
        <f t="shared" si="107"/>
        <v/>
      </c>
      <c r="GK4" s="44" t="str">
        <f t="shared" si="108"/>
        <v>"HasSta",</v>
      </c>
      <c r="GL4" s="44" t="str">
        <f t="shared" si="109"/>
        <v>"1Stars",</v>
      </c>
      <c r="GM4" s="44" t="str">
        <f t="shared" si="110"/>
        <v/>
      </c>
      <c r="GN4" s="44" t="str">
        <f t="shared" si="111"/>
        <v/>
      </c>
      <c r="GP4" s="44" t="str">
        <f t="shared" si="112"/>
        <v>"State"</v>
      </c>
      <c r="GS4" s="44" t="str">
        <f t="shared" si="113"/>
        <v>["5+Colo","lets07","startA","year19","allver","3Bands","Vertic","Animal","Plants","Center","Wavess","Builds","Waters","staWHI","001RED","002WHI","003BLU","myrEQ","HasSta","1Stars"]</v>
      </c>
      <c r="GT4" s="44" t="str">
        <f t="shared" si="114"/>
        <v>"cl_RED",</v>
      </c>
      <c r="GU4" s="44" t="str">
        <f t="shared" si="115"/>
        <v>"cl_WHI",</v>
      </c>
      <c r="GV4" s="44" t="str">
        <f t="shared" si="116"/>
        <v>"cl_BLU",</v>
      </c>
      <c r="GW4" s="44" t="str">
        <f t="shared" si="117"/>
        <v>"cl_GRE",</v>
      </c>
      <c r="GX4" s="44" t="str">
        <f t="shared" si="118"/>
        <v>"cl_YEL",</v>
      </c>
      <c r="GY4" s="44" t="str">
        <f t="shared" si="119"/>
        <v>"cl_BLA",</v>
      </c>
      <c r="GZ4" s="44" t="str">
        <f t="shared" si="120"/>
        <v/>
      </c>
      <c r="HA4" s="44" t="str">
        <f t="shared" si="121"/>
        <v/>
      </c>
      <c r="HB4" s="44" t="str">
        <f t="shared" si="122"/>
        <v/>
      </c>
      <c r="HC4" s="44" t="str">
        <f t="shared" si="123"/>
        <v>["cl_RED","cl_WHI","cl_BLU","cl_GRE","cl_YEL","cl_BLA"]</v>
      </c>
      <c r="HE4" s="64"/>
      <c r="HF4" s="65" t="str">
        <f t="shared" si="124"/>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links: "https://en.wikipedia.org/wiki/Flag_of_Alagoas"},</v>
      </c>
      <c r="HG4" s="66" t="str">
        <f t="shared" si="125"/>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links: "https://en.wikipedia.org/wiki/Flag_of_Alagoas"},</v>
      </c>
      <c r="HH4" s="44" t="str">
        <f t="shared" si="126"/>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I4" s="44" t="str">
        <f t="shared" si="127"/>
        <v>"\nThe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v>
      </c>
      <c r="HJ4" s="44" t="str">
        <f t="shared" si="128"/>
        <v>"1963 "</v>
      </c>
      <c r="HL4" s="44" t="str">
        <f t="shared" si="129"/>
        <v>"https://en.wikipedia.org/wiki/Flag_of_Alagoas"</v>
      </c>
      <c r="HM4" s="65" t="str">
        <f t="shared" si="130"/>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N4" s="67" t="str">
        <f t="shared" si="131"/>
        <v>{"couname":"[BRA] Alagoas","year":"1963 ","region":"rgn_South America","Colors":["cl_RED","cl_WHI","cl_BLU","cl_GRE","cl_YEL","cl_BLA"],"Items":["5+Colo","lets07","startA","year19","allver","3Bands","Vertic","Animal","Plants","Center","Wavess","Builds","Waters","staWHI","001RED","002WHI","003BLU","myrEQ","HasSta","1Stars"],"Flag":"https://upload.wikimedia.org/wikipedia/commons/thumb/8/88/Bandeira_de_Alagoas.svg/640px-Bandeira_de_Alagoas.svg.png","HDFlag":"https://upload.wikimedia.org/wikipedia/commons/thumb/8/88/Bandeira_de_Alagoas.svg/2560px-Bandeira_de_Alagoas.svg.png","type":"State", "describe": "\nThe colors (red, white, and blue) refer to the French Tricolor, symbolizing the ideals of the French Revolution: liberté, égalité, fraternité. The three shells represent the three historic villages of the state, present-day Porto Calvo, Marechal Deodoro, and Penedo. The three fish represent the three main and largest lagoons of the then-town: Mundaú, Manguaba, and Jequiá, and also represent fishing. The green bouquets in the center of the flag depict sugarcane and cotton. The five-pointed silver star is a Brazilian heraldic tradition and refers to the star on the coat of arms of Brazil.", "isnew": ".", "links": "https://en.wikipedia.org/wiki/Flag_of_Alagoas"},</v>
      </c>
      <c r="HO4" s="71"/>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 t="shared" si="132"/>
        <v>0</v>
      </c>
      <c r="IM4" s="42">
        <f t="shared" si="133"/>
        <v>-6</v>
      </c>
      <c r="IN4" s="69" t="str">
        <f t="shared" si="134"/>
        <v>http://mkweb.bcgsc.ca/color-summarizer/?url=https://upload.wikimedia.org/wikipedia/commons/thumb/8/88/Bandeira_de_Alagoas.svg/640px-Bandeira_de_Alagoas.svg.png&amp;precision=low&amp;num_clusters=6&amp;text=1</v>
      </c>
      <c r="IO4" s="44" t="str">
        <f t="shared" si="135"/>
        <v>"black"</v>
      </c>
      <c r="IP4" s="44" t="str">
        <f t="shared" si="136"/>
        <v>"blue"</v>
      </c>
      <c r="IQ4" s="44" t="str">
        <f t="shared" si="137"/>
        <v>"green"</v>
      </c>
      <c r="IR4" s="44" t="str">
        <f t="shared" si="138"/>
        <v>"red"</v>
      </c>
      <c r="IS4" s="44" t="str">
        <f t="shared" si="139"/>
        <v>"yellow"</v>
      </c>
      <c r="IT4" s="44" t="str">
        <f t="shared" si="140"/>
        <v/>
      </c>
      <c r="IU4" s="44" t="str">
        <f t="shared" si="141"/>
        <v/>
      </c>
      <c r="IV4" s="44" t="str">
        <f t="shared" si="142"/>
        <v/>
      </c>
      <c r="IW4" s="44" t="str">
        <f t="shared" si="143"/>
        <v>"white"</v>
      </c>
      <c r="IX4" s="44" t="str">
        <f t="shared" si="144"/>
        <v>{"url":"http://mkweb.bcgsc.ca/color-summarizer/?url=https://upload.wikimedia.org/wikipedia/commons/thumb/8/88/Bandeira_de_Alagoas.svg/640px-Bandeira_de_Alagoas.svg.png&amp;precision=low&amp;num_clusters=6&amp;text=1","name":"[BRA] Alagoas"},</v>
      </c>
      <c r="IY4" s="44">
        <v>328</v>
      </c>
    </row>
    <row r="5" spans="1:259" s="44" customFormat="1" ht="38.4" customHeight="1" thickBot="1" x14ac:dyDescent="0.35">
      <c r="A5" s="84" t="s">
        <v>325</v>
      </c>
      <c r="B5" s="83" t="e" vm="27">
        <v>#VALUE!</v>
      </c>
      <c r="C5" s="39">
        <v>2</v>
      </c>
      <c r="D5" s="70" t="s">
        <v>326</v>
      </c>
      <c r="E5" s="40" t="s">
        <v>327</v>
      </c>
      <c r="F5" s="41" t="s">
        <v>163</v>
      </c>
      <c r="G5" s="42">
        <f t="shared" si="0"/>
        <v>1</v>
      </c>
      <c r="H5" s="43"/>
      <c r="I5" s="59" t="s">
        <v>328</v>
      </c>
      <c r="J5" s="44" t="str">
        <f>""</f>
        <v/>
      </c>
      <c r="K5" s="45"/>
      <c r="L5" s="46"/>
      <c r="M5" s="46"/>
      <c r="N5" s="47" t="s">
        <v>177</v>
      </c>
      <c r="O5" s="74" t="s">
        <v>195</v>
      </c>
      <c r="P5" s="48" t="s">
        <v>329</v>
      </c>
      <c r="Q5" s="73">
        <v>1</v>
      </c>
      <c r="R5" s="49" t="s">
        <v>177</v>
      </c>
      <c r="S5" s="50">
        <v>9</v>
      </c>
      <c r="T5" s="51" t="s">
        <v>165</v>
      </c>
      <c r="U5" s="52" t="s">
        <v>164</v>
      </c>
      <c r="V5" s="52" t="s">
        <v>165</v>
      </c>
      <c r="W5" s="52" t="s">
        <v>164</v>
      </c>
      <c r="X5" s="52" t="s">
        <v>164</v>
      </c>
      <c r="Y5" s="52" t="s">
        <v>164</v>
      </c>
      <c r="Z5" s="52" t="s">
        <v>164</v>
      </c>
      <c r="AA5" s="52" t="s">
        <v>164</v>
      </c>
      <c r="AB5" s="52" t="s">
        <v>164</v>
      </c>
      <c r="AC5" s="52" t="s">
        <v>164</v>
      </c>
      <c r="AD5" s="52" t="s">
        <v>164</v>
      </c>
      <c r="AE5" s="52" t="s">
        <v>164</v>
      </c>
      <c r="AF5" s="53" t="s">
        <v>164</v>
      </c>
      <c r="AG5" s="53" t="s">
        <v>164</v>
      </c>
      <c r="AH5" s="53" t="s">
        <v>164</v>
      </c>
      <c r="AI5" s="53" t="s">
        <v>164</v>
      </c>
      <c r="AJ5" s="53" t="s">
        <v>164</v>
      </c>
      <c r="AK5" s="53" t="s">
        <v>164</v>
      </c>
      <c r="AL5" s="53" t="s">
        <v>164</v>
      </c>
      <c r="AM5" s="53" t="s">
        <v>164</v>
      </c>
      <c r="AN5" s="53" t="s">
        <v>164</v>
      </c>
      <c r="AO5" s="53" t="s">
        <v>164</v>
      </c>
      <c r="AP5" s="53" t="s">
        <v>164</v>
      </c>
      <c r="AQ5" s="53" t="s">
        <v>164</v>
      </c>
      <c r="AR5" s="53" t="s">
        <v>164</v>
      </c>
      <c r="AS5" s="53" t="s">
        <v>164</v>
      </c>
      <c r="AT5" s="54">
        <v>0</v>
      </c>
      <c r="AU5" s="53" t="s">
        <v>308</v>
      </c>
      <c r="AV5" s="53" t="str">
        <f t="shared" si="1"/>
        <v>[BRA]State[BRA] Amapá</v>
      </c>
      <c r="AW5" s="53" t="str">
        <f t="shared" si="2"/>
        <v>2[BRA] Amapá</v>
      </c>
      <c r="AX5" s="55"/>
      <c r="AY5" s="55"/>
      <c r="AZ5" s="56"/>
      <c r="BA5" s="56"/>
      <c r="BB5" s="56"/>
      <c r="BC5" s="57"/>
      <c r="BD5" s="58" t="s">
        <v>153</v>
      </c>
      <c r="BE5" s="59"/>
      <c r="BF5" s="58" t="s">
        <v>152</v>
      </c>
      <c r="BG5" s="58" t="s">
        <v>153</v>
      </c>
      <c r="BH5" s="58" t="s">
        <v>155</v>
      </c>
      <c r="BI5" s="58" t="s">
        <v>159</v>
      </c>
      <c r="BJ5" s="58" t="s">
        <v>151</v>
      </c>
      <c r="BK5" s="59"/>
      <c r="BL5" s="58" t="s">
        <v>153</v>
      </c>
      <c r="BM5" s="58" t="s">
        <v>159</v>
      </c>
      <c r="BN5" s="58" t="s">
        <v>152</v>
      </c>
      <c r="BO5" s="58" t="s">
        <v>155</v>
      </c>
      <c r="BP5" s="58" t="s">
        <v>151</v>
      </c>
      <c r="BQ5" s="58"/>
      <c r="BR5" s="58"/>
      <c r="BS5" s="58"/>
      <c r="BT5" s="58"/>
      <c r="BU5" s="60"/>
      <c r="BV5" s="61"/>
      <c r="BW5" s="61">
        <v>0</v>
      </c>
      <c r="BX5" s="59"/>
      <c r="BY5" s="44" t="s">
        <v>164</v>
      </c>
      <c r="CB5" s="5"/>
      <c r="CC5" s="5"/>
      <c r="CD5" s="62">
        <v>0</v>
      </c>
      <c r="CE5" s="62">
        <v>0</v>
      </c>
      <c r="CF5" s="62" t="e">
        <v>#REF!</v>
      </c>
      <c r="CG5" s="75" cm="1">
        <f t="array" ref="CG5">SUMPRODUCT(--(LEN(TRIM(BL5:BT5))&gt;0))</f>
        <v>5</v>
      </c>
      <c r="CH5" s="53" t="str">
        <f t="shared" si="3"/>
        <v>n</v>
      </c>
      <c r="CI5" s="53" t="str">
        <f t="shared" si="4"/>
        <v>n</v>
      </c>
      <c r="CJ5" s="53" t="str">
        <f t="shared" si="5"/>
        <v>n</v>
      </c>
      <c r="CK5" s="53" t="str">
        <f t="shared" si="6"/>
        <v>y</v>
      </c>
      <c r="CL5" s="53" t="str">
        <f t="shared" si="7"/>
        <v>n</v>
      </c>
      <c r="CM5" s="53" t="str">
        <f t="shared" si="8"/>
        <v>n</v>
      </c>
      <c r="CN5" s="53" t="str">
        <f t="shared" si="9"/>
        <v>n</v>
      </c>
      <c r="CO5" s="53" t="str">
        <f t="shared" si="10"/>
        <v>y</v>
      </c>
      <c r="CP5" s="53" t="str">
        <f t="shared" si="11"/>
        <v>y</v>
      </c>
      <c r="CQ5" s="53" t="str">
        <f t="shared" si="12"/>
        <v>n</v>
      </c>
      <c r="CR5" s="53" t="str">
        <f t="shared" si="13"/>
        <v>n</v>
      </c>
      <c r="CS5" s="53" t="str">
        <f t="shared" si="14"/>
        <v>n</v>
      </c>
      <c r="CT5" s="38" t="str">
        <f t="shared" si="15"/>
        <v>"[BRA] Amapá"</v>
      </c>
      <c r="CU5" s="63" t="str">
        <f t="shared" si="16"/>
        <v>"rgn_South America"</v>
      </c>
      <c r="CV5" s="44" t="str">
        <f t="shared" si="17"/>
        <v>"https://upload.wikimedia.org/wikipedia/commons/thumb/0/0c/Bandeira_do_Amap%C3%A1.svg/640px-Bandeira_do_Amap%C3%A1.svg.png"</v>
      </c>
      <c r="CW5" s="44" t="str">
        <f t="shared" si="18"/>
        <v/>
      </c>
      <c r="CX5" s="44" t="str">
        <f t="shared" si="19"/>
        <v/>
      </c>
      <c r="CY5" s="44" t="str">
        <f t="shared" si="20"/>
        <v/>
      </c>
      <c r="CZ5" s="44" t="str">
        <f t="shared" si="21"/>
        <v>"5+Colo",</v>
      </c>
      <c r="DA5" s="44" t="str">
        <f t="shared" si="22"/>
        <v/>
      </c>
      <c r="DB5" s="44" t="str">
        <f t="shared" si="23"/>
        <v/>
      </c>
      <c r="DC5" s="44" t="str">
        <f t="shared" si="24"/>
        <v/>
      </c>
      <c r="DD5" s="44" t="str">
        <f t="shared" si="25"/>
        <v>"lets05",</v>
      </c>
      <c r="DE5" s="44" t="str">
        <f t="shared" si="26"/>
        <v>"startA",</v>
      </c>
      <c r="DF5" s="44" t="str">
        <f t="shared" si="27"/>
        <v/>
      </c>
      <c r="DG5" s="44" t="str">
        <f t="shared" si="28"/>
        <v/>
      </c>
      <c r="DH5" s="44" t="str">
        <f t="shared" si="29"/>
        <v/>
      </c>
      <c r="DI5" s="44" t="str">
        <f t="shared" si="30"/>
        <v/>
      </c>
      <c r="DJ5" s="44" t="str">
        <f t="shared" si="31"/>
        <v/>
      </c>
      <c r="DK5" s="44" t="str">
        <f t="shared" si="32"/>
        <v/>
      </c>
      <c r="DL5" s="44" t="str">
        <f t="shared" si="33"/>
        <v/>
      </c>
      <c r="DM5" s="44" t="str" cm="1">
        <f t="array" ref="DM5">IF(CG5=3,CHAR(34) &amp; _xlfn.TEXTJOIN("", TRUE, RIGHT(HP5:HX5, 2)) &amp; CHAR(34) &amp; ",", "")</f>
        <v/>
      </c>
      <c r="DN5" s="44" t="str">
        <f t="shared" si="34"/>
        <v/>
      </c>
      <c r="DO5" s="44" t="str">
        <f t="shared" si="35"/>
        <v>"year19",</v>
      </c>
      <c r="DP5" s="5" t="str">
        <f t="shared" si="36"/>
        <v/>
      </c>
      <c r="DQ5" s="5" t="str">
        <f t="shared" si="37"/>
        <v/>
      </c>
      <c r="DR5" s="5" t="str">
        <f t="shared" si="38"/>
        <v/>
      </c>
      <c r="DS5" s="5" t="str">
        <f t="shared" si="39"/>
        <v/>
      </c>
      <c r="DT5" s="5" t="str">
        <f t="shared" si="40"/>
        <v>"allhor",</v>
      </c>
      <c r="DU5" s="5" t="str">
        <f t="shared" si="41"/>
        <v/>
      </c>
      <c r="DV5" s="44" t="str">
        <f t="shared" si="42"/>
        <v/>
      </c>
      <c r="DW5" s="44" t="str">
        <f t="shared" si="43"/>
        <v/>
      </c>
      <c r="DX5" s="44" t="str">
        <f t="shared" si="44"/>
        <v/>
      </c>
      <c r="DY5" s="44" t="str">
        <f t="shared" si="45"/>
        <v/>
      </c>
      <c r="DZ5" s="44" t="str">
        <f t="shared" si="46"/>
        <v>"4+Band",</v>
      </c>
      <c r="EA5" s="44" t="str">
        <f t="shared" si="47"/>
        <v>"Diagon",</v>
      </c>
      <c r="EB5" s="44" t="str">
        <f t="shared" si="48"/>
        <v/>
      </c>
      <c r="EC5" s="44" t="str">
        <f t="shared" si="49"/>
        <v>"Horizo",</v>
      </c>
      <c r="ED5" s="44" t="str">
        <f t="shared" si="50"/>
        <v/>
      </c>
      <c r="EE5" s="44" t="str">
        <f t="shared" si="51"/>
        <v/>
      </c>
      <c r="EF5" s="44" t="str">
        <f t="shared" si="52"/>
        <v/>
      </c>
      <c r="EG5" s="44" t="str">
        <f t="shared" si="53"/>
        <v/>
      </c>
      <c r="EH5" s="44" t="str">
        <f t="shared" si="54"/>
        <v/>
      </c>
      <c r="EI5" s="44" t="str">
        <f t="shared" si="55"/>
        <v/>
      </c>
      <c r="EJ5" s="44" t="str">
        <f t="shared" si="56"/>
        <v/>
      </c>
      <c r="EK5" s="44" t="str">
        <f t="shared" si="57"/>
        <v/>
      </c>
      <c r="EL5" s="44" t="str">
        <f t="shared" si="58"/>
        <v/>
      </c>
      <c r="EM5" s="44" t="str">
        <f t="shared" si="59"/>
        <v/>
      </c>
      <c r="EN5" s="44" t="str">
        <f t="shared" si="60"/>
        <v/>
      </c>
      <c r="EO5" s="44" t="str">
        <f t="shared" si="61"/>
        <v/>
      </c>
      <c r="EP5" s="44" t="str">
        <f t="shared" si="62"/>
        <v/>
      </c>
      <c r="EQ5" s="44" t="str">
        <f t="shared" si="63"/>
        <v/>
      </c>
      <c r="ER5" s="44" t="str">
        <f t="shared" si="64"/>
        <v/>
      </c>
      <c r="ES5" s="44" t="str">
        <f t="shared" si="65"/>
        <v/>
      </c>
      <c r="ET5" s="44" t="str">
        <f t="shared" si="66"/>
        <v/>
      </c>
      <c r="EU5" s="44" t="str">
        <f t="shared" si="67"/>
        <v/>
      </c>
      <c r="EV5" s="44" t="str">
        <f t="shared" si="68"/>
        <v/>
      </c>
      <c r="EW5" s="44" t="str">
        <f t="shared" si="69"/>
        <v/>
      </c>
      <c r="EX5" s="44" t="str">
        <f t="shared" si="70"/>
        <v/>
      </c>
      <c r="EY5" s="44" t="str">
        <f t="shared" si="71"/>
        <v/>
      </c>
      <c r="EZ5" s="44" t="str">
        <f t="shared" si="72"/>
        <v/>
      </c>
      <c r="FA5" s="44" t="str">
        <f t="shared" si="73"/>
        <v/>
      </c>
      <c r="FB5" s="44" t="str">
        <f t="shared" si="74"/>
        <v/>
      </c>
      <c r="FC5" s="44" t="str">
        <f t="shared" si="75"/>
        <v/>
      </c>
      <c r="FD5" s="44" t="str">
        <f t="shared" si="76"/>
        <v/>
      </c>
      <c r="FE5" s="44" t="str">
        <f t="shared" si="77"/>
        <v/>
      </c>
      <c r="FF5" s="44" t="str">
        <f t="shared" si="78"/>
        <v/>
      </c>
      <c r="FG5" s="44" t="str">
        <f t="shared" si="79"/>
        <v>"NO_RED",</v>
      </c>
      <c r="FH5" s="44" t="str">
        <f t="shared" si="80"/>
        <v/>
      </c>
      <c r="FI5" s="44" t="str">
        <f t="shared" si="81"/>
        <v/>
      </c>
      <c r="FJ5" s="44" t="str">
        <f t="shared" si="82"/>
        <v/>
      </c>
      <c r="FK5" s="44" t="str">
        <f t="shared" si="83"/>
        <v/>
      </c>
      <c r="FL5" s="44" t="str">
        <f t="shared" si="84"/>
        <v/>
      </c>
      <c r="FM5" s="44" t="str">
        <f t="shared" si="85"/>
        <v/>
      </c>
      <c r="FN5" s="44" t="str">
        <f t="shared" si="86"/>
        <v/>
      </c>
      <c r="FO5" s="44" t="str">
        <f t="shared" si="87"/>
        <v/>
      </c>
      <c r="FP5" s="44" t="str">
        <f t="shared" si="88"/>
        <v/>
      </c>
      <c r="FQ5" s="44" t="str">
        <f t="shared" si="89"/>
        <v>"001BLU",</v>
      </c>
      <c r="FR5" s="44" t="str">
        <f t="shared" si="90"/>
        <v>"002GRE",</v>
      </c>
      <c r="FS5" s="44" t="str">
        <f t="shared" si="91"/>
        <v>"003YEL",</v>
      </c>
      <c r="FT5" s="44" t="str">
        <f t="shared" si="92"/>
        <v>"myrGRE",</v>
      </c>
      <c r="FU5" s="44" t="str">
        <f t="shared" si="93"/>
        <v/>
      </c>
      <c r="FV5" s="44" t="str">
        <f t="shared" si="94"/>
        <v/>
      </c>
      <c r="FW5" s="44" t="str">
        <f t="shared" si="95"/>
        <v/>
      </c>
      <c r="FX5" s="44" t="str">
        <f t="shared" si="96"/>
        <v/>
      </c>
      <c r="FY5" s="44" t="str">
        <f t="shared" si="97"/>
        <v/>
      </c>
      <c r="FZ5" s="44" t="str">
        <f t="shared" si="98"/>
        <v/>
      </c>
      <c r="GA5" s="44" t="str">
        <f t="shared" si="99"/>
        <v/>
      </c>
      <c r="GB5" s="44" t="str">
        <f t="shared" si="100"/>
        <v/>
      </c>
      <c r="GC5" s="44" t="str">
        <f t="shared" si="101"/>
        <v/>
      </c>
      <c r="GD5" s="44" t="str">
        <f t="shared" si="102"/>
        <v/>
      </c>
      <c r="GE5" s="44" t="str">
        <f t="shared" si="103"/>
        <v/>
      </c>
      <c r="GF5" s="44" t="str">
        <f t="shared" si="145"/>
        <v/>
      </c>
      <c r="GG5" s="44" t="str">
        <f t="shared" si="104"/>
        <v/>
      </c>
      <c r="GH5" s="44" t="str">
        <f t="shared" si="105"/>
        <v/>
      </c>
      <c r="GI5" s="44" t="str">
        <f t="shared" si="106"/>
        <v/>
      </c>
      <c r="GJ5" s="44" t="str">
        <f t="shared" si="107"/>
        <v>"NoStar",</v>
      </c>
      <c r="GK5" s="44" t="str">
        <f t="shared" si="108"/>
        <v/>
      </c>
      <c r="GL5" s="44" t="str">
        <f t="shared" si="109"/>
        <v/>
      </c>
      <c r="GM5" s="44" t="str">
        <f t="shared" si="110"/>
        <v/>
      </c>
      <c r="GN5" s="44" t="str">
        <f t="shared" si="111"/>
        <v/>
      </c>
      <c r="GP5" s="44" t="str">
        <f t="shared" si="112"/>
        <v>"State"</v>
      </c>
      <c r="GS5" s="44" t="str">
        <f t="shared" si="113"/>
        <v>["5+Colo","lets05","startA","year19","allhor","4+Band","Diagon","Horizo","NO_RED","001BLU","002GRE","003YEL","myrGRE","NoStar"]</v>
      </c>
      <c r="GT5" s="44" t="str">
        <f t="shared" si="114"/>
        <v>"cl_GRE",</v>
      </c>
      <c r="GU5" s="44" t="str">
        <f t="shared" si="115"/>
        <v>"cl_WHI",</v>
      </c>
      <c r="GV5" s="44" t="str">
        <f t="shared" si="116"/>
        <v>"cl_BLU",</v>
      </c>
      <c r="GW5" s="44" t="str">
        <f t="shared" si="117"/>
        <v>"cl_YEL",</v>
      </c>
      <c r="GX5" s="44" t="str">
        <f t="shared" si="118"/>
        <v>"cl_BLA",</v>
      </c>
      <c r="GY5" s="44" t="str">
        <f t="shared" si="119"/>
        <v/>
      </c>
      <c r="GZ5" s="44" t="str">
        <f t="shared" si="120"/>
        <v/>
      </c>
      <c r="HA5" s="44" t="str">
        <f t="shared" si="121"/>
        <v/>
      </c>
      <c r="HB5" s="44" t="str">
        <f t="shared" si="122"/>
        <v/>
      </c>
      <c r="HC5" s="44" t="str">
        <f t="shared" si="123"/>
        <v>["cl_GRE","cl_WHI","cl_BLU","cl_YEL","cl_BLA"]</v>
      </c>
      <c r="HE5" s="64"/>
      <c r="HF5" s="65" t="str">
        <f t="shared" si="124"/>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links: "https://en.wikipedia.org/wiki/Flag_of_Amapá"},</v>
      </c>
      <c r="HG5" s="66" t="str">
        <f t="shared" si="125"/>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links: "https://en.wikipedia.org/wiki/Flag_of_Amapá"},</v>
      </c>
      <c r="HH5" s="44" t="str">
        <f t="shared" si="126"/>
        <v>"\nThe green represents the forests; the yellow represents mineral wealth; the blue represents the sky; the white represents peace; black symbolizes the respect for those who died fighting for the state."</v>
      </c>
      <c r="HI5" s="44" t="str">
        <f t="shared" si="127"/>
        <v>"\nThe green represents the forests; the yellow represents mineral wealth; the blue represents the sky; the white represents peace; black symbolizes the respect for those who died fighting for the state."</v>
      </c>
      <c r="HJ5" s="44" t="str">
        <f t="shared" si="128"/>
        <v>"1984 "</v>
      </c>
      <c r="HL5" s="44" t="str">
        <f t="shared" si="129"/>
        <v>"https://en.wikipedia.org/wiki/Flag_of_Amapá"</v>
      </c>
      <c r="HM5" s="65" t="str">
        <f t="shared" si="130"/>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N5" s="67" t="str">
        <f t="shared" si="131"/>
        <v>{"couname":"[BRA] Amapá","year":"1984 ","region":"rgn_South America","Colors":["cl_GRE","cl_WHI","cl_BLU","cl_YEL","cl_BLA"],"Items":["5+Colo","lets05","startA","year19","allhor","4+Band","Diagon","Horizo","NO_RED","001BLU","002GRE","003YEL","myrGRE","NoStar"],"Flag":"https://upload.wikimedia.org/wikipedia/commons/thumb/0/0c/Bandeira_do_Amap%C3%A1.svg/640px-Bandeira_do_Amap%C3%A1.svg.png","HDFlag":"https://upload.wikimedia.org/wikipedia/commons/thumb/0/0c/Bandeira_do_Amap%C3%A1.svg/2560px-Bandeira_do_Amap%C3%A1.svg.png","type":"State", "describe": "\nThe green represents the forests; the yellow represents mineral wealth; the blue represents the sky; the white represents peace; black symbolizes the respect for those who died fighting for the state.", "isnew": ".", "links": "https://en.wikipedia.org/wiki/Flag_of_Amapá"},</v>
      </c>
      <c r="HO5" s="71"/>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 t="shared" si="132"/>
        <v>0</v>
      </c>
      <c r="IM5" s="42">
        <f t="shared" si="133"/>
        <v>-5</v>
      </c>
      <c r="IN5" s="69" t="str">
        <f t="shared" si="134"/>
        <v>http://mkweb.bcgsc.ca/color-summarizer/?url=https://upload.wikimedia.org/wikipedia/commons/thumb/0/0c/Bandeira_do_Amap%C3%A1.svg/640px-Bandeira_do_Amap%C3%A1.svg.png&amp;precision=low&amp;num_clusters=5&amp;text=1</v>
      </c>
      <c r="IO5" s="44" t="str">
        <f t="shared" si="135"/>
        <v>"black"</v>
      </c>
      <c r="IP5" s="44" t="str">
        <f t="shared" si="136"/>
        <v>"blue"</v>
      </c>
      <c r="IQ5" s="44" t="str">
        <f t="shared" si="137"/>
        <v>"green"</v>
      </c>
      <c r="IR5" s="44" t="str">
        <f t="shared" si="138"/>
        <v/>
      </c>
      <c r="IS5" s="44" t="str">
        <f t="shared" si="139"/>
        <v>"yellow"</v>
      </c>
      <c r="IT5" s="44" t="str">
        <f t="shared" si="140"/>
        <v/>
      </c>
      <c r="IU5" s="44" t="str">
        <f t="shared" si="141"/>
        <v/>
      </c>
      <c r="IV5" s="44" t="str">
        <f t="shared" si="142"/>
        <v/>
      </c>
      <c r="IW5" s="44" t="str">
        <f t="shared" si="143"/>
        <v>"white"</v>
      </c>
      <c r="IX5" s="44" t="str">
        <f t="shared" si="144"/>
        <v>{"url":"http://mkweb.bcgsc.ca/color-summarizer/?url=https://upload.wikimedia.org/wikipedia/commons/thumb/0/0c/Bandeira_do_Amap%C3%A1.svg/640px-Bandeira_do_Amap%C3%A1.svg.png&amp;precision=low&amp;num_clusters=5&amp;text=1","name":"[BRA] Amapá"},</v>
      </c>
      <c r="IY5" s="44">
        <v>329</v>
      </c>
    </row>
    <row r="6" spans="1:259" s="44" customFormat="1" ht="38.4" customHeight="1" thickBot="1" x14ac:dyDescent="0.35">
      <c r="A6" s="84" t="s">
        <v>330</v>
      </c>
      <c r="B6" s="83" t="e" vm="28">
        <v>#VALUE!</v>
      </c>
      <c r="C6" s="39">
        <v>2</v>
      </c>
      <c r="D6" s="70" t="s">
        <v>331</v>
      </c>
      <c r="E6" s="40" t="s">
        <v>332</v>
      </c>
      <c r="F6" s="41" t="s">
        <v>163</v>
      </c>
      <c r="G6" s="42">
        <f t="shared" si="0"/>
        <v>1</v>
      </c>
      <c r="H6" s="43"/>
      <c r="I6" s="59" t="s">
        <v>333</v>
      </c>
      <c r="J6" s="44" t="str">
        <f>""</f>
        <v/>
      </c>
      <c r="K6" s="45"/>
      <c r="L6" s="46"/>
      <c r="M6" s="46"/>
      <c r="N6" s="47" t="s">
        <v>177</v>
      </c>
      <c r="O6" s="74" t="s">
        <v>232</v>
      </c>
      <c r="P6" s="48" t="s">
        <v>334</v>
      </c>
      <c r="Q6" s="73">
        <v>1</v>
      </c>
      <c r="R6" s="49" t="s">
        <v>177</v>
      </c>
      <c r="S6" s="50">
        <v>3</v>
      </c>
      <c r="T6" s="51" t="s">
        <v>164</v>
      </c>
      <c r="U6" s="52" t="s">
        <v>164</v>
      </c>
      <c r="V6" s="52" t="s">
        <v>165</v>
      </c>
      <c r="W6" s="52" t="s">
        <v>164</v>
      </c>
      <c r="X6" s="52" t="s">
        <v>164</v>
      </c>
      <c r="Y6" s="52" t="s">
        <v>164</v>
      </c>
      <c r="Z6" s="52" t="s">
        <v>164</v>
      </c>
      <c r="AA6" s="52" t="s">
        <v>164</v>
      </c>
      <c r="AB6" s="52" t="s">
        <v>164</v>
      </c>
      <c r="AC6" s="52" t="s">
        <v>164</v>
      </c>
      <c r="AD6" s="52" t="s">
        <v>164</v>
      </c>
      <c r="AE6" s="52" t="s">
        <v>164</v>
      </c>
      <c r="AF6" s="53" t="s">
        <v>164</v>
      </c>
      <c r="AG6" s="53" t="s">
        <v>164</v>
      </c>
      <c r="AH6" s="53" t="s">
        <v>164</v>
      </c>
      <c r="AI6" s="53" t="s">
        <v>165</v>
      </c>
      <c r="AJ6" s="53" t="s">
        <v>164</v>
      </c>
      <c r="AK6" s="53" t="s">
        <v>164</v>
      </c>
      <c r="AL6" s="53" t="s">
        <v>164</v>
      </c>
      <c r="AM6" s="53" t="s">
        <v>164</v>
      </c>
      <c r="AN6" s="53" t="s">
        <v>164</v>
      </c>
      <c r="AO6" s="53" t="s">
        <v>164</v>
      </c>
      <c r="AP6" s="53" t="s">
        <v>164</v>
      </c>
      <c r="AQ6" s="53" t="s">
        <v>164</v>
      </c>
      <c r="AR6" s="53" t="s">
        <v>164</v>
      </c>
      <c r="AS6" s="53" t="s">
        <v>164</v>
      </c>
      <c r="AT6" s="54">
        <v>25</v>
      </c>
      <c r="AU6" s="53" t="s">
        <v>308</v>
      </c>
      <c r="AV6" s="53" t="str">
        <f t="shared" si="1"/>
        <v>[BRA]State[BRA] Amazonas</v>
      </c>
      <c r="AW6" s="53" t="str">
        <f t="shared" si="2"/>
        <v>2[BRA] Amazonas</v>
      </c>
      <c r="AX6" s="55"/>
      <c r="AY6" s="55"/>
      <c r="AZ6" s="56" t="s">
        <v>159</v>
      </c>
      <c r="BA6" s="56"/>
      <c r="BB6" s="56"/>
      <c r="BC6" s="57"/>
      <c r="BD6" s="58" t="s">
        <v>159</v>
      </c>
      <c r="BE6" s="59"/>
      <c r="BF6" s="58" t="s">
        <v>159</v>
      </c>
      <c r="BG6" s="58" t="s">
        <v>154</v>
      </c>
      <c r="BH6" s="58" t="s">
        <v>159</v>
      </c>
      <c r="BI6" s="58"/>
      <c r="BJ6" s="58"/>
      <c r="BK6" s="59"/>
      <c r="BL6" s="58" t="s">
        <v>159</v>
      </c>
      <c r="BM6" s="58" t="s">
        <v>154</v>
      </c>
      <c r="BN6" s="58" t="s">
        <v>152</v>
      </c>
      <c r="BO6" s="58"/>
      <c r="BP6" s="58"/>
      <c r="BQ6" s="58"/>
      <c r="BR6" s="58"/>
      <c r="BS6" s="58"/>
      <c r="BT6" s="58"/>
      <c r="BU6" s="60" t="s">
        <v>164</v>
      </c>
      <c r="BV6" s="61"/>
      <c r="BW6" s="61">
        <v>0</v>
      </c>
      <c r="BX6" s="59"/>
      <c r="CB6" s="5"/>
      <c r="CC6" s="5"/>
      <c r="CD6" s="62">
        <v>0</v>
      </c>
      <c r="CE6" s="62">
        <v>0</v>
      </c>
      <c r="CF6" s="62" t="e">
        <v>#REF!</v>
      </c>
      <c r="CG6" s="75" cm="1">
        <f t="array" ref="CG6">SUMPRODUCT(--(LEN(TRIM(BL6:BT6))&gt;0))</f>
        <v>3</v>
      </c>
      <c r="CH6" s="53" t="str">
        <f t="shared" si="3"/>
        <v>n</v>
      </c>
      <c r="CI6" s="53" t="str">
        <f t="shared" si="4"/>
        <v>y</v>
      </c>
      <c r="CJ6" s="53" t="str">
        <f t="shared" si="5"/>
        <v>n</v>
      </c>
      <c r="CK6" s="53" t="str">
        <f t="shared" si="6"/>
        <v>n</v>
      </c>
      <c r="CL6" s="53" t="str">
        <f t="shared" si="7"/>
        <v>n</v>
      </c>
      <c r="CM6" s="53" t="str">
        <f t="shared" si="8"/>
        <v>n</v>
      </c>
      <c r="CN6" s="53" t="str">
        <f t="shared" si="9"/>
        <v>y</v>
      </c>
      <c r="CO6" s="53" t="str">
        <f t="shared" si="10"/>
        <v>n</v>
      </c>
      <c r="CP6" s="53" t="str">
        <f t="shared" si="11"/>
        <v>n</v>
      </c>
      <c r="CQ6" s="53" t="str">
        <f t="shared" si="12"/>
        <v>n</v>
      </c>
      <c r="CR6" s="53" t="str">
        <f t="shared" si="13"/>
        <v>n</v>
      </c>
      <c r="CS6" s="53" t="str">
        <f t="shared" si="14"/>
        <v>y</v>
      </c>
      <c r="CT6" s="38" t="str">
        <f t="shared" si="15"/>
        <v>"[BRA] Amazonas"</v>
      </c>
      <c r="CU6" s="63" t="str">
        <f t="shared" si="16"/>
        <v>"rgn_South America"</v>
      </c>
      <c r="CV6" s="44" t="str">
        <f t="shared" si="17"/>
        <v>"https://upload.wikimedia.org/wikipedia/commons/thumb/6/6b/Bandeira_do_Amazonas.svg/640px-Bandeira_do_Amazonas.svg.png"</v>
      </c>
      <c r="CW6" s="44" t="str">
        <f t="shared" si="18"/>
        <v/>
      </c>
      <c r="CX6" s="44" t="str">
        <f t="shared" si="19"/>
        <v>"3Color",</v>
      </c>
      <c r="CY6" s="44" t="str">
        <f t="shared" si="20"/>
        <v/>
      </c>
      <c r="CZ6" s="44" t="str">
        <f t="shared" si="21"/>
        <v/>
      </c>
      <c r="DA6" s="44" t="str">
        <f t="shared" si="22"/>
        <v/>
      </c>
      <c r="DB6" s="44" t="str">
        <f t="shared" si="23"/>
        <v/>
      </c>
      <c r="DC6" s="44" t="str">
        <f t="shared" si="24"/>
        <v/>
      </c>
      <c r="DD6" s="44" t="str">
        <f t="shared" si="25"/>
        <v>"lets08",</v>
      </c>
      <c r="DE6" s="44" t="str">
        <f t="shared" si="26"/>
        <v>"startA",</v>
      </c>
      <c r="DF6" s="44" t="str">
        <f t="shared" si="27"/>
        <v/>
      </c>
      <c r="DG6" s="44" t="str">
        <f t="shared" si="28"/>
        <v/>
      </c>
      <c r="DH6" s="44" t="str">
        <f t="shared" si="29"/>
        <v/>
      </c>
      <c r="DI6" s="44" t="str">
        <f t="shared" si="30"/>
        <v/>
      </c>
      <c r="DJ6" s="44" t="str">
        <f t="shared" si="31"/>
        <v/>
      </c>
      <c r="DK6" s="44" t="str">
        <f t="shared" si="32"/>
        <v>"with_z",</v>
      </c>
      <c r="DL6" s="44" t="str">
        <f t="shared" si="33"/>
        <v/>
      </c>
      <c r="DM6" s="44" t="str" cm="1">
        <f t="array" ref="DM6">IF(CG6=3,CHAR(34) &amp; _xlfn.TEXTJOIN("", TRUE, RIGHT(HP6:HX6, 2)) &amp; CHAR(34) &amp; ",", "")</f>
        <v>"LUEDHI",</v>
      </c>
      <c r="DN6" s="44" t="str">
        <f t="shared" si="34"/>
        <v/>
      </c>
      <c r="DO6" s="44" t="str">
        <f t="shared" si="35"/>
        <v>"year19",</v>
      </c>
      <c r="DP6" s="5" t="str">
        <f t="shared" si="36"/>
        <v/>
      </c>
      <c r="DQ6" s="5" t="str">
        <f t="shared" si="37"/>
        <v/>
      </c>
      <c r="DR6" s="5" t="str">
        <f t="shared" si="38"/>
        <v/>
      </c>
      <c r="DS6" s="5" t="str">
        <f t="shared" si="39"/>
        <v/>
      </c>
      <c r="DT6" s="5" t="str">
        <f t="shared" si="40"/>
        <v>"allhor",</v>
      </c>
      <c r="DU6" s="5" t="str">
        <f t="shared" si="41"/>
        <v/>
      </c>
      <c r="DV6" s="44" t="str">
        <f t="shared" si="42"/>
        <v/>
      </c>
      <c r="DW6" s="44" t="str">
        <f t="shared" si="43"/>
        <v/>
      </c>
      <c r="DX6" s="44" t="str">
        <f t="shared" si="44"/>
        <v/>
      </c>
      <c r="DY6" s="44" t="str">
        <f t="shared" si="45"/>
        <v>"3Bands",</v>
      </c>
      <c r="DZ6" s="44" t="str">
        <f t="shared" si="46"/>
        <v/>
      </c>
      <c r="EA6" s="44" t="str">
        <f t="shared" si="47"/>
        <v/>
      </c>
      <c r="EB6" s="44" t="str">
        <f t="shared" si="48"/>
        <v/>
      </c>
      <c r="EC6" s="44" t="str">
        <f t="shared" si="49"/>
        <v>"Horizo",</v>
      </c>
      <c r="ED6" s="44" t="str">
        <f t="shared" si="50"/>
        <v/>
      </c>
      <c r="EE6" s="44" t="str">
        <f t="shared" si="51"/>
        <v/>
      </c>
      <c r="EF6" s="44" t="str">
        <f t="shared" si="52"/>
        <v/>
      </c>
      <c r="EG6" s="44" t="str">
        <f t="shared" si="53"/>
        <v/>
      </c>
      <c r="EH6" s="44" t="str">
        <f t="shared" si="54"/>
        <v/>
      </c>
      <c r="EI6" s="44" t="str">
        <f t="shared" si="55"/>
        <v/>
      </c>
      <c r="EJ6" s="44" t="str">
        <f t="shared" si="56"/>
        <v/>
      </c>
      <c r="EK6" s="44" t="str">
        <f t="shared" si="57"/>
        <v/>
      </c>
      <c r="EL6" s="44" t="str">
        <f t="shared" si="58"/>
        <v/>
      </c>
      <c r="EM6" s="44" t="str">
        <f t="shared" si="59"/>
        <v/>
      </c>
      <c r="EN6" s="44" t="str">
        <f t="shared" si="60"/>
        <v/>
      </c>
      <c r="EO6" s="44" t="str">
        <f t="shared" si="61"/>
        <v/>
      </c>
      <c r="EP6" s="44" t="str">
        <f t="shared" si="62"/>
        <v>"Canton",</v>
      </c>
      <c r="EQ6" s="44" t="str">
        <f t="shared" si="63"/>
        <v/>
      </c>
      <c r="ER6" s="44" t="str">
        <f t="shared" si="64"/>
        <v/>
      </c>
      <c r="ES6" s="44" t="str">
        <f t="shared" si="65"/>
        <v/>
      </c>
      <c r="ET6" s="44" t="str">
        <f t="shared" si="66"/>
        <v/>
      </c>
      <c r="EU6" s="44" t="str">
        <f t="shared" si="67"/>
        <v/>
      </c>
      <c r="EV6" s="44" t="str">
        <f t="shared" si="68"/>
        <v/>
      </c>
      <c r="EW6" s="44" t="str">
        <f t="shared" si="69"/>
        <v/>
      </c>
      <c r="EX6" s="44" t="str">
        <f t="shared" si="70"/>
        <v/>
      </c>
      <c r="EY6" s="44" t="str">
        <f t="shared" si="71"/>
        <v/>
      </c>
      <c r="EZ6" s="44" t="str">
        <f t="shared" si="72"/>
        <v/>
      </c>
      <c r="FA6" s="44" t="str">
        <f t="shared" si="73"/>
        <v>"staWHI",</v>
      </c>
      <c r="FB6" s="44" t="str">
        <f t="shared" si="74"/>
        <v/>
      </c>
      <c r="FC6" s="44" t="str">
        <f t="shared" si="75"/>
        <v/>
      </c>
      <c r="FD6" s="44" t="str">
        <f t="shared" si="76"/>
        <v/>
      </c>
      <c r="FE6" s="44" t="str">
        <f t="shared" si="77"/>
        <v/>
      </c>
      <c r="FF6" s="44" t="str">
        <f t="shared" si="78"/>
        <v/>
      </c>
      <c r="FG6" s="44" t="str">
        <f t="shared" si="79"/>
        <v/>
      </c>
      <c r="FH6" s="44" t="str">
        <f t="shared" si="80"/>
        <v>"NO_GRE",</v>
      </c>
      <c r="FI6" s="44" t="str">
        <f t="shared" si="81"/>
        <v>"NO_YEL",</v>
      </c>
      <c r="FJ6" s="44" t="str">
        <f t="shared" si="82"/>
        <v>"NO_BLA",</v>
      </c>
      <c r="FK6" s="44" t="str">
        <f t="shared" si="83"/>
        <v/>
      </c>
      <c r="FL6" s="44" t="str">
        <f t="shared" si="84"/>
        <v/>
      </c>
      <c r="FM6" s="44" t="str">
        <f t="shared" si="85"/>
        <v/>
      </c>
      <c r="FN6" s="44" t="str">
        <f t="shared" si="86"/>
        <v/>
      </c>
      <c r="FO6" s="44" t="str">
        <f t="shared" si="87"/>
        <v/>
      </c>
      <c r="FP6" s="44" t="str">
        <f t="shared" si="88"/>
        <v/>
      </c>
      <c r="FQ6" s="44" t="str">
        <f t="shared" si="89"/>
        <v>"001WHI",</v>
      </c>
      <c r="FR6" s="44" t="str">
        <f t="shared" si="90"/>
        <v>"002RED",</v>
      </c>
      <c r="FS6" s="44" t="str">
        <f t="shared" si="91"/>
        <v>"003WHI",</v>
      </c>
      <c r="FT6" s="44" t="str">
        <f t="shared" si="92"/>
        <v>"myrWHI",</v>
      </c>
      <c r="FU6" s="44" t="str">
        <f t="shared" si="93"/>
        <v/>
      </c>
      <c r="FV6" s="44" t="str">
        <f t="shared" si="94"/>
        <v/>
      </c>
      <c r="FW6" s="44" t="str">
        <f t="shared" si="95"/>
        <v/>
      </c>
      <c r="FX6" s="44" t="str">
        <f t="shared" si="96"/>
        <v/>
      </c>
      <c r="FY6" s="44" t="str">
        <f t="shared" si="97"/>
        <v/>
      </c>
      <c r="FZ6" s="44" t="str">
        <f t="shared" si="98"/>
        <v/>
      </c>
      <c r="GA6" s="44" t="str">
        <f t="shared" si="99"/>
        <v/>
      </c>
      <c r="GB6" s="44" t="str">
        <f t="shared" si="100"/>
        <v/>
      </c>
      <c r="GC6" s="44" t="str">
        <f t="shared" si="101"/>
        <v/>
      </c>
      <c r="GD6" s="44" t="str">
        <f t="shared" si="102"/>
        <v/>
      </c>
      <c r="GE6" s="44" t="str">
        <f t="shared" si="103"/>
        <v/>
      </c>
      <c r="GF6" s="44" t="str">
        <f t="shared" si="145"/>
        <v/>
      </c>
      <c r="GG6" s="44" t="str">
        <f t="shared" si="104"/>
        <v/>
      </c>
      <c r="GH6" s="44" t="str">
        <f t="shared" si="105"/>
        <v/>
      </c>
      <c r="GI6" s="44" t="str">
        <f t="shared" si="106"/>
        <v/>
      </c>
      <c r="GJ6" s="44" t="str">
        <f t="shared" si="107"/>
        <v/>
      </c>
      <c r="GK6" s="44" t="str">
        <f t="shared" si="108"/>
        <v>"HasSta",</v>
      </c>
      <c r="GL6" s="44" t="str">
        <f t="shared" si="109"/>
        <v/>
      </c>
      <c r="GM6" s="44" t="str">
        <f t="shared" si="110"/>
        <v/>
      </c>
      <c r="GN6" s="44" t="str">
        <f t="shared" si="111"/>
        <v>"3+Star",</v>
      </c>
      <c r="GP6" s="44" t="str">
        <f t="shared" si="112"/>
        <v>"State"</v>
      </c>
      <c r="GS6" s="44" t="str">
        <f t="shared" si="113"/>
        <v>["3Color","lets08","startA","with_z","LUEDHI","year19","allhor","3Bands","Horizo","Canton","staWHI","NO_GRE","NO_YEL","NO_BLA","001WHI","002RED","003WHI","myrWHI","HasSta","3+Star"]</v>
      </c>
      <c r="GT6" s="44" t="str">
        <f t="shared" si="114"/>
        <v>"cl_WHI",</v>
      </c>
      <c r="GU6" s="44" t="str">
        <f t="shared" si="115"/>
        <v>"cl_RED",</v>
      </c>
      <c r="GV6" s="44" t="str">
        <f t="shared" si="116"/>
        <v>"cl_BLU",</v>
      </c>
      <c r="GW6" s="44" t="str">
        <f t="shared" si="117"/>
        <v/>
      </c>
      <c r="GX6" s="44" t="str">
        <f t="shared" si="118"/>
        <v/>
      </c>
      <c r="GY6" s="44" t="str">
        <f t="shared" si="119"/>
        <v/>
      </c>
      <c r="GZ6" s="44" t="str">
        <f t="shared" si="120"/>
        <v/>
      </c>
      <c r="HA6" s="44" t="str">
        <f t="shared" si="121"/>
        <v/>
      </c>
      <c r="HB6" s="44" t="str">
        <f t="shared" si="122"/>
        <v/>
      </c>
      <c r="HC6" s="44" t="str">
        <f t="shared" si="123"/>
        <v>["cl_WHI","cl_RED","cl_BLU"]</v>
      </c>
      <c r="HE6" s="64"/>
      <c r="HF6" s="65" t="str">
        <f t="shared" si="124"/>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links: "https://en.wikipedia.org/wiki/Flag_of_Amazonas_(Brazilian_state)"},</v>
      </c>
      <c r="HG6" s="66" t="str">
        <f t="shared" si="125"/>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links: "https://en.wikipedia.org/wiki/Flag_of_Amazonas_(Brazilian_state)"},</v>
      </c>
      <c r="HH6" s="44" t="str">
        <f t="shared" si="126"/>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I6" s="44" t="str">
        <f t="shared" si="127"/>
        <v>"\nThe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v>
      </c>
      <c r="HJ6" s="44" t="str">
        <f t="shared" si="128"/>
        <v>"1982 "</v>
      </c>
      <c r="HL6" s="44" t="str">
        <f t="shared" si="129"/>
        <v>"https://en.wikipedia.org/wiki/Flag_of_Amazonas_(Brazilian_state)"</v>
      </c>
      <c r="HM6" s="65" t="str">
        <f t="shared" si="130"/>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N6" s="67" t="str">
        <f t="shared" si="131"/>
        <v>{"couname":"[BRA] Amazonas","year":"1982 ","region":"rgn_South America","Colors":["cl_WHI","cl_RED","cl_BLU"],"Items":["3Color","lets08","startA","with_z","LUEDHI","year19","allhor","3Bands","Horizo","Canton","staWHI","NO_GRE","NO_YEL","NO_BLA","001WHI","002RED","003WHI","myrWHI","HasSta","3+Star"],"Flag":"https://upload.wikimedia.org/wikipedia/commons/thumb/6/6b/Bandeira_do_Amazonas.svg/640px-Bandeira_do_Amazonas.svg.png","HDFlag":"https://upload.wikimedia.org/wikipedia/commons/thumb/6/6b/Bandeira_do_Amazonas.svg/2560px-Bandeira_do_Amazonas.svg.png","type":"State", "describe": "\nThe twenty-five stars in the upper left corner represent the twenty-five municipalities of the state in 1897, the year that the Military Forces of Amazonas entered into the War of Canudos. The largest star, in the center, represents the capital, Manaus. The two horizontal white bands represent hope, the dark blue of the quadratic drawing, the skies and the red band represents overcoming difficulties", "isnew": ".", "links": "https://en.wikipedia.org/wiki/Flag_of_Amazonas_(Brazilian_state)"},</v>
      </c>
      <c r="HO6" s="71"/>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RED</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 t="shared" si="132"/>
        <v>0</v>
      </c>
      <c r="IM6" s="42">
        <f t="shared" si="133"/>
        <v>-3</v>
      </c>
      <c r="IN6" s="69" t="str">
        <f t="shared" si="134"/>
        <v>http://mkweb.bcgsc.ca/color-summarizer/?url=https://upload.wikimedia.org/wikipedia/commons/thumb/6/6b/Bandeira_do_Amazonas.svg/640px-Bandeira_do_Amazonas.svg.png&amp;precision=low&amp;num_clusters=3&amp;text=1</v>
      </c>
      <c r="IO6" s="44" t="str">
        <f t="shared" si="135"/>
        <v/>
      </c>
      <c r="IP6" s="44" t="str">
        <f t="shared" si="136"/>
        <v>"blue"</v>
      </c>
      <c r="IQ6" s="44" t="str">
        <f t="shared" si="137"/>
        <v/>
      </c>
      <c r="IR6" s="44" t="str">
        <f t="shared" si="138"/>
        <v>"red"</v>
      </c>
      <c r="IS6" s="44" t="str">
        <f t="shared" si="139"/>
        <v/>
      </c>
      <c r="IT6" s="44" t="str">
        <f t="shared" si="140"/>
        <v/>
      </c>
      <c r="IU6" s="44" t="str">
        <f t="shared" si="141"/>
        <v/>
      </c>
      <c r="IV6" s="44" t="str">
        <f t="shared" si="142"/>
        <v/>
      </c>
      <c r="IW6" s="44" t="str">
        <f t="shared" si="143"/>
        <v>"white"</v>
      </c>
      <c r="IX6" s="44" t="str">
        <f t="shared" si="144"/>
        <v>{"url":"http://mkweb.bcgsc.ca/color-summarizer/?url=https://upload.wikimedia.org/wikipedia/commons/thumb/6/6b/Bandeira_do_Amazonas.svg/640px-Bandeira_do_Amazonas.svg.png&amp;precision=low&amp;num_clusters=3&amp;text=1","name":"[BRA] Amazonas"},</v>
      </c>
      <c r="IY6" s="44">
        <v>330</v>
      </c>
    </row>
    <row r="7" spans="1:259" s="44" customFormat="1" ht="38.4" customHeight="1" thickBot="1" x14ac:dyDescent="0.35">
      <c r="A7" s="84" t="s">
        <v>335</v>
      </c>
      <c r="B7" s="83" t="e" vm="29">
        <v>#VALUE!</v>
      </c>
      <c r="C7" s="39">
        <v>2</v>
      </c>
      <c r="D7" s="70" t="s">
        <v>336</v>
      </c>
      <c r="E7" s="40" t="s">
        <v>337</v>
      </c>
      <c r="F7" s="41" t="s">
        <v>163</v>
      </c>
      <c r="G7" s="42">
        <f t="shared" si="0"/>
        <v>1</v>
      </c>
      <c r="H7" s="43"/>
      <c r="I7" s="59" t="s">
        <v>338</v>
      </c>
      <c r="J7" s="44" t="str">
        <f>""</f>
        <v/>
      </c>
      <c r="K7" s="45"/>
      <c r="L7" s="46"/>
      <c r="M7" s="46"/>
      <c r="N7" s="47" t="s">
        <v>177</v>
      </c>
      <c r="O7" s="74" t="s">
        <v>169</v>
      </c>
      <c r="P7" s="48" t="s">
        <v>339</v>
      </c>
      <c r="Q7" s="73">
        <v>1</v>
      </c>
      <c r="R7" s="49" t="s">
        <v>177</v>
      </c>
      <c r="S7" s="50">
        <v>4</v>
      </c>
      <c r="T7" s="51" t="s">
        <v>164</v>
      </c>
      <c r="U7" s="52" t="s">
        <v>164</v>
      </c>
      <c r="V7" s="52" t="s">
        <v>165</v>
      </c>
      <c r="W7" s="52" t="s">
        <v>164</v>
      </c>
      <c r="X7" s="52" t="s">
        <v>164</v>
      </c>
      <c r="Y7" s="52" t="s">
        <v>164</v>
      </c>
      <c r="Z7" s="52" t="s">
        <v>164</v>
      </c>
      <c r="AA7" s="52" t="s">
        <v>164</v>
      </c>
      <c r="AB7" s="52" t="s">
        <v>164</v>
      </c>
      <c r="AC7" s="52" t="s">
        <v>164</v>
      </c>
      <c r="AD7" s="52" t="s">
        <v>164</v>
      </c>
      <c r="AE7" s="52" t="s">
        <v>164</v>
      </c>
      <c r="AF7" s="53" t="s">
        <v>164</v>
      </c>
      <c r="AG7" s="53" t="s">
        <v>164</v>
      </c>
      <c r="AH7" s="53" t="s">
        <v>164</v>
      </c>
      <c r="AI7" s="53" t="s">
        <v>165</v>
      </c>
      <c r="AJ7" s="53" t="s">
        <v>164</v>
      </c>
      <c r="AK7" s="53" t="s">
        <v>164</v>
      </c>
      <c r="AL7" s="53" t="s">
        <v>164</v>
      </c>
      <c r="AM7" s="53" t="s">
        <v>164</v>
      </c>
      <c r="AN7" s="53" t="s">
        <v>164</v>
      </c>
      <c r="AO7" s="53" t="s">
        <v>164</v>
      </c>
      <c r="AP7" s="53" t="s">
        <v>164</v>
      </c>
      <c r="AQ7" s="53" t="s">
        <v>164</v>
      </c>
      <c r="AR7" s="53" t="s">
        <v>164</v>
      </c>
      <c r="AS7" s="53" t="s">
        <v>164</v>
      </c>
      <c r="AT7" s="54">
        <v>0</v>
      </c>
      <c r="AU7" s="53" t="s">
        <v>308</v>
      </c>
      <c r="AV7" s="53" t="str">
        <f t="shared" si="1"/>
        <v>[BRA]State[BRA] Bahia</v>
      </c>
      <c r="AW7" s="53" t="str">
        <f t="shared" si="2"/>
        <v>2[BRA] Bahia</v>
      </c>
      <c r="AX7" s="55"/>
      <c r="AY7" s="55"/>
      <c r="AZ7" s="56"/>
      <c r="BA7" s="56"/>
      <c r="BB7" s="56"/>
      <c r="BC7" s="57"/>
      <c r="BD7" s="58" t="s">
        <v>159</v>
      </c>
      <c r="BE7" s="59"/>
      <c r="BF7" s="58" t="s">
        <v>159</v>
      </c>
      <c r="BG7" s="58"/>
      <c r="BH7" s="58" t="s">
        <v>154</v>
      </c>
      <c r="BI7" s="58"/>
      <c r="BJ7" s="58"/>
      <c r="BK7" s="59"/>
      <c r="BL7" s="58" t="s">
        <v>159</v>
      </c>
      <c r="BM7" s="58" t="s">
        <v>154</v>
      </c>
      <c r="BN7" s="58" t="s">
        <v>152</v>
      </c>
      <c r="BO7" s="58"/>
      <c r="BP7" s="58"/>
      <c r="BQ7" s="58"/>
      <c r="BR7" s="58"/>
      <c r="BS7" s="58"/>
      <c r="BT7" s="58"/>
      <c r="BU7" s="60" t="s">
        <v>164</v>
      </c>
      <c r="BV7" s="61"/>
      <c r="BW7" s="61">
        <v>0</v>
      </c>
      <c r="BX7" s="59"/>
      <c r="CB7" s="5"/>
      <c r="CC7" s="5"/>
      <c r="CD7" s="62">
        <v>0</v>
      </c>
      <c r="CE7" s="62">
        <v>0</v>
      </c>
      <c r="CF7" s="62" t="e">
        <v>#REF!</v>
      </c>
      <c r="CG7" s="75" cm="1">
        <f t="array" ref="CG7">SUMPRODUCT(--(LEN(TRIM(BL7:BT7))&gt;0))</f>
        <v>3</v>
      </c>
      <c r="CH7" s="53" t="str">
        <f t="shared" si="3"/>
        <v>n</v>
      </c>
      <c r="CI7" s="53" t="str">
        <f t="shared" si="4"/>
        <v>y</v>
      </c>
      <c r="CJ7" s="53" t="str">
        <f t="shared" si="5"/>
        <v>n</v>
      </c>
      <c r="CK7" s="53" t="str">
        <f t="shared" si="6"/>
        <v>n</v>
      </c>
      <c r="CL7" s="53" t="str">
        <f t="shared" si="7"/>
        <v>n</v>
      </c>
      <c r="CM7" s="53" t="str">
        <f t="shared" si="8"/>
        <v>n</v>
      </c>
      <c r="CN7" s="53" t="str">
        <f t="shared" si="9"/>
        <v>n</v>
      </c>
      <c r="CO7" s="53" t="str">
        <f t="shared" si="10"/>
        <v>y</v>
      </c>
      <c r="CP7" s="53" t="str">
        <f t="shared" si="11"/>
        <v>y</v>
      </c>
      <c r="CQ7" s="53" t="str">
        <f t="shared" si="12"/>
        <v>n</v>
      </c>
      <c r="CR7" s="53" t="str">
        <f t="shared" si="13"/>
        <v>n</v>
      </c>
      <c r="CS7" s="53" t="str">
        <f t="shared" si="14"/>
        <v>n</v>
      </c>
      <c r="CT7" s="38" t="str">
        <f t="shared" si="15"/>
        <v>"[BRA] Bahia"</v>
      </c>
      <c r="CU7" s="63" t="str">
        <f t="shared" si="16"/>
        <v>"rgn_South America"</v>
      </c>
      <c r="CV7" s="44" t="str">
        <f t="shared" si="17"/>
        <v>"https://upload.wikimedia.org/wikipedia/commons/thumb/2/28/Bandeira_da_Bahia.svg/640px-Bandeira_da_Bahia.svg.png"</v>
      </c>
      <c r="CW7" s="44" t="str">
        <f t="shared" si="18"/>
        <v/>
      </c>
      <c r="CX7" s="44" t="str">
        <f t="shared" si="19"/>
        <v>"3Color",</v>
      </c>
      <c r="CY7" s="44" t="str">
        <f t="shared" si="20"/>
        <v/>
      </c>
      <c r="CZ7" s="44" t="str">
        <f t="shared" si="21"/>
        <v/>
      </c>
      <c r="DA7" s="44" t="str">
        <f t="shared" si="22"/>
        <v/>
      </c>
      <c r="DB7" s="44" t="str">
        <f t="shared" si="23"/>
        <v/>
      </c>
      <c r="DC7" s="44" t="str">
        <f t="shared" si="24"/>
        <v/>
      </c>
      <c r="DD7" s="44" t="str">
        <f t="shared" si="25"/>
        <v>"lets05",</v>
      </c>
      <c r="DE7" s="44" t="str">
        <f t="shared" si="26"/>
        <v>"startB",</v>
      </c>
      <c r="DF7" s="44" t="str">
        <f t="shared" si="27"/>
        <v/>
      </c>
      <c r="DG7" s="44" t="str">
        <f t="shared" si="28"/>
        <v/>
      </c>
      <c r="DH7" s="44" t="str">
        <f t="shared" si="29"/>
        <v/>
      </c>
      <c r="DI7" s="44" t="str">
        <f t="shared" si="30"/>
        <v/>
      </c>
      <c r="DJ7" s="44" t="str">
        <f t="shared" si="31"/>
        <v/>
      </c>
      <c r="DK7" s="44" t="str">
        <f t="shared" si="32"/>
        <v/>
      </c>
      <c r="DL7" s="44" t="str">
        <f t="shared" si="33"/>
        <v/>
      </c>
      <c r="DM7" s="44" t="str" cm="1">
        <f t="array" ref="DM7">IF(CG7=3,CHAR(34) &amp; _xlfn.TEXTJOIN("", TRUE, RIGHT(HP7:HX7, 2)) &amp; CHAR(34) &amp; ",", "")</f>
        <v>"LUEDHI",</v>
      </c>
      <c r="DN7" s="44" t="str">
        <f t="shared" si="34"/>
        <v/>
      </c>
      <c r="DO7" s="44" t="str">
        <f t="shared" si="35"/>
        <v>"year19",</v>
      </c>
      <c r="DP7" s="5" t="str">
        <f t="shared" si="36"/>
        <v/>
      </c>
      <c r="DQ7" s="5" t="str">
        <f t="shared" si="37"/>
        <v/>
      </c>
      <c r="DR7" s="5" t="str">
        <f t="shared" si="38"/>
        <v/>
      </c>
      <c r="DS7" s="5" t="str">
        <f t="shared" si="39"/>
        <v/>
      </c>
      <c r="DT7" s="5" t="str">
        <f t="shared" si="40"/>
        <v>"allhor",</v>
      </c>
      <c r="DU7" s="5" t="str">
        <f t="shared" si="41"/>
        <v/>
      </c>
      <c r="DV7" s="44" t="str">
        <f t="shared" si="42"/>
        <v/>
      </c>
      <c r="DW7" s="44" t="str">
        <f t="shared" si="43"/>
        <v/>
      </c>
      <c r="DX7" s="44" t="str">
        <f t="shared" si="44"/>
        <v/>
      </c>
      <c r="DY7" s="44" t="str">
        <f t="shared" si="45"/>
        <v/>
      </c>
      <c r="DZ7" s="44" t="str">
        <f t="shared" si="46"/>
        <v>"4+Band",</v>
      </c>
      <c r="EA7" s="44" t="str">
        <f t="shared" si="47"/>
        <v/>
      </c>
      <c r="EB7" s="44" t="str">
        <f t="shared" si="48"/>
        <v/>
      </c>
      <c r="EC7" s="44" t="str">
        <f t="shared" si="49"/>
        <v>"Horizo",</v>
      </c>
      <c r="ED7" s="44" t="str">
        <f t="shared" si="50"/>
        <v/>
      </c>
      <c r="EE7" s="44" t="str">
        <f t="shared" si="51"/>
        <v/>
      </c>
      <c r="EF7" s="44" t="str">
        <f t="shared" si="52"/>
        <v/>
      </c>
      <c r="EG7" s="44" t="str">
        <f t="shared" si="53"/>
        <v/>
      </c>
      <c r="EH7" s="44" t="str">
        <f t="shared" si="54"/>
        <v/>
      </c>
      <c r="EI7" s="44" t="str">
        <f t="shared" si="55"/>
        <v/>
      </c>
      <c r="EJ7" s="44" t="str">
        <f t="shared" si="56"/>
        <v/>
      </c>
      <c r="EK7" s="44" t="str">
        <f t="shared" si="57"/>
        <v/>
      </c>
      <c r="EL7" s="44" t="str">
        <f t="shared" si="58"/>
        <v/>
      </c>
      <c r="EM7" s="44" t="str">
        <f t="shared" si="59"/>
        <v/>
      </c>
      <c r="EN7" s="44" t="str">
        <f t="shared" si="60"/>
        <v/>
      </c>
      <c r="EO7" s="44" t="str">
        <f t="shared" si="61"/>
        <v/>
      </c>
      <c r="EP7" s="44" t="str">
        <f t="shared" si="62"/>
        <v>"Canton",</v>
      </c>
      <c r="EQ7" s="44" t="str">
        <f t="shared" si="63"/>
        <v/>
      </c>
      <c r="ER7" s="44" t="str">
        <f t="shared" si="64"/>
        <v/>
      </c>
      <c r="ES7" s="44" t="str">
        <f t="shared" si="65"/>
        <v/>
      </c>
      <c r="ET7" s="44" t="str">
        <f t="shared" si="66"/>
        <v/>
      </c>
      <c r="EU7" s="44" t="str">
        <f t="shared" si="67"/>
        <v/>
      </c>
      <c r="EV7" s="44" t="str">
        <f t="shared" si="68"/>
        <v/>
      </c>
      <c r="EW7" s="44" t="str">
        <f t="shared" si="69"/>
        <v/>
      </c>
      <c r="EX7" s="44" t="str">
        <f t="shared" si="70"/>
        <v/>
      </c>
      <c r="EY7" s="44" t="str">
        <f t="shared" si="71"/>
        <v/>
      </c>
      <c r="EZ7" s="44" t="str">
        <f t="shared" si="72"/>
        <v/>
      </c>
      <c r="FA7" s="44" t="str">
        <f t="shared" si="73"/>
        <v/>
      </c>
      <c r="FB7" s="44" t="str">
        <f t="shared" si="74"/>
        <v/>
      </c>
      <c r="FC7" s="44" t="str">
        <f t="shared" si="75"/>
        <v/>
      </c>
      <c r="FD7" s="44" t="str">
        <f t="shared" si="76"/>
        <v/>
      </c>
      <c r="FE7" s="44" t="str">
        <f t="shared" si="77"/>
        <v/>
      </c>
      <c r="FF7" s="44" t="str">
        <f t="shared" si="78"/>
        <v/>
      </c>
      <c r="FG7" s="44" t="str">
        <f t="shared" si="79"/>
        <v/>
      </c>
      <c r="FH7" s="44" t="str">
        <f t="shared" si="80"/>
        <v>"NO_GRE",</v>
      </c>
      <c r="FI7" s="44" t="str">
        <f t="shared" si="81"/>
        <v>"NO_YEL",</v>
      </c>
      <c r="FJ7" s="44" t="str">
        <f t="shared" si="82"/>
        <v>"NO_BLA",</v>
      </c>
      <c r="FK7" s="44" t="str">
        <f t="shared" si="83"/>
        <v/>
      </c>
      <c r="FL7" s="44" t="str">
        <f t="shared" si="84"/>
        <v/>
      </c>
      <c r="FM7" s="44" t="str">
        <f t="shared" si="85"/>
        <v/>
      </c>
      <c r="FN7" s="44" t="str">
        <f t="shared" si="86"/>
        <v/>
      </c>
      <c r="FO7" s="44" t="str">
        <f t="shared" si="87"/>
        <v/>
      </c>
      <c r="FP7" s="44" t="str">
        <f t="shared" si="88"/>
        <v/>
      </c>
      <c r="FQ7" s="44" t="str">
        <f t="shared" si="89"/>
        <v>"001WHI",</v>
      </c>
      <c r="FR7" s="44" t="str">
        <f t="shared" si="90"/>
        <v/>
      </c>
      <c r="FS7" s="44" t="str">
        <f t="shared" si="91"/>
        <v>"003RED",</v>
      </c>
      <c r="FT7" s="44" t="str">
        <f t="shared" si="92"/>
        <v>"myrWHI",</v>
      </c>
      <c r="FU7" s="44" t="str">
        <f t="shared" si="93"/>
        <v/>
      </c>
      <c r="FV7" s="44" t="str">
        <f t="shared" si="94"/>
        <v/>
      </c>
      <c r="FW7" s="44" t="str">
        <f t="shared" si="95"/>
        <v/>
      </c>
      <c r="FX7" s="44" t="str">
        <f t="shared" si="96"/>
        <v/>
      </c>
      <c r="FY7" s="44" t="str">
        <f t="shared" si="97"/>
        <v/>
      </c>
      <c r="FZ7" s="44" t="str">
        <f t="shared" si="98"/>
        <v/>
      </c>
      <c r="GA7" s="44" t="str">
        <f t="shared" si="99"/>
        <v/>
      </c>
      <c r="GB7" s="44" t="str">
        <f t="shared" si="100"/>
        <v/>
      </c>
      <c r="GC7" s="44" t="str">
        <f t="shared" si="101"/>
        <v/>
      </c>
      <c r="GD7" s="44" t="str">
        <f t="shared" si="102"/>
        <v/>
      </c>
      <c r="GE7" s="44" t="str">
        <f t="shared" si="103"/>
        <v/>
      </c>
      <c r="GF7" s="44" t="str">
        <f t="shared" si="145"/>
        <v/>
      </c>
      <c r="GG7" s="44" t="str">
        <f t="shared" si="104"/>
        <v/>
      </c>
      <c r="GH7" s="44" t="str">
        <f t="shared" si="105"/>
        <v/>
      </c>
      <c r="GI7" s="44" t="str">
        <f t="shared" si="106"/>
        <v/>
      </c>
      <c r="GJ7" s="44" t="str">
        <f t="shared" si="107"/>
        <v>"NoStar",</v>
      </c>
      <c r="GK7" s="44" t="str">
        <f t="shared" si="108"/>
        <v/>
      </c>
      <c r="GL7" s="44" t="str">
        <f t="shared" si="109"/>
        <v/>
      </c>
      <c r="GM7" s="44" t="str">
        <f t="shared" si="110"/>
        <v/>
      </c>
      <c r="GN7" s="44" t="str">
        <f t="shared" si="111"/>
        <v/>
      </c>
      <c r="GP7" s="44" t="str">
        <f t="shared" si="112"/>
        <v>"State"</v>
      </c>
      <c r="GS7" s="44" t="str">
        <f t="shared" si="113"/>
        <v>["3Color","lets05","startB","LUEDHI","year19","allhor","4+Band","Horizo","Canton","NO_GRE","NO_YEL","NO_BLA","001WHI","003RED","myrWHI","NoStar"]</v>
      </c>
      <c r="GT7" s="44" t="str">
        <f t="shared" si="114"/>
        <v>"cl_WHI",</v>
      </c>
      <c r="GU7" s="44" t="str">
        <f t="shared" si="115"/>
        <v>"cl_RED",</v>
      </c>
      <c r="GV7" s="44" t="str">
        <f t="shared" si="116"/>
        <v>"cl_BLU",</v>
      </c>
      <c r="GW7" s="44" t="str">
        <f t="shared" si="117"/>
        <v/>
      </c>
      <c r="GX7" s="44" t="str">
        <f t="shared" si="118"/>
        <v/>
      </c>
      <c r="GY7" s="44" t="str">
        <f t="shared" si="119"/>
        <v/>
      </c>
      <c r="GZ7" s="44" t="str">
        <f t="shared" si="120"/>
        <v/>
      </c>
      <c r="HA7" s="44" t="str">
        <f t="shared" si="121"/>
        <v/>
      </c>
      <c r="HB7" s="44" t="str">
        <f t="shared" si="122"/>
        <v/>
      </c>
      <c r="HC7" s="44" t="str">
        <f t="shared" si="123"/>
        <v>["cl_WHI","cl_RED","cl_BLU"]</v>
      </c>
      <c r="HE7" s="64"/>
      <c r="HF7" s="65" t="str">
        <f t="shared" si="124"/>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links: "https://en.wikipedia.org/wiki/Flag_of_Bahia"},</v>
      </c>
      <c r="HG7" s="66" t="str">
        <f t="shared" si="125"/>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links: "https://en.wikipedia.org/wiki/Flag_of_Bahia"},</v>
      </c>
      <c r="HH7" s="44" t="str">
        <f t="shared" si="126"/>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I7" s="44" t="str">
        <f t="shared" si="127"/>
        <v>"\nThe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v>
      </c>
      <c r="HJ7" s="44" t="str">
        <f t="shared" si="128"/>
        <v>"1960 "</v>
      </c>
      <c r="HL7" s="44" t="str">
        <f t="shared" si="129"/>
        <v>"https://en.wikipedia.org/wiki/Flag_of_Bahia"</v>
      </c>
      <c r="HM7" s="65" t="str">
        <f t="shared" si="130"/>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N7" s="67" t="str">
        <f t="shared" si="131"/>
        <v>{"couname":"[BRA] Bahia","year":"1960 ","region":"rgn_South America","Colors":["cl_WHI","cl_RED","cl_BLU"],"Items":["3Color","lets05","startB","LUEDHI","year19","allhor","4+Band","Horizo","Canton","NO_GRE","NO_YEL","NO_BLA","001WHI","003RED","myrWHI","NoStar"],"Flag":"https://upload.wikimedia.org/wikipedia/commons/thumb/2/28/Bandeira_da_Bahia.svg/640px-Bandeira_da_Bahia.svg.png","HDFlag":"https://upload.wikimedia.org/wikipedia/commons/thumb/2/28/Bandeira_da_Bahia.svg/2560px-Bandeira_da_Bahia.svg.png","type":"State", "describe": "\nThe flag is strongly influenced by the Flag of the United States, along with a triangle evocative of Freemasonry, which was already adopted during the unsuccessful 1789 separatist movement of Inconfidência Mineira. The colors red, white, and blue had also appeared during the 1798 Bahian slave rebellion of the Revolt of the Tailors", "isnew": ".", "links": "https://en.wikipedia.org/wiki/Flag_of_Bahia"},</v>
      </c>
      <c r="HO7" s="71"/>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
      </c>
      <c r="HS7" s="44" t="str" cm="1">
        <f t="array" ref="HS7">IF(_xlfn.TEXTJOIN(", ", TRUE, IF(ISNUMBER(SEARCH("RED", BL7:BT7)), COLUMN(BL7:BT7) - COLUMN(BL7) + 1, ""))&lt;&gt;"","RED","")</f>
        <v>RED</v>
      </c>
      <c r="HT7" s="44" t="str" cm="1">
        <f t="array" ref="HT7">IF(_xlfn.TEXTJOIN(", ", TRUE, IF(ISNUMBER(SEARCH("YEL", BL7:BT7)), COLUMN(BL7:BT7) - COLUMN(BL7) + 1, ""))&lt;&gt;"","YEL","")</f>
        <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 t="shared" si="132"/>
        <v>0</v>
      </c>
      <c r="IM7" s="42">
        <f t="shared" si="133"/>
        <v>-3</v>
      </c>
      <c r="IN7" s="69" t="str">
        <f t="shared" si="134"/>
        <v>http://mkweb.bcgsc.ca/color-summarizer/?url=https://upload.wikimedia.org/wikipedia/commons/thumb/2/28/Bandeira_da_Bahia.svg/640px-Bandeira_da_Bahia.svg.png&amp;precision=low&amp;num_clusters=3&amp;text=1</v>
      </c>
      <c r="IO7" s="44" t="str">
        <f t="shared" si="135"/>
        <v/>
      </c>
      <c r="IP7" s="44" t="str">
        <f t="shared" si="136"/>
        <v>"blue"</v>
      </c>
      <c r="IQ7" s="44" t="str">
        <f t="shared" si="137"/>
        <v/>
      </c>
      <c r="IR7" s="44" t="str">
        <f t="shared" si="138"/>
        <v>"red"</v>
      </c>
      <c r="IS7" s="44" t="str">
        <f t="shared" si="139"/>
        <v/>
      </c>
      <c r="IT7" s="44" t="str">
        <f t="shared" si="140"/>
        <v/>
      </c>
      <c r="IU7" s="44" t="str">
        <f t="shared" si="141"/>
        <v/>
      </c>
      <c r="IV7" s="44" t="str">
        <f t="shared" si="142"/>
        <v/>
      </c>
      <c r="IW7" s="44" t="str">
        <f t="shared" si="143"/>
        <v>"white"</v>
      </c>
      <c r="IX7" s="44" t="str">
        <f t="shared" si="144"/>
        <v>{"url":"http://mkweb.bcgsc.ca/color-summarizer/?url=https://upload.wikimedia.org/wikipedia/commons/thumb/2/28/Bandeira_da_Bahia.svg/640px-Bandeira_da_Bahia.svg.png&amp;precision=low&amp;num_clusters=3&amp;text=1","name":"[BRA] Bahia"},</v>
      </c>
      <c r="IY7" s="44">
        <v>331</v>
      </c>
    </row>
    <row r="8" spans="1:259" s="44" customFormat="1" ht="38.4" customHeight="1" thickBot="1" x14ac:dyDescent="0.35">
      <c r="A8" s="84" t="s">
        <v>340</v>
      </c>
      <c r="B8" s="83" t="e" vm="30">
        <v>#VALUE!</v>
      </c>
      <c r="C8" s="39">
        <v>2</v>
      </c>
      <c r="D8" s="70" t="s">
        <v>341</v>
      </c>
      <c r="E8" s="40" t="s">
        <v>342</v>
      </c>
      <c r="F8" s="41" t="s">
        <v>163</v>
      </c>
      <c r="G8" s="42">
        <f t="shared" si="0"/>
        <v>1</v>
      </c>
      <c r="H8" s="43"/>
      <c r="I8" s="59" t="s">
        <v>343</v>
      </c>
      <c r="J8" s="44" t="str">
        <f>""</f>
        <v/>
      </c>
      <c r="K8" s="45"/>
      <c r="L8" s="46"/>
      <c r="M8" s="46"/>
      <c r="N8" s="47" t="s">
        <v>177</v>
      </c>
      <c r="O8" s="74" t="s">
        <v>241</v>
      </c>
      <c r="P8" s="48" t="s">
        <v>344</v>
      </c>
      <c r="Q8" s="73">
        <v>1</v>
      </c>
      <c r="R8" s="49" t="s">
        <v>177</v>
      </c>
      <c r="S8" s="50">
        <v>0</v>
      </c>
      <c r="T8" s="51" t="s">
        <v>165</v>
      </c>
      <c r="U8" s="52" t="s">
        <v>164</v>
      </c>
      <c r="V8" s="52" t="s">
        <v>164</v>
      </c>
      <c r="W8" s="52" t="s">
        <v>164</v>
      </c>
      <c r="X8" s="52" t="s">
        <v>165</v>
      </c>
      <c r="Y8" s="52" t="s">
        <v>345</v>
      </c>
      <c r="Z8" s="52" t="s">
        <v>165</v>
      </c>
      <c r="AA8" s="52" t="s">
        <v>165</v>
      </c>
      <c r="AB8" s="52" t="s">
        <v>164</v>
      </c>
      <c r="AC8" s="52" t="s">
        <v>164</v>
      </c>
      <c r="AD8" s="52" t="s">
        <v>165</v>
      </c>
      <c r="AE8" s="52" t="s">
        <v>164</v>
      </c>
      <c r="AF8" s="53" t="s">
        <v>164</v>
      </c>
      <c r="AG8" s="53" t="s">
        <v>164</v>
      </c>
      <c r="AH8" s="53" t="s">
        <v>165</v>
      </c>
      <c r="AI8" s="53" t="s">
        <v>164</v>
      </c>
      <c r="AJ8" s="53" t="s">
        <v>164</v>
      </c>
      <c r="AK8" s="53" t="s">
        <v>164</v>
      </c>
      <c r="AL8" s="53" t="s">
        <v>165</v>
      </c>
      <c r="AM8" s="53" t="s">
        <v>165</v>
      </c>
      <c r="AN8" s="53" t="s">
        <v>164</v>
      </c>
      <c r="AO8" s="53" t="s">
        <v>165</v>
      </c>
      <c r="AP8" s="53" t="s">
        <v>165</v>
      </c>
      <c r="AQ8" s="53" t="s">
        <v>164</v>
      </c>
      <c r="AR8" s="53" t="s">
        <v>164</v>
      </c>
      <c r="AS8" s="53" t="s">
        <v>165</v>
      </c>
      <c r="AT8" s="54">
        <v>7</v>
      </c>
      <c r="AU8" s="53" t="s">
        <v>308</v>
      </c>
      <c r="AV8" s="53" t="str">
        <f t="shared" si="1"/>
        <v>[BRA]State[BRA] Ceará</v>
      </c>
      <c r="AW8" s="53" t="str">
        <f t="shared" si="2"/>
        <v>2[BRA] Ceará</v>
      </c>
      <c r="AX8" s="55"/>
      <c r="AY8" s="55"/>
      <c r="AZ8" s="56" t="s">
        <v>159</v>
      </c>
      <c r="BA8" s="56"/>
      <c r="BB8" s="56"/>
      <c r="BC8" s="57"/>
      <c r="BD8" s="58" t="s">
        <v>153</v>
      </c>
      <c r="BE8" s="59"/>
      <c r="BF8" s="58"/>
      <c r="BG8" s="58"/>
      <c r="BH8" s="58"/>
      <c r="BI8" s="58"/>
      <c r="BJ8" s="58"/>
      <c r="BK8" s="59"/>
      <c r="BL8" s="58" t="s">
        <v>153</v>
      </c>
      <c r="BM8" s="58" t="s">
        <v>155</v>
      </c>
      <c r="BN8" s="58" t="s">
        <v>159</v>
      </c>
      <c r="BO8" s="58" t="s">
        <v>157</v>
      </c>
      <c r="BP8" s="58" t="s">
        <v>151</v>
      </c>
      <c r="BQ8" s="58"/>
      <c r="BR8" s="58"/>
      <c r="BS8" s="58"/>
      <c r="BT8" s="58"/>
      <c r="BU8" s="60"/>
      <c r="BV8" s="61"/>
      <c r="BW8" s="61">
        <v>0</v>
      </c>
      <c r="BX8" s="59"/>
      <c r="BY8" s="44" t="s">
        <v>164</v>
      </c>
      <c r="CB8" s="5"/>
      <c r="CC8" s="5"/>
      <c r="CD8" s="62">
        <v>0</v>
      </c>
      <c r="CE8" s="62">
        <v>0</v>
      </c>
      <c r="CF8" s="62" t="e">
        <v>#REF!</v>
      </c>
      <c r="CG8" s="75" cm="1">
        <f t="array" ref="CG8">SUMPRODUCT(--(LEN(TRIM(BL8:BT8))&gt;0))</f>
        <v>5</v>
      </c>
      <c r="CH8" s="53" t="str">
        <f t="shared" si="3"/>
        <v>n</v>
      </c>
      <c r="CI8" s="53" t="str">
        <f t="shared" si="4"/>
        <v>n</v>
      </c>
      <c r="CJ8" s="53" t="str">
        <f t="shared" si="5"/>
        <v>n</v>
      </c>
      <c r="CK8" s="53" t="str">
        <f t="shared" si="6"/>
        <v>y</v>
      </c>
      <c r="CL8" s="53" t="str">
        <f t="shared" si="7"/>
        <v>y</v>
      </c>
      <c r="CM8" s="53" t="str">
        <f t="shared" si="8"/>
        <v>n</v>
      </c>
      <c r="CN8" s="53" t="str">
        <f t="shared" si="9"/>
        <v>n</v>
      </c>
      <c r="CO8" s="53" t="str">
        <f t="shared" si="10"/>
        <v>n</v>
      </c>
      <c r="CP8" s="53" t="str">
        <f t="shared" si="11"/>
        <v>n</v>
      </c>
      <c r="CQ8" s="53" t="str">
        <f t="shared" si="12"/>
        <v>n</v>
      </c>
      <c r="CR8" s="53" t="str">
        <f t="shared" si="13"/>
        <v>n</v>
      </c>
      <c r="CS8" s="53" t="str">
        <f t="shared" si="14"/>
        <v>y</v>
      </c>
      <c r="CT8" s="38" t="str">
        <f t="shared" si="15"/>
        <v>"[BRA] Ceará"</v>
      </c>
      <c r="CU8" s="63" t="str">
        <f t="shared" si="16"/>
        <v>"rgn_South America"</v>
      </c>
      <c r="CV8" s="44" t="str">
        <f t="shared" si="17"/>
        <v>"https://upload.wikimedia.org/wikipedia/commons/thumb/2/2e/Bandeira_do_Cear%C3%A1.svg/640px-Bandeira_do_Cear%C3%A1.svg.png"</v>
      </c>
      <c r="CW8" s="44" t="str">
        <f t="shared" si="18"/>
        <v/>
      </c>
      <c r="CX8" s="44" t="str">
        <f t="shared" si="19"/>
        <v/>
      </c>
      <c r="CY8" s="44" t="str">
        <f t="shared" si="20"/>
        <v/>
      </c>
      <c r="CZ8" s="44" t="str">
        <f t="shared" si="21"/>
        <v>"5+Colo",</v>
      </c>
      <c r="DA8" s="44" t="str">
        <f t="shared" si="22"/>
        <v/>
      </c>
      <c r="DB8" s="44" t="str">
        <f t="shared" si="23"/>
        <v/>
      </c>
      <c r="DC8" s="44" t="str">
        <f t="shared" si="24"/>
        <v/>
      </c>
      <c r="DD8" s="44" t="str">
        <f t="shared" si="25"/>
        <v>"lets05",</v>
      </c>
      <c r="DE8" s="44" t="str">
        <f t="shared" si="26"/>
        <v>"startC",</v>
      </c>
      <c r="DF8" s="44" t="str">
        <f t="shared" si="27"/>
        <v/>
      </c>
      <c r="DG8" s="44" t="str">
        <f t="shared" si="28"/>
        <v/>
      </c>
      <c r="DH8" s="44" t="str">
        <f t="shared" si="29"/>
        <v/>
      </c>
      <c r="DI8" s="44" t="str">
        <f t="shared" si="30"/>
        <v/>
      </c>
      <c r="DJ8" s="44" t="str">
        <f t="shared" si="31"/>
        <v/>
      </c>
      <c r="DK8" s="44" t="str">
        <f t="shared" si="32"/>
        <v/>
      </c>
      <c r="DL8" s="44" t="str">
        <f t="shared" si="33"/>
        <v/>
      </c>
      <c r="DM8" s="44" t="str" cm="1">
        <f t="array" ref="DM8">IF(CG8=3,CHAR(34) &amp; _xlfn.TEXTJOIN("", TRUE, RIGHT(HP8:HX8, 2)) &amp; CHAR(34) &amp; ",", "")</f>
        <v/>
      </c>
      <c r="DN8" s="44" t="str">
        <f t="shared" si="34"/>
        <v/>
      </c>
      <c r="DO8" s="44" t="str">
        <f t="shared" si="35"/>
        <v>"year19",</v>
      </c>
      <c r="DP8" s="5" t="str">
        <f t="shared" si="36"/>
        <v/>
      </c>
      <c r="DQ8" s="5" t="str">
        <f t="shared" si="37"/>
        <v/>
      </c>
      <c r="DR8" s="5" t="str">
        <f t="shared" si="38"/>
        <v/>
      </c>
      <c r="DS8" s="5" t="str">
        <f t="shared" si="39"/>
        <v/>
      </c>
      <c r="DT8" s="5" t="str">
        <f t="shared" si="40"/>
        <v/>
      </c>
      <c r="DU8" s="5" t="str">
        <f t="shared" si="41"/>
        <v/>
      </c>
      <c r="DV8" s="44" t="str">
        <f t="shared" si="42"/>
        <v/>
      </c>
      <c r="DW8" s="44" t="str">
        <f t="shared" si="43"/>
        <v>"NoBand",</v>
      </c>
      <c r="DX8" s="44" t="str">
        <f t="shared" si="44"/>
        <v/>
      </c>
      <c r="DY8" s="44" t="str">
        <f t="shared" si="45"/>
        <v/>
      </c>
      <c r="DZ8" s="44" t="str">
        <f t="shared" si="46"/>
        <v/>
      </c>
      <c r="EA8" s="44" t="str">
        <f t="shared" si="47"/>
        <v>"Diagon",</v>
      </c>
      <c r="EB8" s="44" t="str">
        <f t="shared" si="48"/>
        <v/>
      </c>
      <c r="EC8" s="44" t="str">
        <f t="shared" si="49"/>
        <v/>
      </c>
      <c r="ED8" s="44" t="str">
        <f t="shared" si="50"/>
        <v/>
      </c>
      <c r="EE8" s="44" t="str">
        <f t="shared" si="51"/>
        <v>"Circle",</v>
      </c>
      <c r="EF8" s="44" t="str">
        <f t="shared" si="52"/>
        <v>"Animal",</v>
      </c>
      <c r="EG8" s="44" t="str">
        <f t="shared" si="53"/>
        <v>"Bird",</v>
      </c>
      <c r="EH8" s="44" t="str">
        <f t="shared" si="54"/>
        <v>"Plants",</v>
      </c>
      <c r="EI8" s="44" t="str">
        <f t="shared" si="55"/>
        <v/>
      </c>
      <c r="EJ8" s="44" t="str">
        <f t="shared" si="56"/>
        <v/>
      </c>
      <c r="EK8" s="44" t="str">
        <f t="shared" si="57"/>
        <v>"HasSun",</v>
      </c>
      <c r="EL8" s="44" t="str">
        <f t="shared" si="58"/>
        <v/>
      </c>
      <c r="EM8" s="44" t="str">
        <f t="shared" si="59"/>
        <v/>
      </c>
      <c r="EN8" s="44" t="str">
        <f t="shared" si="60"/>
        <v/>
      </c>
      <c r="EO8" s="44" t="str">
        <f t="shared" si="61"/>
        <v>"Center",</v>
      </c>
      <c r="EP8" s="44" t="str">
        <f t="shared" si="62"/>
        <v/>
      </c>
      <c r="EQ8" s="44" t="str">
        <f t="shared" si="63"/>
        <v/>
      </c>
      <c r="ER8" s="44" t="str">
        <f t="shared" si="64"/>
        <v/>
      </c>
      <c r="ES8" s="44" t="str">
        <f t="shared" si="65"/>
        <v>"Wavess",</v>
      </c>
      <c r="ET8" s="44" t="str">
        <f t="shared" si="66"/>
        <v>"Geogrh",</v>
      </c>
      <c r="EU8" s="44" t="str">
        <f t="shared" si="67"/>
        <v/>
      </c>
      <c r="EV8" s="44" t="str">
        <f t="shared" si="68"/>
        <v>"Builds",</v>
      </c>
      <c r="EW8" s="44" t="str">
        <f t="shared" si="69"/>
        <v>"Ships!",</v>
      </c>
      <c r="EX8" s="44" t="str">
        <f t="shared" si="70"/>
        <v/>
      </c>
      <c r="EY8" s="44" t="str">
        <f t="shared" si="71"/>
        <v/>
      </c>
      <c r="EZ8" s="44" t="str">
        <f t="shared" si="72"/>
        <v>"Waters",</v>
      </c>
      <c r="FA8" s="44" t="str">
        <f t="shared" si="73"/>
        <v>"staWHI",</v>
      </c>
      <c r="FB8" s="44" t="str">
        <f t="shared" si="74"/>
        <v/>
      </c>
      <c r="FC8" s="44" t="str">
        <f t="shared" si="75"/>
        <v/>
      </c>
      <c r="FD8" s="44" t="str">
        <f t="shared" si="76"/>
        <v/>
      </c>
      <c r="FE8" s="44" t="str">
        <f t="shared" si="77"/>
        <v>"NO_BLU",</v>
      </c>
      <c r="FF8" s="44" t="str">
        <f t="shared" si="78"/>
        <v/>
      </c>
      <c r="FG8" s="44" t="str">
        <f t="shared" si="79"/>
        <v>"NO_RED",</v>
      </c>
      <c r="FH8" s="44" t="str">
        <f t="shared" si="80"/>
        <v/>
      </c>
      <c r="FI8" s="44" t="str">
        <f t="shared" si="81"/>
        <v/>
      </c>
      <c r="FJ8" s="44" t="str">
        <f t="shared" si="82"/>
        <v/>
      </c>
      <c r="FK8" s="44" t="str">
        <f t="shared" si="83"/>
        <v/>
      </c>
      <c r="FL8" s="44" t="str">
        <f t="shared" si="84"/>
        <v/>
      </c>
      <c r="FM8" s="44" t="str">
        <f t="shared" si="85"/>
        <v/>
      </c>
      <c r="FN8" s="44" t="str">
        <f t="shared" si="86"/>
        <v/>
      </c>
      <c r="FO8" s="44" t="str">
        <f t="shared" si="87"/>
        <v>"BLRENO",</v>
      </c>
      <c r="FP8" s="44" t="str">
        <f t="shared" si="88"/>
        <v/>
      </c>
      <c r="FQ8" s="44" t="str">
        <f t="shared" si="89"/>
        <v/>
      </c>
      <c r="FR8" s="44" t="str">
        <f t="shared" si="90"/>
        <v/>
      </c>
      <c r="FS8" s="44" t="str">
        <f t="shared" si="91"/>
        <v/>
      </c>
      <c r="FT8" s="44" t="str">
        <f t="shared" si="92"/>
        <v>"myrGRE",</v>
      </c>
      <c r="FU8" s="44" t="str">
        <f t="shared" si="93"/>
        <v/>
      </c>
      <c r="FV8" s="44" t="str">
        <f t="shared" si="94"/>
        <v/>
      </c>
      <c r="FW8" s="44" t="str">
        <f t="shared" si="95"/>
        <v/>
      </c>
      <c r="FX8" s="44" t="str">
        <f t="shared" si="96"/>
        <v/>
      </c>
      <c r="FY8" s="44" t="str">
        <f t="shared" si="97"/>
        <v/>
      </c>
      <c r="FZ8" s="44" t="str">
        <f t="shared" si="98"/>
        <v/>
      </c>
      <c r="GA8" s="44" t="str">
        <f t="shared" si="99"/>
        <v/>
      </c>
      <c r="GB8" s="44" t="str">
        <f t="shared" si="100"/>
        <v/>
      </c>
      <c r="GC8" s="44" t="str">
        <f t="shared" si="101"/>
        <v/>
      </c>
      <c r="GD8" s="44" t="str">
        <f t="shared" si="102"/>
        <v/>
      </c>
      <c r="GE8" s="44" t="str">
        <f t="shared" si="103"/>
        <v/>
      </c>
      <c r="GF8" s="44" t="str">
        <f t="shared" si="145"/>
        <v/>
      </c>
      <c r="GG8" s="44" t="str">
        <f t="shared" si="104"/>
        <v/>
      </c>
      <c r="GH8" s="44" t="str">
        <f t="shared" si="105"/>
        <v/>
      </c>
      <c r="GI8" s="44" t="str">
        <f t="shared" si="106"/>
        <v/>
      </c>
      <c r="GJ8" s="44" t="str">
        <f t="shared" si="107"/>
        <v/>
      </c>
      <c r="GK8" s="44" t="str">
        <f t="shared" si="108"/>
        <v>"HasSta",</v>
      </c>
      <c r="GL8" s="44" t="str">
        <f t="shared" si="109"/>
        <v/>
      </c>
      <c r="GM8" s="44" t="str">
        <f t="shared" si="110"/>
        <v/>
      </c>
      <c r="GN8" s="44" t="str">
        <f t="shared" si="111"/>
        <v>"3+Star",</v>
      </c>
      <c r="GP8" s="44" t="str">
        <f t="shared" si="112"/>
        <v>"State"</v>
      </c>
      <c r="GS8" s="44" t="str">
        <f t="shared" si="113"/>
        <v>["5+Colo","lets05","startC","year19","NoBand","Diagon","Circle","Animal","Bird","Plants","HasSun","Center","Wavess","Geogrh","Builds","Ships!","Waters","staWHI","NO_BLU","NO_RED","BLRENO","myrGRE","HasSta","3+Star"]</v>
      </c>
      <c r="GT8" s="44" t="str">
        <f t="shared" si="114"/>
        <v>"cl_GRE",</v>
      </c>
      <c r="GU8" s="44" t="str">
        <f t="shared" si="115"/>
        <v>"cl_YEL",</v>
      </c>
      <c r="GV8" s="44" t="str">
        <f t="shared" si="116"/>
        <v>"cl_WHI",</v>
      </c>
      <c r="GW8" s="44" t="str">
        <f t="shared" si="117"/>
        <v>"cl_BRO",</v>
      </c>
      <c r="GX8" s="44" t="str">
        <f t="shared" si="118"/>
        <v>"cl_BLA",</v>
      </c>
      <c r="GY8" s="44" t="str">
        <f t="shared" si="119"/>
        <v/>
      </c>
      <c r="GZ8" s="44" t="str">
        <f t="shared" si="120"/>
        <v/>
      </c>
      <c r="HA8" s="44" t="str">
        <f t="shared" si="121"/>
        <v/>
      </c>
      <c r="HB8" s="44" t="str">
        <f t="shared" si="122"/>
        <v/>
      </c>
      <c r="HC8" s="44" t="str">
        <f t="shared" si="123"/>
        <v>["cl_GRE","cl_YEL","cl_WHI","cl_BRO","cl_BLA"]</v>
      </c>
      <c r="HE8" s="64"/>
      <c r="HF8" s="65" t="str">
        <f t="shared" si="124"/>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links: "https://en.wikipedia.org/wiki/Flag_of_Ceará"},</v>
      </c>
      <c r="HG8" s="66" t="str">
        <f t="shared" si="125"/>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links: "https://en.wikipedia.org/wiki/Flag_of_Ceará"},</v>
      </c>
      <c r="HH8" s="44" t="str">
        <f t="shared" si="126"/>
        <v>"\nBottom-right: The Carnaúba tree is the state tree of Ceará and represents earth.\nBottom-left: The jangada boat represents water.\nTop-right: The dove and mountains represent air.\nTop-left: The sun represents fire."</v>
      </c>
      <c r="HI8" s="44" t="str">
        <f t="shared" si="127"/>
        <v>"\nBottom-right: The Carnaúba tree is the state tree of Ceará and represents earth.\nBottom-left: The jangada boat represents water.\nTop-right: The dove and mountains represent air.\nTop-left: The sun represents fire."</v>
      </c>
      <c r="HJ8" s="44" t="str">
        <f t="shared" si="128"/>
        <v>"1922 "</v>
      </c>
      <c r="HL8" s="44" t="str">
        <f t="shared" si="129"/>
        <v>"https://en.wikipedia.org/wiki/Flag_of_Ceará"</v>
      </c>
      <c r="HM8" s="65" t="str">
        <f t="shared" si="130"/>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N8" s="67" t="str">
        <f t="shared" si="131"/>
        <v>{"couname":"[BRA] Ceará","year":"1922 ","region":"rgn_South America","Colors":["cl_GRE","cl_YEL","cl_WHI","cl_BRO","cl_BLA"],"Items":["5+Colo","lets05","startC","year19","NoBand","Diagon","Circle","Animal","Bird","Plants","HasSun","Center","Wavess","Geogrh","Builds","Ships!","Waters","staWHI","NO_BLU","NO_RED","BLRENO","myrGRE","HasSta","3+Star"],"Flag":"https://upload.wikimedia.org/wikipedia/commons/thumb/2/2e/Bandeira_do_Cear%C3%A1.svg/640px-Bandeira_do_Cear%C3%A1.svg.png","HDFlag":"https://upload.wikimedia.org/wikipedia/commons/thumb/2/2e/Bandeira_do_Cear%C3%A1.svg/2560px-Bandeira_do_Cear%C3%A1.svg.png","type":"State", "describe": "\nBottom-right: The Carnaúba tree is the state tree of Ceará and represents earth.\nBottom-left: The jangada boat represents water.\nTop-right: The dove and mountains represent air.\nTop-left: The sun represents fire.", "isnew": ".", "links": "https://en.wikipedia.org/wiki/Flag_of_Ceará"},</v>
      </c>
      <c r="HO8" s="71"/>
      <c r="HP8" s="44" t="str" cm="1">
        <f t="array" ref="HP8">IF(_xlfn.TEXTJOIN(", ", TRUE, IF(ISNUMBER(SEARCH("BLA", BL8:BT8)), COLUMN(BL8:BT8) - COLUMN(BL8) + 1, ""))&lt;&gt;"","BLA","")</f>
        <v>BLA</v>
      </c>
      <c r="HQ8" s="44" t="str" cm="1">
        <f t="array" ref="HQ8">IF(_xlfn.TEXTJOIN(", ", TRUE, IF(ISNUMBER(SEARCH("BLU", BL8:BT8)), COLUMN(BL8:BT8) - COLUMN(BL8) + 1, ""))&lt;&gt;"","BLU","")</f>
        <v/>
      </c>
      <c r="HR8" s="44" t="str" cm="1">
        <f t="array" ref="HR8">IF(_xlfn.TEXTJOIN(", ", TRUE, IF(ISNUMBER(SEARCH("GRE", BL8:BT8)), COLUMN(BL8:BT8) - COLUMN(BL8) + 1, ""))&lt;&gt;"","GRE","")</f>
        <v>GRE</v>
      </c>
      <c r="HS8" s="44" t="str" cm="1">
        <f t="array" ref="HS8">IF(_xlfn.TEXTJOIN(", ", TRUE, IF(ISNUMBER(SEARCH("RED", BL8:BT8)), COLUMN(BL8:BT8) - COLUMN(BL8) + 1, ""))&lt;&gt;"","RED","")</f>
        <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BRO</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L8" s="44">
        <f t="shared" si="132"/>
        <v>0</v>
      </c>
      <c r="IM8" s="42">
        <f t="shared" si="133"/>
        <v>-5</v>
      </c>
      <c r="IN8" s="69" t="str">
        <f t="shared" si="134"/>
        <v>http://mkweb.bcgsc.ca/color-summarizer/?url=https://upload.wikimedia.org/wikipedia/commons/thumb/2/2e/Bandeira_do_Cear%C3%A1.svg/640px-Bandeira_do_Cear%C3%A1.svg.png&amp;precision=low&amp;num_clusters=5&amp;text=1</v>
      </c>
      <c r="IO8" s="44" t="str">
        <f t="shared" si="135"/>
        <v>"black"</v>
      </c>
      <c r="IP8" s="44" t="str">
        <f t="shared" si="136"/>
        <v/>
      </c>
      <c r="IQ8" s="44" t="str">
        <f t="shared" si="137"/>
        <v>"green"</v>
      </c>
      <c r="IR8" s="44" t="str">
        <f t="shared" si="138"/>
        <v/>
      </c>
      <c r="IS8" s="44" t="str">
        <f t="shared" si="139"/>
        <v>"yellow"</v>
      </c>
      <c r="IT8" s="44" t="str">
        <f t="shared" si="140"/>
        <v/>
      </c>
      <c r="IU8" s="44" t="str">
        <f t="shared" si="141"/>
        <v>"brown"</v>
      </c>
      <c r="IV8" s="44" t="str">
        <f t="shared" si="142"/>
        <v/>
      </c>
      <c r="IW8" s="44" t="str">
        <f t="shared" si="143"/>
        <v>"white"</v>
      </c>
      <c r="IX8" s="44" t="str">
        <f t="shared" si="144"/>
        <v>{"url":"http://mkweb.bcgsc.ca/color-summarizer/?url=https://upload.wikimedia.org/wikipedia/commons/thumb/2/2e/Bandeira_do_Cear%C3%A1.svg/640px-Bandeira_do_Cear%C3%A1.svg.png&amp;precision=low&amp;num_clusters=5&amp;text=1","name":"[BRA] Ceará"},</v>
      </c>
      <c r="IY8" s="44">
        <v>332</v>
      </c>
    </row>
    <row r="9" spans="1:259" s="44" customFormat="1" ht="38.4" customHeight="1" thickBot="1" x14ac:dyDescent="0.35">
      <c r="A9" s="84" t="s">
        <v>346</v>
      </c>
      <c r="B9" s="83" t="e" vm="31">
        <v>#VALUE!</v>
      </c>
      <c r="C9" s="39">
        <v>2</v>
      </c>
      <c r="D9" s="70" t="s">
        <v>347</v>
      </c>
      <c r="E9" s="40" t="s">
        <v>348</v>
      </c>
      <c r="F9" s="41" t="s">
        <v>163</v>
      </c>
      <c r="G9" s="42">
        <f t="shared" si="0"/>
        <v>1</v>
      </c>
      <c r="H9" s="43"/>
      <c r="I9" s="59" t="s">
        <v>349</v>
      </c>
      <c r="J9" s="44" t="str">
        <f>""</f>
        <v/>
      </c>
      <c r="K9" s="45"/>
      <c r="L9" s="46"/>
      <c r="M9" s="46"/>
      <c r="N9" s="47" t="s">
        <v>177</v>
      </c>
      <c r="O9" s="74" t="s">
        <v>240</v>
      </c>
      <c r="P9" s="48" t="s">
        <v>350</v>
      </c>
      <c r="Q9" s="73">
        <v>2</v>
      </c>
      <c r="R9" s="49" t="s">
        <v>177</v>
      </c>
      <c r="S9" s="50">
        <v>3</v>
      </c>
      <c r="T9" s="51" t="s">
        <v>164</v>
      </c>
      <c r="U9" s="52" t="s">
        <v>164</v>
      </c>
      <c r="V9" s="52" t="s">
        <v>165</v>
      </c>
      <c r="W9" s="52" t="s">
        <v>164</v>
      </c>
      <c r="X9" s="52" t="s">
        <v>164</v>
      </c>
      <c r="Y9" s="52" t="s">
        <v>164</v>
      </c>
      <c r="Z9" s="52" t="s">
        <v>164</v>
      </c>
      <c r="AA9" s="52" t="s">
        <v>164</v>
      </c>
      <c r="AB9" s="52" t="s">
        <v>165</v>
      </c>
      <c r="AC9" s="52" t="s">
        <v>164</v>
      </c>
      <c r="AD9" s="52" t="s">
        <v>164</v>
      </c>
      <c r="AE9" s="52" t="s">
        <v>164</v>
      </c>
      <c r="AF9" s="53" t="s">
        <v>164</v>
      </c>
      <c r="AG9" s="53" t="s">
        <v>164</v>
      </c>
      <c r="AH9" s="53" t="s">
        <v>165</v>
      </c>
      <c r="AI9" s="53" t="s">
        <v>164</v>
      </c>
      <c r="AJ9" s="53" t="s">
        <v>164</v>
      </c>
      <c r="AK9" s="53" t="s">
        <v>164</v>
      </c>
      <c r="AL9" s="53" t="s">
        <v>164</v>
      </c>
      <c r="AM9" s="53" t="s">
        <v>164</v>
      </c>
      <c r="AN9" s="53" t="s">
        <v>164</v>
      </c>
      <c r="AO9" s="53" t="s">
        <v>164</v>
      </c>
      <c r="AP9" s="53" t="s">
        <v>164</v>
      </c>
      <c r="AQ9" s="53" t="s">
        <v>164</v>
      </c>
      <c r="AR9" s="53" t="s">
        <v>164</v>
      </c>
      <c r="AS9" s="53" t="s">
        <v>164</v>
      </c>
      <c r="AT9" s="54">
        <v>0</v>
      </c>
      <c r="AU9" s="53" t="s">
        <v>308</v>
      </c>
      <c r="AV9" s="53" t="str">
        <f t="shared" si="1"/>
        <v>[BRA]State[BRA] Espirito Santo</v>
      </c>
      <c r="AW9" s="53" t="str">
        <f t="shared" si="2"/>
        <v>2[BRA] Espirito Santo</v>
      </c>
      <c r="AX9" s="55"/>
      <c r="AY9" s="55"/>
      <c r="AZ9" s="56"/>
      <c r="BA9" s="56"/>
      <c r="BB9" s="56"/>
      <c r="BC9" s="57"/>
      <c r="BD9" s="58" t="s">
        <v>152</v>
      </c>
      <c r="BE9" s="59"/>
      <c r="BF9" s="58" t="s">
        <v>152</v>
      </c>
      <c r="BG9" s="58" t="s">
        <v>159</v>
      </c>
      <c r="BH9" s="58" t="s">
        <v>158</v>
      </c>
      <c r="BI9" s="58"/>
      <c r="BJ9" s="58"/>
      <c r="BK9" s="59"/>
      <c r="BL9" s="58" t="s">
        <v>152</v>
      </c>
      <c r="BM9" s="58" t="s">
        <v>159</v>
      </c>
      <c r="BN9" s="58" t="s">
        <v>158</v>
      </c>
      <c r="BO9" s="58"/>
      <c r="BP9" s="58"/>
      <c r="BQ9" s="58"/>
      <c r="BR9" s="58"/>
      <c r="BS9" s="58"/>
      <c r="BT9" s="58"/>
      <c r="BU9" s="60"/>
      <c r="BV9" s="61"/>
      <c r="BW9" s="61">
        <v>0</v>
      </c>
      <c r="BX9" s="59"/>
      <c r="CB9" s="5"/>
      <c r="CC9" s="5"/>
      <c r="CD9" s="62">
        <v>0</v>
      </c>
      <c r="CE9" s="62">
        <v>0</v>
      </c>
      <c r="CF9" s="62" t="e">
        <v>#REF!</v>
      </c>
      <c r="CG9" s="75" cm="1">
        <f t="array" ref="CG9">SUMPRODUCT(--(LEN(TRIM(BL9:BT9))&gt;0))</f>
        <v>3</v>
      </c>
      <c r="CH9" s="53" t="str">
        <f t="shared" si="3"/>
        <v>n</v>
      </c>
      <c r="CI9" s="53" t="str">
        <f t="shared" si="4"/>
        <v>y</v>
      </c>
      <c r="CJ9" s="53" t="str">
        <f t="shared" si="5"/>
        <v>n</v>
      </c>
      <c r="CK9" s="53" t="str">
        <f t="shared" si="6"/>
        <v>n</v>
      </c>
      <c r="CL9" s="53" t="str">
        <f t="shared" si="7"/>
        <v>n</v>
      </c>
      <c r="CM9" s="53" t="str">
        <f t="shared" si="8"/>
        <v>n</v>
      </c>
      <c r="CN9" s="53" t="str">
        <f t="shared" si="9"/>
        <v>y</v>
      </c>
      <c r="CO9" s="53" t="str">
        <f t="shared" si="10"/>
        <v>n</v>
      </c>
      <c r="CP9" s="53" t="str">
        <f t="shared" si="11"/>
        <v>y</v>
      </c>
      <c r="CQ9" s="53" t="str">
        <f t="shared" si="12"/>
        <v>n</v>
      </c>
      <c r="CR9" s="53" t="str">
        <f t="shared" si="13"/>
        <v>n</v>
      </c>
      <c r="CS9" s="53" t="str">
        <f t="shared" si="14"/>
        <v>n</v>
      </c>
      <c r="CT9" s="38" t="str">
        <f t="shared" si="15"/>
        <v>"[BRA] Espirito Santo"</v>
      </c>
      <c r="CU9" s="63" t="str">
        <f t="shared" si="16"/>
        <v>"rgn_South America"</v>
      </c>
      <c r="CV9" s="44" t="str">
        <f t="shared" si="17"/>
        <v>"https://upload.wikimedia.org/wikipedia/commons/thumb/4/43/Bandeira_do_Esp%C3%ADrito_Santo.svg/640px-Bandeira_do_Esp%C3%ADrito_Santo.svg.png"</v>
      </c>
      <c r="CW9" s="44" t="str">
        <f t="shared" si="18"/>
        <v/>
      </c>
      <c r="CX9" s="44" t="str">
        <f t="shared" si="19"/>
        <v>"3Color",</v>
      </c>
      <c r="CY9" s="44" t="str">
        <f t="shared" si="20"/>
        <v/>
      </c>
      <c r="CZ9" s="44" t="str">
        <f t="shared" si="21"/>
        <v/>
      </c>
      <c r="DA9" s="44" t="str">
        <f t="shared" si="22"/>
        <v>"words2",</v>
      </c>
      <c r="DB9" s="44" t="str">
        <f t="shared" si="23"/>
        <v/>
      </c>
      <c r="DC9" s="44" t="str">
        <f t="shared" si="24"/>
        <v>"exact2",</v>
      </c>
      <c r="DD9" s="44" t="str">
        <f t="shared" si="25"/>
        <v>"lets13",</v>
      </c>
      <c r="DE9" s="44" t="str">
        <f t="shared" si="26"/>
        <v>"startE",</v>
      </c>
      <c r="DF9" s="44" t="str">
        <f t="shared" si="27"/>
        <v/>
      </c>
      <c r="DG9" s="44" t="str">
        <f t="shared" si="28"/>
        <v/>
      </c>
      <c r="DH9" s="44" t="str">
        <f t="shared" si="29"/>
        <v/>
      </c>
      <c r="DI9" s="44" t="str">
        <f t="shared" si="30"/>
        <v/>
      </c>
      <c r="DJ9" s="44" t="str">
        <f t="shared" si="31"/>
        <v/>
      </c>
      <c r="DK9" s="44" t="str">
        <f t="shared" si="32"/>
        <v/>
      </c>
      <c r="DL9" s="44" t="str">
        <f t="shared" si="33"/>
        <v/>
      </c>
      <c r="DM9" s="44" t="str" cm="1">
        <f t="array" ref="DM9">IF(CG9=3,CHAR(34) &amp; _xlfn.TEXTJOIN("", TRUE, RIGHT(HP9:HX9, 2)) &amp; CHAR(34) &amp; ",", "")</f>
        <v>"LUURHI",</v>
      </c>
      <c r="DN9" s="44" t="str">
        <f t="shared" si="34"/>
        <v/>
      </c>
      <c r="DO9" s="44" t="str">
        <f t="shared" si="35"/>
        <v>"year19",</v>
      </c>
      <c r="DP9" s="5" t="str">
        <f t="shared" si="36"/>
        <v/>
      </c>
      <c r="DQ9" s="5" t="str">
        <f t="shared" si="37"/>
        <v/>
      </c>
      <c r="DR9" s="5" t="str">
        <f t="shared" si="38"/>
        <v/>
      </c>
      <c r="DS9" s="5" t="str">
        <f t="shared" si="39"/>
        <v/>
      </c>
      <c r="DT9" s="5" t="str">
        <f t="shared" si="40"/>
        <v>"allhor",</v>
      </c>
      <c r="DU9" s="5" t="str">
        <f t="shared" si="41"/>
        <v/>
      </c>
      <c r="DV9" s="44" t="str">
        <f t="shared" si="42"/>
        <v/>
      </c>
      <c r="DW9" s="44" t="str">
        <f t="shared" si="43"/>
        <v/>
      </c>
      <c r="DX9" s="44" t="str">
        <f t="shared" si="44"/>
        <v/>
      </c>
      <c r="DY9" s="44" t="str">
        <f t="shared" si="45"/>
        <v>"3Bands",</v>
      </c>
      <c r="DZ9" s="44" t="str">
        <f t="shared" si="46"/>
        <v/>
      </c>
      <c r="EA9" s="44" t="str">
        <f t="shared" si="47"/>
        <v/>
      </c>
      <c r="EB9" s="44" t="str">
        <f t="shared" si="48"/>
        <v/>
      </c>
      <c r="EC9" s="44" t="str">
        <f t="shared" si="49"/>
        <v>"Horizo",</v>
      </c>
      <c r="ED9" s="44" t="str">
        <f t="shared" si="50"/>
        <v/>
      </c>
      <c r="EE9" s="44" t="str">
        <f t="shared" si="51"/>
        <v/>
      </c>
      <c r="EF9" s="44" t="str">
        <f t="shared" si="52"/>
        <v/>
      </c>
      <c r="EG9" s="44" t="str">
        <f t="shared" si="53"/>
        <v/>
      </c>
      <c r="EH9" s="44" t="str">
        <f t="shared" si="54"/>
        <v/>
      </c>
      <c r="EI9" s="44" t="str">
        <f t="shared" si="55"/>
        <v>"Texted",</v>
      </c>
      <c r="EJ9" s="44" t="str">
        <f t="shared" si="56"/>
        <v/>
      </c>
      <c r="EK9" s="44" t="str">
        <f t="shared" si="57"/>
        <v/>
      </c>
      <c r="EL9" s="44" t="str">
        <f t="shared" si="58"/>
        <v/>
      </c>
      <c r="EM9" s="44" t="str">
        <f t="shared" si="59"/>
        <v/>
      </c>
      <c r="EN9" s="44" t="str">
        <f t="shared" si="60"/>
        <v/>
      </c>
      <c r="EO9" s="44" t="str">
        <f t="shared" si="61"/>
        <v>"Center",</v>
      </c>
      <c r="EP9" s="44" t="str">
        <f t="shared" si="62"/>
        <v/>
      </c>
      <c r="EQ9" s="44" t="str">
        <f t="shared" si="63"/>
        <v/>
      </c>
      <c r="ER9" s="44" t="str">
        <f t="shared" si="64"/>
        <v/>
      </c>
      <c r="ES9" s="44" t="str">
        <f t="shared" si="65"/>
        <v/>
      </c>
      <c r="ET9" s="44" t="str">
        <f t="shared" si="66"/>
        <v/>
      </c>
      <c r="EU9" s="44" t="str">
        <f t="shared" si="67"/>
        <v/>
      </c>
      <c r="EV9" s="44" t="str">
        <f t="shared" si="68"/>
        <v/>
      </c>
      <c r="EW9" s="44" t="str">
        <f t="shared" si="69"/>
        <v/>
      </c>
      <c r="EX9" s="44" t="str">
        <f t="shared" si="70"/>
        <v/>
      </c>
      <c r="EY9" s="44" t="str">
        <f t="shared" si="71"/>
        <v/>
      </c>
      <c r="EZ9" s="44" t="str">
        <f t="shared" si="72"/>
        <v/>
      </c>
      <c r="FA9" s="44" t="str">
        <f t="shared" si="73"/>
        <v/>
      </c>
      <c r="FB9" s="44" t="str">
        <f t="shared" si="74"/>
        <v/>
      </c>
      <c r="FC9" s="44" t="str">
        <f t="shared" si="75"/>
        <v/>
      </c>
      <c r="FD9" s="44" t="str">
        <f t="shared" si="76"/>
        <v/>
      </c>
      <c r="FE9" s="44" t="str">
        <f t="shared" si="77"/>
        <v/>
      </c>
      <c r="FF9" s="44" t="str">
        <f t="shared" si="78"/>
        <v/>
      </c>
      <c r="FG9" s="44" t="str">
        <f t="shared" si="79"/>
        <v>"NO_RED",</v>
      </c>
      <c r="FH9" s="44" t="str">
        <f t="shared" si="80"/>
        <v>"NO_GRE",</v>
      </c>
      <c r="FI9" s="44" t="str">
        <f t="shared" si="81"/>
        <v>"NO_YEL",</v>
      </c>
      <c r="FJ9" s="44" t="str">
        <f t="shared" si="82"/>
        <v>"NO_BLA",</v>
      </c>
      <c r="FK9" s="44" t="str">
        <f t="shared" si="83"/>
        <v/>
      </c>
      <c r="FL9" s="44" t="str">
        <f t="shared" si="84"/>
        <v/>
      </c>
      <c r="FM9" s="44" t="str">
        <f t="shared" si="85"/>
        <v/>
      </c>
      <c r="FN9" s="44" t="str">
        <f t="shared" si="86"/>
        <v/>
      </c>
      <c r="FO9" s="44" t="str">
        <f t="shared" si="87"/>
        <v/>
      </c>
      <c r="FP9" s="44" t="str">
        <f t="shared" si="88"/>
        <v/>
      </c>
      <c r="FQ9" s="44" t="str">
        <f t="shared" si="89"/>
        <v>"001BLU",</v>
      </c>
      <c r="FR9" s="44" t="str">
        <f t="shared" si="90"/>
        <v>"002WHI",</v>
      </c>
      <c r="FS9" s="44" t="str">
        <f t="shared" si="91"/>
        <v>"003PUR",</v>
      </c>
      <c r="FT9" s="44" t="str">
        <f t="shared" si="92"/>
        <v>"myrBLU",</v>
      </c>
      <c r="FU9" s="44" t="str">
        <f t="shared" si="93"/>
        <v/>
      </c>
      <c r="FV9" s="44" t="str">
        <f t="shared" si="94"/>
        <v/>
      </c>
      <c r="FW9" s="44" t="str">
        <f t="shared" si="95"/>
        <v/>
      </c>
      <c r="FX9" s="44" t="str">
        <f t="shared" si="96"/>
        <v/>
      </c>
      <c r="FY9" s="44" t="str">
        <f t="shared" si="97"/>
        <v/>
      </c>
      <c r="FZ9" s="44" t="str">
        <f t="shared" si="98"/>
        <v/>
      </c>
      <c r="GA9" s="44" t="str">
        <f t="shared" si="99"/>
        <v/>
      </c>
      <c r="GB9" s="44" t="str">
        <f t="shared" si="100"/>
        <v/>
      </c>
      <c r="GC9" s="44" t="str">
        <f t="shared" si="101"/>
        <v/>
      </c>
      <c r="GD9" s="44" t="str">
        <f t="shared" si="102"/>
        <v/>
      </c>
      <c r="GE9" s="44" t="str">
        <f t="shared" si="103"/>
        <v/>
      </c>
      <c r="GF9" s="44" t="str">
        <f t="shared" si="145"/>
        <v/>
      </c>
      <c r="GG9" s="44" t="str">
        <f t="shared" si="104"/>
        <v/>
      </c>
      <c r="GH9" s="44" t="str">
        <f t="shared" si="105"/>
        <v/>
      </c>
      <c r="GI9" s="44" t="str">
        <f t="shared" si="106"/>
        <v/>
      </c>
      <c r="GJ9" s="44" t="str">
        <f t="shared" si="107"/>
        <v>"NoStar",</v>
      </c>
      <c r="GK9" s="44" t="str">
        <f t="shared" si="108"/>
        <v/>
      </c>
      <c r="GL9" s="44" t="str">
        <f t="shared" si="109"/>
        <v/>
      </c>
      <c r="GM9" s="44" t="str">
        <f t="shared" si="110"/>
        <v/>
      </c>
      <c r="GN9" s="44" t="str">
        <f t="shared" si="111"/>
        <v/>
      </c>
      <c r="GP9" s="44" t="str">
        <f t="shared" si="112"/>
        <v>"State"</v>
      </c>
      <c r="GS9" s="44" t="str">
        <f t="shared" si="113"/>
        <v>["3Color","words2","exact2","lets13","startE","LUURHI","year19","allhor","3Bands","Horizo","Texted","Center","NO_RED","NO_GRE","NO_YEL","NO_BLA","001BLU","002WHI","003PUR","myrBLU","NoStar"]</v>
      </c>
      <c r="GT9" s="44" t="str">
        <f t="shared" si="114"/>
        <v>"cl_BLU",</v>
      </c>
      <c r="GU9" s="44" t="str">
        <f t="shared" si="115"/>
        <v>"cl_WHI",</v>
      </c>
      <c r="GV9" s="44" t="str">
        <f t="shared" si="116"/>
        <v>"cl_PUR",</v>
      </c>
      <c r="GW9" s="44" t="str">
        <f t="shared" si="117"/>
        <v/>
      </c>
      <c r="GX9" s="44" t="str">
        <f t="shared" si="118"/>
        <v/>
      </c>
      <c r="GY9" s="44" t="str">
        <f t="shared" si="119"/>
        <v/>
      </c>
      <c r="GZ9" s="44" t="str">
        <f t="shared" si="120"/>
        <v/>
      </c>
      <c r="HA9" s="44" t="str">
        <f t="shared" si="121"/>
        <v/>
      </c>
      <c r="HB9" s="44" t="str">
        <f t="shared" si="122"/>
        <v/>
      </c>
      <c r="HC9" s="44" t="str">
        <f t="shared" si="123"/>
        <v>["cl_BLU","cl_WHI","cl_PUR"]</v>
      </c>
      <c r="HE9" s="64"/>
      <c r="HF9" s="65" t="str">
        <f t="shared" si="124"/>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links: "https://en.wikipedia.org/wiki/Flag_of_Espírito_Santo"},</v>
      </c>
      <c r="HG9" s="66" t="str">
        <f t="shared" si="125"/>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links: "https://en.wikipedia.org/wiki/Flag_of_Espírito_Santo"},</v>
      </c>
      <c r="HH9" s="44" t="str">
        <f t="shared" si="126"/>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I9" s="44" t="str">
        <f t="shared" si="127"/>
        <v>"\nThe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v>
      </c>
      <c r="HJ9" s="44" t="str">
        <f t="shared" si="128"/>
        <v>"1947 "</v>
      </c>
      <c r="HL9" s="44" t="str">
        <f t="shared" si="129"/>
        <v>"https://en.wikipedia.org/wiki/Flag_of_Espírito_Santo"</v>
      </c>
      <c r="HM9" s="65" t="str">
        <f t="shared" si="130"/>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N9" s="67" t="str">
        <f t="shared" si="131"/>
        <v>{"couname":"[BRA] Espirito Santo","year":"1947 ","region":"rgn_South America","Colors":["cl_BLU","cl_WHI","cl_PUR"],"Items":["3Color","words2","exact2","lets13","startE","LUURHI","year19","allhor","3Bands","Horizo","Texted","Center","NO_RED","NO_GRE","NO_YEL","NO_BLA","001BLU","002WHI","003PUR","myrBLU","NoStar"],"Flag":"https://upload.wikimedia.org/wikipedia/commons/thumb/4/43/Bandeira_do_Esp%C3%ADrito_Santo.svg/640px-Bandeira_do_Esp%C3%ADrito_Santo.svg.png","HDFlag":"https://upload.wikimedia.org/wikipedia/commons/thumb/4/43/Bandeira_do_Esp%C3%ADrito_Santo.svg/2560px-Bandeira_do_Esp%C3%ADrito_Santo.svg.png","type":"State", "describe": "\nThe colors on the flag are inspired by the mantle of Our Lady of Victory, the patron saint of the state capital of Vitória. The blue represents harmony, the white represents peace, and pink represents happiness. The text on the flag, 'TRABALHA E CONFIA' (Portuguese: Work and trust), is derived from the doctrine of St. Ignatius of Loyola, the founder of the Society of Jesus, who said 'Trabalha como se tudo dependesse de ti e confia como se tudo dependesse de Deus'", "isnew": ".", "links": "https://en.wikipedia.org/wiki/Flag_of_Espírito_Santo"},</v>
      </c>
      <c r="HO9" s="71"/>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PUR</v>
      </c>
      <c r="HX9" s="44" t="str" cm="1">
        <f t="array" ref="HX9">IF(_xlfn.TEXTJOIN(", ", TRUE, IF(ISNUMBER(SEARCH("WHI", BL9:BT9)), COLUMN(BL9:BT9) - COLUMN(BL9) + 1, ""))&lt;&gt;"","WHI","")</f>
        <v>WHI</v>
      </c>
      <c r="HY9" s="72"/>
      <c r="HZ9" s="72"/>
      <c r="IA9" s="5"/>
      <c r="IB9" s="5"/>
      <c r="IC9" s="68"/>
      <c r="ID9" s="68"/>
      <c r="IE9" s="68"/>
      <c r="IF9" s="68"/>
      <c r="IG9" s="68"/>
      <c r="IH9" s="68"/>
      <c r="II9" s="68"/>
      <c r="IJ9" s="68"/>
      <c r="IK9" s="68"/>
      <c r="IL9" s="44">
        <f t="shared" si="132"/>
        <v>0</v>
      </c>
      <c r="IM9" s="42">
        <f t="shared" si="133"/>
        <v>-3</v>
      </c>
      <c r="IN9" s="69" t="str">
        <f t="shared" si="134"/>
        <v>http://mkweb.bcgsc.ca/color-summarizer/?url=https://upload.wikimedia.org/wikipedia/commons/thumb/4/43/Bandeira_do_Esp%C3%ADrito_Santo.svg/640px-Bandeira_do_Esp%C3%ADrito_Santo.svg.png&amp;precision=low&amp;num_clusters=3&amp;text=1</v>
      </c>
      <c r="IO9" s="44" t="str">
        <f t="shared" si="135"/>
        <v/>
      </c>
      <c r="IP9" s="44" t="str">
        <f t="shared" si="136"/>
        <v>"blue"</v>
      </c>
      <c r="IQ9" s="44" t="str">
        <f t="shared" si="137"/>
        <v/>
      </c>
      <c r="IR9" s="44" t="str">
        <f t="shared" si="138"/>
        <v/>
      </c>
      <c r="IS9" s="44" t="str">
        <f t="shared" si="139"/>
        <v/>
      </c>
      <c r="IT9" s="44" t="str">
        <f t="shared" si="140"/>
        <v/>
      </c>
      <c r="IU9" s="44" t="str">
        <f t="shared" si="141"/>
        <v/>
      </c>
      <c r="IV9" s="44" t="str">
        <f t="shared" si="142"/>
        <v>"purple"</v>
      </c>
      <c r="IW9" s="44" t="str">
        <f t="shared" si="143"/>
        <v>"white"</v>
      </c>
      <c r="IX9" s="44" t="str">
        <f t="shared" si="144"/>
        <v>{"url":"http://mkweb.bcgsc.ca/color-summarizer/?url=https://upload.wikimedia.org/wikipedia/commons/thumb/4/43/Bandeira_do_Esp%C3%ADrito_Santo.svg/640px-Bandeira_do_Esp%C3%ADrito_Santo.svg.png&amp;precision=low&amp;num_clusters=3&amp;text=1","name":"[BRA] Espirito Santo"},</v>
      </c>
      <c r="IY9" s="44">
        <v>333</v>
      </c>
    </row>
    <row r="10" spans="1:259" s="44" customFormat="1" ht="38.4" customHeight="1" thickBot="1" x14ac:dyDescent="0.35">
      <c r="A10" s="84" t="s">
        <v>351</v>
      </c>
      <c r="B10" s="83" t="e" vm="32">
        <v>#VALUE!</v>
      </c>
      <c r="C10" s="39">
        <v>2</v>
      </c>
      <c r="D10" s="70" t="s">
        <v>352</v>
      </c>
      <c r="E10" s="40" t="s">
        <v>353</v>
      </c>
      <c r="F10" s="41" t="s">
        <v>163</v>
      </c>
      <c r="G10" s="42">
        <f t="shared" si="0"/>
        <v>1</v>
      </c>
      <c r="H10" s="43"/>
      <c r="I10" s="59" t="s">
        <v>354</v>
      </c>
      <c r="J10" s="44" t="str">
        <f>""</f>
        <v/>
      </c>
      <c r="K10" s="45"/>
      <c r="L10" s="46"/>
      <c r="M10" s="46"/>
      <c r="N10" s="47" t="s">
        <v>177</v>
      </c>
      <c r="O10" s="74" t="s">
        <v>181</v>
      </c>
      <c r="P10" s="48" t="s">
        <v>355</v>
      </c>
      <c r="Q10" s="73">
        <v>2</v>
      </c>
      <c r="R10" s="49" t="s">
        <v>177</v>
      </c>
      <c r="S10" s="50">
        <v>0</v>
      </c>
      <c r="T10" s="51" t="s">
        <v>165</v>
      </c>
      <c r="U10" s="52" t="s">
        <v>164</v>
      </c>
      <c r="V10" s="52" t="s">
        <v>164</v>
      </c>
      <c r="W10" s="52" t="s">
        <v>164</v>
      </c>
      <c r="X10" s="52" t="s">
        <v>164</v>
      </c>
      <c r="Y10" s="52" t="s">
        <v>164</v>
      </c>
      <c r="Z10" s="52" t="s">
        <v>164</v>
      </c>
      <c r="AA10" s="52" t="s">
        <v>164</v>
      </c>
      <c r="AB10" s="52" t="s">
        <v>164</v>
      </c>
      <c r="AC10" s="52" t="s">
        <v>164</v>
      </c>
      <c r="AD10" s="52" t="s">
        <v>164</v>
      </c>
      <c r="AE10" s="52" t="s">
        <v>164</v>
      </c>
      <c r="AF10" s="53" t="s">
        <v>164</v>
      </c>
      <c r="AG10" s="53" t="s">
        <v>164</v>
      </c>
      <c r="AH10" s="53" t="s">
        <v>165</v>
      </c>
      <c r="AI10" s="53" t="s">
        <v>164</v>
      </c>
      <c r="AJ10" s="53" t="s">
        <v>164</v>
      </c>
      <c r="AK10" s="53" t="s">
        <v>164</v>
      </c>
      <c r="AL10" s="53" t="s">
        <v>164</v>
      </c>
      <c r="AM10" s="53" t="s">
        <v>164</v>
      </c>
      <c r="AN10" s="53" t="s">
        <v>164</v>
      </c>
      <c r="AO10" s="53" t="s">
        <v>164</v>
      </c>
      <c r="AP10" s="53" t="s">
        <v>164</v>
      </c>
      <c r="AQ10" s="53" t="s">
        <v>164</v>
      </c>
      <c r="AR10" s="53" t="s">
        <v>165</v>
      </c>
      <c r="AS10" s="53" t="s">
        <v>164</v>
      </c>
      <c r="AT10" s="54">
        <v>0</v>
      </c>
      <c r="AU10" s="53" t="s">
        <v>308</v>
      </c>
      <c r="AV10" s="53" t="str">
        <f t="shared" si="1"/>
        <v>[BRA]State[BRA] Federal District</v>
      </c>
      <c r="AW10" s="53" t="str">
        <f t="shared" si="2"/>
        <v>2[BRA] Federal District</v>
      </c>
      <c r="AX10" s="55"/>
      <c r="AY10" s="55"/>
      <c r="AZ10" s="56"/>
      <c r="BA10" s="56"/>
      <c r="BB10" s="56"/>
      <c r="BC10" s="57"/>
      <c r="BD10" s="58" t="s">
        <v>159</v>
      </c>
      <c r="BE10" s="59"/>
      <c r="BF10" s="58"/>
      <c r="BG10" s="58"/>
      <c r="BH10" s="58"/>
      <c r="BI10" s="58"/>
      <c r="BJ10" s="58"/>
      <c r="BK10" s="59"/>
      <c r="BL10" s="58" t="s">
        <v>159</v>
      </c>
      <c r="BM10" s="58" t="s">
        <v>153</v>
      </c>
      <c r="BN10" s="58" t="s">
        <v>155</v>
      </c>
      <c r="BO10" s="58"/>
      <c r="BP10" s="58"/>
      <c r="BQ10" s="58"/>
      <c r="BR10" s="58"/>
      <c r="BS10" s="58"/>
      <c r="BT10" s="58"/>
      <c r="BU10" s="60"/>
      <c r="BV10" s="61"/>
      <c r="BW10" s="61">
        <v>0</v>
      </c>
      <c r="BX10" s="59"/>
      <c r="BY10" s="44" t="s">
        <v>164</v>
      </c>
      <c r="CB10" s="5"/>
      <c r="CC10" s="5"/>
      <c r="CD10" s="62">
        <v>0</v>
      </c>
      <c r="CE10" s="62">
        <v>0</v>
      </c>
      <c r="CF10" s="62" t="e">
        <v>#REF!</v>
      </c>
      <c r="CG10" s="75" cm="1">
        <f t="array" ref="CG10">SUMPRODUCT(--(LEN(TRIM(BL10:BT10))&gt;0))</f>
        <v>3</v>
      </c>
      <c r="CH10" s="53" t="str">
        <f t="shared" si="3"/>
        <v>n</v>
      </c>
      <c r="CI10" s="53" t="str">
        <f t="shared" si="4"/>
        <v>y</v>
      </c>
      <c r="CJ10" s="53" t="str">
        <f t="shared" si="5"/>
        <v>n</v>
      </c>
      <c r="CK10" s="53" t="str">
        <f t="shared" si="6"/>
        <v>n</v>
      </c>
      <c r="CL10" s="53" t="str">
        <f t="shared" si="7"/>
        <v>y</v>
      </c>
      <c r="CM10" s="53" t="str">
        <f t="shared" si="8"/>
        <v>n</v>
      </c>
      <c r="CN10" s="53" t="str">
        <f t="shared" si="9"/>
        <v>n</v>
      </c>
      <c r="CO10" s="53" t="str">
        <f t="shared" si="10"/>
        <v>n</v>
      </c>
      <c r="CP10" s="53" t="str">
        <f t="shared" si="11"/>
        <v>y</v>
      </c>
      <c r="CQ10" s="53" t="str">
        <f t="shared" si="12"/>
        <v>n</v>
      </c>
      <c r="CR10" s="53" t="str">
        <f t="shared" si="13"/>
        <v>n</v>
      </c>
      <c r="CS10" s="53" t="str">
        <f t="shared" si="14"/>
        <v>n</v>
      </c>
      <c r="CT10" s="38" t="str">
        <f t="shared" si="15"/>
        <v>"[BRA] Federal District"</v>
      </c>
      <c r="CU10" s="63" t="str">
        <f t="shared" si="16"/>
        <v>"rgn_South America"</v>
      </c>
      <c r="CV10" s="44" t="str">
        <f t="shared" si="17"/>
        <v>"https://upload.wikimedia.org/wikipedia/commons/thumb/3/3c/Bandeira_do_Distrito_Federal_%28Brasil%29.svg/640px-Bandeira_do_Distrito_Federal_%28Brasil%29.svg.png"</v>
      </c>
      <c r="CW10" s="44" t="str">
        <f t="shared" si="18"/>
        <v/>
      </c>
      <c r="CX10" s="44" t="str">
        <f t="shared" si="19"/>
        <v>"3Color",</v>
      </c>
      <c r="CY10" s="44" t="str">
        <f t="shared" si="20"/>
        <v/>
      </c>
      <c r="CZ10" s="44" t="str">
        <f t="shared" si="21"/>
        <v/>
      </c>
      <c r="DA10" s="44" t="str">
        <f t="shared" si="22"/>
        <v>"words2",</v>
      </c>
      <c r="DB10" s="44" t="str">
        <f t="shared" si="23"/>
        <v/>
      </c>
      <c r="DC10" s="44" t="str">
        <f t="shared" si="24"/>
        <v>"exact2",</v>
      </c>
      <c r="DD10" s="44" t="str">
        <f t="shared" si="25"/>
        <v>"lets15",</v>
      </c>
      <c r="DE10" s="44" t="str">
        <f t="shared" si="26"/>
        <v>"startF",</v>
      </c>
      <c r="DF10" s="44" t="str">
        <f t="shared" si="27"/>
        <v/>
      </c>
      <c r="DG10" s="44" t="str">
        <f t="shared" si="28"/>
        <v/>
      </c>
      <c r="DH10" s="44" t="str">
        <f t="shared" si="29"/>
        <v/>
      </c>
      <c r="DI10" s="44" t="str">
        <f t="shared" si="30"/>
        <v/>
      </c>
      <c r="DJ10" s="44" t="str">
        <f t="shared" si="31"/>
        <v/>
      </c>
      <c r="DK10" s="44" t="str">
        <f t="shared" si="32"/>
        <v/>
      </c>
      <c r="DL10" s="44" t="str">
        <f t="shared" si="33"/>
        <v/>
      </c>
      <c r="DM10" s="44" t="str" cm="1">
        <f t="array" ref="DM10">IF(CG10=3,CHAR(34) &amp; _xlfn.TEXTJOIN("", TRUE, RIGHT(HP10:HX10, 2)) &amp; CHAR(34) &amp; ",", "")</f>
        <v>"REELHI",</v>
      </c>
      <c r="DN10" s="44" t="str">
        <f t="shared" si="34"/>
        <v/>
      </c>
      <c r="DO10" s="44" t="str">
        <f t="shared" si="35"/>
        <v>"year19",</v>
      </c>
      <c r="DP10" s="5" t="str">
        <f t="shared" si="36"/>
        <v/>
      </c>
      <c r="DQ10" s="5" t="str">
        <f t="shared" si="37"/>
        <v/>
      </c>
      <c r="DR10" s="5" t="str">
        <f t="shared" si="38"/>
        <v/>
      </c>
      <c r="DS10" s="5" t="str">
        <f t="shared" si="39"/>
        <v/>
      </c>
      <c r="DT10" s="5" t="str">
        <f t="shared" si="40"/>
        <v/>
      </c>
      <c r="DU10" s="5" t="str">
        <f t="shared" si="41"/>
        <v/>
      </c>
      <c r="DV10" s="44" t="str">
        <f t="shared" si="42"/>
        <v/>
      </c>
      <c r="DW10" s="44" t="str">
        <f t="shared" si="43"/>
        <v>"NoBand",</v>
      </c>
      <c r="DX10" s="44" t="str">
        <f t="shared" si="44"/>
        <v/>
      </c>
      <c r="DY10" s="44" t="str">
        <f t="shared" si="45"/>
        <v/>
      </c>
      <c r="DZ10" s="44" t="str">
        <f t="shared" si="46"/>
        <v/>
      </c>
      <c r="EA10" s="44" t="str">
        <f t="shared" si="47"/>
        <v>"Diagon",</v>
      </c>
      <c r="EB10" s="44" t="str">
        <f t="shared" si="48"/>
        <v/>
      </c>
      <c r="EC10" s="44" t="str">
        <f t="shared" si="49"/>
        <v/>
      </c>
      <c r="ED10" s="44" t="str">
        <f t="shared" si="50"/>
        <v/>
      </c>
      <c r="EE10" s="44" t="str">
        <f t="shared" si="51"/>
        <v/>
      </c>
      <c r="EF10" s="44" t="str">
        <f t="shared" si="52"/>
        <v/>
      </c>
      <c r="EG10" s="44" t="str">
        <f t="shared" si="53"/>
        <v/>
      </c>
      <c r="EH10" s="44" t="str">
        <f t="shared" si="54"/>
        <v/>
      </c>
      <c r="EI10" s="44" t="str">
        <f t="shared" si="55"/>
        <v/>
      </c>
      <c r="EJ10" s="44" t="str">
        <f t="shared" si="56"/>
        <v/>
      </c>
      <c r="EK10" s="44" t="str">
        <f t="shared" si="57"/>
        <v/>
      </c>
      <c r="EL10" s="44" t="str">
        <f t="shared" si="58"/>
        <v/>
      </c>
      <c r="EM10" s="44" t="str">
        <f t="shared" si="59"/>
        <v/>
      </c>
      <c r="EN10" s="44" t="str">
        <f t="shared" si="60"/>
        <v/>
      </c>
      <c r="EO10" s="44" t="str">
        <f t="shared" si="61"/>
        <v>"Center",</v>
      </c>
      <c r="EP10" s="44" t="str">
        <f t="shared" si="62"/>
        <v/>
      </c>
      <c r="EQ10" s="44" t="str">
        <f t="shared" si="63"/>
        <v/>
      </c>
      <c r="ER10" s="44" t="str">
        <f t="shared" si="64"/>
        <v/>
      </c>
      <c r="ES10" s="44" t="str">
        <f t="shared" si="65"/>
        <v/>
      </c>
      <c r="ET10" s="44" t="str">
        <f t="shared" si="66"/>
        <v/>
      </c>
      <c r="EU10" s="44" t="str">
        <f t="shared" si="67"/>
        <v/>
      </c>
      <c r="EV10" s="44" t="str">
        <f t="shared" si="68"/>
        <v/>
      </c>
      <c r="EW10" s="44" t="str">
        <f t="shared" si="69"/>
        <v/>
      </c>
      <c r="EX10" s="44" t="str">
        <f t="shared" si="70"/>
        <v/>
      </c>
      <c r="EY10" s="44" t="str">
        <f t="shared" si="71"/>
        <v>"Rotate",</v>
      </c>
      <c r="EZ10" s="44" t="str">
        <f t="shared" si="72"/>
        <v/>
      </c>
      <c r="FA10" s="44" t="str">
        <f t="shared" si="73"/>
        <v/>
      </c>
      <c r="FB10" s="44" t="str">
        <f t="shared" si="74"/>
        <v/>
      </c>
      <c r="FC10" s="44" t="str">
        <f t="shared" si="75"/>
        <v/>
      </c>
      <c r="FD10" s="44" t="str">
        <f t="shared" si="76"/>
        <v/>
      </c>
      <c r="FE10" s="44" t="str">
        <f t="shared" si="77"/>
        <v>"NO_BLU",</v>
      </c>
      <c r="FF10" s="44" t="str">
        <f t="shared" si="78"/>
        <v/>
      </c>
      <c r="FG10" s="44" t="str">
        <f t="shared" si="79"/>
        <v>"NO_RED",</v>
      </c>
      <c r="FH10" s="44" t="str">
        <f t="shared" si="80"/>
        <v/>
      </c>
      <c r="FI10" s="44" t="str">
        <f t="shared" si="81"/>
        <v/>
      </c>
      <c r="FJ10" s="44" t="str">
        <f t="shared" si="82"/>
        <v>"NO_BLA",</v>
      </c>
      <c r="FK10" s="44" t="str">
        <f t="shared" si="83"/>
        <v/>
      </c>
      <c r="FL10" s="44" t="str">
        <f t="shared" si="84"/>
        <v/>
      </c>
      <c r="FM10" s="44" t="str">
        <f t="shared" si="85"/>
        <v/>
      </c>
      <c r="FN10" s="44" t="str">
        <f t="shared" si="86"/>
        <v/>
      </c>
      <c r="FO10" s="44" t="str">
        <f t="shared" si="87"/>
        <v>"BLRENO",</v>
      </c>
      <c r="FP10" s="44" t="str">
        <f t="shared" si="88"/>
        <v/>
      </c>
      <c r="FQ10" s="44" t="str">
        <f t="shared" si="89"/>
        <v/>
      </c>
      <c r="FR10" s="44" t="str">
        <f t="shared" si="90"/>
        <v/>
      </c>
      <c r="FS10" s="44" t="str">
        <f t="shared" si="91"/>
        <v/>
      </c>
      <c r="FT10" s="44" t="str">
        <f t="shared" si="92"/>
        <v>"myrWHI",</v>
      </c>
      <c r="FU10" s="44" t="str">
        <f t="shared" si="93"/>
        <v/>
      </c>
      <c r="FV10" s="44" t="str">
        <f t="shared" si="94"/>
        <v/>
      </c>
      <c r="FW10" s="44" t="str">
        <f t="shared" si="95"/>
        <v/>
      </c>
      <c r="FX10" s="44" t="str">
        <f t="shared" si="96"/>
        <v/>
      </c>
      <c r="FY10" s="44" t="str">
        <f t="shared" si="97"/>
        <v/>
      </c>
      <c r="FZ10" s="44" t="str">
        <f t="shared" si="98"/>
        <v/>
      </c>
      <c r="GA10" s="44" t="str">
        <f t="shared" si="99"/>
        <v/>
      </c>
      <c r="GB10" s="44" t="str">
        <f t="shared" si="100"/>
        <v/>
      </c>
      <c r="GC10" s="44" t="str">
        <f t="shared" si="101"/>
        <v/>
      </c>
      <c r="GD10" s="44" t="str">
        <f t="shared" si="102"/>
        <v/>
      </c>
      <c r="GE10" s="44" t="str">
        <f t="shared" si="103"/>
        <v/>
      </c>
      <c r="GF10" s="44" t="str">
        <f t="shared" si="145"/>
        <v/>
      </c>
      <c r="GG10" s="44" t="str">
        <f t="shared" si="104"/>
        <v/>
      </c>
      <c r="GH10" s="44" t="str">
        <f t="shared" si="105"/>
        <v/>
      </c>
      <c r="GI10" s="44" t="str">
        <f t="shared" si="106"/>
        <v/>
      </c>
      <c r="GJ10" s="44" t="str">
        <f t="shared" si="107"/>
        <v>"NoStar",</v>
      </c>
      <c r="GK10" s="44" t="str">
        <f t="shared" si="108"/>
        <v/>
      </c>
      <c r="GL10" s="44" t="str">
        <f t="shared" si="109"/>
        <v/>
      </c>
      <c r="GM10" s="44" t="str">
        <f t="shared" si="110"/>
        <v/>
      </c>
      <c r="GN10" s="44" t="str">
        <f t="shared" si="111"/>
        <v/>
      </c>
      <c r="GP10" s="44" t="str">
        <f t="shared" si="112"/>
        <v>"State"</v>
      </c>
      <c r="GS10" s="44" t="str">
        <f t="shared" si="113"/>
        <v>["3Color","words2","exact2","lets15","startF","REELHI","year19","NoBand","Diagon","Center","Rotate","NO_BLU","NO_RED","NO_BLA","BLRENO","myrWHI","NoStar"]</v>
      </c>
      <c r="GT10" s="44" t="str">
        <f t="shared" si="114"/>
        <v>"cl_WHI",</v>
      </c>
      <c r="GU10" s="44" t="str">
        <f t="shared" si="115"/>
        <v>"cl_GRE",</v>
      </c>
      <c r="GV10" s="44" t="str">
        <f t="shared" si="116"/>
        <v>"cl_YEL",</v>
      </c>
      <c r="GW10" s="44" t="str">
        <f t="shared" si="117"/>
        <v/>
      </c>
      <c r="GX10" s="44" t="str">
        <f t="shared" si="118"/>
        <v/>
      </c>
      <c r="GY10" s="44" t="str">
        <f t="shared" si="119"/>
        <v/>
      </c>
      <c r="GZ10" s="44" t="str">
        <f t="shared" si="120"/>
        <v/>
      </c>
      <c r="HA10" s="44" t="str">
        <f t="shared" si="121"/>
        <v/>
      </c>
      <c r="HB10" s="44" t="str">
        <f t="shared" si="122"/>
        <v/>
      </c>
      <c r="HC10" s="44" t="str">
        <f t="shared" si="123"/>
        <v>["cl_WHI","cl_GRE","cl_YEL"]</v>
      </c>
      <c r="HE10" s="64"/>
      <c r="HF10" s="65" t="str">
        <f t="shared" si="124"/>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links: "https://en.wikipedia.org/wiki/Flag_of_the_Federal_District_(Brazil)"},</v>
      </c>
      <c r="HG10" s="66" t="str">
        <f t="shared" si="125"/>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links: "https://en.wikipedia.org/wiki/Flag_of_the_Federal_District_(Brazil)"},</v>
      </c>
      <c r="HH10" s="44" t="str">
        <f t="shared" si="126"/>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I10" s="44" t="str">
        <f t="shared" si="127"/>
        <v>"\nThe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v>
      </c>
      <c r="HJ10" s="44" t="str">
        <f t="shared" si="128"/>
        <v>"1969 "</v>
      </c>
      <c r="HL10" s="44" t="str">
        <f t="shared" si="129"/>
        <v>"https://en.wikipedia.org/wiki/Flag_of_the_Federal_District_(Brazil)"</v>
      </c>
      <c r="HM10" s="65" t="str">
        <f t="shared" si="130"/>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N10" s="67" t="str">
        <f t="shared" si="131"/>
        <v>{"couname":"[BRA] Federal District","year":"1969 ","region":"rgn_South America","Colors":["cl_WHI","cl_GRE","cl_YEL"],"Items":["3Color","words2","exact2","lets15","startF","REELHI","year19","NoBand","Diagon","Center","Rotate","NO_BLU","NO_RED","NO_BLA","BLRENO","myrWHI","NoStar"],"Flag":"https://upload.wikimedia.org/wikipedia/commons/thumb/3/3c/Bandeira_do_Distrito_Federal_%28Brasil%29.svg/640px-Bandeira_do_Distrito_Federal_%28Brasil%29.svg.png","HDFlag":"https://upload.wikimedia.org/wikipedia/commons/thumb/3/3c/Bandeira_do_Distrito_Federal_%28Brasil%29.svg/2560px-Bandeira_do_Distrito_Federal_%28Brasil%29.svg.png","type":"State", "describe": "\nThe Cross of Brasília in the center symbolizes the indigenous heritage and the strength that hails in all directions. The white background of the flag stands for peace, and gives the idea of infinity, or the vast Brazilian territory. The green and yellow colours in the middle refer to the most commonly used of the four colours of the national flag to represent Brazil. ", "isnew": ".", "links": "https://en.wikipedia.org/wiki/Flag_of_the_Federal_District_(Brazil)"},</v>
      </c>
      <c r="HO10" s="71"/>
      <c r="HP10" s="44" t="str" cm="1">
        <f t="array" ref="HP10">IF(_xlfn.TEXTJOIN(", ", TRUE, IF(ISNUMBER(SEARCH("BLA", BL10:BT10)), COLUMN(BL10:BT10) - COLUMN(BL10) + 1, ""))&lt;&gt;"","BLA","")</f>
        <v/>
      </c>
      <c r="HQ10" s="44" t="str" cm="1">
        <f t="array" ref="HQ10">IF(_xlfn.TEXTJOIN(", ", TRUE, IF(ISNUMBER(SEARCH("BLU", BL10:BT10)), COLUMN(BL10:BT10) - COLUMN(BL10) + 1, ""))&lt;&gt;"","BLU","")</f>
        <v/>
      </c>
      <c r="HR10" s="44" t="str" cm="1">
        <f t="array" ref="HR10">IF(_xlfn.TEXTJOIN(", ", TRUE, IF(ISNUMBER(SEARCH("GRE", BL10:BT10)), COLUMN(BL10:BT10) - COLUMN(BL10) + 1, ""))&lt;&gt;"","GRE","")</f>
        <v>GRE</v>
      </c>
      <c r="HS10" s="44" t="str" cm="1">
        <f t="array" ref="HS10">IF(_xlfn.TEXTJOIN(", ", TRUE, IF(ISNUMBER(SEARCH("RED", BL10:BT10)), COLUMN(BL10:BT10) - COLUMN(BL10) + 1, ""))&lt;&gt;"","RED","")</f>
        <v/>
      </c>
      <c r="HT10" s="44" t="str" cm="1">
        <f t="array" ref="HT10">IF(_xlfn.TEXTJOIN(", ", TRUE, IF(ISNUMBER(SEARCH("YEL", BL10:BT10)), COLUMN(BL10:BT10) - COLUMN(BL10) + 1, ""))&lt;&gt;"","YEL","")</f>
        <v>YEL</v>
      </c>
      <c r="HU10" s="44" t="str" cm="1">
        <f t="array" ref="HU10">IF(_xlfn.TEXTJOIN(", ", TRUE, IF(ISNUMBER(SEARCH("ORA", BL10:BT10)), COLUMN(BL10:BT10) - COLUMN(BL10) + 1, ""))&lt;&gt;"","ORA","")</f>
        <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L10" s="44">
        <f t="shared" si="132"/>
        <v>0</v>
      </c>
      <c r="IM10" s="42">
        <f t="shared" si="133"/>
        <v>-3</v>
      </c>
      <c r="IN10" s="69" t="str">
        <f t="shared" si="134"/>
        <v>http://mkweb.bcgsc.ca/color-summarizer/?url=https://upload.wikimedia.org/wikipedia/commons/thumb/3/3c/Bandeira_do_Distrito_Federal_%28Brasil%29.svg/640px-Bandeira_do_Distrito_Federal_%28Brasil%29.svg.png&amp;precision=low&amp;num_clusters=3&amp;text=1</v>
      </c>
      <c r="IO10" s="44" t="str">
        <f t="shared" si="135"/>
        <v/>
      </c>
      <c r="IP10" s="44" t="str">
        <f t="shared" si="136"/>
        <v/>
      </c>
      <c r="IQ10" s="44" t="str">
        <f t="shared" si="137"/>
        <v>"green"</v>
      </c>
      <c r="IR10" s="44" t="str">
        <f t="shared" si="138"/>
        <v/>
      </c>
      <c r="IS10" s="44" t="str">
        <f t="shared" si="139"/>
        <v>"yellow"</v>
      </c>
      <c r="IT10" s="44" t="str">
        <f t="shared" si="140"/>
        <v/>
      </c>
      <c r="IU10" s="44" t="str">
        <f t="shared" si="141"/>
        <v/>
      </c>
      <c r="IV10" s="44" t="str">
        <f t="shared" si="142"/>
        <v/>
      </c>
      <c r="IW10" s="44" t="str">
        <f t="shared" si="143"/>
        <v>"white"</v>
      </c>
      <c r="IX10" s="44" t="str">
        <f t="shared" si="144"/>
        <v>{"url":"http://mkweb.bcgsc.ca/color-summarizer/?url=https://upload.wikimedia.org/wikipedia/commons/thumb/3/3c/Bandeira_do_Distrito_Federal_%28Brasil%29.svg/640px-Bandeira_do_Distrito_Federal_%28Brasil%29.svg.png&amp;precision=low&amp;num_clusters=3&amp;text=1","name":"[BRA] Federal District"},</v>
      </c>
      <c r="IY10" s="44">
        <v>334</v>
      </c>
    </row>
    <row r="11" spans="1:259" s="44" customFormat="1" ht="38.4" customHeight="1" thickBot="1" x14ac:dyDescent="0.35">
      <c r="A11" s="84" t="s">
        <v>356</v>
      </c>
      <c r="B11" s="83" t="e" vm="33">
        <v>#VALUE!</v>
      </c>
      <c r="C11" s="39">
        <v>2</v>
      </c>
      <c r="D11" s="70" t="s">
        <v>357</v>
      </c>
      <c r="E11" s="40" t="s">
        <v>358</v>
      </c>
      <c r="F11" s="41" t="s">
        <v>163</v>
      </c>
      <c r="G11" s="42">
        <f t="shared" si="0"/>
        <v>1</v>
      </c>
      <c r="H11" s="43"/>
      <c r="I11" s="59" t="s">
        <v>359</v>
      </c>
      <c r="J11" s="44" t="str">
        <f>""</f>
        <v/>
      </c>
      <c r="K11" s="45"/>
      <c r="L11" s="46"/>
      <c r="M11" s="46"/>
      <c r="N11" s="47" t="s">
        <v>177</v>
      </c>
      <c r="O11" s="74" t="s">
        <v>360</v>
      </c>
      <c r="P11" s="48" t="s">
        <v>361</v>
      </c>
      <c r="Q11" s="73">
        <v>1</v>
      </c>
      <c r="R11" s="49" t="s">
        <v>177</v>
      </c>
      <c r="S11" s="50">
        <v>8</v>
      </c>
      <c r="T11" s="51" t="s">
        <v>164</v>
      </c>
      <c r="U11" s="52" t="s">
        <v>164</v>
      </c>
      <c r="V11" s="52" t="s">
        <v>165</v>
      </c>
      <c r="W11" s="52" t="s">
        <v>164</v>
      </c>
      <c r="X11" s="52" t="s">
        <v>164</v>
      </c>
      <c r="Y11" s="52" t="s">
        <v>164</v>
      </c>
      <c r="Z11" s="52" t="s">
        <v>164</v>
      </c>
      <c r="AA11" s="52" t="s">
        <v>164</v>
      </c>
      <c r="AB11" s="52" t="s">
        <v>164</v>
      </c>
      <c r="AC11" s="52" t="s">
        <v>164</v>
      </c>
      <c r="AD11" s="52" t="s">
        <v>164</v>
      </c>
      <c r="AE11" s="52" t="s">
        <v>164</v>
      </c>
      <c r="AF11" s="53" t="s">
        <v>164</v>
      </c>
      <c r="AG11" s="53" t="s">
        <v>164</v>
      </c>
      <c r="AH11" s="53" t="s">
        <v>164</v>
      </c>
      <c r="AI11" s="53" t="s">
        <v>165</v>
      </c>
      <c r="AJ11" s="53" t="s">
        <v>164</v>
      </c>
      <c r="AK11" s="53" t="s">
        <v>164</v>
      </c>
      <c r="AL11" s="53" t="s">
        <v>164</v>
      </c>
      <c r="AM11" s="53" t="s">
        <v>164</v>
      </c>
      <c r="AN11" s="53" t="s">
        <v>164</v>
      </c>
      <c r="AO11" s="53" t="s">
        <v>164</v>
      </c>
      <c r="AP11" s="53" t="s">
        <v>164</v>
      </c>
      <c r="AQ11" s="53" t="s">
        <v>164</v>
      </c>
      <c r="AR11" s="53" t="s">
        <v>164</v>
      </c>
      <c r="AS11" s="53" t="s">
        <v>164</v>
      </c>
      <c r="AT11" s="54">
        <v>5</v>
      </c>
      <c r="AU11" s="53" t="s">
        <v>308</v>
      </c>
      <c r="AV11" s="53" t="str">
        <f t="shared" si="1"/>
        <v>[BRA]State[BRA] Goias</v>
      </c>
      <c r="AW11" s="53" t="str">
        <f t="shared" si="2"/>
        <v>2[BRA] Goias</v>
      </c>
      <c r="AX11" s="55"/>
      <c r="AY11" s="55"/>
      <c r="AZ11" s="56" t="s">
        <v>159</v>
      </c>
      <c r="BA11" s="56"/>
      <c r="BB11" s="56"/>
      <c r="BC11" s="57"/>
      <c r="BD11" s="58" t="s">
        <v>167</v>
      </c>
      <c r="BE11" s="59"/>
      <c r="BF11" s="58" t="s">
        <v>153</v>
      </c>
      <c r="BG11" s="58"/>
      <c r="BH11" s="58" t="s">
        <v>155</v>
      </c>
      <c r="BI11" s="58"/>
      <c r="BJ11" s="58"/>
      <c r="BK11" s="59"/>
      <c r="BL11" s="58" t="s">
        <v>153</v>
      </c>
      <c r="BM11" s="58" t="s">
        <v>155</v>
      </c>
      <c r="BN11" s="58" t="s">
        <v>152</v>
      </c>
      <c r="BO11" s="58" t="s">
        <v>159</v>
      </c>
      <c r="BP11" s="58"/>
      <c r="BQ11" s="58"/>
      <c r="BR11" s="58"/>
      <c r="BS11" s="58"/>
      <c r="BT11" s="58"/>
      <c r="BU11" s="60" t="s">
        <v>164</v>
      </c>
      <c r="BV11" s="61"/>
      <c r="BW11" s="61">
        <v>0</v>
      </c>
      <c r="BX11" s="59"/>
      <c r="CB11" s="5"/>
      <c r="CC11" s="5"/>
      <c r="CD11" s="62">
        <v>1</v>
      </c>
      <c r="CE11" s="62">
        <v>0</v>
      </c>
      <c r="CF11" s="62" t="e">
        <v>#REF!</v>
      </c>
      <c r="CG11" s="75" cm="1">
        <f t="array" ref="CG11">SUMPRODUCT(--(LEN(TRIM(BL11:BT11))&gt;0))</f>
        <v>4</v>
      </c>
      <c r="CH11" s="53" t="str">
        <f t="shared" si="3"/>
        <v>n</v>
      </c>
      <c r="CI11" s="53" t="str">
        <f t="shared" si="4"/>
        <v>n</v>
      </c>
      <c r="CJ11" s="53" t="str">
        <f t="shared" si="5"/>
        <v>y</v>
      </c>
      <c r="CK11" s="53" t="str">
        <f t="shared" si="6"/>
        <v>n</v>
      </c>
      <c r="CL11" s="53" t="str">
        <f t="shared" si="7"/>
        <v>n</v>
      </c>
      <c r="CM11" s="53" t="str">
        <f t="shared" si="8"/>
        <v>n</v>
      </c>
      <c r="CN11" s="53" t="str">
        <f t="shared" si="9"/>
        <v>n</v>
      </c>
      <c r="CO11" s="53" t="str">
        <f t="shared" si="10"/>
        <v>y</v>
      </c>
      <c r="CP11" s="53" t="str">
        <f t="shared" si="11"/>
        <v>n</v>
      </c>
      <c r="CQ11" s="53" t="str">
        <f t="shared" si="12"/>
        <v>n</v>
      </c>
      <c r="CR11" s="53" t="str">
        <f t="shared" si="13"/>
        <v>n</v>
      </c>
      <c r="CS11" s="53" t="str">
        <f t="shared" si="14"/>
        <v>y</v>
      </c>
      <c r="CT11" s="38" t="str">
        <f t="shared" si="15"/>
        <v>"[BRA] Goias"</v>
      </c>
      <c r="CU11" s="63" t="str">
        <f t="shared" si="16"/>
        <v>"rgn_South America"</v>
      </c>
      <c r="CV11" s="44" t="str">
        <f t="shared" si="17"/>
        <v>"https://upload.wikimedia.org/wikipedia/commons/thumb/b/be/Flag_of_Goi%C3%A1s.svg/640px-Flag_of_Goi%C3%A1s.svg.png"</v>
      </c>
      <c r="CW11" s="44" t="str">
        <f t="shared" si="18"/>
        <v/>
      </c>
      <c r="CX11" s="44" t="str">
        <f t="shared" si="19"/>
        <v/>
      </c>
      <c r="CY11" s="44" t="str">
        <f t="shared" si="20"/>
        <v>"4Color",</v>
      </c>
      <c r="CZ11" s="44" t="str">
        <f t="shared" si="21"/>
        <v/>
      </c>
      <c r="DA11" s="44" t="str">
        <f t="shared" si="22"/>
        <v/>
      </c>
      <c r="DB11" s="44" t="str">
        <f t="shared" si="23"/>
        <v/>
      </c>
      <c r="DC11" s="44" t="str">
        <f t="shared" si="24"/>
        <v/>
      </c>
      <c r="DD11" s="44" t="str">
        <f t="shared" si="25"/>
        <v>"lets05",</v>
      </c>
      <c r="DE11" s="44" t="str">
        <f t="shared" si="26"/>
        <v>"startG",</v>
      </c>
      <c r="DF11" s="44" t="str">
        <f t="shared" si="27"/>
        <v/>
      </c>
      <c r="DG11" s="44" t="str">
        <f t="shared" si="28"/>
        <v/>
      </c>
      <c r="DH11" s="44" t="str">
        <f t="shared" si="29"/>
        <v/>
      </c>
      <c r="DI11" s="44" t="str">
        <f t="shared" si="30"/>
        <v/>
      </c>
      <c r="DJ11" s="44" t="str">
        <f t="shared" si="31"/>
        <v/>
      </c>
      <c r="DK11" s="44" t="str">
        <f t="shared" si="32"/>
        <v/>
      </c>
      <c r="DL11" s="44" t="str">
        <f t="shared" si="33"/>
        <v/>
      </c>
      <c r="DM11" s="44" t="str" cm="1">
        <f t="array" ref="DM11">IF(CG11=3,CHAR(34) &amp; _xlfn.TEXTJOIN("", TRUE, RIGHT(HP11:HX11, 2)) &amp; CHAR(34) &amp; ",", "")</f>
        <v/>
      </c>
      <c r="DN11" s="44" t="str">
        <f t="shared" si="34"/>
        <v/>
      </c>
      <c r="DO11" s="44" t="str">
        <f t="shared" si="35"/>
        <v>"year19",</v>
      </c>
      <c r="DP11" s="5" t="str">
        <f t="shared" si="36"/>
        <v/>
      </c>
      <c r="DQ11" s="5" t="str">
        <f t="shared" si="37"/>
        <v/>
      </c>
      <c r="DR11" s="5" t="str">
        <f t="shared" si="38"/>
        <v/>
      </c>
      <c r="DS11" s="5" t="str">
        <f t="shared" si="39"/>
        <v/>
      </c>
      <c r="DT11" s="5" t="str">
        <f t="shared" si="40"/>
        <v>"allhor",</v>
      </c>
      <c r="DU11" s="5" t="str">
        <f t="shared" si="41"/>
        <v/>
      </c>
      <c r="DV11" s="44" t="str">
        <f t="shared" si="42"/>
        <v/>
      </c>
      <c r="DW11" s="44" t="str">
        <f t="shared" si="43"/>
        <v/>
      </c>
      <c r="DX11" s="44" t="str">
        <f t="shared" si="44"/>
        <v/>
      </c>
      <c r="DY11" s="44" t="str">
        <f t="shared" si="45"/>
        <v/>
      </c>
      <c r="DZ11" s="44" t="str">
        <f t="shared" si="46"/>
        <v>"4+Band",</v>
      </c>
      <c r="EA11" s="44" t="str">
        <f t="shared" si="47"/>
        <v/>
      </c>
      <c r="EB11" s="44" t="str">
        <f t="shared" si="48"/>
        <v/>
      </c>
      <c r="EC11" s="44" t="str">
        <f t="shared" si="49"/>
        <v>"Horizo",</v>
      </c>
      <c r="ED11" s="44" t="str">
        <f t="shared" si="50"/>
        <v/>
      </c>
      <c r="EE11" s="44" t="str">
        <f t="shared" si="51"/>
        <v/>
      </c>
      <c r="EF11" s="44" t="str">
        <f t="shared" si="52"/>
        <v/>
      </c>
      <c r="EG11" s="44" t="str">
        <f t="shared" si="53"/>
        <v/>
      </c>
      <c r="EH11" s="44" t="str">
        <f t="shared" si="54"/>
        <v/>
      </c>
      <c r="EI11" s="44" t="str">
        <f t="shared" si="55"/>
        <v/>
      </c>
      <c r="EJ11" s="44" t="str">
        <f t="shared" si="56"/>
        <v/>
      </c>
      <c r="EK11" s="44" t="str">
        <f t="shared" si="57"/>
        <v/>
      </c>
      <c r="EL11" s="44" t="str">
        <f t="shared" si="58"/>
        <v/>
      </c>
      <c r="EM11" s="44" t="str">
        <f t="shared" si="59"/>
        <v/>
      </c>
      <c r="EN11" s="44" t="str">
        <f t="shared" si="60"/>
        <v/>
      </c>
      <c r="EO11" s="44" t="str">
        <f t="shared" si="61"/>
        <v/>
      </c>
      <c r="EP11" s="44" t="str">
        <f t="shared" si="62"/>
        <v>"Canton",</v>
      </c>
      <c r="EQ11" s="44" t="str">
        <f t="shared" si="63"/>
        <v/>
      </c>
      <c r="ER11" s="44" t="str">
        <f t="shared" si="64"/>
        <v/>
      </c>
      <c r="ES11" s="44" t="str">
        <f t="shared" si="65"/>
        <v/>
      </c>
      <c r="ET11" s="44" t="str">
        <f t="shared" si="66"/>
        <v/>
      </c>
      <c r="EU11" s="44" t="str">
        <f t="shared" si="67"/>
        <v/>
      </c>
      <c r="EV11" s="44" t="str">
        <f t="shared" si="68"/>
        <v/>
      </c>
      <c r="EW11" s="44" t="str">
        <f t="shared" si="69"/>
        <v/>
      </c>
      <c r="EX11" s="44" t="str">
        <f t="shared" si="70"/>
        <v/>
      </c>
      <c r="EY11" s="44" t="str">
        <f t="shared" si="71"/>
        <v/>
      </c>
      <c r="EZ11" s="44" t="str">
        <f t="shared" si="72"/>
        <v/>
      </c>
      <c r="FA11" s="44" t="str">
        <f t="shared" si="73"/>
        <v>"staWHI",</v>
      </c>
      <c r="FB11" s="44" t="str">
        <f t="shared" si="74"/>
        <v/>
      </c>
      <c r="FC11" s="44" t="str">
        <f t="shared" si="75"/>
        <v/>
      </c>
      <c r="FD11" s="44" t="str">
        <f t="shared" si="76"/>
        <v/>
      </c>
      <c r="FE11" s="44" t="str">
        <f t="shared" si="77"/>
        <v/>
      </c>
      <c r="FF11" s="44" t="str">
        <f t="shared" si="78"/>
        <v/>
      </c>
      <c r="FG11" s="44" t="str">
        <f t="shared" si="79"/>
        <v>"NO_RED",</v>
      </c>
      <c r="FH11" s="44" t="str">
        <f t="shared" si="80"/>
        <v/>
      </c>
      <c r="FI11" s="44" t="str">
        <f t="shared" si="81"/>
        <v/>
      </c>
      <c r="FJ11" s="44" t="str">
        <f t="shared" si="82"/>
        <v>"NO_BLA",</v>
      </c>
      <c r="FK11" s="44" t="str">
        <f t="shared" si="83"/>
        <v/>
      </c>
      <c r="FL11" s="44" t="str">
        <f t="shared" si="84"/>
        <v/>
      </c>
      <c r="FM11" s="44" t="str">
        <f t="shared" si="85"/>
        <v/>
      </c>
      <c r="FN11" s="44" t="str">
        <f t="shared" si="86"/>
        <v/>
      </c>
      <c r="FO11" s="44" t="str">
        <f t="shared" si="87"/>
        <v/>
      </c>
      <c r="FP11" s="44" t="str">
        <f t="shared" si="88"/>
        <v/>
      </c>
      <c r="FQ11" s="44" t="str">
        <f t="shared" si="89"/>
        <v>"001GRE",</v>
      </c>
      <c r="FR11" s="44" t="str">
        <f t="shared" si="90"/>
        <v/>
      </c>
      <c r="FS11" s="44" t="str">
        <f t="shared" si="91"/>
        <v>"003YEL",</v>
      </c>
      <c r="FT11" s="44" t="str">
        <f t="shared" si="92"/>
        <v>"myrEQ",</v>
      </c>
      <c r="FU11" s="44" t="str">
        <f t="shared" si="93"/>
        <v/>
      </c>
      <c r="FV11" s="44" t="str">
        <f t="shared" si="94"/>
        <v/>
      </c>
      <c r="FW11" s="44" t="str">
        <f t="shared" si="95"/>
        <v/>
      </c>
      <c r="FX11" s="44" t="str">
        <f t="shared" si="96"/>
        <v/>
      </c>
      <c r="FY11" s="44" t="str">
        <f t="shared" si="97"/>
        <v/>
      </c>
      <c r="FZ11" s="44" t="str">
        <f t="shared" si="98"/>
        <v/>
      </c>
      <c r="GA11" s="44" t="str">
        <f t="shared" si="99"/>
        <v/>
      </c>
      <c r="GB11" s="44" t="str">
        <f t="shared" si="100"/>
        <v/>
      </c>
      <c r="GC11" s="44" t="str">
        <f t="shared" si="101"/>
        <v/>
      </c>
      <c r="GD11" s="44" t="str">
        <f t="shared" si="102"/>
        <v/>
      </c>
      <c r="GE11" s="44" t="str">
        <f t="shared" si="103"/>
        <v/>
      </c>
      <c r="GF11" s="44" t="str">
        <f t="shared" si="145"/>
        <v/>
      </c>
      <c r="GG11" s="44" t="str">
        <f t="shared" si="104"/>
        <v/>
      </c>
      <c r="GH11" s="44" t="str">
        <f t="shared" si="105"/>
        <v>"southc",</v>
      </c>
      <c r="GI11" s="44" t="str">
        <f t="shared" si="106"/>
        <v/>
      </c>
      <c r="GJ11" s="44" t="str">
        <f t="shared" si="107"/>
        <v/>
      </c>
      <c r="GK11" s="44" t="str">
        <f t="shared" si="108"/>
        <v>"HasSta",</v>
      </c>
      <c r="GL11" s="44" t="str">
        <f t="shared" si="109"/>
        <v/>
      </c>
      <c r="GM11" s="44" t="str">
        <f t="shared" si="110"/>
        <v/>
      </c>
      <c r="GN11" s="44" t="str">
        <f t="shared" si="111"/>
        <v>"3+Star",</v>
      </c>
      <c r="GP11" s="44" t="str">
        <f t="shared" si="112"/>
        <v>"State"</v>
      </c>
      <c r="GS11" s="44" t="str">
        <f t="shared" si="113"/>
        <v>["4Color","lets05","startG","year19","allhor","4+Band","Horizo","Canton","staWHI","NO_RED","NO_BLA","001GRE","003YEL","myrEQ","southc","HasSta","3+Star"]</v>
      </c>
      <c r="GT11" s="44" t="str">
        <f t="shared" si="114"/>
        <v>"cl_GRE",</v>
      </c>
      <c r="GU11" s="44" t="str">
        <f t="shared" si="115"/>
        <v>"cl_YEL",</v>
      </c>
      <c r="GV11" s="44" t="str">
        <f t="shared" si="116"/>
        <v>"cl_BLU",</v>
      </c>
      <c r="GW11" s="44" t="str">
        <f t="shared" si="117"/>
        <v>"cl_WHI",</v>
      </c>
      <c r="GX11" s="44" t="str">
        <f t="shared" si="118"/>
        <v/>
      </c>
      <c r="GY11" s="44" t="str">
        <f t="shared" si="119"/>
        <v/>
      </c>
      <c r="GZ11" s="44" t="str">
        <f t="shared" si="120"/>
        <v/>
      </c>
      <c r="HA11" s="44" t="str">
        <f t="shared" si="121"/>
        <v/>
      </c>
      <c r="HB11" s="44" t="str">
        <f t="shared" si="122"/>
        <v/>
      </c>
      <c r="HC11" s="44" t="str">
        <f t="shared" si="123"/>
        <v>["cl_GRE","cl_YEL","cl_BLU","cl_WHI"]</v>
      </c>
      <c r="HE11" s="64"/>
      <c r="HF11" s="65" t="str">
        <f t="shared" si="124"/>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links: "https://en.wikipedia.org/wiki/Flag_of_Goiás"},</v>
      </c>
      <c r="HG11" s="66" t="str">
        <f t="shared" si="125"/>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links: "https://en.wikipedia.org/wiki/Flag_of_Goiás"},</v>
      </c>
      <c r="HH11" s="44" t="str">
        <f t="shared" si="126"/>
        <v>"\nThe yellow represents the gold, the green represents the forests, and the five white stars in the upper left hoist represent the Southern Cross. The Southern Cross was the constellation that gave Brazil its primitive names, Ilha de Vera Cruz and Terra de Santa Cruz."</v>
      </c>
      <c r="HI11" s="44" t="str">
        <f t="shared" si="127"/>
        <v>"\nThe yellow represents the gold, the green represents the forests, and the five white stars in the upper left hoist represent the Southern Cross. The Southern Cross was the constellation that gave Brazil its primitive names, Ilha de Vera Cruz and Terra de Santa Cruz."</v>
      </c>
      <c r="HJ11" s="44" t="str">
        <f t="shared" si="128"/>
        <v>"1919 "</v>
      </c>
      <c r="HL11" s="44" t="str">
        <f t="shared" si="129"/>
        <v>"https://en.wikipedia.org/wiki/Flag_of_Goiás"</v>
      </c>
      <c r="HM11" s="65" t="str">
        <f t="shared" si="130"/>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N11" s="67" t="str">
        <f t="shared" si="131"/>
        <v>{"couname":"[BRA] Goias","year":"1919 ","region":"rgn_South America","Colors":["cl_GRE","cl_YEL","cl_BLU","cl_WHI"],"Items":["4Color","lets05","startG","year19","allhor","4+Band","Horizo","Canton","staWHI","NO_RED","NO_BLA","001GRE","003YEL","myrEQ","southc","HasSta","3+Star"],"Flag":"https://upload.wikimedia.org/wikipedia/commons/thumb/b/be/Flag_of_Goi%C3%A1s.svg/640px-Flag_of_Goi%C3%A1s.svg.png","HDFlag":"https://upload.wikimedia.org/wikipedia/commons/thumb/b/be/Flag_of_Goi%C3%A1s.svg/2560px-Flag_of_Goi%C3%A1s.svg.png","type":"State", "describe": "\nThe yellow represents the gold, the green represents the forests, and the five white stars in the upper left hoist represent the Southern Cross. The Southern Cross was the constellation that gave Brazil its primitive names, Ilha de Vera Cruz and Terra de Santa Cruz.", "isnew": ".", "links": "https://en.wikipedia.org/wiki/Flag_of_Goiás"},</v>
      </c>
      <c r="HO11" s="71"/>
      <c r="HP11" s="44" t="str" cm="1">
        <f t="array" ref="HP11">IF(_xlfn.TEXTJOIN(", ", TRUE, IF(ISNUMBER(SEARCH("BLA", BL11:BT11)), COLUMN(BL11:BT11) - COLUMN(BL11) + 1, ""))&lt;&gt;"","BLA","")</f>
        <v/>
      </c>
      <c r="HQ11" s="44" t="str" cm="1">
        <f t="array" ref="HQ11">IF(_xlfn.TEXTJOIN(", ", TRUE, IF(ISNUMBER(SEARCH("BLU", BL11:BT11)), COLUMN(BL11:BT11) - COLUMN(BL11) + 1, ""))&lt;&gt;"","BLU","")</f>
        <v>BLU</v>
      </c>
      <c r="HR11" s="44" t="str" cm="1">
        <f t="array" ref="HR11">IF(_xlfn.TEXTJOIN(", ", TRUE, IF(ISNUMBER(SEARCH("GRE", BL11:BT11)), COLUMN(BL11:BT11) - COLUMN(BL11) + 1, ""))&lt;&gt;"","GRE","")</f>
        <v>GRE</v>
      </c>
      <c r="HS11" s="44" t="str" cm="1">
        <f t="array" ref="HS11">IF(_xlfn.TEXTJOIN(", ", TRUE, IF(ISNUMBER(SEARCH("RED", BL11:BT11)), COLUMN(BL11:BT11) - COLUMN(BL11) + 1, ""))&lt;&gt;"","RED","")</f>
        <v/>
      </c>
      <c r="HT11" s="44" t="str" cm="1">
        <f t="array" ref="HT11">IF(_xlfn.TEXTJOIN(", ", TRUE, IF(ISNUMBER(SEARCH("YEL", BL11:BT11)), COLUMN(BL11:BT11) - COLUMN(BL11) + 1, ""))&lt;&gt;"","YEL","")</f>
        <v>YEL</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L11" s="44">
        <f t="shared" si="132"/>
        <v>0</v>
      </c>
      <c r="IM11" s="42">
        <f t="shared" si="133"/>
        <v>-4</v>
      </c>
      <c r="IN11" s="69" t="str">
        <f t="shared" si="134"/>
        <v>http://mkweb.bcgsc.ca/color-summarizer/?url=https://upload.wikimedia.org/wikipedia/commons/thumb/b/be/Flag_of_Goi%C3%A1s.svg/640px-Flag_of_Goi%C3%A1s.svg.png&amp;precision=low&amp;num_clusters=4&amp;text=1</v>
      </c>
      <c r="IO11" s="44" t="str">
        <f t="shared" si="135"/>
        <v/>
      </c>
      <c r="IP11" s="44" t="str">
        <f t="shared" si="136"/>
        <v>"blue"</v>
      </c>
      <c r="IQ11" s="44" t="str">
        <f t="shared" si="137"/>
        <v>"green"</v>
      </c>
      <c r="IR11" s="44" t="str">
        <f t="shared" si="138"/>
        <v/>
      </c>
      <c r="IS11" s="44" t="str">
        <f t="shared" si="139"/>
        <v>"yellow"</v>
      </c>
      <c r="IT11" s="44" t="str">
        <f t="shared" si="140"/>
        <v/>
      </c>
      <c r="IU11" s="44" t="str">
        <f t="shared" si="141"/>
        <v/>
      </c>
      <c r="IV11" s="44" t="str">
        <f t="shared" si="142"/>
        <v/>
      </c>
      <c r="IW11" s="44" t="str">
        <f t="shared" si="143"/>
        <v>"white"</v>
      </c>
      <c r="IX11" s="44" t="str">
        <f t="shared" si="144"/>
        <v>{"url":"http://mkweb.bcgsc.ca/color-summarizer/?url=https://upload.wikimedia.org/wikipedia/commons/thumb/b/be/Flag_of_Goi%C3%A1s.svg/640px-Flag_of_Goi%C3%A1s.svg.png&amp;precision=low&amp;num_clusters=4&amp;text=1","name":"[BRA] Goias"},</v>
      </c>
      <c r="IY11" s="44">
        <v>335</v>
      </c>
    </row>
    <row r="12" spans="1:259" s="44" customFormat="1" ht="38.4" customHeight="1" thickBot="1" x14ac:dyDescent="0.35">
      <c r="A12" s="84" t="s">
        <v>362</v>
      </c>
      <c r="B12" s="83" t="e" vm="34">
        <v>#VALUE!</v>
      </c>
      <c r="C12" s="39">
        <v>2</v>
      </c>
      <c r="D12" s="70" t="s">
        <v>363</v>
      </c>
      <c r="E12" s="40" t="s">
        <v>364</v>
      </c>
      <c r="F12" s="41" t="s">
        <v>163</v>
      </c>
      <c r="G12" s="42">
        <f t="shared" si="0"/>
        <v>1</v>
      </c>
      <c r="H12" s="43"/>
      <c r="I12" s="59" t="s">
        <v>365</v>
      </c>
      <c r="J12" s="44" t="str">
        <f>""</f>
        <v/>
      </c>
      <c r="K12" s="45"/>
      <c r="L12" s="46"/>
      <c r="M12" s="46"/>
      <c r="N12" s="47" t="s">
        <v>177</v>
      </c>
      <c r="O12" s="74" t="s">
        <v>366</v>
      </c>
      <c r="P12" s="48" t="s">
        <v>367</v>
      </c>
      <c r="Q12" s="73">
        <v>1</v>
      </c>
      <c r="R12" s="49" t="s">
        <v>177</v>
      </c>
      <c r="S12" s="50">
        <v>9</v>
      </c>
      <c r="T12" s="51" t="s">
        <v>164</v>
      </c>
      <c r="U12" s="52" t="s">
        <v>164</v>
      </c>
      <c r="V12" s="52" t="s">
        <v>165</v>
      </c>
      <c r="W12" s="52" t="s">
        <v>164</v>
      </c>
      <c r="X12" s="52" t="s">
        <v>164</v>
      </c>
      <c r="Y12" s="52" t="s">
        <v>164</v>
      </c>
      <c r="Z12" s="52" t="s">
        <v>164</v>
      </c>
      <c r="AA12" s="52" t="s">
        <v>164</v>
      </c>
      <c r="AB12" s="52" t="s">
        <v>164</v>
      </c>
      <c r="AC12" s="52" t="s">
        <v>164</v>
      </c>
      <c r="AD12" s="52" t="s">
        <v>164</v>
      </c>
      <c r="AE12" s="52" t="s">
        <v>164</v>
      </c>
      <c r="AF12" s="53" t="s">
        <v>164</v>
      </c>
      <c r="AG12" s="53" t="s">
        <v>164</v>
      </c>
      <c r="AH12" s="53" t="s">
        <v>164</v>
      </c>
      <c r="AI12" s="53" t="s">
        <v>165</v>
      </c>
      <c r="AJ12" s="53" t="s">
        <v>164</v>
      </c>
      <c r="AK12" s="53" t="s">
        <v>164</v>
      </c>
      <c r="AL12" s="53" t="s">
        <v>164</v>
      </c>
      <c r="AM12" s="53" t="s">
        <v>164</v>
      </c>
      <c r="AN12" s="53" t="s">
        <v>164</v>
      </c>
      <c r="AO12" s="53" t="s">
        <v>164</v>
      </c>
      <c r="AP12" s="53" t="s">
        <v>164</v>
      </c>
      <c r="AQ12" s="53" t="s">
        <v>164</v>
      </c>
      <c r="AR12" s="53" t="s">
        <v>164</v>
      </c>
      <c r="AS12" s="53" t="s">
        <v>164</v>
      </c>
      <c r="AT12" s="54">
        <v>1</v>
      </c>
      <c r="AU12" s="53" t="s">
        <v>308</v>
      </c>
      <c r="AV12" s="53" t="str">
        <f t="shared" si="1"/>
        <v>[BRA]State[BRA] Maranhao</v>
      </c>
      <c r="AW12" s="53" t="str">
        <f t="shared" si="2"/>
        <v>2[BRA] Maranhao</v>
      </c>
      <c r="AX12" s="55"/>
      <c r="AY12" s="55"/>
      <c r="AZ12" s="56" t="s">
        <v>159</v>
      </c>
      <c r="BA12" s="56"/>
      <c r="BB12" s="56"/>
      <c r="BC12" s="57"/>
      <c r="BD12" s="58" t="s">
        <v>159</v>
      </c>
      <c r="BE12" s="59"/>
      <c r="BF12" s="58" t="s">
        <v>154</v>
      </c>
      <c r="BG12" s="58" t="s">
        <v>154</v>
      </c>
      <c r="BH12" s="58" t="s">
        <v>154</v>
      </c>
      <c r="BI12" s="58" t="s">
        <v>159</v>
      </c>
      <c r="BJ12" s="58" t="s">
        <v>151</v>
      </c>
      <c r="BK12" s="59"/>
      <c r="BL12" s="58" t="s">
        <v>154</v>
      </c>
      <c r="BM12" s="58" t="s">
        <v>159</v>
      </c>
      <c r="BN12" s="58" t="s">
        <v>151</v>
      </c>
      <c r="BO12" s="58" t="s">
        <v>152</v>
      </c>
      <c r="BP12" s="58"/>
      <c r="BQ12" s="58"/>
      <c r="BR12" s="58"/>
      <c r="BS12" s="58"/>
      <c r="BT12" s="58"/>
      <c r="BU12" s="60" t="s">
        <v>164</v>
      </c>
      <c r="BV12" s="61"/>
      <c r="BW12" s="61">
        <v>0</v>
      </c>
      <c r="BX12" s="59"/>
      <c r="CB12" s="5"/>
      <c r="CC12" s="5"/>
      <c r="CD12" s="62">
        <v>0</v>
      </c>
      <c r="CE12" s="62">
        <v>0</v>
      </c>
      <c r="CF12" s="62" t="e">
        <v>#REF!</v>
      </c>
      <c r="CG12" s="75" cm="1">
        <f t="array" ref="CG12">SUMPRODUCT(--(LEN(TRIM(BL12:BT12))&gt;0))</f>
        <v>4</v>
      </c>
      <c r="CH12" s="53" t="str">
        <f t="shared" si="3"/>
        <v>n</v>
      </c>
      <c r="CI12" s="53" t="str">
        <f t="shared" si="4"/>
        <v>n</v>
      </c>
      <c r="CJ12" s="53" t="str">
        <f t="shared" si="5"/>
        <v>y</v>
      </c>
      <c r="CK12" s="53" t="str">
        <f t="shared" si="6"/>
        <v>n</v>
      </c>
      <c r="CL12" s="53" t="str">
        <f t="shared" si="7"/>
        <v>n</v>
      </c>
      <c r="CM12" s="53" t="str">
        <f t="shared" si="8"/>
        <v>n</v>
      </c>
      <c r="CN12" s="53" t="str">
        <f t="shared" si="9"/>
        <v>n</v>
      </c>
      <c r="CO12" s="53" t="str">
        <f t="shared" si="10"/>
        <v>y</v>
      </c>
      <c r="CP12" s="53" t="str">
        <f t="shared" si="11"/>
        <v>n</v>
      </c>
      <c r="CQ12" s="53" t="str">
        <f t="shared" si="12"/>
        <v>y</v>
      </c>
      <c r="CR12" s="53" t="str">
        <f t="shared" si="13"/>
        <v>n</v>
      </c>
      <c r="CS12" s="53" t="str">
        <f t="shared" si="14"/>
        <v>n</v>
      </c>
      <c r="CT12" s="38" t="str">
        <f t="shared" si="15"/>
        <v>"[BRA] Maranhao"</v>
      </c>
      <c r="CU12" s="63" t="str">
        <f t="shared" si="16"/>
        <v>"rgn_South America"</v>
      </c>
      <c r="CV12" s="44" t="str">
        <f t="shared" si="17"/>
        <v>"https://upload.wikimedia.org/wikipedia/commons/thumb/4/45/Bandeira_do_Maranh%C3%A3o.svg/640px-Bandeira_do_Maranh%C3%A3o.svg.png"</v>
      </c>
      <c r="CW12" s="44" t="str">
        <f t="shared" si="18"/>
        <v/>
      </c>
      <c r="CX12" s="44" t="str">
        <f t="shared" si="19"/>
        <v/>
      </c>
      <c r="CY12" s="44" t="str">
        <f t="shared" si="20"/>
        <v>"4Color",</v>
      </c>
      <c r="CZ12" s="44" t="str">
        <f t="shared" si="21"/>
        <v/>
      </c>
      <c r="DA12" s="44" t="str">
        <f t="shared" si="22"/>
        <v/>
      </c>
      <c r="DB12" s="44" t="str">
        <f t="shared" si="23"/>
        <v/>
      </c>
      <c r="DC12" s="44" t="str">
        <f t="shared" si="24"/>
        <v/>
      </c>
      <c r="DD12" s="44" t="str">
        <f t="shared" si="25"/>
        <v>"lets08",</v>
      </c>
      <c r="DE12" s="44" t="str">
        <f t="shared" si="26"/>
        <v>"startM",</v>
      </c>
      <c r="DF12" s="44" t="str">
        <f t="shared" si="27"/>
        <v/>
      </c>
      <c r="DG12" s="44" t="str">
        <f t="shared" si="28"/>
        <v/>
      </c>
      <c r="DH12" s="44" t="str">
        <f t="shared" si="29"/>
        <v/>
      </c>
      <c r="DI12" s="44" t="str">
        <f t="shared" si="30"/>
        <v/>
      </c>
      <c r="DJ12" s="44" t="str">
        <f t="shared" si="31"/>
        <v/>
      </c>
      <c r="DK12" s="44" t="str">
        <f t="shared" si="32"/>
        <v/>
      </c>
      <c r="DL12" s="44" t="str">
        <f t="shared" si="33"/>
        <v/>
      </c>
      <c r="DM12" s="44" t="str" cm="1">
        <f t="array" ref="DM12">IF(CG12=3,CHAR(34) &amp; _xlfn.TEXTJOIN("", TRUE, RIGHT(HP12:HX12, 2)) &amp; CHAR(34) &amp; ",", "")</f>
        <v/>
      </c>
      <c r="DN12" s="44" t="str">
        <f t="shared" si="34"/>
        <v>"year18",</v>
      </c>
      <c r="DO12" s="44" t="str">
        <f t="shared" si="35"/>
        <v/>
      </c>
      <c r="DP12" s="5" t="str">
        <f t="shared" si="36"/>
        <v/>
      </c>
      <c r="DQ12" s="5" t="str">
        <f t="shared" si="37"/>
        <v/>
      </c>
      <c r="DR12" s="5" t="str">
        <f t="shared" si="38"/>
        <v/>
      </c>
      <c r="DS12" s="5" t="str">
        <f t="shared" si="39"/>
        <v/>
      </c>
      <c r="DT12" s="5" t="str">
        <f t="shared" si="40"/>
        <v>"allhor",</v>
      </c>
      <c r="DU12" s="5" t="str">
        <f t="shared" si="41"/>
        <v/>
      </c>
      <c r="DV12" s="44" t="str">
        <f t="shared" si="42"/>
        <v/>
      </c>
      <c r="DW12" s="44" t="str">
        <f t="shared" si="43"/>
        <v/>
      </c>
      <c r="DX12" s="44" t="str">
        <f t="shared" si="44"/>
        <v/>
      </c>
      <c r="DY12" s="44" t="str">
        <f t="shared" si="45"/>
        <v/>
      </c>
      <c r="DZ12" s="44" t="str">
        <f t="shared" si="46"/>
        <v>"4+Band",</v>
      </c>
      <c r="EA12" s="44" t="str">
        <f t="shared" si="47"/>
        <v/>
      </c>
      <c r="EB12" s="44" t="str">
        <f t="shared" si="48"/>
        <v/>
      </c>
      <c r="EC12" s="44" t="str">
        <f t="shared" si="49"/>
        <v>"Horizo",</v>
      </c>
      <c r="ED12" s="44" t="str">
        <f t="shared" si="50"/>
        <v/>
      </c>
      <c r="EE12" s="44" t="str">
        <f t="shared" si="51"/>
        <v/>
      </c>
      <c r="EF12" s="44" t="str">
        <f t="shared" si="52"/>
        <v/>
      </c>
      <c r="EG12" s="44" t="str">
        <f t="shared" si="53"/>
        <v/>
      </c>
      <c r="EH12" s="44" t="str">
        <f t="shared" si="54"/>
        <v/>
      </c>
      <c r="EI12" s="44" t="str">
        <f t="shared" si="55"/>
        <v/>
      </c>
      <c r="EJ12" s="44" t="str">
        <f t="shared" si="56"/>
        <v/>
      </c>
      <c r="EK12" s="44" t="str">
        <f t="shared" si="57"/>
        <v/>
      </c>
      <c r="EL12" s="44" t="str">
        <f t="shared" si="58"/>
        <v/>
      </c>
      <c r="EM12" s="44" t="str">
        <f t="shared" si="59"/>
        <v/>
      </c>
      <c r="EN12" s="44" t="str">
        <f t="shared" si="60"/>
        <v/>
      </c>
      <c r="EO12" s="44" t="str">
        <f t="shared" si="61"/>
        <v/>
      </c>
      <c r="EP12" s="44" t="str">
        <f t="shared" si="62"/>
        <v>"Canton",</v>
      </c>
      <c r="EQ12" s="44" t="str">
        <f t="shared" si="63"/>
        <v/>
      </c>
      <c r="ER12" s="44" t="str">
        <f t="shared" si="64"/>
        <v/>
      </c>
      <c r="ES12" s="44" t="str">
        <f t="shared" si="65"/>
        <v/>
      </c>
      <c r="ET12" s="44" t="str">
        <f t="shared" si="66"/>
        <v/>
      </c>
      <c r="EU12" s="44" t="str">
        <f t="shared" si="67"/>
        <v/>
      </c>
      <c r="EV12" s="44" t="str">
        <f t="shared" si="68"/>
        <v/>
      </c>
      <c r="EW12" s="44" t="str">
        <f t="shared" si="69"/>
        <v/>
      </c>
      <c r="EX12" s="44" t="str">
        <f t="shared" si="70"/>
        <v/>
      </c>
      <c r="EY12" s="44" t="str">
        <f t="shared" si="71"/>
        <v/>
      </c>
      <c r="EZ12" s="44" t="str">
        <f t="shared" si="72"/>
        <v/>
      </c>
      <c r="FA12" s="44" t="str">
        <f t="shared" si="73"/>
        <v>"staWHI",</v>
      </c>
      <c r="FB12" s="44" t="str">
        <f t="shared" si="74"/>
        <v/>
      </c>
      <c r="FC12" s="44" t="str">
        <f t="shared" si="75"/>
        <v/>
      </c>
      <c r="FD12" s="44" t="str">
        <f t="shared" si="76"/>
        <v/>
      </c>
      <c r="FE12" s="44" t="str">
        <f t="shared" si="77"/>
        <v/>
      </c>
      <c r="FF12" s="44" t="str">
        <f t="shared" si="78"/>
        <v/>
      </c>
      <c r="FG12" s="44" t="str">
        <f t="shared" si="79"/>
        <v/>
      </c>
      <c r="FH12" s="44" t="str">
        <f t="shared" si="80"/>
        <v>"NO_GRE",</v>
      </c>
      <c r="FI12" s="44" t="str">
        <f t="shared" si="81"/>
        <v>"NO_YEL",</v>
      </c>
      <c r="FJ12" s="44" t="str">
        <f t="shared" si="82"/>
        <v/>
      </c>
      <c r="FK12" s="44" t="str">
        <f t="shared" si="83"/>
        <v/>
      </c>
      <c r="FL12" s="44" t="str">
        <f t="shared" si="84"/>
        <v/>
      </c>
      <c r="FM12" s="44" t="str">
        <f t="shared" si="85"/>
        <v/>
      </c>
      <c r="FN12" s="44" t="str">
        <f t="shared" si="86"/>
        <v/>
      </c>
      <c r="FO12" s="44" t="str">
        <f t="shared" si="87"/>
        <v/>
      </c>
      <c r="FP12" s="44" t="str">
        <f t="shared" si="88"/>
        <v/>
      </c>
      <c r="FQ12" s="44" t="str">
        <f t="shared" si="89"/>
        <v>"001RED",</v>
      </c>
      <c r="FR12" s="44" t="str">
        <f t="shared" si="90"/>
        <v>"002RED",</v>
      </c>
      <c r="FS12" s="44" t="str">
        <f t="shared" si="91"/>
        <v>"003RED",</v>
      </c>
      <c r="FT12" s="44" t="str">
        <f t="shared" si="92"/>
        <v>"myrWHI",</v>
      </c>
      <c r="FU12" s="44" t="str">
        <f t="shared" si="93"/>
        <v/>
      </c>
      <c r="FV12" s="44" t="str">
        <f t="shared" si="94"/>
        <v/>
      </c>
      <c r="FW12" s="44" t="str">
        <f t="shared" si="95"/>
        <v/>
      </c>
      <c r="FX12" s="44" t="str">
        <f t="shared" si="96"/>
        <v/>
      </c>
      <c r="FY12" s="44" t="str">
        <f t="shared" si="97"/>
        <v/>
      </c>
      <c r="FZ12" s="44" t="str">
        <f t="shared" si="98"/>
        <v/>
      </c>
      <c r="GA12" s="44" t="str">
        <f t="shared" si="99"/>
        <v/>
      </c>
      <c r="GB12" s="44" t="str">
        <f t="shared" si="100"/>
        <v/>
      </c>
      <c r="GC12" s="44" t="str">
        <f t="shared" si="101"/>
        <v/>
      </c>
      <c r="GD12" s="44" t="str">
        <f t="shared" si="102"/>
        <v/>
      </c>
      <c r="GE12" s="44" t="str">
        <f t="shared" si="103"/>
        <v/>
      </c>
      <c r="GF12" s="44" t="str">
        <f t="shared" si="145"/>
        <v/>
      </c>
      <c r="GG12" s="44" t="str">
        <f t="shared" si="104"/>
        <v/>
      </c>
      <c r="GH12" s="44" t="str">
        <f t="shared" si="105"/>
        <v/>
      </c>
      <c r="GI12" s="44" t="str">
        <f t="shared" si="106"/>
        <v/>
      </c>
      <c r="GJ12" s="44" t="str">
        <f t="shared" si="107"/>
        <v/>
      </c>
      <c r="GK12" s="44" t="str">
        <f t="shared" si="108"/>
        <v>"HasSta",</v>
      </c>
      <c r="GL12" s="44" t="str">
        <f t="shared" si="109"/>
        <v>"1Stars",</v>
      </c>
      <c r="GM12" s="44" t="str">
        <f t="shared" si="110"/>
        <v/>
      </c>
      <c r="GN12" s="44" t="str">
        <f t="shared" si="111"/>
        <v/>
      </c>
      <c r="GP12" s="44" t="str">
        <f t="shared" si="112"/>
        <v>"State"</v>
      </c>
      <c r="GS12" s="44" t="str">
        <f t="shared" si="113"/>
        <v>["4Color","lets08","startM","year18","allhor","4+Band","Horizo","Canton","staWHI","NO_GRE","NO_YEL","001RED","002RED","003RED","myrWHI","HasSta","1Stars"]</v>
      </c>
      <c r="GT12" s="44" t="str">
        <f t="shared" si="114"/>
        <v>"cl_RED",</v>
      </c>
      <c r="GU12" s="44" t="str">
        <f t="shared" si="115"/>
        <v>"cl_WHI",</v>
      </c>
      <c r="GV12" s="44" t="str">
        <f t="shared" si="116"/>
        <v>"cl_BLA",</v>
      </c>
      <c r="GW12" s="44" t="str">
        <f t="shared" si="117"/>
        <v>"cl_BLU",</v>
      </c>
      <c r="GX12" s="44" t="str">
        <f t="shared" si="118"/>
        <v/>
      </c>
      <c r="GY12" s="44" t="str">
        <f t="shared" si="119"/>
        <v/>
      </c>
      <c r="GZ12" s="44" t="str">
        <f t="shared" si="120"/>
        <v/>
      </c>
      <c r="HA12" s="44" t="str">
        <f t="shared" si="121"/>
        <v/>
      </c>
      <c r="HB12" s="44" t="str">
        <f t="shared" si="122"/>
        <v/>
      </c>
      <c r="HC12" s="44" t="str">
        <f t="shared" si="123"/>
        <v>["cl_RED","cl_WHI","cl_BLA","cl_BLU"]</v>
      </c>
      <c r="HE12" s="64"/>
      <c r="HF12" s="65" t="str">
        <f t="shared" si="124"/>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links: "https://en.wikipedia.org/wiki/Flag_of_Maranhão"},</v>
      </c>
      <c r="HG12" s="66" t="str">
        <f t="shared" si="125"/>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links: "https://en.wikipedia.org/wiki/Flag_of_Maranhão"},</v>
      </c>
      <c r="HH12" s="44" t="str">
        <f t="shared" si="126"/>
        <v>"\nThe three colors of the stripes represent the ethnic composition of the population of Maranhão (Indigenous, black, and white people), while the star represents Beta Scorpii, which inturn represents the state of Maranhão on the Flag of Brazil."</v>
      </c>
      <c r="HI12" s="44" t="str">
        <f t="shared" si="127"/>
        <v>"\nThe three colors of the stripes represent the ethnic composition of the population of Maranhão (Indigenous, black, and white people), while the star represents Beta Scorpii, which inturn represents the state of Maranhão on the Flag of Brazil."</v>
      </c>
      <c r="HJ12" s="44" t="str">
        <f t="shared" si="128"/>
        <v>"1889 "</v>
      </c>
      <c r="HL12" s="44" t="str">
        <f t="shared" si="129"/>
        <v>"https://en.wikipedia.org/wiki/Flag_of_Maranhão"</v>
      </c>
      <c r="HM12" s="65" t="str">
        <f t="shared" si="130"/>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N12" s="67" t="str">
        <f t="shared" si="131"/>
        <v>{"couname":"[BRA] Maranhao","year":"1889 ","region":"rgn_South America","Colors":["cl_RED","cl_WHI","cl_BLA","cl_BLU"],"Items":["4Color","lets08","startM","year18","allhor","4+Band","Horizo","Canton","staWHI","NO_GRE","NO_YEL","001RED","002RED","003RED","myrWHI","HasSta","1Stars"],"Flag":"https://upload.wikimedia.org/wikipedia/commons/thumb/4/45/Bandeira_do_Maranh%C3%A3o.svg/640px-Bandeira_do_Maranh%C3%A3o.svg.png","HDFlag":"https://upload.wikimedia.org/wikipedia/commons/thumb/4/45/Bandeira_do_Maranh%C3%A3o.svg/2560px-Bandeira_do_Maranh%C3%A3o.svg.png","type":"State", "describe": "\nThe three colors of the stripes represent the ethnic composition of the population of Maranhão (Indigenous, black, and white people), while the star represents Beta Scorpii, which inturn represents the state of Maranhão on the Flag of Brazil.", "isnew": ".", "links": "https://en.wikipedia.org/wiki/Flag_of_Maranhão"},</v>
      </c>
      <c r="HO12" s="71"/>
      <c r="HP12" s="44" t="str" cm="1">
        <f t="array" ref="HP12">IF(_xlfn.TEXTJOIN(", ", TRUE, IF(ISNUMBER(SEARCH("BLA", BL12:BT12)), COLUMN(BL12:BT12) - COLUMN(BL12) + 1, ""))&lt;&gt;"","BLA","")</f>
        <v>BLA</v>
      </c>
      <c r="HQ12" s="44" t="str" cm="1">
        <f t="array" ref="HQ12">IF(_xlfn.TEXTJOIN(", ", TRUE, IF(ISNUMBER(SEARCH("BLU", BL12:BT12)), COLUMN(BL12:BT12) - COLUMN(BL12) + 1, ""))&lt;&gt;"","BLU","")</f>
        <v>BLU</v>
      </c>
      <c r="HR12" s="44" t="str" cm="1">
        <f t="array" ref="HR12">IF(_xlfn.TEXTJOIN(", ", TRUE, IF(ISNUMBER(SEARCH("GRE", BL12:BT12)), COLUMN(BL12:BT12) - COLUMN(BL12) + 1, ""))&lt;&gt;"","GRE","")</f>
        <v/>
      </c>
      <c r="HS12" s="44" t="str" cm="1">
        <f t="array" ref="HS12">IF(_xlfn.TEXTJOIN(", ", TRUE, IF(ISNUMBER(SEARCH("RED", BL12:BT12)), COLUMN(BL12:BT12) - COLUMN(BL12) + 1, ""))&lt;&gt;"","RED","")</f>
        <v>RED</v>
      </c>
      <c r="HT12" s="44" t="str" cm="1">
        <f t="array" ref="HT12">IF(_xlfn.TEXTJOIN(", ", TRUE, IF(ISNUMBER(SEARCH("YEL", BL12:BT12)), COLUMN(BL12:BT12) - COLUMN(BL12) + 1, ""))&lt;&gt;"","YEL","")</f>
        <v/>
      </c>
      <c r="HU12" s="44" t="str" cm="1">
        <f t="array" ref="HU12">IF(_xlfn.TEXTJOIN(", ", TRUE, IF(ISNUMBER(SEARCH("ORA", BL12:BT12)), COLUMN(BL12:BT12) - COLUMN(BL12) + 1, ""))&lt;&gt;"","ORA","")</f>
        <v/>
      </c>
      <c r="HV12" s="44" t="str" cm="1">
        <f t="array" ref="HV12">IF(_xlfn.TEXTJOIN(", ", TRUE, IF(ISNUMBER(SEARCH("BRO", BL12:BT12)), COLUMN(BL12:BT12) - COLUMN(BL12) + 1, ""))&lt;&gt;"","BRO","")</f>
        <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L12" s="44">
        <f t="shared" si="132"/>
        <v>0</v>
      </c>
      <c r="IM12" s="42">
        <f t="shared" si="133"/>
        <v>-4</v>
      </c>
      <c r="IN12" s="69" t="str">
        <f t="shared" si="134"/>
        <v>http://mkweb.bcgsc.ca/color-summarizer/?url=https://upload.wikimedia.org/wikipedia/commons/thumb/4/45/Bandeira_do_Maranh%C3%A3o.svg/640px-Bandeira_do_Maranh%C3%A3o.svg.png&amp;precision=low&amp;num_clusters=4&amp;text=1</v>
      </c>
      <c r="IO12" s="44" t="str">
        <f t="shared" si="135"/>
        <v>"black"</v>
      </c>
      <c r="IP12" s="44" t="str">
        <f t="shared" si="136"/>
        <v>"blue"</v>
      </c>
      <c r="IQ12" s="44" t="str">
        <f t="shared" si="137"/>
        <v/>
      </c>
      <c r="IR12" s="44" t="str">
        <f t="shared" si="138"/>
        <v>"red"</v>
      </c>
      <c r="IS12" s="44" t="str">
        <f t="shared" si="139"/>
        <v/>
      </c>
      <c r="IT12" s="44" t="str">
        <f t="shared" si="140"/>
        <v/>
      </c>
      <c r="IU12" s="44" t="str">
        <f t="shared" si="141"/>
        <v/>
      </c>
      <c r="IV12" s="44" t="str">
        <f t="shared" si="142"/>
        <v/>
      </c>
      <c r="IW12" s="44" t="str">
        <f t="shared" si="143"/>
        <v>"white"</v>
      </c>
      <c r="IX12" s="44" t="str">
        <f t="shared" si="144"/>
        <v>{"url":"http://mkweb.bcgsc.ca/color-summarizer/?url=https://upload.wikimedia.org/wikipedia/commons/thumb/4/45/Bandeira_do_Maranh%C3%A3o.svg/640px-Bandeira_do_Maranh%C3%A3o.svg.png&amp;precision=low&amp;num_clusters=4&amp;text=1","name":"[BRA] Maranhao"},</v>
      </c>
      <c r="IY12" s="44">
        <v>336</v>
      </c>
    </row>
    <row r="13" spans="1:259" s="44" customFormat="1" ht="38.4" customHeight="1" thickBot="1" x14ac:dyDescent="0.35">
      <c r="A13" s="84" t="s">
        <v>368</v>
      </c>
      <c r="B13" s="83" t="e" vm="35">
        <v>#VALUE!</v>
      </c>
      <c r="C13" s="39">
        <v>2</v>
      </c>
      <c r="D13" s="70" t="s">
        <v>369</v>
      </c>
      <c r="E13" s="40" t="s">
        <v>370</v>
      </c>
      <c r="F13" s="41" t="s">
        <v>163</v>
      </c>
      <c r="G13" s="42">
        <f t="shared" si="0"/>
        <v>1</v>
      </c>
      <c r="H13" s="43"/>
      <c r="I13" s="59" t="s">
        <v>371</v>
      </c>
      <c r="J13" s="44" t="str">
        <f>""</f>
        <v/>
      </c>
      <c r="K13" s="45"/>
      <c r="L13" s="46"/>
      <c r="M13" s="46"/>
      <c r="N13" s="47" t="s">
        <v>177</v>
      </c>
      <c r="O13" s="74" t="s">
        <v>372</v>
      </c>
      <c r="P13" s="48" t="s">
        <v>373</v>
      </c>
      <c r="Q13" s="73">
        <v>2</v>
      </c>
      <c r="R13" s="49" t="s">
        <v>177</v>
      </c>
      <c r="S13" s="50">
        <v>0</v>
      </c>
      <c r="T13" s="51" t="s">
        <v>165</v>
      </c>
      <c r="U13" s="52" t="s">
        <v>164</v>
      </c>
      <c r="V13" s="52" t="s">
        <v>164</v>
      </c>
      <c r="W13" s="52" t="s">
        <v>164</v>
      </c>
      <c r="X13" s="52" t="s">
        <v>165</v>
      </c>
      <c r="Y13" s="52" t="s">
        <v>164</v>
      </c>
      <c r="Z13" s="52" t="s">
        <v>164</v>
      </c>
      <c r="AA13" s="52" t="s">
        <v>164</v>
      </c>
      <c r="AB13" s="52" t="s">
        <v>164</v>
      </c>
      <c r="AC13" s="52" t="s">
        <v>164</v>
      </c>
      <c r="AD13" s="52" t="s">
        <v>164</v>
      </c>
      <c r="AE13" s="52" t="s">
        <v>164</v>
      </c>
      <c r="AF13" s="53" t="s">
        <v>164</v>
      </c>
      <c r="AG13" s="53" t="s">
        <v>164</v>
      </c>
      <c r="AH13" s="53" t="s">
        <v>165</v>
      </c>
      <c r="AI13" s="53" t="s">
        <v>164</v>
      </c>
      <c r="AJ13" s="53" t="s">
        <v>164</v>
      </c>
      <c r="AK13" s="53" t="s">
        <v>164</v>
      </c>
      <c r="AL13" s="53" t="s">
        <v>164</v>
      </c>
      <c r="AM13" s="53" t="s">
        <v>164</v>
      </c>
      <c r="AN13" s="53" t="s">
        <v>164</v>
      </c>
      <c r="AO13" s="53" t="s">
        <v>164</v>
      </c>
      <c r="AP13" s="53" t="s">
        <v>164</v>
      </c>
      <c r="AQ13" s="53" t="s">
        <v>164</v>
      </c>
      <c r="AR13" s="53" t="s">
        <v>164</v>
      </c>
      <c r="AS13" s="53" t="s">
        <v>164</v>
      </c>
      <c r="AT13" s="54">
        <v>1</v>
      </c>
      <c r="AU13" s="53" t="s">
        <v>308</v>
      </c>
      <c r="AV13" s="53" t="str">
        <f t="shared" si="1"/>
        <v>[BRA]State[BRA] Matto Grosso</v>
      </c>
      <c r="AW13" s="53" t="str">
        <f t="shared" si="2"/>
        <v>2[BRA] Matto Grosso</v>
      </c>
      <c r="AX13" s="55"/>
      <c r="AY13" s="55"/>
      <c r="AZ13" s="56" t="s">
        <v>155</v>
      </c>
      <c r="BA13" s="56"/>
      <c r="BB13" s="56"/>
      <c r="BC13" s="57"/>
      <c r="BD13" s="58" t="s">
        <v>152</v>
      </c>
      <c r="BE13" s="59"/>
      <c r="BF13" s="58"/>
      <c r="BG13" s="58"/>
      <c r="BH13" s="58"/>
      <c r="BI13" s="58"/>
      <c r="BJ13" s="58"/>
      <c r="BK13" s="59"/>
      <c r="BL13" s="58" t="s">
        <v>152</v>
      </c>
      <c r="BM13" s="58" t="s">
        <v>159</v>
      </c>
      <c r="BN13" s="58" t="s">
        <v>153</v>
      </c>
      <c r="BO13" s="58" t="s">
        <v>155</v>
      </c>
      <c r="BP13" s="58"/>
      <c r="BQ13" s="58"/>
      <c r="BR13" s="58"/>
      <c r="BS13" s="58"/>
      <c r="BT13" s="58"/>
      <c r="BU13" s="60"/>
      <c r="BV13" s="61"/>
      <c r="BW13" s="61">
        <v>0</v>
      </c>
      <c r="BX13" s="59"/>
      <c r="BY13" s="44" t="s">
        <v>164</v>
      </c>
      <c r="CB13" s="5"/>
      <c r="CC13" s="5"/>
      <c r="CD13" s="62">
        <v>0</v>
      </c>
      <c r="CE13" s="62">
        <v>0</v>
      </c>
      <c r="CF13" s="62" t="e">
        <v>#REF!</v>
      </c>
      <c r="CG13" s="75" cm="1">
        <f t="array" ref="CG13">SUMPRODUCT(--(LEN(TRIM(BL13:BT13))&gt;0))</f>
        <v>4</v>
      </c>
      <c r="CH13" s="53" t="str">
        <f t="shared" si="3"/>
        <v>n</v>
      </c>
      <c r="CI13" s="53" t="str">
        <f t="shared" si="4"/>
        <v>n</v>
      </c>
      <c r="CJ13" s="53" t="str">
        <f t="shared" si="5"/>
        <v>y</v>
      </c>
      <c r="CK13" s="53" t="str">
        <f t="shared" si="6"/>
        <v>n</v>
      </c>
      <c r="CL13" s="53" t="str">
        <f t="shared" si="7"/>
        <v>y</v>
      </c>
      <c r="CM13" s="53" t="str">
        <f t="shared" si="8"/>
        <v>n</v>
      </c>
      <c r="CN13" s="53" t="str">
        <f t="shared" si="9"/>
        <v>n</v>
      </c>
      <c r="CO13" s="53" t="str">
        <f t="shared" si="10"/>
        <v>n</v>
      </c>
      <c r="CP13" s="53" t="str">
        <f t="shared" si="11"/>
        <v>n</v>
      </c>
      <c r="CQ13" s="53" t="str">
        <f t="shared" si="12"/>
        <v>y</v>
      </c>
      <c r="CR13" s="53" t="str">
        <f t="shared" si="13"/>
        <v>n</v>
      </c>
      <c r="CS13" s="53" t="str">
        <f t="shared" si="14"/>
        <v>n</v>
      </c>
      <c r="CT13" s="38" t="str">
        <f t="shared" si="15"/>
        <v>"[BRA] Matto Grosso"</v>
      </c>
      <c r="CU13" s="63" t="str">
        <f t="shared" si="16"/>
        <v>"rgn_South America"</v>
      </c>
      <c r="CV13" s="44" t="str">
        <f t="shared" si="17"/>
        <v>"https://upload.wikimedia.org/wikipedia/commons/thumb/0/0b/Bandeira_de_Mato_Grosso.svg/640px-Bandeira_de_Mato_Grosso.svg.png"</v>
      </c>
      <c r="CW13" s="44" t="str">
        <f t="shared" si="18"/>
        <v/>
      </c>
      <c r="CX13" s="44" t="str">
        <f t="shared" si="19"/>
        <v/>
      </c>
      <c r="CY13" s="44" t="str">
        <f t="shared" si="20"/>
        <v>"4Color",</v>
      </c>
      <c r="CZ13" s="44" t="str">
        <f t="shared" si="21"/>
        <v/>
      </c>
      <c r="DA13" s="44" t="str">
        <f t="shared" si="22"/>
        <v>"words2",</v>
      </c>
      <c r="DB13" s="44" t="str">
        <f t="shared" si="23"/>
        <v/>
      </c>
      <c r="DC13" s="44" t="str">
        <f t="shared" si="24"/>
        <v>"exact2",</v>
      </c>
      <c r="DD13" s="44" t="str">
        <f t="shared" si="25"/>
        <v>"lets11",</v>
      </c>
      <c r="DE13" s="44" t="str">
        <f t="shared" si="26"/>
        <v>"startM",</v>
      </c>
      <c r="DF13" s="44" t="str">
        <f t="shared" si="27"/>
        <v/>
      </c>
      <c r="DG13" s="44" t="str">
        <f t="shared" si="28"/>
        <v/>
      </c>
      <c r="DH13" s="44" t="str">
        <f t="shared" si="29"/>
        <v/>
      </c>
      <c r="DI13" s="44" t="str">
        <f t="shared" si="30"/>
        <v/>
      </c>
      <c r="DJ13" s="44" t="str">
        <f t="shared" si="31"/>
        <v/>
      </c>
      <c r="DK13" s="44" t="str">
        <f t="shared" si="32"/>
        <v/>
      </c>
      <c r="DL13" s="44" t="str">
        <f t="shared" si="33"/>
        <v/>
      </c>
      <c r="DM13" s="44" t="str" cm="1">
        <f t="array" ref="DM13">IF(CG13=3,CHAR(34) &amp; _xlfn.TEXTJOIN("", TRUE, RIGHT(HP13:HX13, 2)) &amp; CHAR(34) &amp; ",", "")</f>
        <v/>
      </c>
      <c r="DN13" s="44" t="str">
        <f t="shared" si="34"/>
        <v>"year18",</v>
      </c>
      <c r="DO13" s="44" t="str">
        <f t="shared" si="35"/>
        <v/>
      </c>
      <c r="DP13" s="5" t="str">
        <f t="shared" si="36"/>
        <v/>
      </c>
      <c r="DQ13" s="5" t="str">
        <f t="shared" si="37"/>
        <v/>
      </c>
      <c r="DR13" s="5" t="str">
        <f t="shared" si="38"/>
        <v/>
      </c>
      <c r="DS13" s="5" t="str">
        <f t="shared" si="39"/>
        <v/>
      </c>
      <c r="DT13" s="5" t="str">
        <f t="shared" si="40"/>
        <v/>
      </c>
      <c r="DU13" s="5" t="str">
        <f t="shared" si="41"/>
        <v/>
      </c>
      <c r="DV13" s="44" t="str">
        <f t="shared" si="42"/>
        <v/>
      </c>
      <c r="DW13" s="44" t="str">
        <f t="shared" si="43"/>
        <v>"NoBand",</v>
      </c>
      <c r="DX13" s="44" t="str">
        <f t="shared" si="44"/>
        <v/>
      </c>
      <c r="DY13" s="44" t="str">
        <f t="shared" si="45"/>
        <v/>
      </c>
      <c r="DZ13" s="44" t="str">
        <f t="shared" si="46"/>
        <v/>
      </c>
      <c r="EA13" s="44" t="str">
        <f t="shared" si="47"/>
        <v>"Diagon",</v>
      </c>
      <c r="EB13" s="44" t="str">
        <f t="shared" si="48"/>
        <v/>
      </c>
      <c r="EC13" s="44" t="str">
        <f t="shared" si="49"/>
        <v/>
      </c>
      <c r="ED13" s="44" t="str">
        <f t="shared" si="50"/>
        <v/>
      </c>
      <c r="EE13" s="44" t="str">
        <f t="shared" si="51"/>
        <v>"Circle",</v>
      </c>
      <c r="EF13" s="44" t="str">
        <f t="shared" si="52"/>
        <v/>
      </c>
      <c r="EG13" s="44" t="str">
        <f t="shared" si="53"/>
        <v/>
      </c>
      <c r="EH13" s="44" t="str">
        <f t="shared" si="54"/>
        <v/>
      </c>
      <c r="EI13" s="44" t="str">
        <f t="shared" si="55"/>
        <v/>
      </c>
      <c r="EJ13" s="44" t="str">
        <f t="shared" si="56"/>
        <v/>
      </c>
      <c r="EK13" s="44" t="str">
        <f t="shared" si="57"/>
        <v/>
      </c>
      <c r="EL13" s="44" t="str">
        <f t="shared" si="58"/>
        <v/>
      </c>
      <c r="EM13" s="44" t="str">
        <f t="shared" si="59"/>
        <v/>
      </c>
      <c r="EN13" s="44" t="str">
        <f t="shared" si="60"/>
        <v/>
      </c>
      <c r="EO13" s="44" t="str">
        <f t="shared" si="61"/>
        <v>"Center",</v>
      </c>
      <c r="EP13" s="44" t="str">
        <f t="shared" si="62"/>
        <v/>
      </c>
      <c r="EQ13" s="44" t="str">
        <f t="shared" si="63"/>
        <v/>
      </c>
      <c r="ER13" s="44" t="str">
        <f t="shared" si="64"/>
        <v/>
      </c>
      <c r="ES13" s="44" t="str">
        <f t="shared" si="65"/>
        <v/>
      </c>
      <c r="ET13" s="44" t="str">
        <f t="shared" si="66"/>
        <v/>
      </c>
      <c r="EU13" s="44" t="str">
        <f t="shared" si="67"/>
        <v/>
      </c>
      <c r="EV13" s="44" t="str">
        <f t="shared" si="68"/>
        <v/>
      </c>
      <c r="EW13" s="44" t="str">
        <f t="shared" si="69"/>
        <v/>
      </c>
      <c r="EX13" s="44" t="str">
        <f t="shared" si="70"/>
        <v/>
      </c>
      <c r="EY13" s="44" t="str">
        <f t="shared" si="71"/>
        <v/>
      </c>
      <c r="EZ13" s="44" t="str">
        <f t="shared" si="72"/>
        <v/>
      </c>
      <c r="FA13" s="44" t="str">
        <f t="shared" si="73"/>
        <v>"staYEL",</v>
      </c>
      <c r="FB13" s="44" t="str">
        <f t="shared" si="74"/>
        <v/>
      </c>
      <c r="FC13" s="44" t="str">
        <f t="shared" si="75"/>
        <v/>
      </c>
      <c r="FD13" s="44" t="str">
        <f t="shared" si="76"/>
        <v/>
      </c>
      <c r="FE13" s="44" t="str">
        <f t="shared" si="77"/>
        <v/>
      </c>
      <c r="FF13" s="44" t="str">
        <f t="shared" si="78"/>
        <v/>
      </c>
      <c r="FG13" s="44" t="str">
        <f t="shared" si="79"/>
        <v>"NO_RED",</v>
      </c>
      <c r="FH13" s="44" t="str">
        <f t="shared" si="80"/>
        <v/>
      </c>
      <c r="FI13" s="44" t="str">
        <f t="shared" si="81"/>
        <v/>
      </c>
      <c r="FJ13" s="44" t="str">
        <f t="shared" si="82"/>
        <v>"NO_BLA",</v>
      </c>
      <c r="FK13" s="44" t="str">
        <f t="shared" si="83"/>
        <v/>
      </c>
      <c r="FL13" s="44" t="str">
        <f t="shared" si="84"/>
        <v/>
      </c>
      <c r="FM13" s="44" t="str">
        <f t="shared" si="85"/>
        <v/>
      </c>
      <c r="FN13" s="44" t="str">
        <f t="shared" si="86"/>
        <v/>
      </c>
      <c r="FO13" s="44" t="str">
        <f t="shared" si="87"/>
        <v/>
      </c>
      <c r="FP13" s="44" t="str">
        <f t="shared" si="88"/>
        <v/>
      </c>
      <c r="FQ13" s="44" t="str">
        <f t="shared" si="89"/>
        <v/>
      </c>
      <c r="FR13" s="44" t="str">
        <f t="shared" si="90"/>
        <v/>
      </c>
      <c r="FS13" s="44" t="str">
        <f t="shared" si="91"/>
        <v/>
      </c>
      <c r="FT13" s="44" t="str">
        <f t="shared" si="92"/>
        <v>"myrBLU",</v>
      </c>
      <c r="FU13" s="44" t="str">
        <f t="shared" si="93"/>
        <v/>
      </c>
      <c r="FV13" s="44" t="str">
        <f t="shared" si="94"/>
        <v/>
      </c>
      <c r="FW13" s="44" t="str">
        <f t="shared" si="95"/>
        <v/>
      </c>
      <c r="FX13" s="44" t="str">
        <f t="shared" si="96"/>
        <v/>
      </c>
      <c r="FY13" s="44" t="str">
        <f t="shared" si="97"/>
        <v/>
      </c>
      <c r="FZ13" s="44" t="str">
        <f t="shared" si="98"/>
        <v/>
      </c>
      <c r="GA13" s="44" t="str">
        <f t="shared" si="99"/>
        <v/>
      </c>
      <c r="GB13" s="44" t="str">
        <f t="shared" si="100"/>
        <v/>
      </c>
      <c r="GC13" s="44" t="str">
        <f t="shared" si="101"/>
        <v/>
      </c>
      <c r="GD13" s="44" t="str">
        <f t="shared" si="102"/>
        <v/>
      </c>
      <c r="GE13" s="44" t="str">
        <f t="shared" si="103"/>
        <v/>
      </c>
      <c r="GF13" s="44" t="str">
        <f t="shared" si="145"/>
        <v/>
      </c>
      <c r="GG13" s="44" t="str">
        <f t="shared" si="104"/>
        <v/>
      </c>
      <c r="GH13" s="44" t="str">
        <f t="shared" si="105"/>
        <v/>
      </c>
      <c r="GI13" s="44" t="str">
        <f t="shared" si="106"/>
        <v/>
      </c>
      <c r="GJ13" s="44" t="str">
        <f t="shared" si="107"/>
        <v/>
      </c>
      <c r="GK13" s="44" t="str">
        <f t="shared" si="108"/>
        <v>"HasSta",</v>
      </c>
      <c r="GL13" s="44" t="str">
        <f t="shared" si="109"/>
        <v>"1Stars",</v>
      </c>
      <c r="GM13" s="44" t="str">
        <f t="shared" si="110"/>
        <v/>
      </c>
      <c r="GN13" s="44" t="str">
        <f t="shared" si="111"/>
        <v/>
      </c>
      <c r="GP13" s="44" t="str">
        <f t="shared" si="112"/>
        <v>"State"</v>
      </c>
      <c r="GS13" s="44" t="str">
        <f t="shared" si="113"/>
        <v>["4Color","words2","exact2","lets11","startM","year18","NoBand","Diagon","Circle","Center","staYEL","NO_RED","NO_BLA","myrBLU","HasSta","1Stars"]</v>
      </c>
      <c r="GT13" s="44" t="str">
        <f t="shared" si="114"/>
        <v>"cl_BLU",</v>
      </c>
      <c r="GU13" s="44" t="str">
        <f t="shared" si="115"/>
        <v>"cl_WHI",</v>
      </c>
      <c r="GV13" s="44" t="str">
        <f t="shared" si="116"/>
        <v>"cl_GRE",</v>
      </c>
      <c r="GW13" s="44" t="str">
        <f t="shared" si="117"/>
        <v>"cl_YEL",</v>
      </c>
      <c r="GX13" s="44" t="str">
        <f t="shared" si="118"/>
        <v/>
      </c>
      <c r="GY13" s="44" t="str">
        <f t="shared" si="119"/>
        <v/>
      </c>
      <c r="GZ13" s="44" t="str">
        <f t="shared" si="120"/>
        <v/>
      </c>
      <c r="HA13" s="44" t="str">
        <f t="shared" si="121"/>
        <v/>
      </c>
      <c r="HB13" s="44" t="str">
        <f t="shared" si="122"/>
        <v/>
      </c>
      <c r="HC13" s="44" t="str">
        <f t="shared" si="123"/>
        <v>["cl_BLU","cl_WHI","cl_GRE","cl_YEL"]</v>
      </c>
      <c r="HE13" s="64"/>
      <c r="HF13" s="65" t="str">
        <f t="shared" si="124"/>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links: "https://en.wikipedia.org/wiki/Flag_of_Mato_Grosso"},</v>
      </c>
      <c r="HG13" s="66" t="str">
        <f t="shared" si="125"/>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links: "https://en.wikipedia.org/wiki/Flag_of_Mato_Grosso"},</v>
      </c>
      <c r="HH13" s="44" t="str">
        <f t="shared" si="126"/>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I13" s="44" t="str">
        <f t="shared" si="127"/>
        <v>"\nThe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v>
      </c>
      <c r="HJ13" s="44" t="str">
        <f t="shared" si="128"/>
        <v>"1890 "</v>
      </c>
      <c r="HL13" s="44" t="str">
        <f t="shared" si="129"/>
        <v>"https://en.wikipedia.org/wiki/Flag_of_Mato_Grosso"</v>
      </c>
      <c r="HM13" s="65" t="str">
        <f t="shared" si="130"/>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N13" s="67" t="str">
        <f t="shared" si="131"/>
        <v>{"couname":"[BRA] Matto Grosso","year":"1890 ","region":"rgn_South America","Colors":["cl_BLU","cl_WHI","cl_GRE","cl_YEL"],"Items":["4Color","words2","exact2","lets11","startM","year18","NoBand","Diagon","Circle","Center","staYEL","NO_RED","NO_BLA","myrBLU","HasSta","1Stars"],"Flag":"https://upload.wikimedia.org/wikipedia/commons/thumb/0/0b/Bandeira_de_Mato_Grosso.svg/640px-Bandeira_de_Mato_Grosso.svg.png","HDFlag":"https://upload.wikimedia.org/wikipedia/commons/thumb/0/0b/Bandeira_de_Mato_Grosso.svg/2560px-Bandeira_de_Mato_Grosso.svg.png","type":"State", "describe": "\nThe blue banner represents the sky seen in Rio de Janeiro on the night of the proclamation of the republic.\n\nThe white rhombus symbolizes the positivist movement, a fundamental philosophy in the Brazilian republic, as well as purity, peace, and optimism.\n\nThe green sphere represents hope, youth, and coexistence between humankind and nature. Its prominence in the center of the flag is a representation of the states territorial grandeur.\n\nThe central yellow star represents Sirius, the star on the Brazilian Flag that represents Mato Grosso. Its color symbolizes wealth, culture, and glory, as well as the bandeirantes who explored the interior of Brazil.", "isnew": ".", "links": "https://en.wikipedia.org/wiki/Flag_of_Mato_Grosso"},</v>
      </c>
      <c r="HO13" s="71"/>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GRE</v>
      </c>
      <c r="HS13" s="44" t="str" cm="1">
        <f t="array" ref="HS13">IF(_xlfn.TEXTJOIN(", ", TRUE, IF(ISNUMBER(SEARCH("RED", BL13:BT13)), COLUMN(BL13:BT13) - COLUMN(BL13) + 1, ""))&lt;&gt;"","RED","")</f>
        <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L13" s="44">
        <f t="shared" si="132"/>
        <v>0</v>
      </c>
      <c r="IM13" s="42">
        <f t="shared" si="133"/>
        <v>-4</v>
      </c>
      <c r="IN13" s="69" t="str">
        <f t="shared" si="134"/>
        <v>http://mkweb.bcgsc.ca/color-summarizer/?url=https://upload.wikimedia.org/wikipedia/commons/thumb/0/0b/Bandeira_de_Mato_Grosso.svg/640px-Bandeira_de_Mato_Grosso.svg.png&amp;precision=low&amp;num_clusters=4&amp;text=1</v>
      </c>
      <c r="IO13" s="44" t="str">
        <f t="shared" si="135"/>
        <v/>
      </c>
      <c r="IP13" s="44" t="str">
        <f t="shared" si="136"/>
        <v>"blue"</v>
      </c>
      <c r="IQ13" s="44" t="str">
        <f t="shared" si="137"/>
        <v>"green"</v>
      </c>
      <c r="IR13" s="44" t="str">
        <f t="shared" si="138"/>
        <v/>
      </c>
      <c r="IS13" s="44" t="str">
        <f t="shared" si="139"/>
        <v>"yellow"</v>
      </c>
      <c r="IT13" s="44" t="str">
        <f t="shared" si="140"/>
        <v/>
      </c>
      <c r="IU13" s="44" t="str">
        <f t="shared" si="141"/>
        <v/>
      </c>
      <c r="IV13" s="44" t="str">
        <f t="shared" si="142"/>
        <v/>
      </c>
      <c r="IW13" s="44" t="str">
        <f t="shared" si="143"/>
        <v>"white"</v>
      </c>
      <c r="IX13" s="44" t="str">
        <f t="shared" si="144"/>
        <v>{"url":"http://mkweb.bcgsc.ca/color-summarizer/?url=https://upload.wikimedia.org/wikipedia/commons/thumb/0/0b/Bandeira_de_Mato_Grosso.svg/640px-Bandeira_de_Mato_Grosso.svg.png&amp;precision=low&amp;num_clusters=4&amp;text=1","name":"[BRA] Matto Grosso"},</v>
      </c>
      <c r="IY13" s="44">
        <v>337</v>
      </c>
    </row>
    <row r="14" spans="1:259" s="44" customFormat="1" ht="38.4" customHeight="1" thickBot="1" x14ac:dyDescent="0.35">
      <c r="A14" s="84" t="s">
        <v>374</v>
      </c>
      <c r="B14" s="83" t="e" vm="36">
        <v>#VALUE!</v>
      </c>
      <c r="C14" s="39">
        <v>2</v>
      </c>
      <c r="D14" s="70" t="s">
        <v>375</v>
      </c>
      <c r="E14" s="40" t="s">
        <v>376</v>
      </c>
      <c r="F14" s="41" t="s">
        <v>163</v>
      </c>
      <c r="G14" s="42">
        <f t="shared" si="0"/>
        <v>1</v>
      </c>
      <c r="H14" s="43"/>
      <c r="I14" s="59" t="s">
        <v>377</v>
      </c>
      <c r="J14" s="44" t="str">
        <f>""</f>
        <v/>
      </c>
      <c r="K14" s="45"/>
      <c r="L14" s="46"/>
      <c r="M14" s="46"/>
      <c r="N14" s="47" t="s">
        <v>177</v>
      </c>
      <c r="O14" s="74" t="s">
        <v>210</v>
      </c>
      <c r="P14" s="48" t="s">
        <v>378</v>
      </c>
      <c r="Q14" s="73">
        <v>4</v>
      </c>
      <c r="R14" s="49" t="s">
        <v>177</v>
      </c>
      <c r="S14" s="50">
        <v>3</v>
      </c>
      <c r="T14" s="51" t="s">
        <v>165</v>
      </c>
      <c r="U14" s="52" t="s">
        <v>164</v>
      </c>
      <c r="V14" s="52" t="s">
        <v>164</v>
      </c>
      <c r="W14" s="52" t="s">
        <v>164</v>
      </c>
      <c r="X14" s="52" t="s">
        <v>164</v>
      </c>
      <c r="Y14" s="52" t="s">
        <v>164</v>
      </c>
      <c r="Z14" s="52" t="s">
        <v>164</v>
      </c>
      <c r="AA14" s="52" t="s">
        <v>164</v>
      </c>
      <c r="AB14" s="52" t="s">
        <v>164</v>
      </c>
      <c r="AC14" s="52" t="s">
        <v>164</v>
      </c>
      <c r="AD14" s="52" t="s">
        <v>164</v>
      </c>
      <c r="AE14" s="52" t="s">
        <v>164</v>
      </c>
      <c r="AF14" s="53" t="s">
        <v>164</v>
      </c>
      <c r="AG14" s="53" t="s">
        <v>165</v>
      </c>
      <c r="AH14" s="53" t="s">
        <v>164</v>
      </c>
      <c r="AI14" s="53" t="s">
        <v>164</v>
      </c>
      <c r="AJ14" s="53" t="s">
        <v>164</v>
      </c>
      <c r="AK14" s="53" t="s">
        <v>164</v>
      </c>
      <c r="AL14" s="53" t="s">
        <v>164</v>
      </c>
      <c r="AM14" s="53" t="s">
        <v>164</v>
      </c>
      <c r="AN14" s="53" t="s">
        <v>164</v>
      </c>
      <c r="AO14" s="53" t="s">
        <v>164</v>
      </c>
      <c r="AP14" s="53" t="s">
        <v>164</v>
      </c>
      <c r="AQ14" s="53" t="s">
        <v>164</v>
      </c>
      <c r="AR14" s="53" t="s">
        <v>164</v>
      </c>
      <c r="AS14" s="53" t="s">
        <v>164</v>
      </c>
      <c r="AT14" s="54">
        <v>1</v>
      </c>
      <c r="AU14" s="53" t="s">
        <v>308</v>
      </c>
      <c r="AV14" s="53" t="str">
        <f t="shared" si="1"/>
        <v>[BRA]State[BRA] Matto Grosso do Sul</v>
      </c>
      <c r="AW14" s="53" t="str">
        <f t="shared" si="2"/>
        <v>2[BRA] Matto Grosso do Sul</v>
      </c>
      <c r="AX14" s="55"/>
      <c r="AY14" s="55"/>
      <c r="AZ14" s="56" t="s">
        <v>155</v>
      </c>
      <c r="BA14" s="56"/>
      <c r="BB14" s="56"/>
      <c r="BC14" s="57"/>
      <c r="BD14" s="58" t="s">
        <v>152</v>
      </c>
      <c r="BE14" s="59"/>
      <c r="BF14" s="58" t="s">
        <v>153</v>
      </c>
      <c r="BG14" s="58" t="s">
        <v>159</v>
      </c>
      <c r="BH14" s="58" t="s">
        <v>152</v>
      </c>
      <c r="BI14" s="58"/>
      <c r="BJ14" s="58"/>
      <c r="BK14" s="59"/>
      <c r="BL14" s="58" t="s">
        <v>153</v>
      </c>
      <c r="BM14" s="58" t="s">
        <v>159</v>
      </c>
      <c r="BN14" s="58" t="s">
        <v>152</v>
      </c>
      <c r="BO14" s="58" t="s">
        <v>155</v>
      </c>
      <c r="BP14" s="58"/>
      <c r="BQ14" s="58"/>
      <c r="BR14" s="58"/>
      <c r="BS14" s="58"/>
      <c r="BT14" s="58"/>
      <c r="BU14" s="60"/>
      <c r="BV14" s="61"/>
      <c r="BW14" s="61">
        <v>0</v>
      </c>
      <c r="BX14" s="59"/>
      <c r="BY14" s="44" t="s">
        <v>165</v>
      </c>
      <c r="CB14" s="5"/>
      <c r="CC14" s="5"/>
      <c r="CD14" s="62">
        <v>0</v>
      </c>
      <c r="CE14" s="62">
        <v>0</v>
      </c>
      <c r="CF14" s="62" t="e">
        <v>#REF!</v>
      </c>
      <c r="CG14" s="75" cm="1">
        <f t="array" ref="CG14">SUMPRODUCT(--(LEN(TRIM(BL14:BT14))&gt;0))</f>
        <v>4</v>
      </c>
      <c r="CH14" s="53" t="str">
        <f t="shared" si="3"/>
        <v>n</v>
      </c>
      <c r="CI14" s="53" t="str">
        <f t="shared" si="4"/>
        <v>n</v>
      </c>
      <c r="CJ14" s="53" t="str">
        <f t="shared" si="5"/>
        <v>y</v>
      </c>
      <c r="CK14" s="53" t="str">
        <f t="shared" si="6"/>
        <v>n</v>
      </c>
      <c r="CL14" s="53" t="str">
        <f t="shared" si="7"/>
        <v>n</v>
      </c>
      <c r="CM14" s="53" t="str">
        <f t="shared" si="8"/>
        <v>n</v>
      </c>
      <c r="CN14" s="53" t="str">
        <f t="shared" si="9"/>
        <v>y</v>
      </c>
      <c r="CO14" s="53" t="str">
        <f t="shared" si="10"/>
        <v>n</v>
      </c>
      <c r="CP14" s="53" t="str">
        <f t="shared" si="11"/>
        <v>n</v>
      </c>
      <c r="CQ14" s="53" t="str">
        <f t="shared" si="12"/>
        <v>y</v>
      </c>
      <c r="CR14" s="53" t="str">
        <f t="shared" si="13"/>
        <v>n</v>
      </c>
      <c r="CS14" s="53" t="str">
        <f t="shared" si="14"/>
        <v>n</v>
      </c>
      <c r="CT14" s="38" t="str">
        <f t="shared" si="15"/>
        <v>"[BRA] Matto Grosso do Sul"</v>
      </c>
      <c r="CU14" s="63" t="str">
        <f t="shared" si="16"/>
        <v>"rgn_South America"</v>
      </c>
      <c r="CV14" s="44" t="str">
        <f t="shared" si="17"/>
        <v>"https://upload.wikimedia.org/wikipedia/commons/thumb/6/64/Bandeira_de_Mato_Grosso_do_Sul.svg/640px-Bandeira_de_Mato_Grosso_do_Sul.svg.png"</v>
      </c>
      <c r="CW14" s="44" t="str">
        <f t="shared" si="18"/>
        <v/>
      </c>
      <c r="CX14" s="44" t="str">
        <f t="shared" si="19"/>
        <v/>
      </c>
      <c r="CY14" s="44" t="str">
        <f t="shared" si="20"/>
        <v>"4Color",</v>
      </c>
      <c r="CZ14" s="44" t="str">
        <f t="shared" si="21"/>
        <v/>
      </c>
      <c r="DA14" s="44" t="str">
        <f t="shared" si="22"/>
        <v>"words2",</v>
      </c>
      <c r="DB14" s="44" t="str">
        <f t="shared" si="23"/>
        <v>"words3",</v>
      </c>
      <c r="DC14" s="44" t="str">
        <f t="shared" si="24"/>
        <v/>
      </c>
      <c r="DD14" s="44" t="str">
        <f t="shared" si="25"/>
        <v>"lets16",</v>
      </c>
      <c r="DE14" s="44" t="str">
        <f t="shared" si="26"/>
        <v>"startM",</v>
      </c>
      <c r="DF14" s="44" t="str">
        <f t="shared" si="27"/>
        <v/>
      </c>
      <c r="DG14" s="44" t="str">
        <f t="shared" si="28"/>
        <v/>
      </c>
      <c r="DH14" s="44" t="str">
        <f t="shared" si="29"/>
        <v/>
      </c>
      <c r="DI14" s="44" t="str">
        <f t="shared" si="30"/>
        <v/>
      </c>
      <c r="DJ14" s="44" t="str">
        <f t="shared" si="31"/>
        <v/>
      </c>
      <c r="DK14" s="44" t="str">
        <f t="shared" si="32"/>
        <v/>
      </c>
      <c r="DL14" s="44" t="str">
        <f t="shared" si="33"/>
        <v/>
      </c>
      <c r="DM14" s="44" t="str" cm="1">
        <f t="array" ref="DM14">IF(CG14=3,CHAR(34) &amp; _xlfn.TEXTJOIN("", TRUE, RIGHT(HP14:HX14, 2)) &amp; CHAR(34) &amp; ",", "")</f>
        <v/>
      </c>
      <c r="DN14" s="44" t="str">
        <f t="shared" si="34"/>
        <v/>
      </c>
      <c r="DO14" s="44" t="str">
        <f t="shared" si="35"/>
        <v>"year19",</v>
      </c>
      <c r="DP14" s="5" t="str">
        <f t="shared" si="36"/>
        <v/>
      </c>
      <c r="DQ14" s="5" t="str">
        <f t="shared" si="37"/>
        <v/>
      </c>
      <c r="DR14" s="5" t="str">
        <f t="shared" si="38"/>
        <v>"dgband",</v>
      </c>
      <c r="DS14" s="5" t="str">
        <f t="shared" si="39"/>
        <v/>
      </c>
      <c r="DT14" s="5" t="str">
        <f t="shared" si="40"/>
        <v/>
      </c>
      <c r="DU14" s="5" t="str">
        <f t="shared" si="41"/>
        <v>"alldia",</v>
      </c>
      <c r="DV14" s="44" t="str">
        <f t="shared" si="42"/>
        <v/>
      </c>
      <c r="DW14" s="44" t="str">
        <f t="shared" si="43"/>
        <v/>
      </c>
      <c r="DX14" s="44" t="str">
        <f t="shared" si="44"/>
        <v/>
      </c>
      <c r="DY14" s="44" t="str">
        <f t="shared" si="45"/>
        <v>"3Bands",</v>
      </c>
      <c r="DZ14" s="44" t="str">
        <f t="shared" si="46"/>
        <v/>
      </c>
      <c r="EA14" s="44" t="str">
        <f t="shared" si="47"/>
        <v>"Diagon",</v>
      </c>
      <c r="EB14" s="44" t="str">
        <f t="shared" si="48"/>
        <v/>
      </c>
      <c r="EC14" s="44" t="str">
        <f t="shared" si="49"/>
        <v/>
      </c>
      <c r="ED14" s="44" t="str">
        <f t="shared" si="50"/>
        <v/>
      </c>
      <c r="EE14" s="44" t="str">
        <f t="shared" si="51"/>
        <v/>
      </c>
      <c r="EF14" s="44" t="str">
        <f t="shared" si="52"/>
        <v/>
      </c>
      <c r="EG14" s="44" t="str">
        <f t="shared" si="53"/>
        <v/>
      </c>
      <c r="EH14" s="44" t="str">
        <f t="shared" si="54"/>
        <v/>
      </c>
      <c r="EI14" s="44" t="str">
        <f t="shared" si="55"/>
        <v/>
      </c>
      <c r="EJ14" s="44" t="str">
        <f t="shared" si="56"/>
        <v/>
      </c>
      <c r="EK14" s="44" t="str">
        <f t="shared" si="57"/>
        <v/>
      </c>
      <c r="EL14" s="44" t="str">
        <f t="shared" si="58"/>
        <v/>
      </c>
      <c r="EM14" s="44" t="str">
        <f t="shared" si="59"/>
        <v/>
      </c>
      <c r="EN14" s="44" t="str">
        <f t="shared" si="60"/>
        <v>"Unequa",</v>
      </c>
      <c r="EO14" s="44" t="str">
        <f t="shared" si="61"/>
        <v/>
      </c>
      <c r="EP14" s="44" t="str">
        <f t="shared" si="62"/>
        <v/>
      </c>
      <c r="EQ14" s="44" t="str">
        <f t="shared" si="63"/>
        <v/>
      </c>
      <c r="ER14" s="44" t="str">
        <f t="shared" si="64"/>
        <v/>
      </c>
      <c r="ES14" s="44" t="str">
        <f t="shared" si="65"/>
        <v/>
      </c>
      <c r="ET14" s="44" t="str">
        <f t="shared" si="66"/>
        <v/>
      </c>
      <c r="EU14" s="44" t="str">
        <f t="shared" si="67"/>
        <v/>
      </c>
      <c r="EV14" s="44" t="str">
        <f t="shared" si="68"/>
        <v/>
      </c>
      <c r="EW14" s="44" t="str">
        <f t="shared" si="69"/>
        <v/>
      </c>
      <c r="EX14" s="44" t="str">
        <f t="shared" si="70"/>
        <v/>
      </c>
      <c r="EY14" s="44" t="str">
        <f t="shared" si="71"/>
        <v/>
      </c>
      <c r="EZ14" s="44" t="str">
        <f t="shared" si="72"/>
        <v/>
      </c>
      <c r="FA14" s="44" t="str">
        <f t="shared" si="73"/>
        <v>"staYEL",</v>
      </c>
      <c r="FB14" s="44" t="str">
        <f t="shared" si="74"/>
        <v/>
      </c>
      <c r="FC14" s="44" t="str">
        <f t="shared" si="75"/>
        <v/>
      </c>
      <c r="FD14" s="44" t="str">
        <f t="shared" si="76"/>
        <v/>
      </c>
      <c r="FE14" s="44" t="str">
        <f t="shared" si="77"/>
        <v/>
      </c>
      <c r="FF14" s="44" t="str">
        <f t="shared" si="78"/>
        <v/>
      </c>
      <c r="FG14" s="44" t="str">
        <f t="shared" si="79"/>
        <v>"NO_RED",</v>
      </c>
      <c r="FH14" s="44" t="str">
        <f t="shared" si="80"/>
        <v/>
      </c>
      <c r="FI14" s="44" t="str">
        <f t="shared" si="81"/>
        <v/>
      </c>
      <c r="FJ14" s="44" t="str">
        <f t="shared" si="82"/>
        <v>"NO_BLA",</v>
      </c>
      <c r="FK14" s="44" t="str">
        <f t="shared" si="83"/>
        <v/>
      </c>
      <c r="FL14" s="44" t="str">
        <f t="shared" si="84"/>
        <v/>
      </c>
      <c r="FM14" s="44" t="str">
        <f t="shared" si="85"/>
        <v/>
      </c>
      <c r="FN14" s="44" t="str">
        <f t="shared" si="86"/>
        <v/>
      </c>
      <c r="FO14" s="44" t="str">
        <f t="shared" si="87"/>
        <v/>
      </c>
      <c r="FP14" s="44" t="str">
        <f t="shared" si="88"/>
        <v/>
      </c>
      <c r="FQ14" s="44" t="str">
        <f t="shared" si="89"/>
        <v>"001GRE",</v>
      </c>
      <c r="FR14" s="44" t="str">
        <f t="shared" si="90"/>
        <v>"002WHI",</v>
      </c>
      <c r="FS14" s="44" t="str">
        <f t="shared" si="91"/>
        <v>"003BLU",</v>
      </c>
      <c r="FT14" s="44" t="str">
        <f t="shared" si="92"/>
        <v>"myrBLU",</v>
      </c>
      <c r="FU14" s="44" t="str">
        <f t="shared" si="93"/>
        <v/>
      </c>
      <c r="FV14" s="44" t="str">
        <f t="shared" si="94"/>
        <v/>
      </c>
      <c r="FW14" s="44" t="str">
        <f t="shared" si="95"/>
        <v/>
      </c>
      <c r="FX14" s="44" t="str">
        <f t="shared" si="96"/>
        <v/>
      </c>
      <c r="FY14" s="44" t="str">
        <f t="shared" si="97"/>
        <v/>
      </c>
      <c r="FZ14" s="44" t="str">
        <f t="shared" si="98"/>
        <v/>
      </c>
      <c r="GA14" s="44" t="str">
        <f t="shared" si="99"/>
        <v/>
      </c>
      <c r="GB14" s="44" t="str">
        <f t="shared" si="100"/>
        <v/>
      </c>
      <c r="GC14" s="44" t="str">
        <f t="shared" si="101"/>
        <v/>
      </c>
      <c r="GD14" s="44" t="str">
        <f t="shared" si="102"/>
        <v/>
      </c>
      <c r="GE14" s="44" t="str">
        <f t="shared" si="103"/>
        <v/>
      </c>
      <c r="GF14" s="44" t="str">
        <f t="shared" si="145"/>
        <v/>
      </c>
      <c r="GG14" s="44" t="str">
        <f t="shared" si="104"/>
        <v/>
      </c>
      <c r="GH14" s="44" t="str">
        <f t="shared" si="105"/>
        <v/>
      </c>
      <c r="GI14" s="44" t="str">
        <f t="shared" si="106"/>
        <v/>
      </c>
      <c r="GJ14" s="44" t="str">
        <f t="shared" si="107"/>
        <v/>
      </c>
      <c r="GK14" s="44" t="str">
        <f t="shared" si="108"/>
        <v>"HasSta",</v>
      </c>
      <c r="GL14" s="44" t="str">
        <f t="shared" si="109"/>
        <v>"1Stars",</v>
      </c>
      <c r="GM14" s="44" t="str">
        <f t="shared" si="110"/>
        <v/>
      </c>
      <c r="GN14" s="44" t="str">
        <f t="shared" si="111"/>
        <v/>
      </c>
      <c r="GP14" s="44" t="str">
        <f t="shared" si="112"/>
        <v>"State"</v>
      </c>
      <c r="GS14" s="44" t="str">
        <f t="shared" si="113"/>
        <v>["4Color","words2","words3","lets16","startM","year19","dgband","alldia","3Bands","Diagon","Unequa","staYEL","NO_RED","NO_BLA","001GRE","002WHI","003BLU","myrBLU","HasSta","1Stars"]</v>
      </c>
      <c r="GT14" s="44" t="str">
        <f t="shared" si="114"/>
        <v>"cl_GRE",</v>
      </c>
      <c r="GU14" s="44" t="str">
        <f t="shared" si="115"/>
        <v>"cl_WHI",</v>
      </c>
      <c r="GV14" s="44" t="str">
        <f t="shared" si="116"/>
        <v>"cl_BLU",</v>
      </c>
      <c r="GW14" s="44" t="str">
        <f t="shared" si="117"/>
        <v>"cl_YEL",</v>
      </c>
      <c r="GX14" s="44" t="str">
        <f t="shared" si="118"/>
        <v/>
      </c>
      <c r="GY14" s="44" t="str">
        <f t="shared" si="119"/>
        <v/>
      </c>
      <c r="GZ14" s="44" t="str">
        <f t="shared" si="120"/>
        <v/>
      </c>
      <c r="HA14" s="44" t="str">
        <f t="shared" si="121"/>
        <v/>
      </c>
      <c r="HB14" s="44" t="str">
        <f t="shared" si="122"/>
        <v/>
      </c>
      <c r="HC14" s="44" t="str">
        <f t="shared" si="123"/>
        <v>["cl_GRE","cl_WHI","cl_BLU","cl_YEL"]</v>
      </c>
      <c r="HE14" s="64"/>
      <c r="HF14" s="65" t="str">
        <f t="shared" si="124"/>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links: "https://en.wikipedia.org/wiki/Flag_of_Mato_Grosso_do_Sul"},</v>
      </c>
      <c r="HG14" s="66" t="str">
        <f t="shared" si="125"/>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links: "https://en.wikipedia.org/wiki/Flag_of_Mato_Grosso_do_Sul"},</v>
      </c>
      <c r="HH14" s="44" t="str">
        <f t="shared" si="126"/>
        <v>"\nGreen represents the richness of the forests and fields; White symbolizes peace and friendship; Blue represents the sky of the state of Mato Grosso and the hope of the people; Yellow symbolizes the wealth acquired through the people's work."</v>
      </c>
      <c r="HI14" s="44" t="str">
        <f t="shared" si="127"/>
        <v>"\nGreen represents the richness of the forests and fields; White symbolizes peace and friendship; Blue represents the sky of the state of Mato Grosso and the hope of the people; Yellow symbolizes the wealth acquired through the people's work."</v>
      </c>
      <c r="HJ14" s="44" t="str">
        <f t="shared" si="128"/>
        <v>"1979 "</v>
      </c>
      <c r="HL14" s="44" t="str">
        <f t="shared" si="129"/>
        <v>"https://en.wikipedia.org/wiki/Flag_of_Mato_Grosso_do_Sul"</v>
      </c>
      <c r="HM14" s="65" t="str">
        <f t="shared" si="130"/>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N14" s="67" t="str">
        <f t="shared" si="131"/>
        <v>{"couname":"[BRA] Matto Grosso do Sul","year":"1979 ","region":"rgn_South America","Colors":["cl_GRE","cl_WHI","cl_BLU","cl_YEL"],"Items":["4Color","words2","words3","lets16","startM","year19","dgband","alldia","3Bands","Diagon","Unequa","staYEL","NO_RED","NO_BLA","001GRE","002WHI","003BLU","myrBLU","HasSta","1Stars"],"Flag":"https://upload.wikimedia.org/wikipedia/commons/thumb/6/64/Bandeira_de_Mato_Grosso_do_Sul.svg/640px-Bandeira_de_Mato_Grosso_do_Sul.svg.png","HDFlag":"https://upload.wikimedia.org/wikipedia/commons/thumb/6/64/Bandeira_de_Mato_Grosso_do_Sul.svg/2560px-Bandeira_de_Mato_Grosso_do_Sul.svg.png","type":"State", "describe": "\nGreen represents the richness of the forests and fields; White symbolizes peace and friendship; Blue represents the sky of the state of Mato Grosso and the hope of the people; Yellow symbolizes the wealth acquired through the people's work.", "isnew": ".", "links": "https://en.wikipedia.org/wiki/Flag_of_Mato_Grosso_do_Sul"},</v>
      </c>
      <c r="HO14" s="71"/>
      <c r="HP14" s="44" t="str" cm="1">
        <f t="array" ref="HP14">IF(_xlfn.TEXTJOIN(", ", TRUE, IF(ISNUMBER(SEARCH("BLA", BL14:BT14)), COLUMN(BL14:BT14) - COLUMN(BL14) + 1, ""))&lt;&gt;"","BLA","")</f>
        <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
      </c>
      <c r="HT14" s="44" t="str" cm="1">
        <f t="array" ref="HT14">IF(_xlfn.TEXTJOIN(", ", TRUE, IF(ISNUMBER(SEARCH("YEL", BL14:BT14)), COLUMN(BL14:BT14) - COLUMN(BL14) + 1, ""))&lt;&gt;"","YEL","")</f>
        <v>YEL</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L14" s="44">
        <f t="shared" si="132"/>
        <v>0</v>
      </c>
      <c r="IM14" s="42">
        <f t="shared" si="133"/>
        <v>-4</v>
      </c>
      <c r="IN14" s="69" t="str">
        <f t="shared" si="134"/>
        <v>http://mkweb.bcgsc.ca/color-summarizer/?url=https://upload.wikimedia.org/wikipedia/commons/thumb/6/64/Bandeira_de_Mato_Grosso_do_Sul.svg/640px-Bandeira_de_Mato_Grosso_do_Sul.svg.png&amp;precision=low&amp;num_clusters=4&amp;text=1</v>
      </c>
      <c r="IO14" s="44" t="str">
        <f t="shared" si="135"/>
        <v/>
      </c>
      <c r="IP14" s="44" t="str">
        <f t="shared" si="136"/>
        <v>"blue"</v>
      </c>
      <c r="IQ14" s="44" t="str">
        <f t="shared" si="137"/>
        <v>"green"</v>
      </c>
      <c r="IR14" s="44" t="str">
        <f t="shared" si="138"/>
        <v/>
      </c>
      <c r="IS14" s="44" t="str">
        <f t="shared" si="139"/>
        <v>"yellow"</v>
      </c>
      <c r="IT14" s="44" t="str">
        <f t="shared" si="140"/>
        <v/>
      </c>
      <c r="IU14" s="44" t="str">
        <f t="shared" si="141"/>
        <v/>
      </c>
      <c r="IV14" s="44" t="str">
        <f t="shared" si="142"/>
        <v/>
      </c>
      <c r="IW14" s="44" t="str">
        <f t="shared" si="143"/>
        <v>"white"</v>
      </c>
      <c r="IX14" s="44" t="str">
        <f t="shared" si="144"/>
        <v>{"url":"http://mkweb.bcgsc.ca/color-summarizer/?url=https://upload.wikimedia.org/wikipedia/commons/thumb/6/64/Bandeira_de_Mato_Grosso_do_Sul.svg/640px-Bandeira_de_Mato_Grosso_do_Sul.svg.png&amp;precision=low&amp;num_clusters=4&amp;text=1","name":"[BRA] Matto Grosso do Sul"},</v>
      </c>
      <c r="IY14" s="44">
        <v>338</v>
      </c>
    </row>
    <row r="15" spans="1:259" s="44" customFormat="1" ht="38.4" customHeight="1" thickBot="1" x14ac:dyDescent="0.35">
      <c r="A15" s="84" t="s">
        <v>379</v>
      </c>
      <c r="B15" s="83" t="e" vm="37">
        <v>#VALUE!</v>
      </c>
      <c r="C15" s="39">
        <v>2</v>
      </c>
      <c r="D15" s="70" t="s">
        <v>380</v>
      </c>
      <c r="E15" s="40" t="s">
        <v>381</v>
      </c>
      <c r="F15" s="41" t="s">
        <v>163</v>
      </c>
      <c r="G15" s="42">
        <f t="shared" si="0"/>
        <v>1</v>
      </c>
      <c r="H15" s="43"/>
      <c r="I15" s="59" t="s">
        <v>382</v>
      </c>
      <c r="J15" s="44" t="str">
        <f>""</f>
        <v/>
      </c>
      <c r="K15" s="45"/>
      <c r="L15" s="46"/>
      <c r="M15" s="46"/>
      <c r="N15" s="47" t="s">
        <v>177</v>
      </c>
      <c r="O15" s="74" t="s">
        <v>243</v>
      </c>
      <c r="P15" s="48" t="s">
        <v>383</v>
      </c>
      <c r="Q15" s="73">
        <v>2</v>
      </c>
      <c r="R15" s="49" t="s">
        <v>177</v>
      </c>
      <c r="S15" s="50">
        <v>0</v>
      </c>
      <c r="T15" s="51" t="s">
        <v>165</v>
      </c>
      <c r="U15" s="52" t="s">
        <v>164</v>
      </c>
      <c r="V15" s="52" t="s">
        <v>164</v>
      </c>
      <c r="W15" s="52" t="s">
        <v>164</v>
      </c>
      <c r="X15" s="52" t="s">
        <v>164</v>
      </c>
      <c r="Y15" s="52" t="s">
        <v>164</v>
      </c>
      <c r="Z15" s="52" t="s">
        <v>164</v>
      </c>
      <c r="AA15" s="52" t="s">
        <v>164</v>
      </c>
      <c r="AB15" s="52" t="s">
        <v>165</v>
      </c>
      <c r="AC15" s="52" t="s">
        <v>164</v>
      </c>
      <c r="AD15" s="52" t="s">
        <v>164</v>
      </c>
      <c r="AE15" s="52" t="s">
        <v>164</v>
      </c>
      <c r="AF15" s="53" t="s">
        <v>164</v>
      </c>
      <c r="AG15" s="53" t="s">
        <v>164</v>
      </c>
      <c r="AH15" s="53" t="s">
        <v>165</v>
      </c>
      <c r="AI15" s="53" t="s">
        <v>164</v>
      </c>
      <c r="AJ15" s="53" t="s">
        <v>164</v>
      </c>
      <c r="AK15" s="53" t="s">
        <v>164</v>
      </c>
      <c r="AL15" s="53" t="s">
        <v>164</v>
      </c>
      <c r="AM15" s="53" t="s">
        <v>164</v>
      </c>
      <c r="AN15" s="53" t="s">
        <v>164</v>
      </c>
      <c r="AO15" s="53" t="s">
        <v>164</v>
      </c>
      <c r="AP15" s="53" t="s">
        <v>164</v>
      </c>
      <c r="AQ15" s="53" t="s">
        <v>164</v>
      </c>
      <c r="AR15" s="53" t="s">
        <v>164</v>
      </c>
      <c r="AS15" s="53" t="s">
        <v>164</v>
      </c>
      <c r="AT15" s="54">
        <v>0</v>
      </c>
      <c r="AU15" s="53" t="s">
        <v>308</v>
      </c>
      <c r="AV15" s="53" t="str">
        <f t="shared" si="1"/>
        <v>[BRA]State[BRA] Minas Gerais</v>
      </c>
      <c r="AW15" s="53" t="str">
        <f t="shared" si="2"/>
        <v>2[BRA] Minas Gerais</v>
      </c>
      <c r="AX15" s="55"/>
      <c r="AY15" s="55"/>
      <c r="AZ15" s="56"/>
      <c r="BA15" s="56"/>
      <c r="BB15" s="56"/>
      <c r="BC15" s="57"/>
      <c r="BD15" s="58" t="s">
        <v>159</v>
      </c>
      <c r="BE15" s="59"/>
      <c r="BF15" s="58"/>
      <c r="BG15" s="58"/>
      <c r="BH15" s="58"/>
      <c r="BI15" s="58"/>
      <c r="BJ15" s="58"/>
      <c r="BK15" s="59"/>
      <c r="BL15" s="58" t="s">
        <v>154</v>
      </c>
      <c r="BM15" s="58" t="s">
        <v>159</v>
      </c>
      <c r="BN15" s="58" t="s">
        <v>151</v>
      </c>
      <c r="BO15" s="58"/>
      <c r="BP15" s="58"/>
      <c r="BQ15" s="58"/>
      <c r="BR15" s="58"/>
      <c r="BS15" s="58"/>
      <c r="BT15" s="58"/>
      <c r="BU15" s="60"/>
      <c r="BV15" s="61"/>
      <c r="BW15" s="61">
        <v>0</v>
      </c>
      <c r="BX15" s="59"/>
      <c r="BY15" s="44" t="s">
        <v>164</v>
      </c>
      <c r="CB15" s="5"/>
      <c r="CC15" s="5"/>
      <c r="CD15" s="62">
        <v>0</v>
      </c>
      <c r="CE15" s="62">
        <v>0</v>
      </c>
      <c r="CF15" s="62" t="e">
        <v>#REF!</v>
      </c>
      <c r="CG15" s="75" cm="1">
        <f t="array" ref="CG15">SUMPRODUCT(--(LEN(TRIM(BL15:BT15))&gt;0))</f>
        <v>3</v>
      </c>
      <c r="CH15" s="53" t="str">
        <f t="shared" si="3"/>
        <v>n</v>
      </c>
      <c r="CI15" s="53" t="str">
        <f t="shared" si="4"/>
        <v>y</v>
      </c>
      <c r="CJ15" s="53" t="str">
        <f t="shared" si="5"/>
        <v>n</v>
      </c>
      <c r="CK15" s="53" t="str">
        <f t="shared" si="6"/>
        <v>n</v>
      </c>
      <c r="CL15" s="53" t="str">
        <f t="shared" si="7"/>
        <v>y</v>
      </c>
      <c r="CM15" s="53" t="str">
        <f t="shared" si="8"/>
        <v>n</v>
      </c>
      <c r="CN15" s="53" t="str">
        <f t="shared" si="9"/>
        <v>n</v>
      </c>
      <c r="CO15" s="53" t="str">
        <f t="shared" si="10"/>
        <v>n</v>
      </c>
      <c r="CP15" s="53" t="str">
        <f t="shared" si="11"/>
        <v>y</v>
      </c>
      <c r="CQ15" s="53" t="str">
        <f t="shared" si="12"/>
        <v>n</v>
      </c>
      <c r="CR15" s="53" t="str">
        <f t="shared" si="13"/>
        <v>n</v>
      </c>
      <c r="CS15" s="53" t="str">
        <f t="shared" si="14"/>
        <v>n</v>
      </c>
      <c r="CT15" s="38" t="str">
        <f t="shared" si="15"/>
        <v>"[BRA] Minas Gerais"</v>
      </c>
      <c r="CU15" s="63" t="str">
        <f t="shared" si="16"/>
        <v>"rgn_South America"</v>
      </c>
      <c r="CV15" s="44" t="str">
        <f t="shared" si="17"/>
        <v>"https://upload.wikimedia.org/wikipedia/commons/thumb/f/f4/Bandeira_de_Minas_Gerais.svg/640px-Bandeira_de_Minas_Gerais.svg.png"</v>
      </c>
      <c r="CW15" s="44" t="str">
        <f t="shared" si="18"/>
        <v/>
      </c>
      <c r="CX15" s="44" t="str">
        <f t="shared" si="19"/>
        <v>"3Color",</v>
      </c>
      <c r="CY15" s="44" t="str">
        <f t="shared" si="20"/>
        <v/>
      </c>
      <c r="CZ15" s="44" t="str">
        <f t="shared" si="21"/>
        <v/>
      </c>
      <c r="DA15" s="44" t="str">
        <f t="shared" si="22"/>
        <v>"words2",</v>
      </c>
      <c r="DB15" s="44" t="str">
        <f t="shared" si="23"/>
        <v/>
      </c>
      <c r="DC15" s="44" t="str">
        <f t="shared" si="24"/>
        <v>"exact2",</v>
      </c>
      <c r="DD15" s="44" t="str">
        <f t="shared" si="25"/>
        <v>"lets11",</v>
      </c>
      <c r="DE15" s="44" t="str">
        <f t="shared" si="26"/>
        <v>"startM",</v>
      </c>
      <c r="DF15" s="44" t="str">
        <f t="shared" si="27"/>
        <v/>
      </c>
      <c r="DG15" s="44" t="str">
        <f t="shared" si="28"/>
        <v/>
      </c>
      <c r="DH15" s="44" t="str">
        <f t="shared" si="29"/>
        <v/>
      </c>
      <c r="DI15" s="44" t="str">
        <f t="shared" si="30"/>
        <v/>
      </c>
      <c r="DJ15" s="44" t="str">
        <f t="shared" si="31"/>
        <v/>
      </c>
      <c r="DK15" s="44" t="str">
        <f t="shared" si="32"/>
        <v/>
      </c>
      <c r="DL15" s="44" t="str">
        <f t="shared" si="33"/>
        <v/>
      </c>
      <c r="DM15" s="44" t="str" cm="1">
        <f t="array" ref="DM15">IF(CG15=3,CHAR(34) &amp; _xlfn.TEXTJOIN("", TRUE, RIGHT(HP15:HX15, 2)) &amp; CHAR(34) &amp; ",", "")</f>
        <v>"LAEDHI",</v>
      </c>
      <c r="DN15" s="44" t="str">
        <f t="shared" si="34"/>
        <v/>
      </c>
      <c r="DO15" s="44" t="str">
        <f t="shared" si="35"/>
        <v>"year19",</v>
      </c>
      <c r="DP15" s="5" t="str">
        <f t="shared" si="36"/>
        <v/>
      </c>
      <c r="DQ15" s="5" t="str">
        <f t="shared" si="37"/>
        <v/>
      </c>
      <c r="DR15" s="5" t="str">
        <f t="shared" si="38"/>
        <v/>
      </c>
      <c r="DS15" s="5" t="str">
        <f t="shared" si="39"/>
        <v/>
      </c>
      <c r="DT15" s="5" t="str">
        <f t="shared" si="40"/>
        <v/>
      </c>
      <c r="DU15" s="5" t="str">
        <f t="shared" si="41"/>
        <v/>
      </c>
      <c r="DV15" s="44" t="str">
        <f t="shared" si="42"/>
        <v/>
      </c>
      <c r="DW15" s="44" t="str">
        <f t="shared" si="43"/>
        <v>"NoBand",</v>
      </c>
      <c r="DX15" s="44" t="str">
        <f t="shared" si="44"/>
        <v/>
      </c>
      <c r="DY15" s="44" t="str">
        <f t="shared" si="45"/>
        <v/>
      </c>
      <c r="DZ15" s="44" t="str">
        <f t="shared" si="46"/>
        <v/>
      </c>
      <c r="EA15" s="44" t="str">
        <f t="shared" si="47"/>
        <v>"Diagon",</v>
      </c>
      <c r="EB15" s="44" t="str">
        <f t="shared" si="48"/>
        <v/>
      </c>
      <c r="EC15" s="44" t="str">
        <f t="shared" si="49"/>
        <v/>
      </c>
      <c r="ED15" s="44" t="str">
        <f t="shared" si="50"/>
        <v/>
      </c>
      <c r="EE15" s="44" t="str">
        <f t="shared" si="51"/>
        <v/>
      </c>
      <c r="EF15" s="44" t="str">
        <f t="shared" si="52"/>
        <v/>
      </c>
      <c r="EG15" s="44" t="str">
        <f t="shared" si="53"/>
        <v/>
      </c>
      <c r="EH15" s="44" t="str">
        <f t="shared" si="54"/>
        <v/>
      </c>
      <c r="EI15" s="44" t="str">
        <f t="shared" si="55"/>
        <v>"Texted",</v>
      </c>
      <c r="EJ15" s="44" t="str">
        <f t="shared" si="56"/>
        <v/>
      </c>
      <c r="EK15" s="44" t="str">
        <f t="shared" si="57"/>
        <v/>
      </c>
      <c r="EL15" s="44" t="str">
        <f t="shared" si="58"/>
        <v/>
      </c>
      <c r="EM15" s="44" t="str">
        <f t="shared" si="59"/>
        <v/>
      </c>
      <c r="EN15" s="44" t="str">
        <f t="shared" si="60"/>
        <v/>
      </c>
      <c r="EO15" s="44" t="str">
        <f t="shared" si="61"/>
        <v>"Center",</v>
      </c>
      <c r="EP15" s="44" t="str">
        <f t="shared" si="62"/>
        <v/>
      </c>
      <c r="EQ15" s="44" t="str">
        <f t="shared" si="63"/>
        <v/>
      </c>
      <c r="ER15" s="44" t="str">
        <f t="shared" si="64"/>
        <v/>
      </c>
      <c r="ES15" s="44" t="str">
        <f t="shared" si="65"/>
        <v/>
      </c>
      <c r="ET15" s="44" t="str">
        <f t="shared" si="66"/>
        <v/>
      </c>
      <c r="EU15" s="44" t="str">
        <f t="shared" si="67"/>
        <v/>
      </c>
      <c r="EV15" s="44" t="str">
        <f t="shared" si="68"/>
        <v/>
      </c>
      <c r="EW15" s="44" t="str">
        <f t="shared" si="69"/>
        <v/>
      </c>
      <c r="EX15" s="44" t="str">
        <f t="shared" si="70"/>
        <v/>
      </c>
      <c r="EY15" s="44" t="str">
        <f t="shared" si="71"/>
        <v/>
      </c>
      <c r="EZ15" s="44" t="str">
        <f t="shared" si="72"/>
        <v/>
      </c>
      <c r="FA15" s="44" t="str">
        <f t="shared" si="73"/>
        <v/>
      </c>
      <c r="FB15" s="44" t="str">
        <f t="shared" si="74"/>
        <v/>
      </c>
      <c r="FC15" s="44" t="str">
        <f t="shared" si="75"/>
        <v/>
      </c>
      <c r="FD15" s="44" t="str">
        <f t="shared" si="76"/>
        <v/>
      </c>
      <c r="FE15" s="44" t="str">
        <f t="shared" si="77"/>
        <v>"NO_BLU",</v>
      </c>
      <c r="FF15" s="44" t="str">
        <f t="shared" si="78"/>
        <v/>
      </c>
      <c r="FG15" s="44" t="str">
        <f t="shared" si="79"/>
        <v/>
      </c>
      <c r="FH15" s="44" t="str">
        <f t="shared" si="80"/>
        <v>"NO_GRE",</v>
      </c>
      <c r="FI15" s="44" t="str">
        <f t="shared" si="81"/>
        <v>"NO_YEL",</v>
      </c>
      <c r="FJ15" s="44" t="str">
        <f t="shared" si="82"/>
        <v/>
      </c>
      <c r="FK15" s="44" t="str">
        <f t="shared" si="83"/>
        <v/>
      </c>
      <c r="FL15" s="44" t="str">
        <f t="shared" si="84"/>
        <v/>
      </c>
      <c r="FM15" s="44" t="str">
        <f t="shared" si="85"/>
        <v/>
      </c>
      <c r="FN15" s="44" t="str">
        <f t="shared" si="86"/>
        <v/>
      </c>
      <c r="FO15" s="44" t="str">
        <f t="shared" si="87"/>
        <v/>
      </c>
      <c r="FP15" s="44" t="str">
        <f t="shared" si="88"/>
        <v/>
      </c>
      <c r="FQ15" s="44" t="str">
        <f t="shared" si="89"/>
        <v/>
      </c>
      <c r="FR15" s="44" t="str">
        <f t="shared" si="90"/>
        <v/>
      </c>
      <c r="FS15" s="44" t="str">
        <f t="shared" si="91"/>
        <v/>
      </c>
      <c r="FT15" s="44" t="str">
        <f t="shared" si="92"/>
        <v>"myrWHI",</v>
      </c>
      <c r="FU15" s="44" t="str">
        <f t="shared" si="93"/>
        <v/>
      </c>
      <c r="FV15" s="44" t="str">
        <f t="shared" si="94"/>
        <v/>
      </c>
      <c r="FW15" s="44" t="str">
        <f t="shared" si="95"/>
        <v/>
      </c>
      <c r="FX15" s="44" t="str">
        <f t="shared" si="96"/>
        <v/>
      </c>
      <c r="FY15" s="44" t="str">
        <f t="shared" si="97"/>
        <v/>
      </c>
      <c r="FZ15" s="44" t="str">
        <f t="shared" si="98"/>
        <v/>
      </c>
      <c r="GA15" s="44" t="str">
        <f t="shared" si="99"/>
        <v/>
      </c>
      <c r="GB15" s="44" t="str">
        <f t="shared" si="100"/>
        <v/>
      </c>
      <c r="GC15" s="44" t="str">
        <f t="shared" si="101"/>
        <v/>
      </c>
      <c r="GD15" s="44" t="str">
        <f t="shared" si="102"/>
        <v/>
      </c>
      <c r="GE15" s="44" t="str">
        <f t="shared" si="103"/>
        <v/>
      </c>
      <c r="GF15" s="44" t="str">
        <f t="shared" si="145"/>
        <v/>
      </c>
      <c r="GG15" s="44" t="str">
        <f t="shared" si="104"/>
        <v/>
      </c>
      <c r="GH15" s="44" t="str">
        <f t="shared" si="105"/>
        <v/>
      </c>
      <c r="GI15" s="44" t="str">
        <f t="shared" si="106"/>
        <v/>
      </c>
      <c r="GJ15" s="44" t="str">
        <f t="shared" si="107"/>
        <v>"NoStar",</v>
      </c>
      <c r="GK15" s="44" t="str">
        <f t="shared" si="108"/>
        <v/>
      </c>
      <c r="GL15" s="44" t="str">
        <f t="shared" si="109"/>
        <v/>
      </c>
      <c r="GM15" s="44" t="str">
        <f t="shared" si="110"/>
        <v/>
      </c>
      <c r="GN15" s="44" t="str">
        <f t="shared" si="111"/>
        <v/>
      </c>
      <c r="GP15" s="44" t="str">
        <f t="shared" si="112"/>
        <v>"State"</v>
      </c>
      <c r="GS15" s="44" t="str">
        <f t="shared" si="113"/>
        <v>["3Color","words2","exact2","lets11","startM","LAEDHI","year19","NoBand","Diagon","Texted","Center","NO_BLU","NO_GRE","NO_YEL","myrWHI","NoStar"]</v>
      </c>
      <c r="GT15" s="44" t="str">
        <f t="shared" si="114"/>
        <v>"cl_RED",</v>
      </c>
      <c r="GU15" s="44" t="str">
        <f t="shared" si="115"/>
        <v>"cl_WHI",</v>
      </c>
      <c r="GV15" s="44" t="str">
        <f t="shared" si="116"/>
        <v>"cl_BLA",</v>
      </c>
      <c r="GW15" s="44" t="str">
        <f t="shared" si="117"/>
        <v/>
      </c>
      <c r="GX15" s="44" t="str">
        <f t="shared" si="118"/>
        <v/>
      </c>
      <c r="GY15" s="44" t="str">
        <f t="shared" si="119"/>
        <v/>
      </c>
      <c r="GZ15" s="44" t="str">
        <f t="shared" si="120"/>
        <v/>
      </c>
      <c r="HA15" s="44" t="str">
        <f t="shared" si="121"/>
        <v/>
      </c>
      <c r="HB15" s="44" t="str">
        <f t="shared" si="122"/>
        <v/>
      </c>
      <c r="HC15" s="44" t="str">
        <f t="shared" si="123"/>
        <v>["cl_RED","cl_WHI","cl_BLA"]</v>
      </c>
      <c r="HE15" s="64"/>
      <c r="HF15" s="65" t="str">
        <f t="shared" si="124"/>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links: "https://en.wikipedia.org/wiki/Flag_of_Minas_Gerais"},</v>
      </c>
      <c r="HG15" s="66" t="str">
        <f t="shared" si="125"/>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links: "https://en.wikipedia.org/wiki/Flag_of_Minas_Gerais"},</v>
      </c>
      <c r="HH15" s="44" t="str">
        <f t="shared" si="126"/>
        <v>"\nThe flag is based on the flag of the separatist Inconfidência Mineira movement, which sought to make the captaincy of Minas Gerais independent from then colonial Brazil. The equilateral triangle symbolizes the Holy Trinity and its color represents revolution."</v>
      </c>
      <c r="HI15" s="44" t="str">
        <f t="shared" si="127"/>
        <v>"\nThe flag is based on the flag of the separatist Inconfidência Mineira movement, which sought to make the captaincy of Minas Gerais independent from then colonial Brazil. The equilateral triangle symbolizes the Holy Trinity and its color represents revolution."</v>
      </c>
      <c r="HJ15" s="44" t="str">
        <f t="shared" si="128"/>
        <v>"1963 "</v>
      </c>
      <c r="HL15" s="44" t="str">
        <f t="shared" si="129"/>
        <v>"https://en.wikipedia.org/wiki/Flag_of_Minas_Gerais"</v>
      </c>
      <c r="HM15" s="65" t="str">
        <f t="shared" si="130"/>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N15" s="67" t="str">
        <f t="shared" si="131"/>
        <v>{"couname":"[BRA] Minas Gerais","year":"1963 ","region":"rgn_South America","Colors":["cl_RED","cl_WHI","cl_BLA"],"Items":["3Color","words2","exact2","lets11","startM","LAEDHI","year19","NoBand","Diagon","Texted","Center","NO_BLU","NO_GRE","NO_YEL","myrWHI","NoStar"],"Flag":"https://upload.wikimedia.org/wikipedia/commons/thumb/f/f4/Bandeira_de_Minas_Gerais.svg/640px-Bandeira_de_Minas_Gerais.svg.png","HDFlag":"https://upload.wikimedia.org/wikipedia/commons/thumb/f/f4/Bandeira_de_Minas_Gerais.svg/2560px-Bandeira_de_Minas_Gerais.svg.png","type":"State", "describe": "\nThe flag is based on the flag of the separatist Inconfidência Mineira movement, which sought to make the captaincy of Minas Gerais independent from then colonial Brazil. The equilateral triangle symbolizes the Holy Trinity and its color represents revolution.", "isnew": ".", "links": "https://en.wikipedia.org/wiki/Flag_of_Minas_Gerais"},</v>
      </c>
      <c r="HO15" s="71"/>
      <c r="HP15" s="44" t="str" cm="1">
        <f t="array" ref="HP15">IF(_xlfn.TEXTJOIN(", ", TRUE, IF(ISNUMBER(SEARCH("BLA", BL15:BT15)), COLUMN(BL15:BT15) - COLUMN(BL15) + 1, ""))&lt;&gt;"","BLA","")</f>
        <v>BLA</v>
      </c>
      <c r="HQ15" s="44" t="str" cm="1">
        <f t="array" ref="HQ15">IF(_xlfn.TEXTJOIN(", ", TRUE, IF(ISNUMBER(SEARCH("BLU", BL15:BT15)), COLUMN(BL15:BT15) - COLUMN(BL15) + 1, ""))&lt;&gt;"","BLU","")</f>
        <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L15" s="44">
        <f t="shared" si="132"/>
        <v>0</v>
      </c>
      <c r="IM15" s="42">
        <f t="shared" si="133"/>
        <v>-3</v>
      </c>
      <c r="IN15" s="69" t="str">
        <f t="shared" si="134"/>
        <v>http://mkweb.bcgsc.ca/color-summarizer/?url=https://upload.wikimedia.org/wikipedia/commons/thumb/f/f4/Bandeira_de_Minas_Gerais.svg/640px-Bandeira_de_Minas_Gerais.svg.png&amp;precision=low&amp;num_clusters=3&amp;text=1</v>
      </c>
      <c r="IO15" s="44" t="str">
        <f t="shared" si="135"/>
        <v>"black"</v>
      </c>
      <c r="IP15" s="44" t="str">
        <f t="shared" si="136"/>
        <v/>
      </c>
      <c r="IQ15" s="44" t="str">
        <f t="shared" si="137"/>
        <v/>
      </c>
      <c r="IR15" s="44" t="str">
        <f t="shared" si="138"/>
        <v>"red"</v>
      </c>
      <c r="IS15" s="44" t="str">
        <f t="shared" si="139"/>
        <v/>
      </c>
      <c r="IT15" s="44" t="str">
        <f t="shared" si="140"/>
        <v/>
      </c>
      <c r="IU15" s="44" t="str">
        <f t="shared" si="141"/>
        <v/>
      </c>
      <c r="IV15" s="44" t="str">
        <f t="shared" si="142"/>
        <v/>
      </c>
      <c r="IW15" s="44" t="str">
        <f t="shared" si="143"/>
        <v>"white"</v>
      </c>
      <c r="IX15" s="44" t="str">
        <f t="shared" si="144"/>
        <v>{"url":"http://mkweb.bcgsc.ca/color-summarizer/?url=https://upload.wikimedia.org/wikipedia/commons/thumb/f/f4/Bandeira_de_Minas_Gerais.svg/640px-Bandeira_de_Minas_Gerais.svg.png&amp;precision=low&amp;num_clusters=3&amp;text=1","name":"[BRA] Minas Gerais"},</v>
      </c>
      <c r="IY15" s="44">
        <v>339</v>
      </c>
    </row>
    <row r="16" spans="1:259" s="44" customFormat="1" ht="38.4" customHeight="1" thickBot="1" x14ac:dyDescent="0.35">
      <c r="A16" s="84" t="s">
        <v>384</v>
      </c>
      <c r="B16" s="83" t="e" vm="38">
        <v>#VALUE!</v>
      </c>
      <c r="C16" s="39">
        <v>2</v>
      </c>
      <c r="D16" s="70" t="s">
        <v>385</v>
      </c>
      <c r="E16" s="40" t="s">
        <v>386</v>
      </c>
      <c r="F16" s="41" t="s">
        <v>163</v>
      </c>
      <c r="G16" s="42">
        <f t="shared" si="0"/>
        <v>1</v>
      </c>
      <c r="H16" s="43"/>
      <c r="I16" s="59" t="s">
        <v>387</v>
      </c>
      <c r="J16" s="44" t="str">
        <f>""</f>
        <v/>
      </c>
      <c r="K16" s="45"/>
      <c r="L16" s="46"/>
      <c r="M16" s="46"/>
      <c r="N16" s="47" t="s">
        <v>177</v>
      </c>
      <c r="O16" s="74" t="s">
        <v>372</v>
      </c>
      <c r="P16" s="48" t="s">
        <v>388</v>
      </c>
      <c r="Q16" s="73">
        <v>1</v>
      </c>
      <c r="R16" s="49" t="s">
        <v>177</v>
      </c>
      <c r="S16" s="50">
        <v>3</v>
      </c>
      <c r="T16" s="51" t="s">
        <v>165</v>
      </c>
      <c r="U16" s="52" t="s">
        <v>164</v>
      </c>
      <c r="V16" s="52" t="s">
        <v>164</v>
      </c>
      <c r="W16" s="52" t="s">
        <v>164</v>
      </c>
      <c r="X16" s="52" t="s">
        <v>164</v>
      </c>
      <c r="Y16" s="52" t="s">
        <v>164</v>
      </c>
      <c r="Z16" s="52" t="s">
        <v>164</v>
      </c>
      <c r="AA16" s="52" t="s">
        <v>164</v>
      </c>
      <c r="AB16" s="52" t="s">
        <v>164</v>
      </c>
      <c r="AC16" s="52" t="s">
        <v>164</v>
      </c>
      <c r="AD16" s="52" t="s">
        <v>164</v>
      </c>
      <c r="AE16" s="52" t="s">
        <v>164</v>
      </c>
      <c r="AF16" s="53" t="s">
        <v>164</v>
      </c>
      <c r="AG16" s="53" t="s">
        <v>165</v>
      </c>
      <c r="AH16" s="53" t="s">
        <v>165</v>
      </c>
      <c r="AI16" s="53" t="s">
        <v>164</v>
      </c>
      <c r="AJ16" s="53" t="s">
        <v>164</v>
      </c>
      <c r="AK16" s="53" t="s">
        <v>164</v>
      </c>
      <c r="AL16" s="53" t="s">
        <v>164</v>
      </c>
      <c r="AM16" s="53" t="s">
        <v>164</v>
      </c>
      <c r="AN16" s="53" t="s">
        <v>164</v>
      </c>
      <c r="AO16" s="53" t="s">
        <v>164</v>
      </c>
      <c r="AP16" s="53" t="s">
        <v>164</v>
      </c>
      <c r="AQ16" s="53" t="s">
        <v>164</v>
      </c>
      <c r="AR16" s="53" t="s">
        <v>164</v>
      </c>
      <c r="AS16" s="53" t="s">
        <v>164</v>
      </c>
      <c r="AT16" s="54">
        <v>1</v>
      </c>
      <c r="AU16" s="53" t="s">
        <v>308</v>
      </c>
      <c r="AV16" s="53" t="str">
        <f t="shared" si="1"/>
        <v>[BRA]State[BRA] Pará</v>
      </c>
      <c r="AW16" s="53" t="str">
        <f t="shared" si="2"/>
        <v>2[BRA] Pará</v>
      </c>
      <c r="AX16" s="55"/>
      <c r="AY16" s="55"/>
      <c r="AZ16" s="56" t="s">
        <v>152</v>
      </c>
      <c r="BA16" s="56"/>
      <c r="BB16" s="56"/>
      <c r="BC16" s="57"/>
      <c r="BD16" s="58" t="s">
        <v>154</v>
      </c>
      <c r="BE16" s="59"/>
      <c r="BF16" s="58" t="s">
        <v>154</v>
      </c>
      <c r="BG16" s="58" t="s">
        <v>159</v>
      </c>
      <c r="BH16" s="58" t="s">
        <v>154</v>
      </c>
      <c r="BI16" s="58"/>
      <c r="BJ16" s="58"/>
      <c r="BK16" s="59"/>
      <c r="BL16" s="58" t="s">
        <v>154</v>
      </c>
      <c r="BM16" s="58" t="s">
        <v>159</v>
      </c>
      <c r="BN16" s="58" t="s">
        <v>152</v>
      </c>
      <c r="BO16" s="58"/>
      <c r="BP16" s="58"/>
      <c r="BQ16" s="58"/>
      <c r="BR16" s="58"/>
      <c r="BS16" s="58"/>
      <c r="BT16" s="58"/>
      <c r="BU16" s="60"/>
      <c r="BV16" s="61"/>
      <c r="BW16" s="61">
        <v>0</v>
      </c>
      <c r="BX16" s="59"/>
      <c r="BY16" s="44" t="s">
        <v>165</v>
      </c>
      <c r="CB16" s="5"/>
      <c r="CC16" s="5"/>
      <c r="CD16" s="62">
        <v>0</v>
      </c>
      <c r="CE16" s="62">
        <v>0</v>
      </c>
      <c r="CF16" s="62" t="e">
        <v>#REF!</v>
      </c>
      <c r="CG16" s="75" cm="1">
        <f t="array" ref="CG16">SUMPRODUCT(--(LEN(TRIM(BL16:BT16))&gt;0))</f>
        <v>3</v>
      </c>
      <c r="CH16" s="53" t="str">
        <f t="shared" si="3"/>
        <v>n</v>
      </c>
      <c r="CI16" s="53" t="str">
        <f t="shared" si="4"/>
        <v>y</v>
      </c>
      <c r="CJ16" s="53" t="str">
        <f t="shared" si="5"/>
        <v>n</v>
      </c>
      <c r="CK16" s="53" t="str">
        <f t="shared" si="6"/>
        <v>n</v>
      </c>
      <c r="CL16" s="53" t="str">
        <f t="shared" si="7"/>
        <v>n</v>
      </c>
      <c r="CM16" s="53" t="str">
        <f t="shared" si="8"/>
        <v>n</v>
      </c>
      <c r="CN16" s="53" t="str">
        <f t="shared" si="9"/>
        <v>y</v>
      </c>
      <c r="CO16" s="53" t="str">
        <f t="shared" si="10"/>
        <v>n</v>
      </c>
      <c r="CP16" s="53" t="str">
        <f t="shared" si="11"/>
        <v>n</v>
      </c>
      <c r="CQ16" s="53" t="str">
        <f t="shared" si="12"/>
        <v>y</v>
      </c>
      <c r="CR16" s="53" t="str">
        <f t="shared" si="13"/>
        <v>n</v>
      </c>
      <c r="CS16" s="53" t="str">
        <f t="shared" si="14"/>
        <v>n</v>
      </c>
      <c r="CT16" s="38" t="str">
        <f t="shared" si="15"/>
        <v>"[BRA] Pará"</v>
      </c>
      <c r="CU16" s="63" t="str">
        <f t="shared" si="16"/>
        <v>"rgn_South America"</v>
      </c>
      <c r="CV16" s="44" t="str">
        <f t="shared" si="17"/>
        <v>"https://upload.wikimedia.org/wikipedia/commons/thumb/4/44/Bandeira_do_par%C3%A1.png/640px-Bandeira_do_par%C3%A1.png"</v>
      </c>
      <c r="CW16" s="44" t="str">
        <f t="shared" si="18"/>
        <v/>
      </c>
      <c r="CX16" s="44" t="str">
        <f t="shared" si="19"/>
        <v>"3Color",</v>
      </c>
      <c r="CY16" s="44" t="str">
        <f t="shared" si="20"/>
        <v/>
      </c>
      <c r="CZ16" s="44" t="str">
        <f t="shared" si="21"/>
        <v/>
      </c>
      <c r="DA16" s="44" t="str">
        <f t="shared" si="22"/>
        <v/>
      </c>
      <c r="DB16" s="44" t="str">
        <f t="shared" si="23"/>
        <v/>
      </c>
      <c r="DC16" s="44" t="str">
        <f t="shared" si="24"/>
        <v/>
      </c>
      <c r="DD16" s="44" t="str">
        <f t="shared" si="25"/>
        <v>"lets04",</v>
      </c>
      <c r="DE16" s="44" t="str">
        <f t="shared" si="26"/>
        <v>"startP",</v>
      </c>
      <c r="DF16" s="44" t="str">
        <f t="shared" si="27"/>
        <v/>
      </c>
      <c r="DG16" s="44" t="str">
        <f t="shared" si="28"/>
        <v/>
      </c>
      <c r="DH16" s="44" t="str">
        <f t="shared" si="29"/>
        <v/>
      </c>
      <c r="DI16" s="44" t="str">
        <f t="shared" si="30"/>
        <v/>
      </c>
      <c r="DJ16" s="44" t="str">
        <f t="shared" si="31"/>
        <v/>
      </c>
      <c r="DK16" s="44" t="str">
        <f t="shared" si="32"/>
        <v/>
      </c>
      <c r="DL16" s="44" t="str">
        <f t="shared" si="33"/>
        <v/>
      </c>
      <c r="DM16" s="44" t="str" cm="1">
        <f t="array" ref="DM16">IF(CG16=3,CHAR(34) &amp; _xlfn.TEXTJOIN("", TRUE, RIGHT(HP16:HX16, 2)) &amp; CHAR(34) &amp; ",", "")</f>
        <v>"LUEDHI",</v>
      </c>
      <c r="DN16" s="44" t="str">
        <f t="shared" si="34"/>
        <v>"year18",</v>
      </c>
      <c r="DO16" s="44" t="str">
        <f t="shared" si="35"/>
        <v/>
      </c>
      <c r="DP16" s="5" t="str">
        <f t="shared" si="36"/>
        <v/>
      </c>
      <c r="DQ16" s="5" t="str">
        <f t="shared" si="37"/>
        <v/>
      </c>
      <c r="DR16" s="5" t="str">
        <f t="shared" si="38"/>
        <v>"dgband",</v>
      </c>
      <c r="DS16" s="5" t="str">
        <f t="shared" si="39"/>
        <v/>
      </c>
      <c r="DT16" s="5" t="str">
        <f t="shared" si="40"/>
        <v/>
      </c>
      <c r="DU16" s="5" t="str">
        <f t="shared" si="41"/>
        <v>"alldia",</v>
      </c>
      <c r="DV16" s="44" t="str">
        <f t="shared" si="42"/>
        <v/>
      </c>
      <c r="DW16" s="44" t="str">
        <f t="shared" si="43"/>
        <v/>
      </c>
      <c r="DX16" s="44" t="str">
        <f t="shared" si="44"/>
        <v/>
      </c>
      <c r="DY16" s="44" t="str">
        <f t="shared" si="45"/>
        <v>"3Bands",</v>
      </c>
      <c r="DZ16" s="44" t="str">
        <f t="shared" si="46"/>
        <v/>
      </c>
      <c r="EA16" s="44" t="str">
        <f t="shared" si="47"/>
        <v>"Diagon",</v>
      </c>
      <c r="EB16" s="44" t="str">
        <f t="shared" si="48"/>
        <v/>
      </c>
      <c r="EC16" s="44" t="str">
        <f t="shared" si="49"/>
        <v/>
      </c>
      <c r="ED16" s="44" t="str">
        <f t="shared" si="50"/>
        <v/>
      </c>
      <c r="EE16" s="44" t="str">
        <f t="shared" si="51"/>
        <v/>
      </c>
      <c r="EF16" s="44" t="str">
        <f t="shared" si="52"/>
        <v/>
      </c>
      <c r="EG16" s="44" t="str">
        <f t="shared" si="53"/>
        <v/>
      </c>
      <c r="EH16" s="44" t="str">
        <f t="shared" si="54"/>
        <v/>
      </c>
      <c r="EI16" s="44" t="str">
        <f t="shared" si="55"/>
        <v/>
      </c>
      <c r="EJ16" s="44" t="str">
        <f t="shared" si="56"/>
        <v/>
      </c>
      <c r="EK16" s="44" t="str">
        <f t="shared" si="57"/>
        <v/>
      </c>
      <c r="EL16" s="44" t="str">
        <f t="shared" si="58"/>
        <v/>
      </c>
      <c r="EM16" s="44" t="str">
        <f t="shared" si="59"/>
        <v/>
      </c>
      <c r="EN16" s="44" t="str">
        <f t="shared" si="60"/>
        <v>"Unequa",</v>
      </c>
      <c r="EO16" s="44" t="str">
        <f t="shared" si="61"/>
        <v>"Center",</v>
      </c>
      <c r="EP16" s="44" t="str">
        <f t="shared" si="62"/>
        <v/>
      </c>
      <c r="EQ16" s="44" t="str">
        <f t="shared" si="63"/>
        <v/>
      </c>
      <c r="ER16" s="44" t="str">
        <f t="shared" si="64"/>
        <v/>
      </c>
      <c r="ES16" s="44" t="str">
        <f t="shared" si="65"/>
        <v/>
      </c>
      <c r="ET16" s="44" t="str">
        <f t="shared" si="66"/>
        <v/>
      </c>
      <c r="EU16" s="44" t="str">
        <f t="shared" si="67"/>
        <v/>
      </c>
      <c r="EV16" s="44" t="str">
        <f t="shared" si="68"/>
        <v/>
      </c>
      <c r="EW16" s="44" t="str">
        <f t="shared" si="69"/>
        <v/>
      </c>
      <c r="EX16" s="44" t="str">
        <f t="shared" si="70"/>
        <v/>
      </c>
      <c r="EY16" s="44" t="str">
        <f t="shared" si="71"/>
        <v/>
      </c>
      <c r="EZ16" s="44" t="str">
        <f t="shared" si="72"/>
        <v/>
      </c>
      <c r="FA16" s="44" t="str">
        <f t="shared" si="73"/>
        <v>"staBLU",</v>
      </c>
      <c r="FB16" s="44" t="str">
        <f t="shared" si="74"/>
        <v/>
      </c>
      <c r="FC16" s="44" t="str">
        <f t="shared" si="75"/>
        <v/>
      </c>
      <c r="FD16" s="44" t="str">
        <f t="shared" si="76"/>
        <v/>
      </c>
      <c r="FE16" s="44" t="str">
        <f t="shared" si="77"/>
        <v/>
      </c>
      <c r="FF16" s="44" t="str">
        <f t="shared" si="78"/>
        <v/>
      </c>
      <c r="FG16" s="44" t="str">
        <f t="shared" si="79"/>
        <v/>
      </c>
      <c r="FH16" s="44" t="str">
        <f t="shared" si="80"/>
        <v>"NO_GRE",</v>
      </c>
      <c r="FI16" s="44" t="str">
        <f t="shared" si="81"/>
        <v>"NO_YEL",</v>
      </c>
      <c r="FJ16" s="44" t="str">
        <f t="shared" si="82"/>
        <v>"NO_BLA",</v>
      </c>
      <c r="FK16" s="44" t="str">
        <f t="shared" si="83"/>
        <v/>
      </c>
      <c r="FL16" s="44" t="str">
        <f t="shared" si="84"/>
        <v/>
      </c>
      <c r="FM16" s="44" t="str">
        <f t="shared" si="85"/>
        <v/>
      </c>
      <c r="FN16" s="44" t="str">
        <f t="shared" si="86"/>
        <v/>
      </c>
      <c r="FO16" s="44" t="str">
        <f t="shared" si="87"/>
        <v/>
      </c>
      <c r="FP16" s="44" t="str">
        <f t="shared" si="88"/>
        <v/>
      </c>
      <c r="FQ16" s="44" t="str">
        <f t="shared" si="89"/>
        <v>"001RED",</v>
      </c>
      <c r="FR16" s="44" t="str">
        <f t="shared" si="90"/>
        <v>"002WHI",</v>
      </c>
      <c r="FS16" s="44" t="str">
        <f t="shared" si="91"/>
        <v>"003RED",</v>
      </c>
      <c r="FT16" s="44" t="str">
        <f t="shared" si="92"/>
        <v>"myrRED",</v>
      </c>
      <c r="FU16" s="44" t="str">
        <f t="shared" si="93"/>
        <v/>
      </c>
      <c r="FV16" s="44" t="str">
        <f t="shared" si="94"/>
        <v/>
      </c>
      <c r="FW16" s="44" t="str">
        <f t="shared" si="95"/>
        <v/>
      </c>
      <c r="FX16" s="44" t="str">
        <f t="shared" si="96"/>
        <v/>
      </c>
      <c r="FY16" s="44" t="str">
        <f t="shared" si="97"/>
        <v/>
      </c>
      <c r="FZ16" s="44" t="str">
        <f t="shared" si="98"/>
        <v/>
      </c>
      <c r="GA16" s="44" t="str">
        <f t="shared" si="99"/>
        <v/>
      </c>
      <c r="GB16" s="44" t="str">
        <f t="shared" si="100"/>
        <v/>
      </c>
      <c r="GC16" s="44" t="str">
        <f t="shared" si="101"/>
        <v/>
      </c>
      <c r="GD16" s="44" t="str">
        <f t="shared" si="102"/>
        <v/>
      </c>
      <c r="GE16" s="44" t="str">
        <f t="shared" si="103"/>
        <v/>
      </c>
      <c r="GF16" s="44" t="str">
        <f t="shared" si="145"/>
        <v/>
      </c>
      <c r="GG16" s="44" t="str">
        <f t="shared" si="104"/>
        <v/>
      </c>
      <c r="GH16" s="44" t="str">
        <f t="shared" si="105"/>
        <v/>
      </c>
      <c r="GI16" s="44" t="str">
        <f t="shared" si="106"/>
        <v/>
      </c>
      <c r="GJ16" s="44" t="str">
        <f t="shared" si="107"/>
        <v/>
      </c>
      <c r="GK16" s="44" t="str">
        <f t="shared" si="108"/>
        <v>"HasSta",</v>
      </c>
      <c r="GL16" s="44" t="str">
        <f t="shared" si="109"/>
        <v>"1Stars",</v>
      </c>
      <c r="GM16" s="44" t="str">
        <f t="shared" si="110"/>
        <v/>
      </c>
      <c r="GN16" s="44" t="str">
        <f t="shared" si="111"/>
        <v/>
      </c>
      <c r="GP16" s="44" t="str">
        <f t="shared" si="112"/>
        <v>"State"</v>
      </c>
      <c r="GS16" s="44" t="str">
        <f t="shared" si="113"/>
        <v>["3Color","lets04","startP","LUEDHI","year18","dgband","alldia","3Bands","Diagon","Unequa","Center","staBLU","NO_GRE","NO_YEL","NO_BLA","001RED","002WHI","003RED","myrRED","HasSta","1Stars"]</v>
      </c>
      <c r="GT16" s="44" t="str">
        <f t="shared" si="114"/>
        <v>"cl_RED",</v>
      </c>
      <c r="GU16" s="44" t="str">
        <f t="shared" si="115"/>
        <v>"cl_WHI",</v>
      </c>
      <c r="GV16" s="44" t="str">
        <f t="shared" si="116"/>
        <v>"cl_BLU",</v>
      </c>
      <c r="GW16" s="44" t="str">
        <f t="shared" si="117"/>
        <v/>
      </c>
      <c r="GX16" s="44" t="str">
        <f t="shared" si="118"/>
        <v/>
      </c>
      <c r="GY16" s="44" t="str">
        <f t="shared" si="119"/>
        <v/>
      </c>
      <c r="GZ16" s="44" t="str">
        <f t="shared" si="120"/>
        <v/>
      </c>
      <c r="HA16" s="44" t="str">
        <f t="shared" si="121"/>
        <v/>
      </c>
      <c r="HB16" s="44" t="str">
        <f t="shared" si="122"/>
        <v/>
      </c>
      <c r="HC16" s="44" t="str">
        <f t="shared" si="123"/>
        <v>["cl_RED","cl_WHI","cl_BLU"]</v>
      </c>
      <c r="HE16" s="64"/>
      <c r="HF16" s="65" t="str">
        <f t="shared" si="124"/>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links: "https://en.wikipedia.org/wiki/Flag_of_Pará"},</v>
      </c>
      <c r="HG16" s="66" t="str">
        <f t="shared" si="125"/>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links: "https://en.wikipedia.org/wiki/Flag_of_Pará"},</v>
      </c>
      <c r="HH16" s="44" t="str">
        <f t="shared" si="126"/>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I16" s="44" t="str">
        <f t="shared" si="127"/>
        <v>"\nThe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v>
      </c>
      <c r="HJ16" s="44" t="str">
        <f t="shared" si="128"/>
        <v>"1890 "</v>
      </c>
      <c r="HL16" s="44" t="str">
        <f t="shared" si="129"/>
        <v>"https://en.wikipedia.org/wiki/Flag_of_Pará"</v>
      </c>
      <c r="HM16" s="65" t="str">
        <f t="shared" si="130"/>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N16" s="67" t="str">
        <f t="shared" si="131"/>
        <v>{"couname":"[BRA] Pará","year":"1890 ","region":"rgn_South America","Colors":["cl_RED","cl_WHI","cl_BLU"],"Items":["3Color","lets04","startP","LUEDHI","year18","dgband","alldia","3Bands","Diagon","Unequa","Center","staBLU","NO_GRE","NO_YEL","NO_BLA","001RED","002WHI","003RED","myrRED","HasSta","1Stars"],"Flag":"https://upload.wikimedia.org/wikipedia/commons/thumb/4/44/Bandeira_do_par%C3%A1.png/640px-Bandeira_do_par%C3%A1.png","HDFlag":"https://upload.wikimedia.org/wikipedia/commons/4/44/Bandeira_do_par%C3%A1.png","type":"State", "describe": "\nThe white stripe in the Flag of Pará represents the zodiac, the Equator and the Amazon River. The blue star is Spica in the constellation Virgo, which is also depicted on the Flag of Brazil representing the state. The two red areas symbolize the blood shed by the Cabanos in the Cabanagem revolt.", "isnew": ".", "links": "https://en.wikipedia.org/wiki/Flag_of_Pará"},</v>
      </c>
      <c r="HO16" s="71"/>
      <c r="HP16" s="44" t="str" cm="1">
        <f t="array" ref="HP16">IF(_xlfn.TEXTJOIN(", ", TRUE, IF(ISNUMBER(SEARCH("BLA", BL16:BT16)), COLUMN(BL16:BT16) - COLUMN(BL16) + 1, ""))&lt;&gt;"","BLA","")</f>
        <v/>
      </c>
      <c r="HQ16" s="44" t="str" cm="1">
        <f t="array" ref="HQ16">IF(_xlfn.TEXTJOIN(", ", TRUE, IF(ISNUMBER(SEARCH("BLU", BL16:BT16)), COLUMN(BL16:BT16) - COLUMN(BL16) + 1, ""))&lt;&gt;"","BLU","")</f>
        <v>BLU</v>
      </c>
      <c r="HR16" s="44" t="str" cm="1">
        <f t="array" ref="HR16">IF(_xlfn.TEXTJOIN(", ", TRUE, IF(ISNUMBER(SEARCH("GRE", BL16:BT16)), COLUMN(BL16:BT16) - COLUMN(BL16) + 1, ""))&lt;&gt;"","GRE","")</f>
        <v/>
      </c>
      <c r="HS16" s="44" t="str" cm="1">
        <f t="array" ref="HS16">IF(_xlfn.TEXTJOIN(", ", TRUE, IF(ISNUMBER(SEARCH("RED", BL16:BT16)), COLUMN(BL16:BT16) - COLUMN(BL16) + 1, ""))&lt;&gt;"","RED","")</f>
        <v>RED</v>
      </c>
      <c r="HT16" s="44" t="str" cm="1">
        <f t="array" ref="HT16">IF(_xlfn.TEXTJOIN(", ", TRUE, IF(ISNUMBER(SEARCH("YEL", BL16:BT16)), COLUMN(BL16:BT16) - COLUMN(BL16) + 1, ""))&lt;&gt;"","YEL","")</f>
        <v/>
      </c>
      <c r="HU16" s="44" t="str" cm="1">
        <f t="array" ref="HU16">IF(_xlfn.TEXTJOIN(", ", TRUE, IF(ISNUMBER(SEARCH("ORA", BL16:BT16)), COLUMN(BL16:BT16) - COLUMN(BL16) + 1, ""))&lt;&gt;"","ORA","")</f>
        <v/>
      </c>
      <c r="HV16" s="44" t="str" cm="1">
        <f t="array" ref="HV16">IF(_xlfn.TEXTJOIN(", ", TRUE, IF(ISNUMBER(SEARCH("BRO", BL16:BT16)), COLUMN(BL16:BT16) - COLUMN(BL16) + 1, ""))&lt;&gt;"","BRO","")</f>
        <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L16" s="44">
        <f t="shared" si="132"/>
        <v>0</v>
      </c>
      <c r="IM16" s="42">
        <f t="shared" si="133"/>
        <v>-3</v>
      </c>
      <c r="IN16" s="69" t="str">
        <f t="shared" si="134"/>
        <v>http://mkweb.bcgsc.ca/color-summarizer/?url=https://upload.wikimedia.org/wikipedia/commons/thumb/4/44/Bandeira_do_par%C3%A1.png/640px-Bandeira_do_par%C3%A1.png&amp;precision=low&amp;num_clusters=3&amp;text=1</v>
      </c>
      <c r="IO16" s="44" t="str">
        <f t="shared" si="135"/>
        <v/>
      </c>
      <c r="IP16" s="44" t="str">
        <f t="shared" si="136"/>
        <v>"blue"</v>
      </c>
      <c r="IQ16" s="44" t="str">
        <f t="shared" si="137"/>
        <v/>
      </c>
      <c r="IR16" s="44" t="str">
        <f t="shared" si="138"/>
        <v>"red"</v>
      </c>
      <c r="IS16" s="44" t="str">
        <f t="shared" si="139"/>
        <v/>
      </c>
      <c r="IT16" s="44" t="str">
        <f t="shared" si="140"/>
        <v/>
      </c>
      <c r="IU16" s="44" t="str">
        <f t="shared" si="141"/>
        <v/>
      </c>
      <c r="IV16" s="44" t="str">
        <f t="shared" si="142"/>
        <v/>
      </c>
      <c r="IW16" s="44" t="str">
        <f t="shared" si="143"/>
        <v>"white"</v>
      </c>
      <c r="IX16" s="44" t="str">
        <f t="shared" si="144"/>
        <v>{"url":"http://mkweb.bcgsc.ca/color-summarizer/?url=https://upload.wikimedia.org/wikipedia/commons/thumb/4/44/Bandeira_do_par%C3%A1.png/640px-Bandeira_do_par%C3%A1.png&amp;precision=low&amp;num_clusters=3&amp;text=1","name":"[BRA] Pará"},</v>
      </c>
      <c r="IY16" s="44">
        <v>340</v>
      </c>
    </row>
    <row r="17" spans="1:259" s="44" customFormat="1" ht="38.4" customHeight="1" thickBot="1" x14ac:dyDescent="0.35">
      <c r="A17" s="84" t="s">
        <v>389</v>
      </c>
      <c r="B17" s="83" t="e" vm="39">
        <v>#VALUE!</v>
      </c>
      <c r="C17" s="39">
        <v>2</v>
      </c>
      <c r="D17" s="70" t="s">
        <v>390</v>
      </c>
      <c r="E17" s="40" t="s">
        <v>391</v>
      </c>
      <c r="F17" s="41" t="s">
        <v>163</v>
      </c>
      <c r="G17" s="42">
        <f t="shared" si="0"/>
        <v>1</v>
      </c>
      <c r="H17" s="43"/>
      <c r="I17" s="59" t="s">
        <v>392</v>
      </c>
      <c r="J17" s="44" t="str">
        <f>""</f>
        <v/>
      </c>
      <c r="K17" s="45"/>
      <c r="L17" s="46"/>
      <c r="M17" s="46"/>
      <c r="N17" s="47" t="s">
        <v>177</v>
      </c>
      <c r="O17" s="74" t="s">
        <v>196</v>
      </c>
      <c r="P17" s="48" t="s">
        <v>393</v>
      </c>
      <c r="Q17" s="73">
        <v>1</v>
      </c>
      <c r="R17" s="49" t="s">
        <v>177</v>
      </c>
      <c r="S17" s="50">
        <v>2</v>
      </c>
      <c r="T17" s="51" t="s">
        <v>164</v>
      </c>
      <c r="U17" s="52" t="s">
        <v>164</v>
      </c>
      <c r="V17" s="52" t="s">
        <v>164</v>
      </c>
      <c r="W17" s="52" t="s">
        <v>165</v>
      </c>
      <c r="X17" s="52" t="s">
        <v>164</v>
      </c>
      <c r="Y17" s="52" t="s">
        <v>164</v>
      </c>
      <c r="Z17" s="52" t="s">
        <v>164</v>
      </c>
      <c r="AA17" s="52" t="s">
        <v>164</v>
      </c>
      <c r="AB17" s="52" t="s">
        <v>165</v>
      </c>
      <c r="AC17" s="52" t="s">
        <v>164</v>
      </c>
      <c r="AD17" s="52" t="s">
        <v>164</v>
      </c>
      <c r="AE17" s="52" t="s">
        <v>164</v>
      </c>
      <c r="AF17" s="53" t="s">
        <v>164</v>
      </c>
      <c r="AG17" s="53" t="s">
        <v>164</v>
      </c>
      <c r="AH17" s="53" t="s">
        <v>164</v>
      </c>
      <c r="AI17" s="53" t="s">
        <v>164</v>
      </c>
      <c r="AJ17" s="53" t="s">
        <v>164</v>
      </c>
      <c r="AK17" s="53" t="s">
        <v>164</v>
      </c>
      <c r="AL17" s="53" t="s">
        <v>164</v>
      </c>
      <c r="AM17" s="53" t="s">
        <v>164</v>
      </c>
      <c r="AN17" s="53" t="s">
        <v>164</v>
      </c>
      <c r="AO17" s="53" t="s">
        <v>164</v>
      </c>
      <c r="AP17" s="53" t="s">
        <v>164</v>
      </c>
      <c r="AQ17" s="53" t="s">
        <v>164</v>
      </c>
      <c r="AR17" s="53" t="s">
        <v>164</v>
      </c>
      <c r="AS17" s="53" t="s">
        <v>164</v>
      </c>
      <c r="AT17" s="54">
        <v>0</v>
      </c>
      <c r="AU17" s="53" t="s">
        <v>308</v>
      </c>
      <c r="AV17" s="53" t="str">
        <f t="shared" si="1"/>
        <v>[BRA]State[BRA] Paraiba</v>
      </c>
      <c r="AW17" s="53" t="str">
        <f t="shared" si="2"/>
        <v>2[BRA] Paraiba</v>
      </c>
      <c r="AX17" s="55"/>
      <c r="AY17" s="55"/>
      <c r="AZ17" s="56"/>
      <c r="BA17" s="56"/>
      <c r="BB17" s="56"/>
      <c r="BC17" s="57"/>
      <c r="BD17" s="58" t="s">
        <v>154</v>
      </c>
      <c r="BE17" s="59"/>
      <c r="BF17" s="58" t="s">
        <v>151</v>
      </c>
      <c r="BG17" s="58"/>
      <c r="BH17" s="58" t="s">
        <v>154</v>
      </c>
      <c r="BI17" s="58"/>
      <c r="BJ17" s="58"/>
      <c r="BK17" s="59"/>
      <c r="BL17" s="58" t="s">
        <v>151</v>
      </c>
      <c r="BM17" s="58" t="s">
        <v>159</v>
      </c>
      <c r="BN17" s="58" t="s">
        <v>154</v>
      </c>
      <c r="BO17" s="58"/>
      <c r="BP17" s="58"/>
      <c r="BQ17" s="58"/>
      <c r="BR17" s="58"/>
      <c r="BS17" s="58"/>
      <c r="BT17" s="58"/>
      <c r="BU17" s="60"/>
      <c r="BV17" s="61"/>
      <c r="BW17" s="61">
        <v>0</v>
      </c>
      <c r="BX17" s="59"/>
      <c r="CB17" s="5"/>
      <c r="CC17" s="5"/>
      <c r="CD17" s="62">
        <v>0</v>
      </c>
      <c r="CE17" s="62">
        <v>0</v>
      </c>
      <c r="CF17" s="62" t="e">
        <v>#REF!</v>
      </c>
      <c r="CG17" s="75" cm="1">
        <f t="array" ref="CG17">SUMPRODUCT(--(LEN(TRIM(BL17:BT17))&gt;0))</f>
        <v>3</v>
      </c>
      <c r="CH17" s="53" t="str">
        <f t="shared" si="3"/>
        <v>n</v>
      </c>
      <c r="CI17" s="53" t="str">
        <f t="shared" si="4"/>
        <v>y</v>
      </c>
      <c r="CJ17" s="53" t="str">
        <f t="shared" si="5"/>
        <v>n</v>
      </c>
      <c r="CK17" s="53" t="str">
        <f t="shared" si="6"/>
        <v>n</v>
      </c>
      <c r="CL17" s="53" t="str">
        <f t="shared" si="7"/>
        <v>n</v>
      </c>
      <c r="CM17" s="53" t="str">
        <f t="shared" si="8"/>
        <v>y</v>
      </c>
      <c r="CN17" s="53" t="str">
        <f t="shared" si="9"/>
        <v>n</v>
      </c>
      <c r="CO17" s="53" t="str">
        <f t="shared" si="10"/>
        <v>n</v>
      </c>
      <c r="CP17" s="53" t="str">
        <f t="shared" si="11"/>
        <v>y</v>
      </c>
      <c r="CQ17" s="53" t="str">
        <f t="shared" si="12"/>
        <v>n</v>
      </c>
      <c r="CR17" s="53" t="str">
        <f t="shared" si="13"/>
        <v>n</v>
      </c>
      <c r="CS17" s="53" t="str">
        <f t="shared" si="14"/>
        <v>n</v>
      </c>
      <c r="CT17" s="38" t="str">
        <f t="shared" si="15"/>
        <v>"[BRA] Paraiba"</v>
      </c>
      <c r="CU17" s="63" t="str">
        <f t="shared" si="16"/>
        <v>"rgn_South America"</v>
      </c>
      <c r="CV17" s="44" t="str">
        <f t="shared" si="17"/>
        <v>"https://upload.wikimedia.org/wikipedia/commons/thumb/b/bb/Bandeira_da_Para%C3%ADba.svg/640px-Bandeira_da_Para%C3%ADba.svg.png"</v>
      </c>
      <c r="CW17" s="44" t="str">
        <f t="shared" si="18"/>
        <v/>
      </c>
      <c r="CX17" s="44" t="str">
        <f t="shared" si="19"/>
        <v>"3Color",</v>
      </c>
      <c r="CY17" s="44" t="str">
        <f t="shared" si="20"/>
        <v/>
      </c>
      <c r="CZ17" s="44" t="str">
        <f t="shared" si="21"/>
        <v/>
      </c>
      <c r="DA17" s="44" t="str">
        <f t="shared" si="22"/>
        <v/>
      </c>
      <c r="DB17" s="44" t="str">
        <f t="shared" si="23"/>
        <v/>
      </c>
      <c r="DC17" s="44" t="str">
        <f t="shared" si="24"/>
        <v/>
      </c>
      <c r="DD17" s="44" t="str">
        <f t="shared" si="25"/>
        <v>"lets07",</v>
      </c>
      <c r="DE17" s="44" t="str">
        <f t="shared" si="26"/>
        <v>"startP",</v>
      </c>
      <c r="DF17" s="44" t="str">
        <f t="shared" si="27"/>
        <v/>
      </c>
      <c r="DG17" s="44" t="str">
        <f t="shared" si="28"/>
        <v/>
      </c>
      <c r="DH17" s="44" t="str">
        <f t="shared" si="29"/>
        <v/>
      </c>
      <c r="DI17" s="44" t="str">
        <f t="shared" si="30"/>
        <v/>
      </c>
      <c r="DJ17" s="44" t="str">
        <f t="shared" si="31"/>
        <v/>
      </c>
      <c r="DK17" s="44" t="str">
        <f t="shared" si="32"/>
        <v/>
      </c>
      <c r="DL17" s="44" t="str">
        <f t="shared" si="33"/>
        <v/>
      </c>
      <c r="DM17" s="44" t="str" cm="1">
        <f t="array" ref="DM17">IF(CG17=3,CHAR(34) &amp; _xlfn.TEXTJOIN("", TRUE, RIGHT(HP17:HX17, 2)) &amp; CHAR(34) &amp; ",", "")</f>
        <v>"LAEDHI",</v>
      </c>
      <c r="DN17" s="44" t="str">
        <f t="shared" si="34"/>
        <v/>
      </c>
      <c r="DO17" s="44" t="str">
        <f t="shared" si="35"/>
        <v>"year19",</v>
      </c>
      <c r="DP17" s="5" t="str">
        <f t="shared" si="36"/>
        <v/>
      </c>
      <c r="DQ17" s="5" t="str">
        <f t="shared" si="37"/>
        <v/>
      </c>
      <c r="DR17" s="5" t="str">
        <f t="shared" si="38"/>
        <v/>
      </c>
      <c r="DS17" s="5" t="str">
        <f t="shared" si="39"/>
        <v>"allver",</v>
      </c>
      <c r="DT17" s="5" t="str">
        <f t="shared" si="40"/>
        <v/>
      </c>
      <c r="DU17" s="5" t="str">
        <f t="shared" si="41"/>
        <v/>
      </c>
      <c r="DV17" s="44" t="str">
        <f t="shared" si="42"/>
        <v/>
      </c>
      <c r="DW17" s="44" t="str">
        <f t="shared" si="43"/>
        <v/>
      </c>
      <c r="DX17" s="44" t="str">
        <f t="shared" si="44"/>
        <v>"2Bands",</v>
      </c>
      <c r="DY17" s="44" t="str">
        <f t="shared" si="45"/>
        <v/>
      </c>
      <c r="DZ17" s="44" t="str">
        <f t="shared" si="46"/>
        <v/>
      </c>
      <c r="EA17" s="44" t="str">
        <f t="shared" si="47"/>
        <v/>
      </c>
      <c r="EB17" s="44" t="str">
        <f t="shared" si="48"/>
        <v/>
      </c>
      <c r="EC17" s="44" t="str">
        <f t="shared" si="49"/>
        <v/>
      </c>
      <c r="ED17" s="44" t="str">
        <f t="shared" si="50"/>
        <v>"Vertic",</v>
      </c>
      <c r="EE17" s="44" t="str">
        <f t="shared" si="51"/>
        <v/>
      </c>
      <c r="EF17" s="44" t="str">
        <f t="shared" si="52"/>
        <v/>
      </c>
      <c r="EG17" s="44" t="str">
        <f t="shared" si="53"/>
        <v/>
      </c>
      <c r="EH17" s="44" t="str">
        <f t="shared" si="54"/>
        <v/>
      </c>
      <c r="EI17" s="44" t="str">
        <f t="shared" si="55"/>
        <v>"Texted",</v>
      </c>
      <c r="EJ17" s="44" t="str">
        <f t="shared" si="56"/>
        <v/>
      </c>
      <c r="EK17" s="44" t="str">
        <f t="shared" si="57"/>
        <v/>
      </c>
      <c r="EL17" s="44" t="str">
        <f t="shared" si="58"/>
        <v/>
      </c>
      <c r="EM17" s="44" t="str">
        <f t="shared" si="59"/>
        <v/>
      </c>
      <c r="EN17" s="44" t="str">
        <f t="shared" si="60"/>
        <v/>
      </c>
      <c r="EO17" s="44" t="str">
        <f t="shared" si="61"/>
        <v/>
      </c>
      <c r="EP17" s="44" t="str">
        <f t="shared" si="62"/>
        <v/>
      </c>
      <c r="EQ17" s="44" t="str">
        <f t="shared" si="63"/>
        <v/>
      </c>
      <c r="ER17" s="44" t="str">
        <f t="shared" si="64"/>
        <v/>
      </c>
      <c r="ES17" s="44" t="str">
        <f t="shared" si="65"/>
        <v/>
      </c>
      <c r="ET17" s="44" t="str">
        <f t="shared" si="66"/>
        <v/>
      </c>
      <c r="EU17" s="44" t="str">
        <f t="shared" si="67"/>
        <v/>
      </c>
      <c r="EV17" s="44" t="str">
        <f t="shared" si="68"/>
        <v/>
      </c>
      <c r="EW17" s="44" t="str">
        <f t="shared" si="69"/>
        <v/>
      </c>
      <c r="EX17" s="44" t="str">
        <f t="shared" si="70"/>
        <v/>
      </c>
      <c r="EY17" s="44" t="str">
        <f t="shared" si="71"/>
        <v/>
      </c>
      <c r="EZ17" s="44" t="str">
        <f t="shared" si="72"/>
        <v/>
      </c>
      <c r="FA17" s="44" t="str">
        <f t="shared" si="73"/>
        <v/>
      </c>
      <c r="FB17" s="44" t="str">
        <f t="shared" si="74"/>
        <v/>
      </c>
      <c r="FC17" s="44" t="str">
        <f t="shared" si="75"/>
        <v/>
      </c>
      <c r="FD17" s="44" t="str">
        <f t="shared" si="76"/>
        <v/>
      </c>
      <c r="FE17" s="44" t="str">
        <f t="shared" si="77"/>
        <v>"NO_BLU",</v>
      </c>
      <c r="FF17" s="44" t="str">
        <f t="shared" si="78"/>
        <v/>
      </c>
      <c r="FG17" s="44" t="str">
        <f t="shared" si="79"/>
        <v/>
      </c>
      <c r="FH17" s="44" t="str">
        <f t="shared" si="80"/>
        <v>"NO_GRE",</v>
      </c>
      <c r="FI17" s="44" t="str">
        <f t="shared" si="81"/>
        <v>"NO_YEL",</v>
      </c>
      <c r="FJ17" s="44" t="str">
        <f t="shared" si="82"/>
        <v/>
      </c>
      <c r="FK17" s="44" t="str">
        <f t="shared" si="83"/>
        <v/>
      </c>
      <c r="FL17" s="44" t="str">
        <f t="shared" si="84"/>
        <v/>
      </c>
      <c r="FM17" s="44" t="str">
        <f t="shared" si="85"/>
        <v/>
      </c>
      <c r="FN17" s="44" t="str">
        <f t="shared" si="86"/>
        <v/>
      </c>
      <c r="FO17" s="44" t="str">
        <f t="shared" si="87"/>
        <v/>
      </c>
      <c r="FP17" s="44" t="str">
        <f t="shared" si="88"/>
        <v/>
      </c>
      <c r="FQ17" s="44" t="str">
        <f t="shared" si="89"/>
        <v>"001BLA",</v>
      </c>
      <c r="FR17" s="44" t="str">
        <f t="shared" si="90"/>
        <v/>
      </c>
      <c r="FS17" s="44" t="str">
        <f t="shared" si="91"/>
        <v>"003RED",</v>
      </c>
      <c r="FT17" s="44" t="str">
        <f t="shared" si="92"/>
        <v>"myrRED",</v>
      </c>
      <c r="FU17" s="44" t="str">
        <f t="shared" si="93"/>
        <v/>
      </c>
      <c r="FV17" s="44" t="str">
        <f t="shared" si="94"/>
        <v/>
      </c>
      <c r="FW17" s="44" t="str">
        <f t="shared" si="95"/>
        <v/>
      </c>
      <c r="FX17" s="44" t="str">
        <f t="shared" si="96"/>
        <v/>
      </c>
      <c r="FY17" s="44" t="str">
        <f t="shared" si="97"/>
        <v/>
      </c>
      <c r="FZ17" s="44" t="str">
        <f t="shared" si="98"/>
        <v/>
      </c>
      <c r="GA17" s="44" t="str">
        <f t="shared" si="99"/>
        <v/>
      </c>
      <c r="GB17" s="44" t="str">
        <f t="shared" si="100"/>
        <v/>
      </c>
      <c r="GC17" s="44" t="str">
        <f t="shared" si="101"/>
        <v/>
      </c>
      <c r="GD17" s="44" t="str">
        <f t="shared" si="102"/>
        <v/>
      </c>
      <c r="GE17" s="44" t="str">
        <f t="shared" si="103"/>
        <v/>
      </c>
      <c r="GF17" s="44" t="str">
        <f t="shared" si="145"/>
        <v/>
      </c>
      <c r="GG17" s="44" t="str">
        <f t="shared" si="104"/>
        <v/>
      </c>
      <c r="GH17" s="44" t="str">
        <f t="shared" si="105"/>
        <v/>
      </c>
      <c r="GI17" s="44" t="str">
        <f t="shared" si="106"/>
        <v/>
      </c>
      <c r="GJ17" s="44" t="str">
        <f t="shared" si="107"/>
        <v>"NoStar",</v>
      </c>
      <c r="GK17" s="44" t="str">
        <f t="shared" si="108"/>
        <v/>
      </c>
      <c r="GL17" s="44" t="str">
        <f t="shared" si="109"/>
        <v/>
      </c>
      <c r="GM17" s="44" t="str">
        <f t="shared" si="110"/>
        <v/>
      </c>
      <c r="GN17" s="44" t="str">
        <f t="shared" si="111"/>
        <v/>
      </c>
      <c r="GP17" s="44" t="str">
        <f t="shared" si="112"/>
        <v>"State"</v>
      </c>
      <c r="GS17" s="44" t="str">
        <f t="shared" si="113"/>
        <v>["3Color","lets07","startP","LAEDHI","year19","allver","2Bands","Vertic","Texted","NO_BLU","NO_GRE","NO_YEL","001BLA","003RED","myrRED","NoStar"]</v>
      </c>
      <c r="GT17" s="44" t="str">
        <f t="shared" si="114"/>
        <v>"cl_BLA",</v>
      </c>
      <c r="GU17" s="44" t="str">
        <f t="shared" si="115"/>
        <v>"cl_WHI",</v>
      </c>
      <c r="GV17" s="44" t="str">
        <f t="shared" si="116"/>
        <v>"cl_RED",</v>
      </c>
      <c r="GW17" s="44" t="str">
        <f t="shared" si="117"/>
        <v/>
      </c>
      <c r="GX17" s="44" t="str">
        <f t="shared" si="118"/>
        <v/>
      </c>
      <c r="GY17" s="44" t="str">
        <f t="shared" si="119"/>
        <v/>
      </c>
      <c r="GZ17" s="44" t="str">
        <f t="shared" si="120"/>
        <v/>
      </c>
      <c r="HA17" s="44" t="str">
        <f t="shared" si="121"/>
        <v/>
      </c>
      <c r="HB17" s="44" t="str">
        <f t="shared" si="122"/>
        <v/>
      </c>
      <c r="HC17" s="44" t="str">
        <f t="shared" si="123"/>
        <v>["cl_BLA","cl_WHI","cl_RED"]</v>
      </c>
      <c r="HE17" s="64"/>
      <c r="HF17" s="65" t="str">
        <f t="shared" si="124"/>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links: "https://en.wikipedia.org/wiki/Paraíba"},</v>
      </c>
      <c r="HG17" s="66" t="str">
        <f t="shared" si="125"/>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links: "https://en.wikipedia.org/wiki/Paraíba"},</v>
      </c>
      <c r="HH17" s="44" t="str">
        <f t="shared" si="126"/>
        <v>"\nThe word nego on the state flag is Portuguese for I deny or I refuse, referring to the events that led to the Brazilian Revolution of 1930. The red color stands for the blood of João Pessoa after his assassination, while the black color represents mourning."</v>
      </c>
      <c r="HI17" s="44" t="str">
        <f t="shared" si="127"/>
        <v>"\nThe word nego on the state flag is Portuguese for I deny or I refuse, referring to the events that led to the Brazilian Revolution of 1930. The red color stands for the blood of João Pessoa after his assassination, while the black color represents mourning."</v>
      </c>
      <c r="HJ17" s="44" t="str">
        <f t="shared" si="128"/>
        <v>"1965 "</v>
      </c>
      <c r="HL17" s="44" t="str">
        <f t="shared" si="129"/>
        <v>"https://en.wikipedia.org/wiki/Paraíba"</v>
      </c>
      <c r="HM17" s="65" t="str">
        <f t="shared" si="130"/>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N17" s="67" t="str">
        <f t="shared" si="131"/>
        <v>{"couname":"[BRA] Paraiba","year":"1965 ","region":"rgn_South America","Colors":["cl_BLA","cl_WHI","cl_RED"],"Items":["3Color","lets07","startP","LAEDHI","year19","allver","2Bands","Vertic","Texted","NO_BLU","NO_GRE","NO_YEL","001BLA","003RED","myrRED","NoStar"],"Flag":"https://upload.wikimedia.org/wikipedia/commons/thumb/b/bb/Bandeira_da_Para%C3%ADba.svg/640px-Bandeira_da_Para%C3%ADba.svg.png","HDFlag":"https://upload.wikimedia.org/wikipedia/commons/thumb/b/bb/Bandeira_da_Para%C3%ADba.svg/2560px-Bandeira_da_Para%C3%ADba.svg.png","type":"State", "describe": "\nThe word nego on the state flag is Portuguese for I deny or I refuse, referring to the events that led to the Brazilian Revolution of 1930. The red color stands for the blood of João Pessoa after his assassination, while the black color represents mourning.", "isnew": ".", "links": "https://en.wikipedia.org/wiki/Paraíba"},</v>
      </c>
      <c r="HO17" s="71"/>
      <c r="HP17" s="44" t="str" cm="1">
        <f t="array" ref="HP17">IF(_xlfn.TEXTJOIN(", ", TRUE, IF(ISNUMBER(SEARCH("BLA", BL17:BT17)), COLUMN(BL17:BT17) - COLUMN(BL17) + 1, ""))&lt;&gt;"","BLA","")</f>
        <v>BLA</v>
      </c>
      <c r="HQ17" s="44" t="str" cm="1">
        <f t="array" ref="HQ17">IF(_xlfn.TEXTJOIN(", ", TRUE, IF(ISNUMBER(SEARCH("BLU", BL17:BT17)), COLUMN(BL17:BT17) - COLUMN(BL17) + 1, ""))&lt;&gt;"","BLU","")</f>
        <v/>
      </c>
      <c r="HR17" s="44" t="str" cm="1">
        <f t="array" ref="HR17">IF(_xlfn.TEXTJOIN(", ", TRUE, IF(ISNUMBER(SEARCH("GRE", BL17:BT17)), COLUMN(BL17:BT17) - COLUMN(BL17) + 1, ""))&lt;&gt;"","GRE","")</f>
        <v/>
      </c>
      <c r="HS17" s="44" t="str" cm="1">
        <f t="array" ref="HS17">IF(_xlfn.TEXTJOIN(", ", TRUE, IF(ISNUMBER(SEARCH("RED", BL17:BT17)), COLUMN(BL17:BT17) - COLUMN(BL17) + 1, ""))&lt;&gt;"","RED","")</f>
        <v>RED</v>
      </c>
      <c r="HT17" s="44" t="str" cm="1">
        <f t="array" ref="HT17">IF(_xlfn.TEXTJOIN(", ", TRUE, IF(ISNUMBER(SEARCH("YEL", BL17:BT17)), COLUMN(BL17:BT17) - COLUMN(BL17) + 1, ""))&lt;&gt;"","YEL","")</f>
        <v/>
      </c>
      <c r="HU17" s="44" t="str" cm="1">
        <f t="array" ref="HU17">IF(_xlfn.TEXTJOIN(", ", TRUE, IF(ISNUMBER(SEARCH("ORA", BL17:BT17)), COLUMN(BL17:BT17) - COLUMN(BL17) + 1, ""))&lt;&gt;"","ORA","")</f>
        <v/>
      </c>
      <c r="HV17" s="44" t="str" cm="1">
        <f t="array" ref="HV17">IF(_xlfn.TEXTJOIN(", ", TRUE, IF(ISNUMBER(SEARCH("BRO", BL17:BT17)), COLUMN(BL17:BT17) - COLUMN(BL17) + 1, ""))&lt;&gt;"","BRO","")</f>
        <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L17" s="44">
        <f t="shared" si="132"/>
        <v>0</v>
      </c>
      <c r="IM17" s="42">
        <f t="shared" si="133"/>
        <v>-3</v>
      </c>
      <c r="IN17" s="69" t="str">
        <f t="shared" si="134"/>
        <v>http://mkweb.bcgsc.ca/color-summarizer/?url=https://upload.wikimedia.org/wikipedia/commons/thumb/b/bb/Bandeira_da_Para%C3%ADba.svg/640px-Bandeira_da_Para%C3%ADba.svg.png&amp;precision=low&amp;num_clusters=3&amp;text=1</v>
      </c>
      <c r="IO17" s="44" t="str">
        <f t="shared" si="135"/>
        <v>"black"</v>
      </c>
      <c r="IP17" s="44" t="str">
        <f t="shared" si="136"/>
        <v/>
      </c>
      <c r="IQ17" s="44" t="str">
        <f t="shared" si="137"/>
        <v/>
      </c>
      <c r="IR17" s="44" t="str">
        <f t="shared" si="138"/>
        <v>"red"</v>
      </c>
      <c r="IS17" s="44" t="str">
        <f t="shared" si="139"/>
        <v/>
      </c>
      <c r="IT17" s="44" t="str">
        <f t="shared" si="140"/>
        <v/>
      </c>
      <c r="IU17" s="44" t="str">
        <f t="shared" si="141"/>
        <v/>
      </c>
      <c r="IV17" s="44" t="str">
        <f t="shared" si="142"/>
        <v/>
      </c>
      <c r="IW17" s="44" t="str">
        <f t="shared" si="143"/>
        <v>"white"</v>
      </c>
      <c r="IX17" s="44" t="str">
        <f t="shared" si="144"/>
        <v>{"url":"http://mkweb.bcgsc.ca/color-summarizer/?url=https://upload.wikimedia.org/wikipedia/commons/thumb/b/bb/Bandeira_da_Para%C3%ADba.svg/640px-Bandeira_da_Para%C3%ADba.svg.png&amp;precision=low&amp;num_clusters=3&amp;text=1","name":"[BRA] Paraiba"},</v>
      </c>
      <c r="IY17" s="44">
        <v>341</v>
      </c>
    </row>
    <row r="18" spans="1:259" s="44" customFormat="1" ht="38.4" customHeight="1" thickBot="1" x14ac:dyDescent="0.35">
      <c r="A18" s="84" t="s">
        <v>394</v>
      </c>
      <c r="B18" s="83" t="e" vm="40">
        <v>#VALUE!</v>
      </c>
      <c r="C18" s="39">
        <v>2</v>
      </c>
      <c r="D18" s="70" t="s">
        <v>395</v>
      </c>
      <c r="E18" s="40" t="s">
        <v>396</v>
      </c>
      <c r="F18" s="41" t="s">
        <v>163</v>
      </c>
      <c r="G18" s="42">
        <f t="shared" si="0"/>
        <v>1</v>
      </c>
      <c r="H18" s="43"/>
      <c r="I18" s="59" t="s">
        <v>397</v>
      </c>
      <c r="J18" s="44" t="str">
        <f>""</f>
        <v/>
      </c>
      <c r="K18" s="45"/>
      <c r="L18" s="46"/>
      <c r="M18" s="46"/>
      <c r="N18" s="47" t="s">
        <v>177</v>
      </c>
      <c r="O18" s="74" t="s">
        <v>398</v>
      </c>
      <c r="P18" s="48" t="s">
        <v>399</v>
      </c>
      <c r="Q18" s="73">
        <v>1</v>
      </c>
      <c r="R18" s="49" t="s">
        <v>177</v>
      </c>
      <c r="S18" s="50">
        <v>3</v>
      </c>
      <c r="T18" s="51" t="s">
        <v>165</v>
      </c>
      <c r="U18" s="52" t="s">
        <v>164</v>
      </c>
      <c r="V18" s="52" t="s">
        <v>164</v>
      </c>
      <c r="W18" s="52" t="s">
        <v>164</v>
      </c>
      <c r="X18" s="52" t="s">
        <v>165</v>
      </c>
      <c r="Y18" s="52" t="s">
        <v>164</v>
      </c>
      <c r="Z18" s="52" t="s">
        <v>164</v>
      </c>
      <c r="AA18" s="52" t="s">
        <v>165</v>
      </c>
      <c r="AB18" s="52" t="s">
        <v>165</v>
      </c>
      <c r="AC18" s="52" t="s">
        <v>164</v>
      </c>
      <c r="AD18" s="52" t="s">
        <v>164</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5</v>
      </c>
      <c r="AU18" s="53" t="s">
        <v>308</v>
      </c>
      <c r="AV18" s="53" t="str">
        <f t="shared" si="1"/>
        <v>[BRA]State[BRA] Paraná</v>
      </c>
      <c r="AW18" s="53" t="str">
        <f t="shared" si="2"/>
        <v>2[BRA] Paraná</v>
      </c>
      <c r="AX18" s="55"/>
      <c r="AY18" s="55"/>
      <c r="AZ18" s="56" t="s">
        <v>159</v>
      </c>
      <c r="BA18" s="56"/>
      <c r="BB18" s="56"/>
      <c r="BC18" s="57"/>
      <c r="BD18" s="58" t="s">
        <v>153</v>
      </c>
      <c r="BE18" s="59"/>
      <c r="BF18" s="58" t="s">
        <v>153</v>
      </c>
      <c r="BG18" s="58" t="s">
        <v>159</v>
      </c>
      <c r="BH18" s="58" t="s">
        <v>153</v>
      </c>
      <c r="BI18" s="58"/>
      <c r="BJ18" s="58"/>
      <c r="BK18" s="59"/>
      <c r="BL18" s="58" t="s">
        <v>153</v>
      </c>
      <c r="BM18" s="58" t="s">
        <v>159</v>
      </c>
      <c r="BN18" s="58" t="s">
        <v>152</v>
      </c>
      <c r="BO18" s="58"/>
      <c r="BP18" s="58"/>
      <c r="BQ18" s="58"/>
      <c r="BR18" s="58"/>
      <c r="BS18" s="58"/>
      <c r="BT18" s="58"/>
      <c r="BU18" s="60"/>
      <c r="BV18" s="61"/>
      <c r="BW18" s="61">
        <v>0</v>
      </c>
      <c r="BX18" s="59"/>
      <c r="BY18" s="44" t="s">
        <v>165</v>
      </c>
      <c r="CB18" s="5"/>
      <c r="CC18" s="5"/>
      <c r="CD18" s="62">
        <v>1</v>
      </c>
      <c r="CE18" s="62">
        <v>0</v>
      </c>
      <c r="CF18" s="62" t="e">
        <v>#REF!</v>
      </c>
      <c r="CG18" s="75" cm="1">
        <f t="array" ref="CG18">SUMPRODUCT(--(LEN(TRIM(BL18:BT18))&gt;0))</f>
        <v>3</v>
      </c>
      <c r="CH18" s="53" t="str">
        <f t="shared" si="3"/>
        <v>n</v>
      </c>
      <c r="CI18" s="53" t="str">
        <f t="shared" si="4"/>
        <v>y</v>
      </c>
      <c r="CJ18" s="53" t="str">
        <f t="shared" si="5"/>
        <v>n</v>
      </c>
      <c r="CK18" s="53" t="str">
        <f t="shared" si="6"/>
        <v>n</v>
      </c>
      <c r="CL18" s="53" t="str">
        <f t="shared" si="7"/>
        <v>n</v>
      </c>
      <c r="CM18" s="53" t="str">
        <f t="shared" si="8"/>
        <v>n</v>
      </c>
      <c r="CN18" s="53" t="str">
        <f t="shared" si="9"/>
        <v>y</v>
      </c>
      <c r="CO18" s="53" t="str">
        <f t="shared" si="10"/>
        <v>n</v>
      </c>
      <c r="CP18" s="53" t="str">
        <f t="shared" si="11"/>
        <v>n</v>
      </c>
      <c r="CQ18" s="53" t="str">
        <f t="shared" si="12"/>
        <v>n</v>
      </c>
      <c r="CR18" s="53" t="str">
        <f t="shared" si="13"/>
        <v>n</v>
      </c>
      <c r="CS18" s="53" t="str">
        <f t="shared" si="14"/>
        <v>y</v>
      </c>
      <c r="CT18" s="38" t="str">
        <f t="shared" si="15"/>
        <v>"[BRA] Paraná"</v>
      </c>
      <c r="CU18" s="63" t="str">
        <f t="shared" si="16"/>
        <v>"rgn_South America"</v>
      </c>
      <c r="CV18" s="44" t="str">
        <f t="shared" si="17"/>
        <v>"https://upload.wikimedia.org/wikipedia/commons/thumb/9/93/Bandeira_do_Paran%C3%A1.svg/640px-Bandeira_do_Paran%C3%A1.svg.png"</v>
      </c>
      <c r="CW18" s="44" t="str">
        <f t="shared" si="18"/>
        <v/>
      </c>
      <c r="CX18" s="44" t="str">
        <f t="shared" si="19"/>
        <v>"3Color",</v>
      </c>
      <c r="CY18" s="44" t="str">
        <f t="shared" si="20"/>
        <v/>
      </c>
      <c r="CZ18" s="44" t="str">
        <f t="shared" si="21"/>
        <v/>
      </c>
      <c r="DA18" s="44" t="str">
        <f t="shared" si="22"/>
        <v/>
      </c>
      <c r="DB18" s="44" t="str">
        <f t="shared" si="23"/>
        <v/>
      </c>
      <c r="DC18" s="44" t="str">
        <f t="shared" si="24"/>
        <v/>
      </c>
      <c r="DD18" s="44" t="str">
        <f t="shared" si="25"/>
        <v>"lets06",</v>
      </c>
      <c r="DE18" s="44" t="str">
        <f t="shared" si="26"/>
        <v>"startP",</v>
      </c>
      <c r="DF18" s="44" t="str">
        <f t="shared" si="27"/>
        <v/>
      </c>
      <c r="DG18" s="44" t="str">
        <f t="shared" si="28"/>
        <v/>
      </c>
      <c r="DH18" s="44" t="str">
        <f t="shared" si="29"/>
        <v/>
      </c>
      <c r="DI18" s="44" t="str">
        <f t="shared" si="30"/>
        <v/>
      </c>
      <c r="DJ18" s="44" t="str">
        <f t="shared" si="31"/>
        <v/>
      </c>
      <c r="DK18" s="44" t="str">
        <f t="shared" si="32"/>
        <v/>
      </c>
      <c r="DL18" s="44" t="str">
        <f t="shared" si="33"/>
        <v/>
      </c>
      <c r="DM18" s="44" t="str" cm="1">
        <f t="array" ref="DM18">IF(CG18=3,CHAR(34) &amp; _xlfn.TEXTJOIN("", TRUE, RIGHT(HP18:HX18, 2)) &amp; CHAR(34) &amp; ",", "")</f>
        <v>"LUREHI",</v>
      </c>
      <c r="DN18" s="44" t="str">
        <f t="shared" si="34"/>
        <v>"year18",</v>
      </c>
      <c r="DO18" s="44" t="str">
        <f t="shared" si="35"/>
        <v/>
      </c>
      <c r="DP18" s="5" t="str">
        <f t="shared" si="36"/>
        <v/>
      </c>
      <c r="DQ18" s="5" t="str">
        <f t="shared" si="37"/>
        <v/>
      </c>
      <c r="DR18" s="5" t="str">
        <f t="shared" si="38"/>
        <v>"dgband",</v>
      </c>
      <c r="DS18" s="5" t="str">
        <f t="shared" si="39"/>
        <v/>
      </c>
      <c r="DT18" s="5" t="str">
        <f t="shared" si="40"/>
        <v/>
      </c>
      <c r="DU18" s="5" t="str">
        <f t="shared" si="41"/>
        <v>"alldia",</v>
      </c>
      <c r="DV18" s="44" t="str">
        <f t="shared" si="42"/>
        <v/>
      </c>
      <c r="DW18" s="44" t="str">
        <f t="shared" si="43"/>
        <v/>
      </c>
      <c r="DX18" s="44" t="str">
        <f t="shared" si="44"/>
        <v/>
      </c>
      <c r="DY18" s="44" t="str">
        <f t="shared" si="45"/>
        <v>"3Bands",</v>
      </c>
      <c r="DZ18" s="44" t="str">
        <f t="shared" si="46"/>
        <v/>
      </c>
      <c r="EA18" s="44" t="str">
        <f t="shared" si="47"/>
        <v>"Diagon",</v>
      </c>
      <c r="EB18" s="44" t="str">
        <f t="shared" si="48"/>
        <v/>
      </c>
      <c r="EC18" s="44" t="str">
        <f t="shared" si="49"/>
        <v/>
      </c>
      <c r="ED18" s="44" t="str">
        <f t="shared" si="50"/>
        <v/>
      </c>
      <c r="EE18" s="44" t="str">
        <f t="shared" si="51"/>
        <v>"Circle",</v>
      </c>
      <c r="EF18" s="44" t="str">
        <f t="shared" si="52"/>
        <v/>
      </c>
      <c r="EG18" s="44" t="str">
        <f t="shared" si="53"/>
        <v/>
      </c>
      <c r="EH18" s="44" t="str">
        <f t="shared" si="54"/>
        <v>"Plants",</v>
      </c>
      <c r="EI18" s="44" t="str">
        <f t="shared" si="55"/>
        <v>"Texted",</v>
      </c>
      <c r="EJ18" s="44" t="str">
        <f t="shared" si="56"/>
        <v/>
      </c>
      <c r="EK18" s="44" t="str">
        <f t="shared" si="57"/>
        <v/>
      </c>
      <c r="EL18" s="44" t="str">
        <f t="shared" si="58"/>
        <v/>
      </c>
      <c r="EM18" s="44" t="str">
        <f t="shared" si="59"/>
        <v/>
      </c>
      <c r="EN18" s="44" t="str">
        <f t="shared" si="60"/>
        <v>"Unequa",</v>
      </c>
      <c r="EO18" s="44" t="str">
        <f t="shared" si="61"/>
        <v>"Center",</v>
      </c>
      <c r="EP18" s="44" t="str">
        <f t="shared" si="62"/>
        <v/>
      </c>
      <c r="EQ18" s="44" t="str">
        <f t="shared" si="63"/>
        <v/>
      </c>
      <c r="ER18" s="44" t="str">
        <f t="shared" si="64"/>
        <v/>
      </c>
      <c r="ES18" s="44" t="str">
        <f t="shared" si="65"/>
        <v/>
      </c>
      <c r="ET18" s="44" t="str">
        <f t="shared" si="66"/>
        <v/>
      </c>
      <c r="EU18" s="44" t="str">
        <f t="shared" si="67"/>
        <v/>
      </c>
      <c r="EV18" s="44" t="str">
        <f t="shared" si="68"/>
        <v/>
      </c>
      <c r="EW18" s="44" t="str">
        <f t="shared" si="69"/>
        <v/>
      </c>
      <c r="EX18" s="44" t="str">
        <f t="shared" si="70"/>
        <v/>
      </c>
      <c r="EY18" s="44" t="str">
        <f t="shared" si="71"/>
        <v/>
      </c>
      <c r="EZ18" s="44" t="str">
        <f t="shared" si="72"/>
        <v/>
      </c>
      <c r="FA18" s="44" t="str">
        <f t="shared" si="73"/>
        <v>"staWHI",</v>
      </c>
      <c r="FB18" s="44" t="str">
        <f t="shared" si="74"/>
        <v/>
      </c>
      <c r="FC18" s="44" t="str">
        <f t="shared" si="75"/>
        <v/>
      </c>
      <c r="FD18" s="44" t="str">
        <f t="shared" si="76"/>
        <v/>
      </c>
      <c r="FE18" s="44" t="str">
        <f t="shared" si="77"/>
        <v/>
      </c>
      <c r="FF18" s="44" t="str">
        <f t="shared" si="78"/>
        <v/>
      </c>
      <c r="FG18" s="44" t="str">
        <f t="shared" si="79"/>
        <v>"NO_RED",</v>
      </c>
      <c r="FH18" s="44" t="str">
        <f t="shared" si="80"/>
        <v/>
      </c>
      <c r="FI18" s="44" t="str">
        <f t="shared" si="81"/>
        <v>"NO_YEL",</v>
      </c>
      <c r="FJ18" s="44" t="str">
        <f t="shared" si="82"/>
        <v>"NO_BLA",</v>
      </c>
      <c r="FK18" s="44" t="str">
        <f t="shared" si="83"/>
        <v/>
      </c>
      <c r="FL18" s="44" t="str">
        <f t="shared" si="84"/>
        <v/>
      </c>
      <c r="FM18" s="44" t="str">
        <f t="shared" si="85"/>
        <v/>
      </c>
      <c r="FN18" s="44" t="str">
        <f t="shared" si="86"/>
        <v/>
      </c>
      <c r="FO18" s="44" t="str">
        <f t="shared" si="87"/>
        <v/>
      </c>
      <c r="FP18" s="44" t="str">
        <f t="shared" si="88"/>
        <v/>
      </c>
      <c r="FQ18" s="44" t="str">
        <f t="shared" si="89"/>
        <v>"001GRE",</v>
      </c>
      <c r="FR18" s="44" t="str">
        <f t="shared" si="90"/>
        <v>"002WHI",</v>
      </c>
      <c r="FS18" s="44" t="str">
        <f t="shared" si="91"/>
        <v>"003GRE",</v>
      </c>
      <c r="FT18" s="44" t="str">
        <f t="shared" si="92"/>
        <v>"myrGRE",</v>
      </c>
      <c r="FU18" s="44" t="str">
        <f t="shared" si="93"/>
        <v/>
      </c>
      <c r="FV18" s="44" t="str">
        <f t="shared" si="94"/>
        <v/>
      </c>
      <c r="FW18" s="44" t="str">
        <f t="shared" si="95"/>
        <v/>
      </c>
      <c r="FX18" s="44" t="str">
        <f t="shared" si="96"/>
        <v/>
      </c>
      <c r="FY18" s="44" t="str">
        <f t="shared" si="97"/>
        <v/>
      </c>
      <c r="FZ18" s="44" t="str">
        <f t="shared" si="98"/>
        <v/>
      </c>
      <c r="GA18" s="44" t="str">
        <f t="shared" si="99"/>
        <v/>
      </c>
      <c r="GB18" s="44" t="str">
        <f t="shared" si="100"/>
        <v/>
      </c>
      <c r="GC18" s="44" t="str">
        <f t="shared" si="101"/>
        <v/>
      </c>
      <c r="GD18" s="44" t="str">
        <f t="shared" si="102"/>
        <v/>
      </c>
      <c r="GE18" s="44" t="str">
        <f t="shared" si="103"/>
        <v/>
      </c>
      <c r="GF18" s="44" t="str">
        <f t="shared" si="145"/>
        <v/>
      </c>
      <c r="GG18" s="44" t="str">
        <f t="shared" si="104"/>
        <v/>
      </c>
      <c r="GH18" s="44" t="str">
        <f t="shared" si="105"/>
        <v>"southc",</v>
      </c>
      <c r="GI18" s="44" t="str">
        <f t="shared" si="106"/>
        <v/>
      </c>
      <c r="GJ18" s="44" t="str">
        <f t="shared" si="107"/>
        <v/>
      </c>
      <c r="GK18" s="44" t="str">
        <f t="shared" si="108"/>
        <v>"HasSta",</v>
      </c>
      <c r="GL18" s="44" t="str">
        <f t="shared" si="109"/>
        <v/>
      </c>
      <c r="GM18" s="44" t="str">
        <f t="shared" si="110"/>
        <v/>
      </c>
      <c r="GN18" s="44" t="str">
        <f t="shared" si="111"/>
        <v>"3+Star",</v>
      </c>
      <c r="GP18" s="44" t="str">
        <f t="shared" si="112"/>
        <v>"State"</v>
      </c>
      <c r="GS18" s="44" t="str">
        <f t="shared" si="113"/>
        <v>["3Color","lets06","startP","LUREHI","year18","dgband","alldia","3Bands","Diagon","Circle","Plants","Texted","Unequa","Center","staWHI","NO_RED","NO_YEL","NO_BLA","001GRE","002WHI","003GRE","myrGRE","southc","HasSta","3+Star"]</v>
      </c>
      <c r="GT18" s="44" t="str">
        <f t="shared" si="114"/>
        <v>"cl_GRE",</v>
      </c>
      <c r="GU18" s="44" t="str">
        <f t="shared" si="115"/>
        <v>"cl_WHI",</v>
      </c>
      <c r="GV18" s="44" t="str">
        <f t="shared" si="116"/>
        <v>"cl_BLU",</v>
      </c>
      <c r="GW18" s="44" t="str">
        <f t="shared" si="117"/>
        <v/>
      </c>
      <c r="GX18" s="44" t="str">
        <f t="shared" si="118"/>
        <v/>
      </c>
      <c r="GY18" s="44" t="str">
        <f t="shared" si="119"/>
        <v/>
      </c>
      <c r="GZ18" s="44" t="str">
        <f t="shared" si="120"/>
        <v/>
      </c>
      <c r="HA18" s="44" t="str">
        <f t="shared" si="121"/>
        <v/>
      </c>
      <c r="HB18" s="44" t="str">
        <f t="shared" si="122"/>
        <v/>
      </c>
      <c r="HC18" s="44" t="str">
        <f t="shared" si="123"/>
        <v>["cl_GRE","cl_WHI","cl_BLU"]</v>
      </c>
      <c r="HE18" s="64"/>
      <c r="HF18" s="65" t="str">
        <f t="shared" si="124"/>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links: "https://en.wikipedia.org/wiki/Flag_of_Paraná_(state)"},</v>
      </c>
      <c r="HG18" s="66" t="str">
        <f t="shared" si="125"/>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links: "https://en.wikipedia.org/wiki/Flag_of_Paraná_(state)"},</v>
      </c>
      <c r="HH18" s="44" t="str">
        <f t="shared" si="126"/>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I18" s="44" t="str">
        <f t="shared" si="127"/>
        <v>"\nIt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v>
      </c>
      <c r="HJ18" s="44" t="str">
        <f t="shared" si="128"/>
        <v>"1892 "</v>
      </c>
      <c r="HL18" s="44" t="str">
        <f t="shared" si="129"/>
        <v>"https://en.wikipedia.org/wiki/Flag_of_Paraná_(state)"</v>
      </c>
      <c r="HM18" s="65" t="str">
        <f t="shared" si="130"/>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N18" s="67" t="str">
        <f t="shared" si="131"/>
        <v>{"couname":"[BRA] Paraná","year":"1892 ","region":"rgn_South America","Colors":["cl_GRE","cl_WHI","cl_BLU"],"Items":["3Color","lets06","startP","LUREHI","year18","dgband","alldia","3Bands","Diagon","Circle","Plants","Texted","Unequa","Center","staWHI","NO_RED","NO_YEL","NO_BLA","001GRE","002WHI","003GRE","myrGRE","southc","HasSta","3+Star"],"Flag":"https://upload.wikimedia.org/wikipedia/commons/thumb/9/93/Bandeira_do_Paran%C3%A1.svg/640px-Bandeira_do_Paran%C3%A1.svg.png","HDFlag":"https://upload.wikimedia.org/wikipedia/commons/thumb/9/93/Bandeira_do_Paran%C3%A1.svg/2560px-Bandeira_do_Paran%C3%A1.svg.png","type":"State", "describe": "\nIt is composed of a green quadrilateral, crossed from the upper left angle to the lower right by a large white stripe, which symbolizes the Tropic of Capricorn (which passes through northern Paraná), bearing a blue circle with the five stars of the Southern Cross (Crux) in lower course. The Cross is depicted with south at the top, as it appears in the night sky.\n\nThe circle is crossed, below the Star of Magellan (Estrela de Magalhães), by a thin stripe that suggests a horizon, featuring the word PARANÁ in green, lightened by the only visible star of that constellation. The sphere is surrounded by a branch of Paraná Pine tree — one of the most widespread symbols of the state — on the right, and by a branch of Yerba mate on the left.", "isnew": ".", "links": "https://en.wikipedia.org/wiki/Flag_of_Paraná_(state)"},</v>
      </c>
      <c r="HO18" s="71"/>
      <c r="HP18" s="44" t="str" cm="1">
        <f t="array" ref="HP18">IF(_xlfn.TEXTJOIN(", ", TRUE, IF(ISNUMBER(SEARCH("BLA", BL18:BT18)), COLUMN(BL18:BT18) - COLUMN(BL18) + 1, ""))&lt;&gt;"","BLA","")</f>
        <v/>
      </c>
      <c r="HQ18" s="44" t="str" cm="1">
        <f t="array" ref="HQ18">IF(_xlfn.TEXTJOIN(", ", TRUE, IF(ISNUMBER(SEARCH("BLU", BL18:BT18)), COLUMN(BL18:BT18) - COLUMN(BL18) + 1, ""))&lt;&gt;"","BLU","")</f>
        <v>BLU</v>
      </c>
      <c r="HR18" s="44" t="str" cm="1">
        <f t="array" ref="HR18">IF(_xlfn.TEXTJOIN(", ", TRUE, IF(ISNUMBER(SEARCH("GRE", BL18:BT18)), COLUMN(BL18:BT18) - COLUMN(BL18) + 1, ""))&lt;&gt;"","GRE","")</f>
        <v>GRE</v>
      </c>
      <c r="HS18" s="44" t="str" cm="1">
        <f t="array" ref="HS18">IF(_xlfn.TEXTJOIN(", ", TRUE, IF(ISNUMBER(SEARCH("RED", BL18:BT18)), COLUMN(BL18:BT18) - COLUMN(BL18) + 1, ""))&lt;&gt;"","RED","")</f>
        <v/>
      </c>
      <c r="HT18" s="44" t="str" cm="1">
        <f t="array" ref="HT18">IF(_xlfn.TEXTJOIN(", ", TRUE, IF(ISNUMBER(SEARCH("YEL", BL18:BT18)), COLUMN(BL18:BT18) - COLUMN(BL18) + 1, ""))&lt;&gt;"","YEL","")</f>
        <v/>
      </c>
      <c r="HU18" s="44" t="str" cm="1">
        <f t="array" ref="HU18">IF(_xlfn.TEXTJOIN(", ", TRUE, IF(ISNUMBER(SEARCH("ORA", BL18:BT18)), COLUMN(BL18:BT18) - COLUMN(BL18) + 1, ""))&lt;&gt;"","ORA","")</f>
        <v/>
      </c>
      <c r="HV18" s="44" t="str" cm="1">
        <f t="array" ref="HV18">IF(_xlfn.TEXTJOIN(", ", TRUE, IF(ISNUMBER(SEARCH("BRO", BL18:BT18)), COLUMN(BL18:BT18) - COLUMN(BL18) + 1, ""))&lt;&gt;"","BRO","")</f>
        <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L18" s="44">
        <f t="shared" si="132"/>
        <v>0</v>
      </c>
      <c r="IM18" s="42">
        <f t="shared" si="133"/>
        <v>-3</v>
      </c>
      <c r="IN18" s="69" t="str">
        <f t="shared" si="134"/>
        <v>http://mkweb.bcgsc.ca/color-summarizer/?url=https://upload.wikimedia.org/wikipedia/commons/thumb/9/93/Bandeira_do_Paran%C3%A1.svg/640px-Bandeira_do_Paran%C3%A1.svg.png&amp;precision=low&amp;num_clusters=3&amp;text=1</v>
      </c>
      <c r="IO18" s="44" t="str">
        <f t="shared" si="135"/>
        <v/>
      </c>
      <c r="IP18" s="44" t="str">
        <f t="shared" si="136"/>
        <v>"blue"</v>
      </c>
      <c r="IQ18" s="44" t="str">
        <f t="shared" si="137"/>
        <v>"green"</v>
      </c>
      <c r="IR18" s="44" t="str">
        <f t="shared" si="138"/>
        <v/>
      </c>
      <c r="IS18" s="44" t="str">
        <f t="shared" si="139"/>
        <v/>
      </c>
      <c r="IT18" s="44" t="str">
        <f t="shared" si="140"/>
        <v/>
      </c>
      <c r="IU18" s="44" t="str">
        <f t="shared" si="141"/>
        <v/>
      </c>
      <c r="IV18" s="44" t="str">
        <f t="shared" si="142"/>
        <v/>
      </c>
      <c r="IW18" s="44" t="str">
        <f t="shared" si="143"/>
        <v>"white"</v>
      </c>
      <c r="IX18" s="44" t="str">
        <f t="shared" si="144"/>
        <v>{"url":"http://mkweb.bcgsc.ca/color-summarizer/?url=https://upload.wikimedia.org/wikipedia/commons/thumb/9/93/Bandeira_do_Paran%C3%A1.svg/640px-Bandeira_do_Paran%C3%A1.svg.png&amp;precision=low&amp;num_clusters=3&amp;text=1","name":"[BRA] Paraná"},</v>
      </c>
      <c r="IY18" s="44">
        <v>342</v>
      </c>
    </row>
    <row r="19" spans="1:259" s="44" customFormat="1" ht="38.4" customHeight="1" thickBot="1" x14ac:dyDescent="0.35">
      <c r="A19" s="84" t="s">
        <v>400</v>
      </c>
      <c r="B19" s="83" t="e" vm="41">
        <v>#VALUE!</v>
      </c>
      <c r="C19" s="39">
        <v>2</v>
      </c>
      <c r="D19" s="70" t="s">
        <v>401</v>
      </c>
      <c r="E19" s="40" t="s">
        <v>402</v>
      </c>
      <c r="F19" s="41" t="s">
        <v>163</v>
      </c>
      <c r="G19" s="42">
        <f t="shared" si="0"/>
        <v>1</v>
      </c>
      <c r="H19" s="43"/>
      <c r="I19" s="59" t="s">
        <v>403</v>
      </c>
      <c r="J19" s="44" t="str">
        <f>""</f>
        <v/>
      </c>
      <c r="K19" s="45"/>
      <c r="L19" s="46"/>
      <c r="M19" s="46"/>
      <c r="N19" s="47" t="s">
        <v>177</v>
      </c>
      <c r="O19" s="74" t="s">
        <v>263</v>
      </c>
      <c r="P19" s="48" t="s">
        <v>404</v>
      </c>
      <c r="Q19" s="73">
        <v>1</v>
      </c>
      <c r="R19" s="49" t="s">
        <v>177</v>
      </c>
      <c r="S19" s="50">
        <v>2</v>
      </c>
      <c r="T19" s="51" t="s">
        <v>164</v>
      </c>
      <c r="U19" s="52" t="s">
        <v>165</v>
      </c>
      <c r="V19" s="52" t="s">
        <v>165</v>
      </c>
      <c r="W19" s="52" t="s">
        <v>164</v>
      </c>
      <c r="X19" s="52" t="s">
        <v>165</v>
      </c>
      <c r="Y19" s="52" t="s">
        <v>164</v>
      </c>
      <c r="Z19" s="52" t="s">
        <v>164</v>
      </c>
      <c r="AA19" s="52" t="s">
        <v>164</v>
      </c>
      <c r="AB19" s="52" t="s">
        <v>164</v>
      </c>
      <c r="AC19" s="52" t="s">
        <v>164</v>
      </c>
      <c r="AD19" s="52" t="s">
        <v>165</v>
      </c>
      <c r="AE19" s="52" t="s">
        <v>164</v>
      </c>
      <c r="AF19" s="53" t="s">
        <v>164</v>
      </c>
      <c r="AG19" s="53" t="s">
        <v>164</v>
      </c>
      <c r="AH19" s="53" t="s">
        <v>164</v>
      </c>
      <c r="AI19" s="53" t="s">
        <v>164</v>
      </c>
      <c r="AJ19" s="53" t="s">
        <v>164</v>
      </c>
      <c r="AK19" s="53" t="s">
        <v>164</v>
      </c>
      <c r="AL19" s="53" t="s">
        <v>164</v>
      </c>
      <c r="AM19" s="53" t="s">
        <v>164</v>
      </c>
      <c r="AN19" s="53" t="s">
        <v>164</v>
      </c>
      <c r="AO19" s="53" t="s">
        <v>164</v>
      </c>
      <c r="AP19" s="53" t="s">
        <v>164</v>
      </c>
      <c r="AQ19" s="53" t="s">
        <v>164</v>
      </c>
      <c r="AR19" s="53" t="s">
        <v>164</v>
      </c>
      <c r="AS19" s="53" t="s">
        <v>164</v>
      </c>
      <c r="AT19" s="54">
        <v>1</v>
      </c>
      <c r="AU19" s="53" t="s">
        <v>308</v>
      </c>
      <c r="AV19" s="53" t="str">
        <f t="shared" si="1"/>
        <v>[BRA]State[BRA] Pernambuco</v>
      </c>
      <c r="AW19" s="53" t="str">
        <f t="shared" si="2"/>
        <v>2[BRA] Pernambuco</v>
      </c>
      <c r="AX19" s="55"/>
      <c r="AY19" s="55"/>
      <c r="AZ19" s="56" t="s">
        <v>155</v>
      </c>
      <c r="BA19" s="56"/>
      <c r="BB19" s="56"/>
      <c r="BC19" s="57"/>
      <c r="BD19" s="58" t="s">
        <v>152</v>
      </c>
      <c r="BE19" s="59"/>
      <c r="BF19" s="58" t="s">
        <v>152</v>
      </c>
      <c r="BG19" s="58"/>
      <c r="BH19" s="58" t="s">
        <v>159</v>
      </c>
      <c r="BI19" s="58"/>
      <c r="BJ19" s="58"/>
      <c r="BK19" s="59"/>
      <c r="BL19" s="58" t="s">
        <v>152</v>
      </c>
      <c r="BM19" s="58" t="s">
        <v>159</v>
      </c>
      <c r="BN19" s="58" t="s">
        <v>154</v>
      </c>
      <c r="BO19" s="58" t="s">
        <v>155</v>
      </c>
      <c r="BP19" s="58" t="s">
        <v>153</v>
      </c>
      <c r="BQ19" s="58"/>
      <c r="BR19" s="58"/>
      <c r="BS19" s="58"/>
      <c r="BT19" s="58"/>
      <c r="BU19" s="60"/>
      <c r="BV19" s="61"/>
      <c r="BW19" s="61">
        <v>0</v>
      </c>
      <c r="BX19" s="59"/>
      <c r="CB19" s="5"/>
      <c r="CC19" s="5"/>
      <c r="CD19" s="62">
        <v>0</v>
      </c>
      <c r="CE19" s="62">
        <v>0</v>
      </c>
      <c r="CF19" s="62" t="e">
        <v>#REF!</v>
      </c>
      <c r="CG19" s="75" cm="1">
        <f t="array" ref="CG19">SUMPRODUCT(--(LEN(TRIM(BL19:BT19))&gt;0))</f>
        <v>5</v>
      </c>
      <c r="CH19" s="53" t="str">
        <f t="shared" si="3"/>
        <v>n</v>
      </c>
      <c r="CI19" s="53" t="str">
        <f t="shared" si="4"/>
        <v>n</v>
      </c>
      <c r="CJ19" s="53" t="str">
        <f t="shared" si="5"/>
        <v>n</v>
      </c>
      <c r="CK19" s="53" t="str">
        <f t="shared" si="6"/>
        <v>y</v>
      </c>
      <c r="CL19" s="53" t="str">
        <f t="shared" si="7"/>
        <v>n</v>
      </c>
      <c r="CM19" s="53" t="str">
        <f t="shared" si="8"/>
        <v>y</v>
      </c>
      <c r="CN19" s="53" t="str">
        <f t="shared" si="9"/>
        <v>n</v>
      </c>
      <c r="CO19" s="53" t="str">
        <f t="shared" si="10"/>
        <v>n</v>
      </c>
      <c r="CP19" s="53" t="str">
        <f t="shared" si="11"/>
        <v>n</v>
      </c>
      <c r="CQ19" s="53" t="str">
        <f t="shared" si="12"/>
        <v>y</v>
      </c>
      <c r="CR19" s="53" t="str">
        <f t="shared" si="13"/>
        <v>n</v>
      </c>
      <c r="CS19" s="53" t="str">
        <f t="shared" si="14"/>
        <v>n</v>
      </c>
      <c r="CT19" s="38" t="str">
        <f t="shared" si="15"/>
        <v>"[BRA] Pernambuco"</v>
      </c>
      <c r="CU19" s="63" t="str">
        <f t="shared" si="16"/>
        <v>"rgn_South America"</v>
      </c>
      <c r="CV19" s="44" t="str">
        <f t="shared" si="17"/>
        <v>"https://upload.wikimedia.org/wikipedia/commons/thumb/5/59/Bandeira_de_Pernambuco.svg/640px-Bandeira_de_Pernambuco.svg.png"</v>
      </c>
      <c r="CW19" s="44" t="str">
        <f t="shared" si="18"/>
        <v/>
      </c>
      <c r="CX19" s="44" t="str">
        <f t="shared" si="19"/>
        <v/>
      </c>
      <c r="CY19" s="44" t="str">
        <f t="shared" si="20"/>
        <v/>
      </c>
      <c r="CZ19" s="44" t="str">
        <f t="shared" si="21"/>
        <v>"5+Colo",</v>
      </c>
      <c r="DA19" s="44" t="str">
        <f t="shared" si="22"/>
        <v/>
      </c>
      <c r="DB19" s="44" t="str">
        <f t="shared" si="23"/>
        <v/>
      </c>
      <c r="DC19" s="44" t="str">
        <f t="shared" si="24"/>
        <v/>
      </c>
      <c r="DD19" s="44" t="str">
        <f t="shared" si="25"/>
        <v>"lets10",</v>
      </c>
      <c r="DE19" s="44" t="str">
        <f t="shared" si="26"/>
        <v>"startP",</v>
      </c>
      <c r="DF19" s="44" t="str">
        <f t="shared" si="27"/>
        <v/>
      </c>
      <c r="DG19" s="44" t="str">
        <f t="shared" si="28"/>
        <v/>
      </c>
      <c r="DH19" s="44" t="str">
        <f t="shared" si="29"/>
        <v/>
      </c>
      <c r="DI19" s="44" t="str">
        <f t="shared" si="30"/>
        <v/>
      </c>
      <c r="DJ19" s="44" t="str">
        <f t="shared" si="31"/>
        <v/>
      </c>
      <c r="DK19" s="44" t="str">
        <f t="shared" si="32"/>
        <v/>
      </c>
      <c r="DL19" s="44" t="str">
        <f t="shared" si="33"/>
        <v/>
      </c>
      <c r="DM19" s="44" t="str" cm="1">
        <f t="array" ref="DM19">IF(CG19=3,CHAR(34) &amp; _xlfn.TEXTJOIN("", TRUE, RIGHT(HP19:HX19, 2)) &amp; CHAR(34) &amp; ",", "")</f>
        <v/>
      </c>
      <c r="DN19" s="44" t="str">
        <f t="shared" si="34"/>
        <v/>
      </c>
      <c r="DO19" s="44" t="str">
        <f t="shared" si="35"/>
        <v>"year19",</v>
      </c>
      <c r="DP19" s="5" t="str">
        <f t="shared" si="36"/>
        <v/>
      </c>
      <c r="DQ19" s="5" t="str">
        <f t="shared" si="37"/>
        <v/>
      </c>
      <c r="DR19" s="5" t="str">
        <f t="shared" si="38"/>
        <v/>
      </c>
      <c r="DS19" s="5" t="str">
        <f t="shared" si="39"/>
        <v/>
      </c>
      <c r="DT19" s="5" t="str">
        <f t="shared" si="40"/>
        <v>"allhor",</v>
      </c>
      <c r="DU19" s="5" t="str">
        <f t="shared" si="41"/>
        <v/>
      </c>
      <c r="DV19" s="44" t="str">
        <f t="shared" si="42"/>
        <v>"smallc",</v>
      </c>
      <c r="DW19" s="44" t="str">
        <f t="shared" si="43"/>
        <v/>
      </c>
      <c r="DX19" s="44" t="str">
        <f t="shared" si="44"/>
        <v>"2Bands",</v>
      </c>
      <c r="DY19" s="44" t="str">
        <f t="shared" si="45"/>
        <v/>
      </c>
      <c r="DZ19" s="44" t="str">
        <f t="shared" si="46"/>
        <v/>
      </c>
      <c r="EA19" s="44" t="str">
        <f t="shared" si="47"/>
        <v/>
      </c>
      <c r="EB19" s="44" t="str">
        <f t="shared" si="48"/>
        <v>"Crosse",</v>
      </c>
      <c r="EC19" s="44" t="str">
        <f t="shared" si="49"/>
        <v>"Horizo",</v>
      </c>
      <c r="ED19" s="44" t="str">
        <f t="shared" si="50"/>
        <v/>
      </c>
      <c r="EE19" s="44" t="str">
        <f t="shared" si="51"/>
        <v>"Circle",</v>
      </c>
      <c r="EF19" s="44" t="str">
        <f t="shared" si="52"/>
        <v/>
      </c>
      <c r="EG19" s="44" t="str">
        <f t="shared" si="53"/>
        <v/>
      </c>
      <c r="EH19" s="44" t="str">
        <f t="shared" si="54"/>
        <v/>
      </c>
      <c r="EI19" s="44" t="str">
        <f t="shared" si="55"/>
        <v/>
      </c>
      <c r="EJ19" s="44" t="str">
        <f t="shared" si="56"/>
        <v/>
      </c>
      <c r="EK19" s="44" t="str">
        <f t="shared" si="57"/>
        <v>"HasSun",</v>
      </c>
      <c r="EL19" s="44" t="str">
        <f t="shared" si="58"/>
        <v/>
      </c>
      <c r="EM19" s="44" t="str">
        <f t="shared" si="59"/>
        <v/>
      </c>
      <c r="EN19" s="44" t="str">
        <f t="shared" si="60"/>
        <v/>
      </c>
      <c r="EO19" s="44" t="str">
        <f t="shared" si="61"/>
        <v/>
      </c>
      <c r="EP19" s="44" t="str">
        <f t="shared" si="62"/>
        <v/>
      </c>
      <c r="EQ19" s="44" t="str">
        <f t="shared" si="63"/>
        <v/>
      </c>
      <c r="ER19" s="44" t="str">
        <f t="shared" si="64"/>
        <v/>
      </c>
      <c r="ES19" s="44" t="str">
        <f t="shared" si="65"/>
        <v/>
      </c>
      <c r="ET19" s="44" t="str">
        <f t="shared" si="66"/>
        <v/>
      </c>
      <c r="EU19" s="44" t="str">
        <f t="shared" si="67"/>
        <v/>
      </c>
      <c r="EV19" s="44" t="str">
        <f t="shared" si="68"/>
        <v/>
      </c>
      <c r="EW19" s="44" t="str">
        <f t="shared" si="69"/>
        <v/>
      </c>
      <c r="EX19" s="44" t="str">
        <f t="shared" si="70"/>
        <v/>
      </c>
      <c r="EY19" s="44" t="str">
        <f t="shared" si="71"/>
        <v/>
      </c>
      <c r="EZ19" s="44" t="str">
        <f t="shared" si="72"/>
        <v/>
      </c>
      <c r="FA19" s="44" t="str">
        <f t="shared" si="73"/>
        <v>"staYEL",</v>
      </c>
      <c r="FB19" s="44" t="str">
        <f t="shared" si="74"/>
        <v/>
      </c>
      <c r="FC19" s="44" t="str">
        <f t="shared" si="75"/>
        <v/>
      </c>
      <c r="FD19" s="44" t="str">
        <f t="shared" si="76"/>
        <v/>
      </c>
      <c r="FE19" s="44" t="str">
        <f t="shared" si="77"/>
        <v/>
      </c>
      <c r="FF19" s="44" t="str">
        <f t="shared" si="78"/>
        <v/>
      </c>
      <c r="FG19" s="44" t="str">
        <f t="shared" si="79"/>
        <v/>
      </c>
      <c r="FH19" s="44" t="str">
        <f t="shared" si="80"/>
        <v/>
      </c>
      <c r="FI19" s="44" t="str">
        <f t="shared" si="81"/>
        <v/>
      </c>
      <c r="FJ19" s="44" t="str">
        <f t="shared" si="82"/>
        <v>"NO_BLA",</v>
      </c>
      <c r="FK19" s="44" t="str">
        <f t="shared" si="83"/>
        <v/>
      </c>
      <c r="FL19" s="44" t="str">
        <f t="shared" si="84"/>
        <v/>
      </c>
      <c r="FM19" s="44" t="str">
        <f t="shared" si="85"/>
        <v/>
      </c>
      <c r="FN19" s="44" t="str">
        <f t="shared" si="86"/>
        <v/>
      </c>
      <c r="FO19" s="44" t="str">
        <f t="shared" si="87"/>
        <v/>
      </c>
      <c r="FP19" s="44" t="str">
        <f t="shared" si="88"/>
        <v/>
      </c>
      <c r="FQ19" s="44" t="str">
        <f t="shared" si="89"/>
        <v>"001BLU",</v>
      </c>
      <c r="FR19" s="44" t="str">
        <f t="shared" si="90"/>
        <v/>
      </c>
      <c r="FS19" s="44" t="str">
        <f t="shared" si="91"/>
        <v>"003WHI",</v>
      </c>
      <c r="FT19" s="44" t="str">
        <f t="shared" si="92"/>
        <v>"myrBLU",</v>
      </c>
      <c r="FU19" s="44" t="str">
        <f t="shared" si="93"/>
        <v/>
      </c>
      <c r="FV19" s="44" t="str">
        <f t="shared" si="94"/>
        <v/>
      </c>
      <c r="FW19" s="44" t="str">
        <f t="shared" si="95"/>
        <v/>
      </c>
      <c r="FX19" s="44" t="str">
        <f t="shared" si="96"/>
        <v/>
      </c>
      <c r="FY19" s="44" t="str">
        <f t="shared" si="97"/>
        <v/>
      </c>
      <c r="FZ19" s="44" t="str">
        <f t="shared" si="98"/>
        <v/>
      </c>
      <c r="GA19" s="44" t="str">
        <f t="shared" si="99"/>
        <v/>
      </c>
      <c r="GB19" s="44" t="str">
        <f t="shared" si="100"/>
        <v/>
      </c>
      <c r="GC19" s="44" t="str">
        <f t="shared" si="101"/>
        <v/>
      </c>
      <c r="GD19" s="44" t="str">
        <f t="shared" si="102"/>
        <v/>
      </c>
      <c r="GE19" s="44" t="str">
        <f t="shared" si="103"/>
        <v/>
      </c>
      <c r="GF19" s="44" t="str">
        <f t="shared" si="145"/>
        <v/>
      </c>
      <c r="GG19" s="44" t="str">
        <f t="shared" si="104"/>
        <v/>
      </c>
      <c r="GH19" s="44" t="str">
        <f t="shared" si="105"/>
        <v/>
      </c>
      <c r="GI19" s="44" t="str">
        <f t="shared" si="106"/>
        <v/>
      </c>
      <c r="GJ19" s="44" t="str">
        <f t="shared" si="107"/>
        <v/>
      </c>
      <c r="GK19" s="44" t="str">
        <f t="shared" si="108"/>
        <v>"HasSta",</v>
      </c>
      <c r="GL19" s="44" t="str">
        <f t="shared" si="109"/>
        <v>"1Stars",</v>
      </c>
      <c r="GM19" s="44" t="str">
        <f t="shared" si="110"/>
        <v/>
      </c>
      <c r="GN19" s="44" t="str">
        <f t="shared" si="111"/>
        <v/>
      </c>
      <c r="GP19" s="44" t="str">
        <f t="shared" si="112"/>
        <v>"State"</v>
      </c>
      <c r="GS19" s="44" t="str">
        <f t="shared" si="113"/>
        <v>["5+Colo","lets10","startP","year19","allhor","smallc","2Bands","Crosse","Horizo","Circle","HasSun","staYEL","NO_BLA","001BLU","003WHI","myrBLU","HasSta","1Stars"]</v>
      </c>
      <c r="GT19" s="44" t="str">
        <f t="shared" si="114"/>
        <v>"cl_BLU",</v>
      </c>
      <c r="GU19" s="44" t="str">
        <f t="shared" si="115"/>
        <v>"cl_WHI",</v>
      </c>
      <c r="GV19" s="44" t="str">
        <f t="shared" si="116"/>
        <v>"cl_RED",</v>
      </c>
      <c r="GW19" s="44" t="str">
        <f t="shared" si="117"/>
        <v>"cl_YEL",</v>
      </c>
      <c r="GX19" s="44" t="str">
        <f t="shared" si="118"/>
        <v>"cl_GRE",</v>
      </c>
      <c r="GY19" s="44" t="str">
        <f t="shared" si="119"/>
        <v/>
      </c>
      <c r="GZ19" s="44" t="str">
        <f t="shared" si="120"/>
        <v/>
      </c>
      <c r="HA19" s="44" t="str">
        <f t="shared" si="121"/>
        <v/>
      </c>
      <c r="HB19" s="44" t="str">
        <f t="shared" si="122"/>
        <v/>
      </c>
      <c r="HC19" s="44" t="str">
        <f t="shared" si="123"/>
        <v>["cl_BLU","cl_WHI","cl_RED","cl_YEL","cl_GRE"]</v>
      </c>
      <c r="HE19" s="64"/>
      <c r="HF19" s="65" t="str">
        <f t="shared" si="124"/>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links: "https://en.wikipedia.org/wiki/Flag_of_Pernambuco"},</v>
      </c>
      <c r="HG19" s="66" t="str">
        <f t="shared" si="125"/>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links: "https://en.wikipedia.org/wiki/Flag_of_Pernambuco"},</v>
      </c>
      <c r="HH19" s="44" t="str">
        <f t="shared" si="126"/>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I19" s="44" t="str">
        <f t="shared" si="127"/>
        <v>"\nThe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v>
      </c>
      <c r="HJ19" s="44" t="str">
        <f t="shared" si="128"/>
        <v>"1917 "</v>
      </c>
      <c r="HL19" s="44" t="str">
        <f t="shared" si="129"/>
        <v>"https://en.wikipedia.org/wiki/Flag_of_Pernambuco"</v>
      </c>
      <c r="HM19" s="65" t="str">
        <f t="shared" si="130"/>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N19" s="67" t="str">
        <f t="shared" si="131"/>
        <v>{"couname":"[BRA] Pernambuco","year":"1917 ","region":"rgn_South America","Colors":["cl_BLU","cl_WHI","cl_RED","cl_YEL","cl_GRE"],"Items":["5+Colo","lets10","startP","year19","allhor","smallc","2Bands","Crosse","Horizo","Circle","HasSun","staYEL","NO_BLA","001BLU","003WHI","myrBLU","HasSta","1Stars"],"Flag":"https://upload.wikimedia.org/wikipedia/commons/thumb/5/59/Bandeira_de_Pernambuco.svg/640px-Bandeira_de_Pernambuco.svg.png","HDFlag":"https://upload.wikimedia.org/wikipedia/commons/thumb/5/59/Bandeira_de_Pernambuco.svg/2560px-Bandeira_de_Pernambuco.svg.png","type":"State", "describe": "\nThe blue color of the upper rectangle symbolizes the grandeur of the Pernambuco sky; the white color represents peace; the rainbow symbolizes the union of all Pernambuco; the star characterizes the state in the Federation as a whole, which on the national flag is represented by Denebakrab; the sun is the strength and energy of Pernambuco; and finally, the cross represents faith in justice and understanding.", "isnew": ".", "links": "https://en.wikipedia.org/wiki/Flag_of_Pernambuco"},</v>
      </c>
      <c r="HO19" s="71"/>
      <c r="HP19" s="44" t="str" cm="1">
        <f t="array" ref="HP19">IF(_xlfn.TEXTJOIN(", ", TRUE, IF(ISNUMBER(SEARCH("BLA", BL19:BT19)), COLUMN(BL19:BT19) - COLUMN(BL19) + 1, ""))&lt;&gt;"","BLA","")</f>
        <v/>
      </c>
      <c r="HQ19" s="44" t="str" cm="1">
        <f t="array" ref="HQ19">IF(_xlfn.TEXTJOIN(", ", TRUE, IF(ISNUMBER(SEARCH("BLU", BL19:BT19)), COLUMN(BL19:BT19) - COLUMN(BL19) + 1, ""))&lt;&gt;"","BLU","")</f>
        <v>BLU</v>
      </c>
      <c r="HR19" s="44" t="str" cm="1">
        <f t="array" ref="HR19">IF(_xlfn.TEXTJOIN(", ", TRUE, IF(ISNUMBER(SEARCH("GRE", BL19:BT19)), COLUMN(BL19:BT19) - COLUMN(BL19) + 1, ""))&lt;&gt;"","GRE","")</f>
        <v>GRE</v>
      </c>
      <c r="HS19" s="44" t="str" cm="1">
        <f t="array" ref="HS19">IF(_xlfn.TEXTJOIN(", ", TRUE, IF(ISNUMBER(SEARCH("RED", BL19:BT19)), COLUMN(BL19:BT19) - COLUMN(BL19) + 1, ""))&lt;&gt;"","RED","")</f>
        <v>RED</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t="s">
        <v>164</v>
      </c>
      <c r="IB19" s="5"/>
      <c r="IC19" s="68"/>
      <c r="ID19" s="68"/>
      <c r="IE19" s="68"/>
      <c r="IF19" s="68"/>
      <c r="IG19" s="68"/>
      <c r="IH19" s="68"/>
      <c r="II19" s="68"/>
      <c r="IJ19" s="68"/>
      <c r="IK19" s="68"/>
      <c r="IL19" s="44">
        <f t="shared" si="132"/>
        <v>0</v>
      </c>
      <c r="IM19" s="42">
        <f t="shared" si="133"/>
        <v>-5</v>
      </c>
      <c r="IN19" s="69" t="str">
        <f t="shared" si="134"/>
        <v>http://mkweb.bcgsc.ca/color-summarizer/?url=https://upload.wikimedia.org/wikipedia/commons/thumb/5/59/Bandeira_de_Pernambuco.svg/640px-Bandeira_de_Pernambuco.svg.png&amp;precision=low&amp;num_clusters=5&amp;text=1</v>
      </c>
      <c r="IO19" s="44" t="str">
        <f t="shared" si="135"/>
        <v/>
      </c>
      <c r="IP19" s="44" t="str">
        <f t="shared" si="136"/>
        <v>"blue"</v>
      </c>
      <c r="IQ19" s="44" t="str">
        <f t="shared" si="137"/>
        <v>"green"</v>
      </c>
      <c r="IR19" s="44" t="str">
        <f t="shared" si="138"/>
        <v>"red"</v>
      </c>
      <c r="IS19" s="44" t="str">
        <f t="shared" si="139"/>
        <v>"yellow"</v>
      </c>
      <c r="IT19" s="44" t="str">
        <f t="shared" si="140"/>
        <v/>
      </c>
      <c r="IU19" s="44" t="str">
        <f t="shared" si="141"/>
        <v/>
      </c>
      <c r="IV19" s="44" t="str">
        <f t="shared" si="142"/>
        <v/>
      </c>
      <c r="IW19" s="44" t="str">
        <f t="shared" si="143"/>
        <v>"white"</v>
      </c>
      <c r="IX19" s="44" t="str">
        <f t="shared" si="144"/>
        <v>{"url":"http://mkweb.bcgsc.ca/color-summarizer/?url=https://upload.wikimedia.org/wikipedia/commons/thumb/5/59/Bandeira_de_Pernambuco.svg/640px-Bandeira_de_Pernambuco.svg.png&amp;precision=low&amp;num_clusters=5&amp;text=1","name":"[BRA] Pernambuco"},</v>
      </c>
      <c r="IY19" s="44">
        <v>343</v>
      </c>
    </row>
    <row r="20" spans="1:259" s="44" customFormat="1" ht="38.4" customHeight="1" thickBot="1" x14ac:dyDescent="0.35">
      <c r="A20" s="84" t="s">
        <v>405</v>
      </c>
      <c r="B20" s="83" t="e" vm="42">
        <v>#VALUE!</v>
      </c>
      <c r="C20" s="39">
        <v>2</v>
      </c>
      <c r="D20" s="70" t="s">
        <v>406</v>
      </c>
      <c r="E20" s="40" t="s">
        <v>407</v>
      </c>
      <c r="F20" s="41" t="s">
        <v>163</v>
      </c>
      <c r="G20" s="42">
        <f t="shared" si="0"/>
        <v>1</v>
      </c>
      <c r="H20" s="43"/>
      <c r="I20" s="59" t="s">
        <v>408</v>
      </c>
      <c r="J20" s="44" t="str">
        <f>""</f>
        <v/>
      </c>
      <c r="K20" s="45"/>
      <c r="L20" s="46"/>
      <c r="M20" s="46"/>
      <c r="N20" s="47" t="s">
        <v>177</v>
      </c>
      <c r="O20" s="74" t="s">
        <v>241</v>
      </c>
      <c r="P20" s="48" t="s">
        <v>409</v>
      </c>
      <c r="Q20" s="73">
        <v>1</v>
      </c>
      <c r="R20" s="49" t="s">
        <v>177</v>
      </c>
      <c r="S20" s="50">
        <v>13</v>
      </c>
      <c r="T20" s="51" t="s">
        <v>164</v>
      </c>
      <c r="U20" s="52" t="s">
        <v>164</v>
      </c>
      <c r="V20" s="52" t="s">
        <v>165</v>
      </c>
      <c r="W20" s="52" t="s">
        <v>164</v>
      </c>
      <c r="X20" s="52" t="s">
        <v>164</v>
      </c>
      <c r="Y20" s="52" t="s">
        <v>164</v>
      </c>
      <c r="Z20" s="52" t="s">
        <v>164</v>
      </c>
      <c r="AA20" s="52" t="s">
        <v>164</v>
      </c>
      <c r="AB20" s="52" t="s">
        <v>165</v>
      </c>
      <c r="AC20" s="52" t="s">
        <v>164</v>
      </c>
      <c r="AD20" s="52" t="s">
        <v>164</v>
      </c>
      <c r="AE20" s="52" t="s">
        <v>164</v>
      </c>
      <c r="AF20" s="53" t="s">
        <v>164</v>
      </c>
      <c r="AG20" s="53" t="s">
        <v>164</v>
      </c>
      <c r="AH20" s="53" t="s">
        <v>164</v>
      </c>
      <c r="AI20" s="53" t="s">
        <v>165</v>
      </c>
      <c r="AJ20" s="53" t="s">
        <v>164</v>
      </c>
      <c r="AK20" s="53" t="s">
        <v>164</v>
      </c>
      <c r="AL20" s="53" t="s">
        <v>164</v>
      </c>
      <c r="AM20" s="53" t="s">
        <v>164</v>
      </c>
      <c r="AN20" s="53" t="s">
        <v>164</v>
      </c>
      <c r="AO20" s="53" t="s">
        <v>164</v>
      </c>
      <c r="AP20" s="53" t="s">
        <v>164</v>
      </c>
      <c r="AQ20" s="53" t="s">
        <v>164</v>
      </c>
      <c r="AR20" s="53" t="s">
        <v>164</v>
      </c>
      <c r="AS20" s="53" t="s">
        <v>164</v>
      </c>
      <c r="AT20" s="54">
        <v>1</v>
      </c>
      <c r="AU20" s="53" t="s">
        <v>308</v>
      </c>
      <c r="AV20" s="53" t="str">
        <f t="shared" si="1"/>
        <v>[BRA]State[BRA] Piauí</v>
      </c>
      <c r="AW20" s="53" t="str">
        <f t="shared" si="2"/>
        <v>2[BRA] Piauí</v>
      </c>
      <c r="AX20" s="55"/>
      <c r="AY20" s="55"/>
      <c r="AZ20" s="56" t="s">
        <v>159</v>
      </c>
      <c r="BA20" s="56"/>
      <c r="BB20" s="56"/>
      <c r="BC20" s="57"/>
      <c r="BD20" s="58" t="s">
        <v>153</v>
      </c>
      <c r="BE20" s="59"/>
      <c r="BF20" s="58" t="s">
        <v>153</v>
      </c>
      <c r="BG20" s="58" t="s">
        <v>153</v>
      </c>
      <c r="BH20" s="58" t="s">
        <v>153</v>
      </c>
      <c r="BI20" s="58" t="s">
        <v>155</v>
      </c>
      <c r="BJ20" s="58"/>
      <c r="BK20" s="59"/>
      <c r="BL20" s="58" t="s">
        <v>153</v>
      </c>
      <c r="BM20" s="58" t="s">
        <v>155</v>
      </c>
      <c r="BN20" s="58" t="s">
        <v>152</v>
      </c>
      <c r="BO20" s="58" t="s">
        <v>159</v>
      </c>
      <c r="BP20" s="58"/>
      <c r="BQ20" s="58"/>
      <c r="BR20" s="58"/>
      <c r="BS20" s="58"/>
      <c r="BT20" s="58"/>
      <c r="BU20" s="60" t="s">
        <v>164</v>
      </c>
      <c r="BV20" s="61"/>
      <c r="BW20" s="61">
        <v>0</v>
      </c>
      <c r="BX20" s="59"/>
      <c r="CB20" s="5"/>
      <c r="CC20" s="5"/>
      <c r="CD20" s="62">
        <v>0</v>
      </c>
      <c r="CE20" s="62">
        <v>0</v>
      </c>
      <c r="CF20" s="62" t="e">
        <v>#REF!</v>
      </c>
      <c r="CG20" s="75" cm="1">
        <f t="array" ref="CG20">SUMPRODUCT(--(LEN(TRIM(BL20:BT20))&gt;0))</f>
        <v>4</v>
      </c>
      <c r="CH20" s="53" t="str">
        <f t="shared" si="3"/>
        <v>n</v>
      </c>
      <c r="CI20" s="53" t="str">
        <f t="shared" si="4"/>
        <v>n</v>
      </c>
      <c r="CJ20" s="53" t="str">
        <f t="shared" si="5"/>
        <v>y</v>
      </c>
      <c r="CK20" s="53" t="str">
        <f t="shared" si="6"/>
        <v>n</v>
      </c>
      <c r="CL20" s="53" t="str">
        <f t="shared" si="7"/>
        <v>n</v>
      </c>
      <c r="CM20" s="53" t="str">
        <f t="shared" si="8"/>
        <v>n</v>
      </c>
      <c r="CN20" s="53" t="str">
        <f t="shared" si="9"/>
        <v>n</v>
      </c>
      <c r="CO20" s="53" t="str">
        <f t="shared" si="10"/>
        <v>y</v>
      </c>
      <c r="CP20" s="53" t="str">
        <f t="shared" si="11"/>
        <v>n</v>
      </c>
      <c r="CQ20" s="53" t="str">
        <f t="shared" si="12"/>
        <v>y</v>
      </c>
      <c r="CR20" s="53" t="str">
        <f t="shared" si="13"/>
        <v>n</v>
      </c>
      <c r="CS20" s="53" t="str">
        <f t="shared" si="14"/>
        <v>n</v>
      </c>
      <c r="CT20" s="38" t="str">
        <f t="shared" si="15"/>
        <v>"[BRA] Piauí"</v>
      </c>
      <c r="CU20" s="63" t="str">
        <f t="shared" si="16"/>
        <v>"rgn_South America"</v>
      </c>
      <c r="CV20" s="44" t="str">
        <f t="shared" si="17"/>
        <v>"https://upload.wikimedia.org/wikipedia/commons/thumb/3/33/Bandeira_do_Piau%C3%AD.svg/640px-Bandeira_do_Piau%C3%AD.svg.png"</v>
      </c>
      <c r="CW20" s="44" t="str">
        <f t="shared" si="18"/>
        <v/>
      </c>
      <c r="CX20" s="44" t="str">
        <f t="shared" si="19"/>
        <v/>
      </c>
      <c r="CY20" s="44" t="str">
        <f t="shared" si="20"/>
        <v>"4Color",</v>
      </c>
      <c r="CZ20" s="44" t="str">
        <f t="shared" si="21"/>
        <v/>
      </c>
      <c r="DA20" s="44" t="str">
        <f t="shared" si="22"/>
        <v/>
      </c>
      <c r="DB20" s="44" t="str">
        <f t="shared" si="23"/>
        <v/>
      </c>
      <c r="DC20" s="44" t="str">
        <f t="shared" si="24"/>
        <v/>
      </c>
      <c r="DD20" s="44" t="str">
        <f t="shared" si="25"/>
        <v>"lets05",</v>
      </c>
      <c r="DE20" s="44" t="str">
        <f t="shared" si="26"/>
        <v>"startP",</v>
      </c>
      <c r="DF20" s="44" t="str">
        <f t="shared" si="27"/>
        <v/>
      </c>
      <c r="DG20" s="44" t="str">
        <f t="shared" si="28"/>
        <v/>
      </c>
      <c r="DH20" s="44" t="str">
        <f t="shared" si="29"/>
        <v/>
      </c>
      <c r="DI20" s="44" t="str">
        <f t="shared" si="30"/>
        <v/>
      </c>
      <c r="DJ20" s="44" t="str">
        <f t="shared" si="31"/>
        <v/>
      </c>
      <c r="DK20" s="44" t="str">
        <f t="shared" si="32"/>
        <v/>
      </c>
      <c r="DL20" s="44" t="str">
        <f t="shared" si="33"/>
        <v/>
      </c>
      <c r="DM20" s="44" t="str" cm="1">
        <f t="array" ref="DM20">IF(CG20=3,CHAR(34) &amp; _xlfn.TEXTJOIN("", TRUE, RIGHT(HP20:HX20, 2)) &amp; CHAR(34) &amp; ",", "")</f>
        <v/>
      </c>
      <c r="DN20" s="44" t="str">
        <f t="shared" si="34"/>
        <v/>
      </c>
      <c r="DO20" s="44" t="str">
        <f t="shared" si="35"/>
        <v>"year19",</v>
      </c>
      <c r="DP20" s="5" t="str">
        <f t="shared" si="36"/>
        <v/>
      </c>
      <c r="DQ20" s="5" t="str">
        <f t="shared" si="37"/>
        <v/>
      </c>
      <c r="DR20" s="5" t="str">
        <f t="shared" si="38"/>
        <v/>
      </c>
      <c r="DS20" s="5" t="str">
        <f t="shared" si="39"/>
        <v/>
      </c>
      <c r="DT20" s="5" t="str">
        <f t="shared" si="40"/>
        <v>"allhor",</v>
      </c>
      <c r="DU20" s="5" t="str">
        <f t="shared" si="41"/>
        <v/>
      </c>
      <c r="DV20" s="44" t="str">
        <f t="shared" si="42"/>
        <v/>
      </c>
      <c r="DW20" s="44" t="str">
        <f t="shared" si="43"/>
        <v/>
      </c>
      <c r="DX20" s="44" t="str">
        <f t="shared" si="44"/>
        <v/>
      </c>
      <c r="DY20" s="44" t="str">
        <f t="shared" si="45"/>
        <v/>
      </c>
      <c r="DZ20" s="44" t="str">
        <f t="shared" si="46"/>
        <v>"4+Band",</v>
      </c>
      <c r="EA20" s="44" t="str">
        <f t="shared" si="47"/>
        <v/>
      </c>
      <c r="EB20" s="44" t="str">
        <f t="shared" si="48"/>
        <v/>
      </c>
      <c r="EC20" s="44" t="str">
        <f t="shared" si="49"/>
        <v>"Horizo",</v>
      </c>
      <c r="ED20" s="44" t="str">
        <f t="shared" si="50"/>
        <v/>
      </c>
      <c r="EE20" s="44" t="str">
        <f t="shared" si="51"/>
        <v/>
      </c>
      <c r="EF20" s="44" t="str">
        <f t="shared" si="52"/>
        <v/>
      </c>
      <c r="EG20" s="44" t="str">
        <f t="shared" si="53"/>
        <v/>
      </c>
      <c r="EH20" s="44" t="str">
        <f t="shared" si="54"/>
        <v/>
      </c>
      <c r="EI20" s="44" t="str">
        <f t="shared" si="55"/>
        <v>"Texted",</v>
      </c>
      <c r="EJ20" s="44" t="str">
        <f t="shared" si="56"/>
        <v/>
      </c>
      <c r="EK20" s="44" t="str">
        <f t="shared" si="57"/>
        <v/>
      </c>
      <c r="EL20" s="44" t="str">
        <f t="shared" si="58"/>
        <v/>
      </c>
      <c r="EM20" s="44" t="str">
        <f t="shared" si="59"/>
        <v/>
      </c>
      <c r="EN20" s="44" t="str">
        <f t="shared" si="60"/>
        <v/>
      </c>
      <c r="EO20" s="44" t="str">
        <f t="shared" si="61"/>
        <v/>
      </c>
      <c r="EP20" s="44" t="str">
        <f t="shared" si="62"/>
        <v>"Canton",</v>
      </c>
      <c r="EQ20" s="44" t="str">
        <f t="shared" si="63"/>
        <v/>
      </c>
      <c r="ER20" s="44" t="str">
        <f t="shared" si="64"/>
        <v/>
      </c>
      <c r="ES20" s="44" t="str">
        <f t="shared" si="65"/>
        <v/>
      </c>
      <c r="ET20" s="44" t="str">
        <f t="shared" si="66"/>
        <v/>
      </c>
      <c r="EU20" s="44" t="str">
        <f t="shared" si="67"/>
        <v/>
      </c>
      <c r="EV20" s="44" t="str">
        <f t="shared" si="68"/>
        <v/>
      </c>
      <c r="EW20" s="44" t="str">
        <f t="shared" si="69"/>
        <v/>
      </c>
      <c r="EX20" s="44" t="str">
        <f t="shared" si="70"/>
        <v/>
      </c>
      <c r="EY20" s="44" t="str">
        <f t="shared" si="71"/>
        <v/>
      </c>
      <c r="EZ20" s="44" t="str">
        <f t="shared" si="72"/>
        <v/>
      </c>
      <c r="FA20" s="44" t="str">
        <f t="shared" si="73"/>
        <v>"staWHI",</v>
      </c>
      <c r="FB20" s="44" t="str">
        <f t="shared" si="74"/>
        <v/>
      </c>
      <c r="FC20" s="44" t="str">
        <f t="shared" si="75"/>
        <v/>
      </c>
      <c r="FD20" s="44" t="str">
        <f t="shared" si="76"/>
        <v/>
      </c>
      <c r="FE20" s="44" t="str">
        <f t="shared" si="77"/>
        <v/>
      </c>
      <c r="FF20" s="44" t="str">
        <f t="shared" si="78"/>
        <v/>
      </c>
      <c r="FG20" s="44" t="str">
        <f t="shared" si="79"/>
        <v>"NO_RED",</v>
      </c>
      <c r="FH20" s="44" t="str">
        <f t="shared" si="80"/>
        <v/>
      </c>
      <c r="FI20" s="44" t="str">
        <f t="shared" si="81"/>
        <v/>
      </c>
      <c r="FJ20" s="44" t="str">
        <f t="shared" si="82"/>
        <v>"NO_BLA",</v>
      </c>
      <c r="FK20" s="44" t="str">
        <f t="shared" si="83"/>
        <v/>
      </c>
      <c r="FL20" s="44" t="str">
        <f t="shared" si="84"/>
        <v/>
      </c>
      <c r="FM20" s="44" t="str">
        <f t="shared" si="85"/>
        <v/>
      </c>
      <c r="FN20" s="44" t="str">
        <f t="shared" si="86"/>
        <v/>
      </c>
      <c r="FO20" s="44" t="str">
        <f t="shared" si="87"/>
        <v/>
      </c>
      <c r="FP20" s="44" t="str">
        <f t="shared" si="88"/>
        <v/>
      </c>
      <c r="FQ20" s="44" t="str">
        <f t="shared" si="89"/>
        <v>"001GRE",</v>
      </c>
      <c r="FR20" s="44" t="str">
        <f t="shared" si="90"/>
        <v>"002GRE",</v>
      </c>
      <c r="FS20" s="44" t="str">
        <f t="shared" si="91"/>
        <v>"003GRE",</v>
      </c>
      <c r="FT20" s="44" t="str">
        <f t="shared" si="92"/>
        <v>"myrGRE",</v>
      </c>
      <c r="FU20" s="44" t="str">
        <f t="shared" si="93"/>
        <v/>
      </c>
      <c r="FV20" s="44" t="str">
        <f t="shared" si="94"/>
        <v/>
      </c>
      <c r="FW20" s="44" t="str">
        <f t="shared" si="95"/>
        <v/>
      </c>
      <c r="FX20" s="44" t="str">
        <f t="shared" si="96"/>
        <v/>
      </c>
      <c r="FY20" s="44" t="str">
        <f t="shared" si="97"/>
        <v/>
      </c>
      <c r="FZ20" s="44" t="str">
        <f t="shared" si="98"/>
        <v/>
      </c>
      <c r="GA20" s="44" t="str">
        <f t="shared" si="99"/>
        <v/>
      </c>
      <c r="GB20" s="44" t="str">
        <f t="shared" si="100"/>
        <v/>
      </c>
      <c r="GC20" s="44" t="str">
        <f t="shared" si="101"/>
        <v/>
      </c>
      <c r="GD20" s="44" t="str">
        <f t="shared" si="102"/>
        <v/>
      </c>
      <c r="GE20" s="44" t="str">
        <f t="shared" si="103"/>
        <v/>
      </c>
      <c r="GF20" s="44" t="str">
        <f t="shared" si="145"/>
        <v/>
      </c>
      <c r="GG20" s="44" t="str">
        <f t="shared" si="104"/>
        <v/>
      </c>
      <c r="GH20" s="44" t="str">
        <f t="shared" si="105"/>
        <v/>
      </c>
      <c r="GI20" s="44" t="str">
        <f t="shared" si="106"/>
        <v/>
      </c>
      <c r="GJ20" s="44" t="str">
        <f t="shared" si="107"/>
        <v/>
      </c>
      <c r="GK20" s="44" t="str">
        <f t="shared" si="108"/>
        <v>"HasSta",</v>
      </c>
      <c r="GL20" s="44" t="str">
        <f t="shared" si="109"/>
        <v>"1Stars",</v>
      </c>
      <c r="GM20" s="44" t="str">
        <f t="shared" si="110"/>
        <v/>
      </c>
      <c r="GN20" s="44" t="str">
        <f t="shared" si="111"/>
        <v/>
      </c>
      <c r="GP20" s="44" t="str">
        <f t="shared" si="112"/>
        <v>"State"</v>
      </c>
      <c r="GS20" s="44" t="str">
        <f t="shared" si="113"/>
        <v>["4Color","lets05","startP","year19","allhor","4+Band","Horizo","Texted","Canton","staWHI","NO_RED","NO_BLA","001GRE","002GRE","003GRE","myrGRE","HasSta","1Stars"]</v>
      </c>
      <c r="GT20" s="44" t="str">
        <f t="shared" si="114"/>
        <v>"cl_GRE",</v>
      </c>
      <c r="GU20" s="44" t="str">
        <f t="shared" si="115"/>
        <v>"cl_YEL",</v>
      </c>
      <c r="GV20" s="44" t="str">
        <f t="shared" si="116"/>
        <v>"cl_BLU",</v>
      </c>
      <c r="GW20" s="44" t="str">
        <f t="shared" si="117"/>
        <v>"cl_WHI",</v>
      </c>
      <c r="GX20" s="44" t="str">
        <f t="shared" si="118"/>
        <v/>
      </c>
      <c r="GY20" s="44" t="str">
        <f t="shared" si="119"/>
        <v/>
      </c>
      <c r="GZ20" s="44" t="str">
        <f t="shared" si="120"/>
        <v/>
      </c>
      <c r="HA20" s="44" t="str">
        <f t="shared" si="121"/>
        <v/>
      </c>
      <c r="HB20" s="44" t="str">
        <f t="shared" si="122"/>
        <v/>
      </c>
      <c r="HC20" s="44" t="str">
        <f t="shared" si="123"/>
        <v>["cl_GRE","cl_YEL","cl_BLU","cl_WHI"]</v>
      </c>
      <c r="HE20" s="64"/>
      <c r="HF20" s="65" t="str">
        <f t="shared" si="124"/>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links: "https://en.wikipedia.org/wiki/Flag_of_Piauí"},</v>
      </c>
      <c r="HG20" s="66" t="str">
        <f t="shared" si="125"/>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links: "https://en.wikipedia.org/wiki/Flag_of_Piauí"},</v>
      </c>
      <c r="HH20" s="44" t="str">
        <f t="shared" si="126"/>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I20" s="44" t="str">
        <f t="shared" si="127"/>
        <v>"\nYellow represents the mineral wealth, green represents hope. The star represents Antares, which in the Brazilian flag symbolizes the state of Piauí. The inscription inside the blue rectangle: 13 DE MARÇO DE 1823, was the day of the Battle of Jenipapo, in the state's territory."</v>
      </c>
      <c r="HJ20" s="44" t="str">
        <f t="shared" si="128"/>
        <v>"1922 "</v>
      </c>
      <c r="HL20" s="44" t="str">
        <f t="shared" si="129"/>
        <v>"https://en.wikipedia.org/wiki/Flag_of_Piauí"</v>
      </c>
      <c r="HM20" s="65" t="str">
        <f t="shared" si="130"/>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N20" s="67" t="str">
        <f t="shared" si="131"/>
        <v>{"couname":"[BRA] Piauí","year":"1922 ","region":"rgn_South America","Colors":["cl_GRE","cl_YEL","cl_BLU","cl_WHI"],"Items":["4Color","lets05","startP","year19","allhor","4+Band","Horizo","Texted","Canton","staWHI","NO_RED","NO_BLA","001GRE","002GRE","003GRE","myrGRE","HasSta","1Stars"],"Flag":"https://upload.wikimedia.org/wikipedia/commons/thumb/3/33/Bandeira_do_Piau%C3%AD.svg/640px-Bandeira_do_Piau%C3%AD.svg.png","HDFlag":"https://upload.wikimedia.org/wikipedia/commons/thumb/3/33/Bandeira_do_Piau%C3%AD.svg/2560px-Bandeira_do_Piau%C3%AD.svg.png","type":"State", "describe": "\nYellow represents the mineral wealth, green represents hope. The star represents Antares, which in the Brazilian flag symbolizes the state of Piauí. The inscription inside the blue rectangle: 13 DE MARÇO DE 1823, was the day of the Battle of Jenipapo, in the state's territory.", "isnew": ".", "links": "https://en.wikipedia.org/wiki/Flag_of_Piauí"},</v>
      </c>
      <c r="HO20" s="71"/>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GRE</v>
      </c>
      <c r="HS20" s="44" t="str" cm="1">
        <f t="array" ref="HS20">IF(_xlfn.TEXTJOIN(", ", TRUE, IF(ISNUMBER(SEARCH("RED", BL20:BT20)), COLUMN(BL20:BT20) - COLUMN(BL20) + 1, ""))&lt;&gt;"","RED","")</f>
        <v/>
      </c>
      <c r="HT20" s="44" t="str" cm="1">
        <f t="array" ref="HT20">IF(_xlfn.TEXTJOIN(", ", TRUE, IF(ISNUMBER(SEARCH("YEL", BL20:BT20)), COLUMN(BL20:BT20) - COLUMN(BL20) + 1, ""))&lt;&gt;"","YEL","")</f>
        <v>YEL</v>
      </c>
      <c r="HU20" s="44" t="str" cm="1">
        <f t="array" ref="HU20">IF(_xlfn.TEXTJOIN(", ", TRUE, IF(ISNUMBER(SEARCH("ORA", BL20:BT20)), COLUMN(BL20:BT20) - COLUMN(BL20) + 1, ""))&lt;&gt;"","ORA","")</f>
        <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L20" s="44">
        <f t="shared" si="132"/>
        <v>0</v>
      </c>
      <c r="IM20" s="42">
        <f t="shared" si="133"/>
        <v>-4</v>
      </c>
      <c r="IN20" s="69" t="str">
        <f t="shared" si="134"/>
        <v>http://mkweb.bcgsc.ca/color-summarizer/?url=https://upload.wikimedia.org/wikipedia/commons/thumb/3/33/Bandeira_do_Piau%C3%AD.svg/640px-Bandeira_do_Piau%C3%AD.svg.png&amp;precision=low&amp;num_clusters=4&amp;text=1</v>
      </c>
      <c r="IO20" s="44" t="str">
        <f t="shared" si="135"/>
        <v/>
      </c>
      <c r="IP20" s="44" t="str">
        <f t="shared" si="136"/>
        <v>"blue"</v>
      </c>
      <c r="IQ20" s="44" t="str">
        <f t="shared" si="137"/>
        <v>"green"</v>
      </c>
      <c r="IR20" s="44" t="str">
        <f t="shared" si="138"/>
        <v/>
      </c>
      <c r="IS20" s="44" t="str">
        <f t="shared" si="139"/>
        <v>"yellow"</v>
      </c>
      <c r="IT20" s="44" t="str">
        <f t="shared" si="140"/>
        <v/>
      </c>
      <c r="IU20" s="44" t="str">
        <f t="shared" si="141"/>
        <v/>
      </c>
      <c r="IV20" s="44" t="str">
        <f t="shared" si="142"/>
        <v/>
      </c>
      <c r="IW20" s="44" t="str">
        <f t="shared" si="143"/>
        <v>"white"</v>
      </c>
      <c r="IX20" s="44" t="str">
        <f t="shared" si="144"/>
        <v>{"url":"http://mkweb.bcgsc.ca/color-summarizer/?url=https://upload.wikimedia.org/wikipedia/commons/thumb/3/33/Bandeira_do_Piau%C3%AD.svg/640px-Bandeira_do_Piau%C3%AD.svg.png&amp;precision=low&amp;num_clusters=4&amp;text=1","name":"[BRA] Piauí"},</v>
      </c>
      <c r="IY20" s="44">
        <v>344</v>
      </c>
    </row>
    <row r="21" spans="1:259" s="44" customFormat="1" ht="38.4" customHeight="1" thickBot="1" x14ac:dyDescent="0.35">
      <c r="A21" s="84" t="s">
        <v>410</v>
      </c>
      <c r="B21" s="83" t="e" vm="43">
        <v>#VALUE!</v>
      </c>
      <c r="C21" s="39">
        <v>2</v>
      </c>
      <c r="D21" s="70" t="s">
        <v>411</v>
      </c>
      <c r="E21" s="40" t="s">
        <v>412</v>
      </c>
      <c r="F21" s="41" t="s">
        <v>163</v>
      </c>
      <c r="G21" s="42">
        <f t="shared" si="0"/>
        <v>1</v>
      </c>
      <c r="H21" s="43"/>
      <c r="I21" s="59" t="s">
        <v>413</v>
      </c>
      <c r="J21" s="44" t="str">
        <f>""</f>
        <v/>
      </c>
      <c r="K21" s="45"/>
      <c r="L21" s="46"/>
      <c r="M21" s="46"/>
      <c r="N21" s="47" t="s">
        <v>177</v>
      </c>
      <c r="O21" s="74" t="s">
        <v>170</v>
      </c>
      <c r="P21" s="48" t="s">
        <v>414</v>
      </c>
      <c r="Q21" s="73">
        <v>3</v>
      </c>
      <c r="R21" s="49" t="s">
        <v>177</v>
      </c>
      <c r="S21" s="50">
        <v>0</v>
      </c>
      <c r="T21" s="51" t="s">
        <v>164</v>
      </c>
      <c r="U21" s="52" t="s">
        <v>164</v>
      </c>
      <c r="V21" s="52" t="s">
        <v>164</v>
      </c>
      <c r="W21" s="52" t="s">
        <v>164</v>
      </c>
      <c r="X21" s="52" t="s">
        <v>165</v>
      </c>
      <c r="Y21" s="52" t="s">
        <v>415</v>
      </c>
      <c r="Z21" s="52" t="s">
        <v>165</v>
      </c>
      <c r="AA21" s="52" t="s">
        <v>165</v>
      </c>
      <c r="AB21" s="52" t="s">
        <v>165</v>
      </c>
      <c r="AC21" s="52" t="s">
        <v>164</v>
      </c>
      <c r="AD21" s="52" t="s">
        <v>164</v>
      </c>
      <c r="AE21" s="52" t="s">
        <v>164</v>
      </c>
      <c r="AF21" s="53" t="s">
        <v>164</v>
      </c>
      <c r="AG21" s="53" t="s">
        <v>164</v>
      </c>
      <c r="AH21" s="53" t="s">
        <v>165</v>
      </c>
      <c r="AI21" s="53" t="s">
        <v>164</v>
      </c>
      <c r="AJ21" s="53" t="s">
        <v>164</v>
      </c>
      <c r="AK21" s="53" t="s">
        <v>164</v>
      </c>
      <c r="AL21" s="53" t="s">
        <v>164</v>
      </c>
      <c r="AM21" s="53" t="s">
        <v>165</v>
      </c>
      <c r="AN21" s="53" t="s">
        <v>164</v>
      </c>
      <c r="AO21" s="53" t="s">
        <v>164</v>
      </c>
      <c r="AP21" s="53" t="s">
        <v>164</v>
      </c>
      <c r="AQ21" s="53" t="s">
        <v>164</v>
      </c>
      <c r="AR21" s="53" t="s">
        <v>164</v>
      </c>
      <c r="AS21" s="53" t="s">
        <v>164</v>
      </c>
      <c r="AT21" s="54">
        <v>2</v>
      </c>
      <c r="AU21" s="53" t="s">
        <v>308</v>
      </c>
      <c r="AV21" s="53" t="str">
        <f t="shared" si="1"/>
        <v>[BRA]State[BRA] Rio de Janeiro (State)</v>
      </c>
      <c r="AW21" s="53" t="str">
        <f t="shared" si="2"/>
        <v>2[BRA] Rio de Janeiro (State)</v>
      </c>
      <c r="AX21" s="55"/>
      <c r="AY21" s="55"/>
      <c r="AZ21" s="56" t="s">
        <v>218</v>
      </c>
      <c r="BA21" s="56"/>
      <c r="BB21" s="56"/>
      <c r="BC21" s="57"/>
      <c r="BD21" s="58" t="s">
        <v>152</v>
      </c>
      <c r="BE21" s="59"/>
      <c r="BF21" s="58"/>
      <c r="BG21" s="58"/>
      <c r="BH21" s="58"/>
      <c r="BI21" s="58"/>
      <c r="BJ21" s="58"/>
      <c r="BK21" s="59"/>
      <c r="BL21" s="58" t="s">
        <v>152</v>
      </c>
      <c r="BM21" s="58" t="s">
        <v>159</v>
      </c>
      <c r="BN21" s="58" t="s">
        <v>155</v>
      </c>
      <c r="BO21" s="58" t="s">
        <v>153</v>
      </c>
      <c r="BP21" s="58" t="s">
        <v>154</v>
      </c>
      <c r="BQ21" s="58" t="s">
        <v>151</v>
      </c>
      <c r="BR21" s="58" t="s">
        <v>218</v>
      </c>
      <c r="BS21" s="58"/>
      <c r="BT21" s="58"/>
      <c r="BU21" s="60"/>
      <c r="BV21" s="61"/>
      <c r="BW21" s="61">
        <v>0</v>
      </c>
      <c r="BX21" s="59"/>
      <c r="CB21" s="5"/>
      <c r="CC21" s="5"/>
      <c r="CD21" s="62">
        <v>0</v>
      </c>
      <c r="CE21" s="62">
        <v>0</v>
      </c>
      <c r="CF21" s="62" t="e">
        <v>#REF!</v>
      </c>
      <c r="CG21" s="75" cm="1">
        <f t="array" ref="CG21">SUMPRODUCT(--(LEN(TRIM(BL21:BT21))&gt;0))</f>
        <v>7</v>
      </c>
      <c r="CH21" s="53" t="str">
        <f t="shared" si="3"/>
        <v>n</v>
      </c>
      <c r="CI21" s="53" t="str">
        <f t="shared" si="4"/>
        <v>n</v>
      </c>
      <c r="CJ21" s="53" t="str">
        <f t="shared" si="5"/>
        <v>n</v>
      </c>
      <c r="CK21" s="53" t="str">
        <f t="shared" si="6"/>
        <v>y</v>
      </c>
      <c r="CL21" s="53" t="str">
        <f t="shared" si="7"/>
        <v>y</v>
      </c>
      <c r="CM21" s="53" t="str">
        <f t="shared" si="8"/>
        <v>n</v>
      </c>
      <c r="CN21" s="53" t="str">
        <f t="shared" si="9"/>
        <v>n</v>
      </c>
      <c r="CO21" s="53" t="str">
        <f t="shared" si="10"/>
        <v>n</v>
      </c>
      <c r="CP21" s="53" t="str">
        <f t="shared" si="11"/>
        <v>n</v>
      </c>
      <c r="CQ21" s="53" t="str">
        <f t="shared" si="12"/>
        <v>n</v>
      </c>
      <c r="CR21" s="53" t="str">
        <f t="shared" si="13"/>
        <v>y</v>
      </c>
      <c r="CS21" s="53" t="str">
        <f t="shared" si="14"/>
        <v>n</v>
      </c>
      <c r="CT21" s="38" t="str">
        <f t="shared" si="15"/>
        <v>"[BRA] Rio de Janeiro (State)"</v>
      </c>
      <c r="CU21" s="63" t="str">
        <f t="shared" si="16"/>
        <v>"rgn_South America"</v>
      </c>
      <c r="CV21" s="44" t="str">
        <f t="shared" si="17"/>
        <v>"https://upload.wikimedia.org/wikipedia/commons/thumb/7/73/Bandeira_do_estado_do_Rio_de_Janeiro.svg/640px-Bandeira_do_estado_do_Rio_de_Janeiro.svg.png"</v>
      </c>
      <c r="CW21" s="44" t="str">
        <f t="shared" si="18"/>
        <v/>
      </c>
      <c r="CX21" s="44" t="str">
        <f t="shared" si="19"/>
        <v/>
      </c>
      <c r="CY21" s="44" t="str">
        <f t="shared" si="20"/>
        <v/>
      </c>
      <c r="CZ21" s="44" t="str">
        <f t="shared" si="21"/>
        <v>"5+Colo",</v>
      </c>
      <c r="DA21" s="44" t="str">
        <f t="shared" si="22"/>
        <v>"words2",</v>
      </c>
      <c r="DB21" s="44" t="str">
        <f t="shared" si="23"/>
        <v>"words3",</v>
      </c>
      <c r="DC21" s="44" t="str">
        <f t="shared" si="24"/>
        <v/>
      </c>
      <c r="DD21" s="44" t="str">
        <f t="shared" si="25"/>
        <v>"lets12",</v>
      </c>
      <c r="DE21" s="44" t="str">
        <f t="shared" si="26"/>
        <v>"startR",</v>
      </c>
      <c r="DF21" s="44" t="str">
        <f t="shared" si="27"/>
        <v/>
      </c>
      <c r="DG21" s="44" t="str">
        <f t="shared" si="28"/>
        <v/>
      </c>
      <c r="DH21" s="44" t="str">
        <f t="shared" si="29"/>
        <v/>
      </c>
      <c r="DI21" s="44" t="str">
        <f t="shared" si="30"/>
        <v/>
      </c>
      <c r="DJ21" s="44" t="str">
        <f t="shared" si="31"/>
        <v/>
      </c>
      <c r="DK21" s="44" t="str">
        <f t="shared" si="32"/>
        <v/>
      </c>
      <c r="DL21" s="44" t="str">
        <f t="shared" si="33"/>
        <v/>
      </c>
      <c r="DM21" s="44" t="str" cm="1">
        <f t="array" ref="DM21">IF(CG21=3,CHAR(34) &amp; _xlfn.TEXTJOIN("", TRUE, RIGHT(HP21:HX21, 2)) &amp; CHAR(34) &amp; ",", "")</f>
        <v/>
      </c>
      <c r="DN21" s="44" t="str">
        <f t="shared" si="34"/>
        <v/>
      </c>
      <c r="DO21" s="44" t="str">
        <f t="shared" si="35"/>
        <v>"year19",</v>
      </c>
      <c r="DP21" s="5" t="str">
        <f t="shared" si="36"/>
        <v/>
      </c>
      <c r="DQ21" s="5" t="str">
        <f t="shared" si="37"/>
        <v/>
      </c>
      <c r="DR21" s="5" t="str">
        <f t="shared" si="38"/>
        <v/>
      </c>
      <c r="DS21" s="5" t="str">
        <f t="shared" si="39"/>
        <v/>
      </c>
      <c r="DT21" s="5" t="str">
        <f t="shared" si="40"/>
        <v/>
      </c>
      <c r="DU21" s="5" t="str">
        <f t="shared" si="41"/>
        <v/>
      </c>
      <c r="DV21" s="44" t="str">
        <f t="shared" si="42"/>
        <v/>
      </c>
      <c r="DW21" s="44" t="str">
        <f t="shared" si="43"/>
        <v>"NoBand",</v>
      </c>
      <c r="DX21" s="44" t="str">
        <f t="shared" si="44"/>
        <v/>
      </c>
      <c r="DY21" s="44" t="str">
        <f t="shared" si="45"/>
        <v/>
      </c>
      <c r="DZ21" s="44" t="str">
        <f t="shared" si="46"/>
        <v/>
      </c>
      <c r="EA21" s="44" t="str">
        <f t="shared" si="47"/>
        <v/>
      </c>
      <c r="EB21" s="44" t="str">
        <f t="shared" si="48"/>
        <v/>
      </c>
      <c r="EC21" s="44" t="str">
        <f t="shared" si="49"/>
        <v/>
      </c>
      <c r="ED21" s="44" t="str">
        <f t="shared" si="50"/>
        <v/>
      </c>
      <c r="EE21" s="44" t="str">
        <f t="shared" si="51"/>
        <v>"Circle",</v>
      </c>
      <c r="EF21" s="44" t="str">
        <f t="shared" si="52"/>
        <v>"Animal",</v>
      </c>
      <c r="EG21" s="44" t="str">
        <f t="shared" si="53"/>
        <v>"Bird",</v>
      </c>
      <c r="EH21" s="44" t="str">
        <f t="shared" si="54"/>
        <v>"Plants",</v>
      </c>
      <c r="EI21" s="44" t="str">
        <f t="shared" si="55"/>
        <v>"Texted",</v>
      </c>
      <c r="EJ21" s="44" t="str">
        <f t="shared" si="56"/>
        <v/>
      </c>
      <c r="EK21" s="44" t="str">
        <f t="shared" si="57"/>
        <v/>
      </c>
      <c r="EL21" s="44" t="str">
        <f t="shared" si="58"/>
        <v/>
      </c>
      <c r="EM21" s="44" t="str">
        <f t="shared" si="59"/>
        <v/>
      </c>
      <c r="EN21" s="44" t="str">
        <f t="shared" si="60"/>
        <v/>
      </c>
      <c r="EO21" s="44" t="str">
        <f t="shared" si="61"/>
        <v>"Center",</v>
      </c>
      <c r="EP21" s="44" t="str">
        <f t="shared" si="62"/>
        <v/>
      </c>
      <c r="EQ21" s="44" t="str">
        <f t="shared" si="63"/>
        <v/>
      </c>
      <c r="ER21" s="44" t="str">
        <f t="shared" si="64"/>
        <v/>
      </c>
      <c r="ES21" s="44" t="str">
        <f t="shared" si="65"/>
        <v/>
      </c>
      <c r="ET21" s="44" t="str">
        <f t="shared" si="66"/>
        <v>"Geogrh",</v>
      </c>
      <c r="EU21" s="44" t="str">
        <f t="shared" si="67"/>
        <v/>
      </c>
      <c r="EV21" s="44" t="str">
        <f t="shared" si="68"/>
        <v/>
      </c>
      <c r="EW21" s="44" t="str">
        <f t="shared" si="69"/>
        <v/>
      </c>
      <c r="EX21" s="44" t="str">
        <f t="shared" si="70"/>
        <v/>
      </c>
      <c r="EY21" s="44" t="str">
        <f t="shared" si="71"/>
        <v/>
      </c>
      <c r="EZ21" s="44" t="str">
        <f t="shared" si="72"/>
        <v/>
      </c>
      <c r="FA21" s="44" t="str">
        <f t="shared" si="73"/>
        <v>"staGRA",</v>
      </c>
      <c r="FB21" s="44" t="str">
        <f t="shared" si="74"/>
        <v/>
      </c>
      <c r="FC21" s="44" t="str">
        <f t="shared" si="75"/>
        <v/>
      </c>
      <c r="FD21" s="44" t="str">
        <f t="shared" si="76"/>
        <v/>
      </c>
      <c r="FE21" s="44" t="str">
        <f t="shared" si="77"/>
        <v/>
      </c>
      <c r="FF21" s="44" t="str">
        <f t="shared" si="78"/>
        <v/>
      </c>
      <c r="FG21" s="44" t="str">
        <f t="shared" si="79"/>
        <v/>
      </c>
      <c r="FH21" s="44" t="str">
        <f t="shared" si="80"/>
        <v/>
      </c>
      <c r="FI21" s="44" t="str">
        <f t="shared" si="81"/>
        <v/>
      </c>
      <c r="FJ21" s="44" t="str">
        <f t="shared" si="82"/>
        <v/>
      </c>
      <c r="FK21" s="44" t="str">
        <f t="shared" si="83"/>
        <v/>
      </c>
      <c r="FL21" s="44" t="str">
        <f t="shared" si="84"/>
        <v/>
      </c>
      <c r="FM21" s="44" t="str">
        <f t="shared" si="85"/>
        <v/>
      </c>
      <c r="FN21" s="44" t="str">
        <f t="shared" si="86"/>
        <v/>
      </c>
      <c r="FO21" s="44" t="str">
        <f t="shared" si="87"/>
        <v/>
      </c>
      <c r="FP21" s="44" t="str">
        <f t="shared" si="88"/>
        <v/>
      </c>
      <c r="FQ21" s="44" t="str">
        <f t="shared" si="89"/>
        <v/>
      </c>
      <c r="FR21" s="44" t="str">
        <f t="shared" si="90"/>
        <v/>
      </c>
      <c r="FS21" s="44" t="str">
        <f t="shared" si="91"/>
        <v/>
      </c>
      <c r="FT21" s="44" t="str">
        <f t="shared" si="92"/>
        <v>"myrBLU",</v>
      </c>
      <c r="FU21" s="44" t="str">
        <f t="shared" si="93"/>
        <v/>
      </c>
      <c r="FV21" s="44" t="str">
        <f t="shared" si="94"/>
        <v/>
      </c>
      <c r="FW21" s="44" t="str">
        <f t="shared" si="95"/>
        <v/>
      </c>
      <c r="FX21" s="44" t="str">
        <f t="shared" si="96"/>
        <v/>
      </c>
      <c r="FY21" s="44" t="str">
        <f t="shared" si="97"/>
        <v/>
      </c>
      <c r="FZ21" s="44" t="str">
        <f t="shared" si="98"/>
        <v/>
      </c>
      <c r="GA21" s="44" t="str">
        <f t="shared" si="99"/>
        <v/>
      </c>
      <c r="GB21" s="44" t="str">
        <f t="shared" si="100"/>
        <v/>
      </c>
      <c r="GC21" s="44" t="str">
        <f t="shared" si="101"/>
        <v/>
      </c>
      <c r="GD21" s="44" t="str">
        <f t="shared" si="102"/>
        <v/>
      </c>
      <c r="GE21" s="44" t="str">
        <f t="shared" si="103"/>
        <v/>
      </c>
      <c r="GF21" s="44" t="str">
        <f t="shared" si="145"/>
        <v/>
      </c>
      <c r="GG21" s="44" t="str">
        <f t="shared" si="104"/>
        <v/>
      </c>
      <c r="GH21" s="44" t="str">
        <f t="shared" si="105"/>
        <v/>
      </c>
      <c r="GI21" s="44" t="str">
        <f t="shared" si="106"/>
        <v/>
      </c>
      <c r="GJ21" s="44" t="str">
        <f t="shared" si="107"/>
        <v/>
      </c>
      <c r="GK21" s="44" t="str">
        <f t="shared" si="108"/>
        <v>"HasSta",</v>
      </c>
      <c r="GL21" s="44" t="str">
        <f t="shared" si="109"/>
        <v/>
      </c>
      <c r="GM21" s="44" t="str">
        <f t="shared" si="110"/>
        <v>"2Stars",</v>
      </c>
      <c r="GN21" s="44" t="str">
        <f t="shared" si="111"/>
        <v/>
      </c>
      <c r="GP21" s="44" t="str">
        <f t="shared" si="112"/>
        <v>"State"</v>
      </c>
      <c r="GS21" s="44" t="str">
        <f t="shared" si="113"/>
        <v>["5+Colo","words2","words3","lets12","startR","year19","NoBand","Circle","Animal","Bird","Plants","Texted","Center","Geogrh","staGRA","myrBLU","HasSta","2Stars"]</v>
      </c>
      <c r="GT21" s="44" t="str">
        <f t="shared" si="114"/>
        <v>"cl_BLU",</v>
      </c>
      <c r="GU21" s="44" t="str">
        <f t="shared" si="115"/>
        <v>"cl_WHI",</v>
      </c>
      <c r="GV21" s="44" t="str">
        <f t="shared" si="116"/>
        <v>"cl_YEL",</v>
      </c>
      <c r="GW21" s="44" t="str">
        <f t="shared" si="117"/>
        <v>"cl_GRE",</v>
      </c>
      <c r="GX21" s="44" t="str">
        <f t="shared" si="118"/>
        <v>"cl_RED",</v>
      </c>
      <c r="GY21" s="44" t="str">
        <f t="shared" si="119"/>
        <v>"cl_BLA",</v>
      </c>
      <c r="GZ21" s="44" t="str">
        <f t="shared" si="120"/>
        <v>"cl_GRA",</v>
      </c>
      <c r="HA21" s="44" t="str">
        <f t="shared" si="121"/>
        <v/>
      </c>
      <c r="HB21" s="44" t="str">
        <f t="shared" si="122"/>
        <v/>
      </c>
      <c r="HC21" s="44" t="str">
        <f t="shared" si="123"/>
        <v>["cl_BLU","cl_WHI","cl_YEL","cl_GRE","cl_RED","cl_BLA","cl_GRA"]</v>
      </c>
      <c r="HE21" s="64"/>
      <c r="HF21" s="65" t="str">
        <f t="shared" si="124"/>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links: "https://www.fotw.info/flags/br-rj.html"},</v>
      </c>
      <c r="HG21" s="66" t="str">
        <f t="shared" si="125"/>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links: "https://www.fotw.info/flags/br-rj.html"},</v>
      </c>
      <c r="HH21" s="44" t="str">
        <f t="shared" si="126"/>
        <v>"\nNot available"</v>
      </c>
      <c r="HI21" s="44" t="str">
        <f t="shared" si="127"/>
        <v>"\nNot available"</v>
      </c>
      <c r="HJ21" s="44" t="str">
        <f t="shared" si="128"/>
        <v>"1975 "</v>
      </c>
      <c r="HL21" s="44" t="str">
        <f t="shared" si="129"/>
        <v>"https://www.fotw.info/flags/br-rj.html"</v>
      </c>
      <c r="HM21" s="65" t="str">
        <f t="shared" si="130"/>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N21" s="67" t="str">
        <f t="shared" si="131"/>
        <v>{"couname":"[BRA] Rio de Janeiro (State)","year":"1975 ","region":"rgn_South America","Colors":["cl_BLU","cl_WHI","cl_YEL","cl_GRE","cl_RED","cl_BLA","cl_GRA"],"Items":["5+Colo","words2","words3","lets12","startR","year19","NoBand","Circle","Animal","Bird","Plants","Texted","Center","Geogrh","staGRA","myrBLU","HasSta","2Stars"],"Flag":"https://upload.wikimedia.org/wikipedia/commons/thumb/7/73/Bandeira_do_estado_do_Rio_de_Janeiro.svg/640px-Bandeira_do_estado_do_Rio_de_Janeiro.svg.png","HDFlag":"https://upload.wikimedia.org/wikipedia/commons/thumb/7/73/Bandeira_do_estado_do_Rio_de_Janeiro.svg/2560px-Bandeira_do_estado_do_Rio_de_Janeiro.svg.png","type":"State", "describe": "\nNot available", "isnew": ".", "links": "https://www.fotw.info/flags/br-rj.html"},</v>
      </c>
      <c r="HO21" s="71"/>
      <c r="HP21" s="44" t="str" cm="1">
        <f t="array" ref="HP21">IF(_xlfn.TEXTJOIN(", ", TRUE, IF(ISNUMBER(SEARCH("BLA", BL21:BT21)), COLUMN(BL21:BT21) - COLUMN(BL21) + 1, ""))&lt;&gt;"","BLA","")</f>
        <v>BLA</v>
      </c>
      <c r="HQ21" s="44" t="str" cm="1">
        <f t="array" ref="HQ21">IF(_xlfn.TEXTJOIN(", ", TRUE, IF(ISNUMBER(SEARCH("BLU", BL21:BT21)), COLUMN(BL21:BT21) - COLUMN(BL21) + 1, ""))&lt;&gt;"","BLU","")</f>
        <v>BLU</v>
      </c>
      <c r="HR21" s="44" t="str" cm="1">
        <f t="array" ref="HR21">IF(_xlfn.TEXTJOIN(", ", TRUE, IF(ISNUMBER(SEARCH("GRE", BL21:BT21)), COLUMN(BL21:BT21) - COLUMN(BL21) + 1, ""))&lt;&gt;"","GRE","")</f>
        <v>GRE</v>
      </c>
      <c r="HS21" s="44" t="str" cm="1">
        <f t="array" ref="HS21">IF(_xlfn.TEXTJOIN(", ", TRUE, IF(ISNUMBER(SEARCH("RED", BL21:BT21)), COLUMN(BL21:BT21) - COLUMN(BL21) + 1, ""))&lt;&gt;"","RED","")</f>
        <v>RED</v>
      </c>
      <c r="HT21" s="44" t="str" cm="1">
        <f t="array" ref="HT21">IF(_xlfn.TEXTJOIN(", ", TRUE, IF(ISNUMBER(SEARCH("YEL", BL21:BT21)), COLUMN(BL21:BT21) - COLUMN(BL21) + 1, ""))&lt;&gt;"","YEL","")</f>
        <v>YEL</v>
      </c>
      <c r="HU21" s="44" t="str" cm="1">
        <f t="array" ref="HU21">IF(_xlfn.TEXTJOIN(", ", TRUE, IF(ISNUMBER(SEARCH("ORA", BL21:BT21)), COLUMN(BL21:BT21) - COLUMN(BL21) + 1, ""))&lt;&gt;"","ORA","")</f>
        <v/>
      </c>
      <c r="HV21" s="44" t="str" cm="1">
        <f t="array" ref="HV21">IF(_xlfn.TEXTJOIN(", ", TRUE, IF(ISNUMBER(SEARCH("BRO", BL21:BT21)), COLUMN(BL21:BT21) - COLUMN(BL21) + 1, ""))&lt;&gt;"","BRO","")</f>
        <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L21" s="44">
        <f t="shared" si="132"/>
        <v>0</v>
      </c>
      <c r="IM21" s="42">
        <f t="shared" si="133"/>
        <v>-7</v>
      </c>
      <c r="IN21" s="69" t="str">
        <f t="shared" si="134"/>
        <v>http://mkweb.bcgsc.ca/color-summarizer/?url=https://upload.wikimedia.org/wikipedia/commons/thumb/7/73/Bandeira_do_estado_do_Rio_de_Janeiro.svg/640px-Bandeira_do_estado_do_Rio_de_Janeiro.svg.png&amp;precision=low&amp;num_clusters=7&amp;text=1</v>
      </c>
      <c r="IO21" s="44" t="str">
        <f t="shared" si="135"/>
        <v>"black"</v>
      </c>
      <c r="IP21" s="44" t="str">
        <f t="shared" si="136"/>
        <v>"blue"</v>
      </c>
      <c r="IQ21" s="44" t="str">
        <f t="shared" si="137"/>
        <v>"green"</v>
      </c>
      <c r="IR21" s="44" t="str">
        <f t="shared" si="138"/>
        <v>"red"</v>
      </c>
      <c r="IS21" s="44" t="str">
        <f t="shared" si="139"/>
        <v>"yellow"</v>
      </c>
      <c r="IT21" s="44" t="str">
        <f t="shared" si="140"/>
        <v/>
      </c>
      <c r="IU21" s="44" t="str">
        <f t="shared" si="141"/>
        <v/>
      </c>
      <c r="IV21" s="44" t="str">
        <f t="shared" si="142"/>
        <v/>
      </c>
      <c r="IW21" s="44" t="str">
        <f t="shared" si="143"/>
        <v>"white"</v>
      </c>
      <c r="IX21" s="44" t="str">
        <f t="shared" si="144"/>
        <v>{"url":"http://mkweb.bcgsc.ca/color-summarizer/?url=https://upload.wikimedia.org/wikipedia/commons/thumb/7/73/Bandeira_do_estado_do_Rio_de_Janeiro.svg/640px-Bandeira_do_estado_do_Rio_de_Janeiro.svg.png&amp;precision=low&amp;num_clusters=7&amp;text=1","name":"[BRA] Rio de Janeiro (State)"},</v>
      </c>
      <c r="IY21" s="44">
        <v>345</v>
      </c>
    </row>
    <row r="22" spans="1:259" s="44" customFormat="1" ht="38.4" customHeight="1" thickBot="1" x14ac:dyDescent="0.35">
      <c r="A22" s="84" t="s">
        <v>416</v>
      </c>
      <c r="B22" s="83" t="e" vm="44">
        <v>#VALUE!</v>
      </c>
      <c r="C22" s="39">
        <v>2</v>
      </c>
      <c r="D22" s="70" t="s">
        <v>417</v>
      </c>
      <c r="E22" s="40" t="s">
        <v>418</v>
      </c>
      <c r="F22" s="41" t="s">
        <v>163</v>
      </c>
      <c r="G22" s="42">
        <f t="shared" si="0"/>
        <v>1</v>
      </c>
      <c r="H22" s="43"/>
      <c r="I22" s="59" t="s">
        <v>419</v>
      </c>
      <c r="J22" s="44" t="str">
        <f>""</f>
        <v/>
      </c>
      <c r="K22" s="45"/>
      <c r="L22" s="46"/>
      <c r="M22" s="46"/>
      <c r="N22" s="47" t="s">
        <v>177</v>
      </c>
      <c r="O22" s="74" t="s">
        <v>231</v>
      </c>
      <c r="P22" s="48" t="s">
        <v>420</v>
      </c>
      <c r="Q22" s="73">
        <v>4</v>
      </c>
      <c r="R22" s="49" t="s">
        <v>177</v>
      </c>
      <c r="S22" s="50">
        <v>2</v>
      </c>
      <c r="T22" s="51" t="s">
        <v>164</v>
      </c>
      <c r="U22" s="52" t="s">
        <v>164</v>
      </c>
      <c r="V22" s="52" t="s">
        <v>165</v>
      </c>
      <c r="W22" s="52" t="s">
        <v>164</v>
      </c>
      <c r="X22" s="52" t="s">
        <v>164</v>
      </c>
      <c r="Y22" s="52" t="s">
        <v>164</v>
      </c>
      <c r="Z22" s="52" t="s">
        <v>164</v>
      </c>
      <c r="AA22" s="52" t="s">
        <v>165</v>
      </c>
      <c r="AB22" s="52" t="s">
        <v>164</v>
      </c>
      <c r="AC22" s="52" t="s">
        <v>164</v>
      </c>
      <c r="AD22" s="52" t="s">
        <v>164</v>
      </c>
      <c r="AE22" s="52" t="s">
        <v>164</v>
      </c>
      <c r="AF22" s="53" t="s">
        <v>164</v>
      </c>
      <c r="AG22" s="53" t="s">
        <v>164</v>
      </c>
      <c r="AH22" s="53" t="s">
        <v>165</v>
      </c>
      <c r="AI22" s="53" t="s">
        <v>164</v>
      </c>
      <c r="AJ22" s="53" t="s">
        <v>164</v>
      </c>
      <c r="AK22" s="53" t="s">
        <v>164</v>
      </c>
      <c r="AL22" s="53" t="s">
        <v>165</v>
      </c>
      <c r="AM22" s="53" t="s">
        <v>164</v>
      </c>
      <c r="AN22" s="53" t="s">
        <v>164</v>
      </c>
      <c r="AO22" s="53" t="s">
        <v>164</v>
      </c>
      <c r="AP22" s="53" t="s">
        <v>165</v>
      </c>
      <c r="AQ22" s="53" t="s">
        <v>164</v>
      </c>
      <c r="AR22" s="53" t="s">
        <v>164</v>
      </c>
      <c r="AS22" s="53" t="s">
        <v>165</v>
      </c>
      <c r="AT22" s="54">
        <v>1</v>
      </c>
      <c r="AU22" s="53" t="s">
        <v>308</v>
      </c>
      <c r="AV22" s="53" t="str">
        <f t="shared" si="1"/>
        <v>[BRA]State[BRA] Rio Grande do Norte</v>
      </c>
      <c r="AW22" s="53" t="str">
        <f t="shared" si="2"/>
        <v>2[BRA] Rio Grande do Norte</v>
      </c>
      <c r="AX22" s="55"/>
      <c r="AY22" s="55"/>
      <c r="AZ22" s="56" t="s">
        <v>159</v>
      </c>
      <c r="BA22" s="56"/>
      <c r="BB22" s="56"/>
      <c r="BC22" s="57"/>
      <c r="BD22" s="58" t="s">
        <v>153</v>
      </c>
      <c r="BE22" s="59"/>
      <c r="BF22" s="58" t="s">
        <v>153</v>
      </c>
      <c r="BG22" s="58"/>
      <c r="BH22" s="58" t="s">
        <v>159</v>
      </c>
      <c r="BI22" s="58"/>
      <c r="BJ22" s="58"/>
      <c r="BK22" s="59"/>
      <c r="BL22" s="58" t="s">
        <v>153</v>
      </c>
      <c r="BM22" s="58" t="s">
        <v>159</v>
      </c>
      <c r="BN22" s="58" t="s">
        <v>157</v>
      </c>
      <c r="BO22" s="58" t="s">
        <v>155</v>
      </c>
      <c r="BP22" s="58" t="s">
        <v>152</v>
      </c>
      <c r="BQ22" s="58" t="s">
        <v>151</v>
      </c>
      <c r="BR22" s="58"/>
      <c r="BS22" s="58"/>
      <c r="BT22" s="58"/>
      <c r="BU22" s="60"/>
      <c r="BV22" s="61"/>
      <c r="BW22" s="61">
        <v>0</v>
      </c>
      <c r="BX22" s="59"/>
      <c r="CB22" s="5"/>
      <c r="CC22" s="5"/>
      <c r="CD22" s="62">
        <v>0</v>
      </c>
      <c r="CE22" s="62">
        <v>0</v>
      </c>
      <c r="CF22" s="62" t="e">
        <v>#REF!</v>
      </c>
      <c r="CG22" s="75" cm="1">
        <f t="array" ref="CG22">SUMPRODUCT(--(LEN(TRIM(BL22:BT22))&gt;0))</f>
        <v>6</v>
      </c>
      <c r="CH22" s="53" t="str">
        <f t="shared" si="3"/>
        <v>n</v>
      </c>
      <c r="CI22" s="53" t="str">
        <f t="shared" si="4"/>
        <v>n</v>
      </c>
      <c r="CJ22" s="53" t="str">
        <f t="shared" si="5"/>
        <v>n</v>
      </c>
      <c r="CK22" s="53" t="str">
        <f t="shared" si="6"/>
        <v>y</v>
      </c>
      <c r="CL22" s="53" t="str">
        <f t="shared" si="7"/>
        <v>n</v>
      </c>
      <c r="CM22" s="53" t="str">
        <f t="shared" si="8"/>
        <v>y</v>
      </c>
      <c r="CN22" s="53" t="str">
        <f t="shared" si="9"/>
        <v>n</v>
      </c>
      <c r="CO22" s="53" t="str">
        <f t="shared" si="10"/>
        <v>n</v>
      </c>
      <c r="CP22" s="53" t="str">
        <f t="shared" si="11"/>
        <v>n</v>
      </c>
      <c r="CQ22" s="53" t="str">
        <f t="shared" si="12"/>
        <v>y</v>
      </c>
      <c r="CR22" s="53" t="str">
        <f t="shared" si="13"/>
        <v>n</v>
      </c>
      <c r="CS22" s="53" t="str">
        <f t="shared" si="14"/>
        <v>n</v>
      </c>
      <c r="CT22" s="38" t="str">
        <f t="shared" si="15"/>
        <v>"[BRA] Rio Grande do Norte"</v>
      </c>
      <c r="CU22" s="63" t="str">
        <f t="shared" si="16"/>
        <v>"rgn_South America"</v>
      </c>
      <c r="CV22" s="44" t="str">
        <f t="shared" si="17"/>
        <v>"https://upload.wikimedia.org/wikipedia/commons/thumb/3/30/Bandeira_do_Rio_Grande_do_Norte.svg/640px-Bandeira_do_Rio_Grande_do_Norte.svg.png"</v>
      </c>
      <c r="CW22" s="44" t="str">
        <f t="shared" si="18"/>
        <v/>
      </c>
      <c r="CX22" s="44" t="str">
        <f t="shared" si="19"/>
        <v/>
      </c>
      <c r="CY22" s="44" t="str">
        <f t="shared" si="20"/>
        <v/>
      </c>
      <c r="CZ22" s="44" t="str">
        <f t="shared" si="21"/>
        <v>"5+Colo",</v>
      </c>
      <c r="DA22" s="44" t="str">
        <f t="shared" si="22"/>
        <v>"words2",</v>
      </c>
      <c r="DB22" s="44" t="str">
        <f t="shared" si="23"/>
        <v>"words3",</v>
      </c>
      <c r="DC22" s="44" t="str">
        <f t="shared" si="24"/>
        <v/>
      </c>
      <c r="DD22" s="44" t="str">
        <f t="shared" si="25"/>
        <v>"lets16",</v>
      </c>
      <c r="DE22" s="44" t="str">
        <f t="shared" si="26"/>
        <v>"startR",</v>
      </c>
      <c r="DF22" s="44" t="str">
        <f t="shared" si="27"/>
        <v/>
      </c>
      <c r="DG22" s="44" t="str">
        <f t="shared" si="28"/>
        <v/>
      </c>
      <c r="DH22" s="44" t="str">
        <f t="shared" si="29"/>
        <v/>
      </c>
      <c r="DI22" s="44" t="str">
        <f t="shared" si="30"/>
        <v/>
      </c>
      <c r="DJ22" s="44" t="str">
        <f t="shared" si="31"/>
        <v/>
      </c>
      <c r="DK22" s="44" t="str">
        <f t="shared" si="32"/>
        <v/>
      </c>
      <c r="DL22" s="44" t="str">
        <f t="shared" si="33"/>
        <v/>
      </c>
      <c r="DM22" s="44" t="str" cm="1">
        <f t="array" ref="DM22">IF(CG22=3,CHAR(34) &amp; _xlfn.TEXTJOIN("", TRUE, RIGHT(HP22:HX22, 2)) &amp; CHAR(34) &amp; ",", "")</f>
        <v/>
      </c>
      <c r="DN22" s="44" t="str">
        <f t="shared" si="34"/>
        <v/>
      </c>
      <c r="DO22" s="44" t="str">
        <f t="shared" si="35"/>
        <v>"year19",</v>
      </c>
      <c r="DP22" s="5" t="str">
        <f t="shared" si="36"/>
        <v/>
      </c>
      <c r="DQ22" s="5" t="str">
        <f t="shared" si="37"/>
        <v/>
      </c>
      <c r="DR22" s="5" t="str">
        <f t="shared" si="38"/>
        <v/>
      </c>
      <c r="DS22" s="5" t="str">
        <f t="shared" si="39"/>
        <v/>
      </c>
      <c r="DT22" s="5" t="str">
        <f t="shared" si="40"/>
        <v>"allhor",</v>
      </c>
      <c r="DU22" s="5" t="str">
        <f t="shared" si="41"/>
        <v/>
      </c>
      <c r="DV22" s="44" t="str">
        <f t="shared" si="42"/>
        <v/>
      </c>
      <c r="DW22" s="44" t="str">
        <f t="shared" si="43"/>
        <v/>
      </c>
      <c r="DX22" s="44" t="str">
        <f t="shared" si="44"/>
        <v>"2Bands",</v>
      </c>
      <c r="DY22" s="44" t="str">
        <f t="shared" si="45"/>
        <v/>
      </c>
      <c r="DZ22" s="44" t="str">
        <f t="shared" si="46"/>
        <v/>
      </c>
      <c r="EA22" s="44" t="str">
        <f t="shared" si="47"/>
        <v/>
      </c>
      <c r="EB22" s="44" t="str">
        <f t="shared" si="48"/>
        <v/>
      </c>
      <c r="EC22" s="44" t="str">
        <f t="shared" si="49"/>
        <v>"Horizo",</v>
      </c>
      <c r="ED22" s="44" t="str">
        <f t="shared" si="50"/>
        <v/>
      </c>
      <c r="EE22" s="44" t="str">
        <f t="shared" si="51"/>
        <v/>
      </c>
      <c r="EF22" s="44" t="str">
        <f t="shared" si="52"/>
        <v/>
      </c>
      <c r="EG22" s="44" t="str">
        <f t="shared" si="53"/>
        <v/>
      </c>
      <c r="EH22" s="44" t="str">
        <f t="shared" si="54"/>
        <v>"Plants",</v>
      </c>
      <c r="EI22" s="44" t="str">
        <f t="shared" si="55"/>
        <v/>
      </c>
      <c r="EJ22" s="44" t="str">
        <f t="shared" si="56"/>
        <v/>
      </c>
      <c r="EK22" s="44" t="str">
        <f t="shared" si="57"/>
        <v/>
      </c>
      <c r="EL22" s="44" t="str">
        <f t="shared" si="58"/>
        <v/>
      </c>
      <c r="EM22" s="44" t="str">
        <f t="shared" si="59"/>
        <v/>
      </c>
      <c r="EN22" s="44" t="str">
        <f t="shared" si="60"/>
        <v/>
      </c>
      <c r="EO22" s="44" t="str">
        <f t="shared" si="61"/>
        <v>"Center",</v>
      </c>
      <c r="EP22" s="44" t="str">
        <f t="shared" si="62"/>
        <v/>
      </c>
      <c r="EQ22" s="44" t="str">
        <f t="shared" si="63"/>
        <v/>
      </c>
      <c r="ER22" s="44" t="str">
        <f t="shared" si="64"/>
        <v/>
      </c>
      <c r="ES22" s="44" t="str">
        <f t="shared" si="65"/>
        <v>"Wavess",</v>
      </c>
      <c r="ET22" s="44" t="str">
        <f t="shared" si="66"/>
        <v/>
      </c>
      <c r="EU22" s="44" t="str">
        <f t="shared" si="67"/>
        <v/>
      </c>
      <c r="EV22" s="44" t="str">
        <f t="shared" si="68"/>
        <v/>
      </c>
      <c r="EW22" s="44" t="str">
        <f t="shared" si="69"/>
        <v>"Ships!",</v>
      </c>
      <c r="EX22" s="44" t="str">
        <f t="shared" si="70"/>
        <v/>
      </c>
      <c r="EY22" s="44" t="str">
        <f t="shared" si="71"/>
        <v/>
      </c>
      <c r="EZ22" s="44" t="str">
        <f t="shared" si="72"/>
        <v>"Waters",</v>
      </c>
      <c r="FA22" s="44" t="str">
        <f t="shared" si="73"/>
        <v>"staWHI",</v>
      </c>
      <c r="FB22" s="44" t="str">
        <f t="shared" si="74"/>
        <v/>
      </c>
      <c r="FC22" s="44" t="str">
        <f t="shared" si="75"/>
        <v/>
      </c>
      <c r="FD22" s="44" t="str">
        <f t="shared" si="76"/>
        <v/>
      </c>
      <c r="FE22" s="44" t="str">
        <f t="shared" si="77"/>
        <v/>
      </c>
      <c r="FF22" s="44" t="str">
        <f t="shared" si="78"/>
        <v/>
      </c>
      <c r="FG22" s="44" t="str">
        <f t="shared" si="79"/>
        <v>"NO_RED",</v>
      </c>
      <c r="FH22" s="44" t="str">
        <f t="shared" si="80"/>
        <v/>
      </c>
      <c r="FI22" s="44" t="str">
        <f t="shared" si="81"/>
        <v/>
      </c>
      <c r="FJ22" s="44" t="str">
        <f t="shared" si="82"/>
        <v/>
      </c>
      <c r="FK22" s="44" t="str">
        <f t="shared" si="83"/>
        <v/>
      </c>
      <c r="FL22" s="44" t="str">
        <f t="shared" si="84"/>
        <v/>
      </c>
      <c r="FM22" s="44" t="str">
        <f t="shared" si="85"/>
        <v/>
      </c>
      <c r="FN22" s="44" t="str">
        <f t="shared" si="86"/>
        <v/>
      </c>
      <c r="FO22" s="44" t="str">
        <f t="shared" si="87"/>
        <v/>
      </c>
      <c r="FP22" s="44" t="str">
        <f t="shared" si="88"/>
        <v/>
      </c>
      <c r="FQ22" s="44" t="str">
        <f t="shared" si="89"/>
        <v>"001GRE",</v>
      </c>
      <c r="FR22" s="44" t="str">
        <f t="shared" si="90"/>
        <v/>
      </c>
      <c r="FS22" s="44" t="str">
        <f t="shared" si="91"/>
        <v>"003WHI",</v>
      </c>
      <c r="FT22" s="44" t="str">
        <f t="shared" si="92"/>
        <v>"myrGRE",</v>
      </c>
      <c r="FU22" s="44" t="str">
        <f t="shared" si="93"/>
        <v/>
      </c>
      <c r="FV22" s="44" t="str">
        <f t="shared" si="94"/>
        <v/>
      </c>
      <c r="FW22" s="44" t="str">
        <f t="shared" si="95"/>
        <v/>
      </c>
      <c r="FX22" s="44" t="str">
        <f t="shared" si="96"/>
        <v/>
      </c>
      <c r="FY22" s="44" t="str">
        <f t="shared" si="97"/>
        <v/>
      </c>
      <c r="FZ22" s="44" t="str">
        <f t="shared" si="98"/>
        <v/>
      </c>
      <c r="GA22" s="44" t="str">
        <f t="shared" si="99"/>
        <v/>
      </c>
      <c r="GB22" s="44" t="str">
        <f t="shared" si="100"/>
        <v/>
      </c>
      <c r="GC22" s="44" t="str">
        <f t="shared" si="101"/>
        <v/>
      </c>
      <c r="GD22" s="44" t="str">
        <f t="shared" si="102"/>
        <v/>
      </c>
      <c r="GE22" s="44" t="str">
        <f t="shared" si="103"/>
        <v/>
      </c>
      <c r="GF22" s="44" t="str">
        <f t="shared" si="145"/>
        <v/>
      </c>
      <c r="GG22" s="44" t="str">
        <f t="shared" si="104"/>
        <v/>
      </c>
      <c r="GH22" s="44" t="str">
        <f t="shared" si="105"/>
        <v/>
      </c>
      <c r="GI22" s="44" t="str">
        <f t="shared" si="106"/>
        <v/>
      </c>
      <c r="GJ22" s="44" t="str">
        <f t="shared" si="107"/>
        <v/>
      </c>
      <c r="GK22" s="44" t="str">
        <f t="shared" si="108"/>
        <v>"HasSta",</v>
      </c>
      <c r="GL22" s="44" t="str">
        <f t="shared" si="109"/>
        <v>"1Stars",</v>
      </c>
      <c r="GM22" s="44" t="str">
        <f t="shared" si="110"/>
        <v/>
      </c>
      <c r="GN22" s="44" t="str">
        <f t="shared" si="111"/>
        <v/>
      </c>
      <c r="GP22" s="44" t="str">
        <f t="shared" si="112"/>
        <v>"State"</v>
      </c>
      <c r="GS22" s="44" t="str">
        <f t="shared" si="113"/>
        <v>["5+Colo","words2","words3","lets16","startR","year19","allhor","2Bands","Horizo","Plants","Center","Wavess","Ships!","Waters","staWHI","NO_RED","001GRE","003WHI","myrGRE","HasSta","1Stars"]</v>
      </c>
      <c r="GT22" s="44" t="str">
        <f t="shared" si="114"/>
        <v>"cl_GRE",</v>
      </c>
      <c r="GU22" s="44" t="str">
        <f t="shared" si="115"/>
        <v>"cl_WHI",</v>
      </c>
      <c r="GV22" s="44" t="str">
        <f t="shared" si="116"/>
        <v>"cl_BRO",</v>
      </c>
      <c r="GW22" s="44" t="str">
        <f t="shared" si="117"/>
        <v>"cl_YEL",</v>
      </c>
      <c r="GX22" s="44" t="str">
        <f t="shared" si="118"/>
        <v>"cl_BLU",</v>
      </c>
      <c r="GY22" s="44" t="str">
        <f t="shared" si="119"/>
        <v>"cl_BLA",</v>
      </c>
      <c r="GZ22" s="44" t="str">
        <f t="shared" si="120"/>
        <v/>
      </c>
      <c r="HA22" s="44" t="str">
        <f t="shared" si="121"/>
        <v/>
      </c>
      <c r="HB22" s="44" t="str">
        <f t="shared" si="122"/>
        <v/>
      </c>
      <c r="HC22" s="44" t="str">
        <f t="shared" si="123"/>
        <v>["cl_GRE","cl_WHI","cl_BRO","cl_YEL","cl_BLU","cl_BLA"]</v>
      </c>
      <c r="HE22" s="64"/>
      <c r="HF22" s="65" t="str">
        <f t="shared" si="124"/>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links: "https://en.wikipedia.org/wiki/Flag_of_Rio_Grande_do_Norte"},</v>
      </c>
      <c r="HG22" s="66" t="str">
        <f t="shared" si="125"/>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links: "https://en.wikipedia.org/wiki/Flag_of_Rio_Grande_do_Norte"},</v>
      </c>
      <c r="HH22" s="44" t="str">
        <f t="shared" si="126"/>
        <v>"\nThe arms features the basic elements that best represents Rio Grande do Norte: the coconut tree on the left, the Copernicia prunifera on the right, the sugarcane and the cotton, represents the flora. The sea with the jangada stands for the fishing and the salt extraction."</v>
      </c>
      <c r="HI22" s="44" t="str">
        <f t="shared" si="127"/>
        <v>"\nThe arms features the basic elements that best represents Rio Grande do Norte: the coconut tree on the left, the Copernicia prunifera on the right, the sugarcane and the cotton, represents the flora. The sea with the jangada stands for the fishing and the salt extraction."</v>
      </c>
      <c r="HJ22" s="44" t="str">
        <f t="shared" si="128"/>
        <v>"1957 "</v>
      </c>
      <c r="HL22" s="44" t="str">
        <f t="shared" si="129"/>
        <v>"https://en.wikipedia.org/wiki/Flag_of_Rio_Grande_do_Norte"</v>
      </c>
      <c r="HM22" s="65" t="str">
        <f t="shared" si="130"/>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N22" s="67" t="str">
        <f t="shared" si="131"/>
        <v>{"couname":"[BRA] Rio Grande do Norte","year":"1957 ","region":"rgn_South America","Colors":["cl_GRE","cl_WHI","cl_BRO","cl_YEL","cl_BLU","cl_BLA"],"Items":["5+Colo","words2","words3","lets16","startR","year19","allhor","2Bands","Horizo","Plants","Center","Wavess","Ships!","Waters","staWHI","NO_RED","001GRE","003WHI","myrGRE","HasSta","1Stars"],"Flag":"https://upload.wikimedia.org/wikipedia/commons/thumb/3/30/Bandeira_do_Rio_Grande_do_Norte.svg/640px-Bandeira_do_Rio_Grande_do_Norte.svg.png","HDFlag":"https://upload.wikimedia.org/wikipedia/commons/thumb/3/30/Bandeira_do_Rio_Grande_do_Norte.svg/2560px-Bandeira_do_Rio_Grande_do_Norte.svg.png","type":"State", "describe": "\nThe arms features the basic elements that best represents Rio Grande do Norte: the coconut tree on the left, the Copernicia prunifera on the right, the sugarcane and the cotton, represents the flora. The sea with the jangada stands for the fishing and the salt extraction.", "isnew": ".", "links": "https://en.wikipedia.org/wiki/Flag_of_Rio_Grande_do_Norte"},</v>
      </c>
      <c r="HO22" s="71"/>
      <c r="HP22" s="44" t="str" cm="1">
        <f t="array" ref="HP22">IF(_xlfn.TEXTJOIN(", ", TRUE, IF(ISNUMBER(SEARCH("BLA", BL22:BT22)), COLUMN(BL22:BT22) - COLUMN(BL22) + 1, ""))&lt;&gt;"","BLA","")</f>
        <v>BLA</v>
      </c>
      <c r="HQ22" s="44" t="str" cm="1">
        <f t="array" ref="HQ22">IF(_xlfn.TEXTJOIN(", ", TRUE, IF(ISNUMBER(SEARCH("BLU", BL22:BT22)), COLUMN(BL22:BT22) - COLUMN(BL22) + 1, ""))&lt;&gt;"","BLU","")</f>
        <v>BLU</v>
      </c>
      <c r="HR22" s="44" t="str" cm="1">
        <f t="array" ref="HR22">IF(_xlfn.TEXTJOIN(", ", TRUE, IF(ISNUMBER(SEARCH("GRE", BL22:BT22)), COLUMN(BL22:BT22) - COLUMN(BL22) + 1, ""))&lt;&gt;"","GRE","")</f>
        <v>GRE</v>
      </c>
      <c r="HS22" s="44" t="str" cm="1">
        <f t="array" ref="HS22">IF(_xlfn.TEXTJOIN(", ", TRUE, IF(ISNUMBER(SEARCH("RED", BL22:BT22)), COLUMN(BL22:BT22) - COLUMN(BL22) + 1, ""))&lt;&gt;"","RED","")</f>
        <v/>
      </c>
      <c r="HT22" s="44" t="str" cm="1">
        <f t="array" ref="HT22">IF(_xlfn.TEXTJOIN(", ", TRUE, IF(ISNUMBER(SEARCH("YEL", BL22:BT22)), COLUMN(BL22:BT22) - COLUMN(BL22) + 1, ""))&lt;&gt;"","YEL","")</f>
        <v>YEL</v>
      </c>
      <c r="HU22" s="44" t="str" cm="1">
        <f t="array" ref="HU22">IF(_xlfn.TEXTJOIN(", ", TRUE, IF(ISNUMBER(SEARCH("ORA", BL22:BT22)), COLUMN(BL22:BT22) - COLUMN(BL22) + 1, ""))&lt;&gt;"","ORA","")</f>
        <v/>
      </c>
      <c r="HV22" s="44" t="str" cm="1">
        <f t="array" ref="HV22">IF(_xlfn.TEXTJOIN(", ", TRUE, IF(ISNUMBER(SEARCH("BRO", BL22:BT22)), COLUMN(BL22:BT22) - COLUMN(BL22) + 1, ""))&lt;&gt;"","BRO","")</f>
        <v>BRO</v>
      </c>
      <c r="HW22" s="44" t="str" cm="1">
        <f t="array" ref="HW22">IF(_xlfn.TEXTJOIN(", ", TRUE, IF(ISNUMBER(SEARCH("PUR", BL22:BT22)), COLUMN(BL22:BT22) - COLUMN(BL22) + 1, ""))&lt;&gt;"","PUR","")</f>
        <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L22" s="44">
        <f t="shared" si="132"/>
        <v>0</v>
      </c>
      <c r="IM22" s="42">
        <f t="shared" si="133"/>
        <v>-6</v>
      </c>
      <c r="IN22" s="69" t="str">
        <f t="shared" si="134"/>
        <v>http://mkweb.bcgsc.ca/color-summarizer/?url=https://upload.wikimedia.org/wikipedia/commons/thumb/3/30/Bandeira_do_Rio_Grande_do_Norte.svg/640px-Bandeira_do_Rio_Grande_do_Norte.svg.png&amp;precision=low&amp;num_clusters=6&amp;text=1</v>
      </c>
      <c r="IO22" s="44" t="str">
        <f t="shared" si="135"/>
        <v>"black"</v>
      </c>
      <c r="IP22" s="44" t="str">
        <f t="shared" si="136"/>
        <v>"blue"</v>
      </c>
      <c r="IQ22" s="44" t="str">
        <f t="shared" si="137"/>
        <v>"green"</v>
      </c>
      <c r="IR22" s="44" t="str">
        <f t="shared" si="138"/>
        <v/>
      </c>
      <c r="IS22" s="44" t="str">
        <f t="shared" si="139"/>
        <v>"yellow"</v>
      </c>
      <c r="IT22" s="44" t="str">
        <f t="shared" si="140"/>
        <v/>
      </c>
      <c r="IU22" s="44" t="str">
        <f t="shared" si="141"/>
        <v>"brown"</v>
      </c>
      <c r="IV22" s="44" t="str">
        <f t="shared" si="142"/>
        <v/>
      </c>
      <c r="IW22" s="44" t="str">
        <f t="shared" si="143"/>
        <v>"white"</v>
      </c>
      <c r="IX22" s="44" t="str">
        <f t="shared" si="144"/>
        <v>{"url":"http://mkweb.bcgsc.ca/color-summarizer/?url=https://upload.wikimedia.org/wikipedia/commons/thumb/3/30/Bandeira_do_Rio_Grande_do_Norte.svg/640px-Bandeira_do_Rio_Grande_do_Norte.svg.png&amp;precision=low&amp;num_clusters=6&amp;text=1","name":"[BRA] Rio Grande do Norte"},</v>
      </c>
      <c r="IY22" s="44">
        <v>346</v>
      </c>
    </row>
    <row r="23" spans="1:259" s="44" customFormat="1" ht="38.4" customHeight="1" thickBot="1" x14ac:dyDescent="0.35">
      <c r="A23" s="84" t="s">
        <v>421</v>
      </c>
      <c r="B23" s="83" t="e" vm="45">
        <v>#VALUE!</v>
      </c>
      <c r="C23" s="39">
        <v>2</v>
      </c>
      <c r="D23" s="70" t="s">
        <v>422</v>
      </c>
      <c r="E23" s="40" t="s">
        <v>423</v>
      </c>
      <c r="F23" s="41" t="s">
        <v>163</v>
      </c>
      <c r="G23" s="42">
        <f t="shared" si="0"/>
        <v>1</v>
      </c>
      <c r="H23" s="43"/>
      <c r="I23" s="59" t="s">
        <v>424</v>
      </c>
      <c r="J23" s="44" t="str">
        <f>""</f>
        <v/>
      </c>
      <c r="K23" s="45"/>
      <c r="L23" s="46"/>
      <c r="M23" s="46"/>
      <c r="N23" s="47" t="s">
        <v>177</v>
      </c>
      <c r="O23" s="74" t="s">
        <v>178</v>
      </c>
      <c r="P23" s="48" t="s">
        <v>425</v>
      </c>
      <c r="Q23" s="73">
        <v>4</v>
      </c>
      <c r="R23" s="49" t="s">
        <v>177</v>
      </c>
      <c r="S23" s="50">
        <v>3</v>
      </c>
      <c r="T23" s="51" t="s">
        <v>165</v>
      </c>
      <c r="U23" s="52" t="s">
        <v>164</v>
      </c>
      <c r="V23" s="52" t="s">
        <v>164</v>
      </c>
      <c r="W23" s="52" t="s">
        <v>164</v>
      </c>
      <c r="X23" s="52" t="s">
        <v>165</v>
      </c>
      <c r="Y23" s="52" t="s">
        <v>164</v>
      </c>
      <c r="Z23" s="52" t="s">
        <v>164</v>
      </c>
      <c r="AA23" s="52" t="s">
        <v>165</v>
      </c>
      <c r="AB23" s="52" t="s">
        <v>165</v>
      </c>
      <c r="AC23" s="52" t="s">
        <v>165</v>
      </c>
      <c r="AD23" s="52" t="s">
        <v>164</v>
      </c>
      <c r="AE23" s="52" t="s">
        <v>164</v>
      </c>
      <c r="AF23" s="53" t="s">
        <v>164</v>
      </c>
      <c r="AG23" s="53" t="s">
        <v>164</v>
      </c>
      <c r="AH23" s="53" t="s">
        <v>165</v>
      </c>
      <c r="AI23" s="53" t="s">
        <v>164</v>
      </c>
      <c r="AJ23" s="53" t="s">
        <v>164</v>
      </c>
      <c r="AK23" s="53" t="s">
        <v>164</v>
      </c>
      <c r="AL23" s="53" t="s">
        <v>164</v>
      </c>
      <c r="AM23" s="53" t="s">
        <v>164</v>
      </c>
      <c r="AN23" s="53" t="s">
        <v>164</v>
      </c>
      <c r="AO23" s="53" t="s">
        <v>165</v>
      </c>
      <c r="AP23" s="53" t="s">
        <v>164</v>
      </c>
      <c r="AQ23" s="53" t="s">
        <v>164</v>
      </c>
      <c r="AR23" s="53" t="s">
        <v>164</v>
      </c>
      <c r="AS23" s="53" t="s">
        <v>164</v>
      </c>
      <c r="AT23" s="54">
        <v>2</v>
      </c>
      <c r="AU23" s="53" t="s">
        <v>308</v>
      </c>
      <c r="AV23" s="53" t="str">
        <f t="shared" si="1"/>
        <v>[BRA]State[BRA] Rio Grande do Sul</v>
      </c>
      <c r="AW23" s="53" t="str">
        <f t="shared" si="2"/>
        <v>2[BRA] Rio Grande do Sul</v>
      </c>
      <c r="AX23" s="55"/>
      <c r="AY23" s="55"/>
      <c r="AZ23" s="56" t="s">
        <v>157</v>
      </c>
      <c r="BA23" s="56"/>
      <c r="BB23" s="56"/>
      <c r="BC23" s="57"/>
      <c r="BD23" s="58" t="s">
        <v>167</v>
      </c>
      <c r="BE23" s="59"/>
      <c r="BF23" s="58" t="s">
        <v>153</v>
      </c>
      <c r="BG23" s="58" t="s">
        <v>154</v>
      </c>
      <c r="BH23" s="58" t="s">
        <v>155</v>
      </c>
      <c r="BI23" s="58"/>
      <c r="BJ23" s="58"/>
      <c r="BK23" s="59"/>
      <c r="BL23" s="58" t="s">
        <v>153</v>
      </c>
      <c r="BM23" s="58" t="s">
        <v>154</v>
      </c>
      <c r="BN23" s="58" t="s">
        <v>155</v>
      </c>
      <c r="BO23" s="58" t="s">
        <v>159</v>
      </c>
      <c r="BP23" s="58" t="s">
        <v>151</v>
      </c>
      <c r="BQ23" s="58" t="s">
        <v>152</v>
      </c>
      <c r="BR23" s="58" t="s">
        <v>157</v>
      </c>
      <c r="BS23" s="58" t="s">
        <v>218</v>
      </c>
      <c r="BT23" s="58"/>
      <c r="BU23" s="60"/>
      <c r="BV23" s="61"/>
      <c r="BW23" s="61">
        <v>0</v>
      </c>
      <c r="BX23" s="59"/>
      <c r="BY23" s="44" t="s">
        <v>165</v>
      </c>
      <c r="CB23" s="5"/>
      <c r="CC23" s="5"/>
      <c r="CD23" s="62">
        <v>0</v>
      </c>
      <c r="CE23" s="62">
        <v>0</v>
      </c>
      <c r="CF23" s="62" t="e">
        <v>#REF!</v>
      </c>
      <c r="CG23" s="75" cm="1">
        <f t="array" ref="CG23">SUMPRODUCT(--(LEN(TRIM(BL23:BT23))&gt;0))</f>
        <v>8</v>
      </c>
      <c r="CH23" s="53" t="str">
        <f t="shared" si="3"/>
        <v>n</v>
      </c>
      <c r="CI23" s="53" t="str">
        <f t="shared" si="4"/>
        <v>n</v>
      </c>
      <c r="CJ23" s="53" t="str">
        <f t="shared" si="5"/>
        <v>n</v>
      </c>
      <c r="CK23" s="53" t="str">
        <f t="shared" si="6"/>
        <v>y</v>
      </c>
      <c r="CL23" s="53" t="str">
        <f t="shared" si="7"/>
        <v>n</v>
      </c>
      <c r="CM23" s="53" t="str">
        <f t="shared" si="8"/>
        <v>n</v>
      </c>
      <c r="CN23" s="53" t="str">
        <f t="shared" si="9"/>
        <v>y</v>
      </c>
      <c r="CO23" s="53" t="str">
        <f t="shared" si="10"/>
        <v>n</v>
      </c>
      <c r="CP23" s="53" t="str">
        <f t="shared" si="11"/>
        <v>n</v>
      </c>
      <c r="CQ23" s="53" t="str">
        <f t="shared" si="12"/>
        <v>n</v>
      </c>
      <c r="CR23" s="53" t="str">
        <f t="shared" si="13"/>
        <v>y</v>
      </c>
      <c r="CS23" s="53" t="str">
        <f t="shared" si="14"/>
        <v>n</v>
      </c>
      <c r="CT23" s="38" t="str">
        <f t="shared" si="15"/>
        <v>"[BRA] Rio Grande do Sul"</v>
      </c>
      <c r="CU23" s="63" t="str">
        <f t="shared" si="16"/>
        <v>"rgn_South America"</v>
      </c>
      <c r="CV23" s="44" t="str">
        <f t="shared" si="17"/>
        <v>"https://upload.wikimedia.org/wikipedia/commons/thumb/6/63/Bandeira_do_Rio_Grande_do_Sul.svg/640px-Bandeira_do_Rio_Grande_do_Sul.svg.png"</v>
      </c>
      <c r="CW23" s="44" t="str">
        <f t="shared" si="18"/>
        <v/>
      </c>
      <c r="CX23" s="44" t="str">
        <f t="shared" si="19"/>
        <v/>
      </c>
      <c r="CY23" s="44" t="str">
        <f t="shared" si="20"/>
        <v/>
      </c>
      <c r="CZ23" s="44" t="str">
        <f t="shared" si="21"/>
        <v>"5+Colo",</v>
      </c>
      <c r="DA23" s="44" t="str">
        <f t="shared" si="22"/>
        <v>"words2",</v>
      </c>
      <c r="DB23" s="44" t="str">
        <f t="shared" si="23"/>
        <v>"words3",</v>
      </c>
      <c r="DC23" s="44" t="str">
        <f t="shared" si="24"/>
        <v/>
      </c>
      <c r="DD23" s="44" t="str">
        <f t="shared" si="25"/>
        <v>"lets14",</v>
      </c>
      <c r="DE23" s="44" t="str">
        <f t="shared" si="26"/>
        <v>"startR",</v>
      </c>
      <c r="DF23" s="44" t="str">
        <f t="shared" si="27"/>
        <v/>
      </c>
      <c r="DG23" s="44" t="str">
        <f t="shared" si="28"/>
        <v/>
      </c>
      <c r="DH23" s="44" t="str">
        <f t="shared" si="29"/>
        <v/>
      </c>
      <c r="DI23" s="44" t="str">
        <f t="shared" si="30"/>
        <v/>
      </c>
      <c r="DJ23" s="44" t="str">
        <f t="shared" si="31"/>
        <v/>
      </c>
      <c r="DK23" s="44" t="str">
        <f t="shared" si="32"/>
        <v/>
      </c>
      <c r="DL23" s="44" t="str">
        <f t="shared" si="33"/>
        <v/>
      </c>
      <c r="DM23" s="44" t="str" cm="1">
        <f t="array" ref="DM23">IF(CG23=3,CHAR(34) &amp; _xlfn.TEXTJOIN("", TRUE, RIGHT(HP23:HX23, 2)) &amp; CHAR(34) &amp; ",", "")</f>
        <v/>
      </c>
      <c r="DN23" s="44" t="str">
        <f t="shared" si="34"/>
        <v/>
      </c>
      <c r="DO23" s="44" t="str">
        <f t="shared" si="35"/>
        <v>"year19",</v>
      </c>
      <c r="DP23" s="5" t="str">
        <f t="shared" si="36"/>
        <v/>
      </c>
      <c r="DQ23" s="5" t="str">
        <f t="shared" si="37"/>
        <v/>
      </c>
      <c r="DR23" s="5" t="str">
        <f t="shared" si="38"/>
        <v>"dgband",</v>
      </c>
      <c r="DS23" s="5" t="str">
        <f t="shared" si="39"/>
        <v/>
      </c>
      <c r="DT23" s="5" t="str">
        <f t="shared" si="40"/>
        <v/>
      </c>
      <c r="DU23" s="5" t="str">
        <f t="shared" si="41"/>
        <v>"alldia",</v>
      </c>
      <c r="DV23" s="44" t="str">
        <f t="shared" si="42"/>
        <v/>
      </c>
      <c r="DW23" s="44" t="str">
        <f t="shared" si="43"/>
        <v/>
      </c>
      <c r="DX23" s="44" t="str">
        <f t="shared" si="44"/>
        <v/>
      </c>
      <c r="DY23" s="44" t="str">
        <f t="shared" si="45"/>
        <v>"3Bands",</v>
      </c>
      <c r="DZ23" s="44" t="str">
        <f t="shared" si="46"/>
        <v/>
      </c>
      <c r="EA23" s="44" t="str">
        <f t="shared" si="47"/>
        <v>"Diagon",</v>
      </c>
      <c r="EB23" s="44" t="str">
        <f t="shared" si="48"/>
        <v/>
      </c>
      <c r="EC23" s="44" t="str">
        <f t="shared" si="49"/>
        <v/>
      </c>
      <c r="ED23" s="44" t="str">
        <f t="shared" si="50"/>
        <v/>
      </c>
      <c r="EE23" s="44" t="str">
        <f t="shared" si="51"/>
        <v>"Circle",</v>
      </c>
      <c r="EF23" s="44" t="str">
        <f t="shared" si="52"/>
        <v/>
      </c>
      <c r="EG23" s="44" t="str">
        <f t="shared" si="53"/>
        <v/>
      </c>
      <c r="EH23" s="44" t="str">
        <f t="shared" si="54"/>
        <v>"Plants",</v>
      </c>
      <c r="EI23" s="44" t="str">
        <f t="shared" si="55"/>
        <v>"Texted",</v>
      </c>
      <c r="EJ23" s="44" t="str">
        <f t="shared" si="56"/>
        <v>"Weapon",</v>
      </c>
      <c r="EK23" s="44" t="str">
        <f t="shared" si="57"/>
        <v/>
      </c>
      <c r="EL23" s="44" t="str">
        <f t="shared" si="58"/>
        <v/>
      </c>
      <c r="EM23" s="44" t="str">
        <f t="shared" si="59"/>
        <v/>
      </c>
      <c r="EN23" s="44" t="str">
        <f t="shared" si="60"/>
        <v/>
      </c>
      <c r="EO23" s="44" t="str">
        <f t="shared" si="61"/>
        <v>"Center",</v>
      </c>
      <c r="EP23" s="44" t="str">
        <f t="shared" si="62"/>
        <v/>
      </c>
      <c r="EQ23" s="44" t="str">
        <f t="shared" si="63"/>
        <v/>
      </c>
      <c r="ER23" s="44" t="str">
        <f t="shared" si="64"/>
        <v/>
      </c>
      <c r="ES23" s="44" t="str">
        <f t="shared" si="65"/>
        <v/>
      </c>
      <c r="ET23" s="44" t="str">
        <f t="shared" si="66"/>
        <v/>
      </c>
      <c r="EU23" s="44" t="str">
        <f t="shared" si="67"/>
        <v/>
      </c>
      <c r="EV23" s="44" t="str">
        <f t="shared" si="68"/>
        <v>"Builds",</v>
      </c>
      <c r="EW23" s="44" t="str">
        <f t="shared" si="69"/>
        <v/>
      </c>
      <c r="EX23" s="44" t="str">
        <f t="shared" si="70"/>
        <v/>
      </c>
      <c r="EY23" s="44" t="str">
        <f t="shared" si="71"/>
        <v/>
      </c>
      <c r="EZ23" s="44" t="str">
        <f t="shared" si="72"/>
        <v/>
      </c>
      <c r="FA23" s="44" t="str">
        <f t="shared" si="73"/>
        <v>"staBRO",</v>
      </c>
      <c r="FB23" s="44" t="str">
        <f t="shared" si="74"/>
        <v/>
      </c>
      <c r="FC23" s="44" t="str">
        <f t="shared" si="75"/>
        <v/>
      </c>
      <c r="FD23" s="44" t="str">
        <f t="shared" si="76"/>
        <v/>
      </c>
      <c r="FE23" s="44" t="str">
        <f t="shared" si="77"/>
        <v/>
      </c>
      <c r="FF23" s="44" t="str">
        <f t="shared" si="78"/>
        <v/>
      </c>
      <c r="FG23" s="44" t="str">
        <f t="shared" si="79"/>
        <v/>
      </c>
      <c r="FH23" s="44" t="str">
        <f t="shared" si="80"/>
        <v/>
      </c>
      <c r="FI23" s="44" t="str">
        <f t="shared" si="81"/>
        <v/>
      </c>
      <c r="FJ23" s="44" t="str">
        <f t="shared" si="82"/>
        <v/>
      </c>
      <c r="FK23" s="44" t="str">
        <f t="shared" si="83"/>
        <v/>
      </c>
      <c r="FL23" s="44" t="str">
        <f t="shared" si="84"/>
        <v/>
      </c>
      <c r="FM23" s="44" t="str">
        <f t="shared" si="85"/>
        <v/>
      </c>
      <c r="FN23" s="44" t="str">
        <f t="shared" si="86"/>
        <v/>
      </c>
      <c r="FO23" s="44" t="str">
        <f t="shared" si="87"/>
        <v/>
      </c>
      <c r="FP23" s="44" t="str">
        <f t="shared" si="88"/>
        <v/>
      </c>
      <c r="FQ23" s="44" t="str">
        <f t="shared" si="89"/>
        <v>"001GRE",</v>
      </c>
      <c r="FR23" s="44" t="str">
        <f t="shared" si="90"/>
        <v>"002RED",</v>
      </c>
      <c r="FS23" s="44" t="str">
        <f t="shared" si="91"/>
        <v>"003YEL",</v>
      </c>
      <c r="FT23" s="44" t="str">
        <f t="shared" si="92"/>
        <v>"myrEQ",</v>
      </c>
      <c r="FU23" s="44" t="str">
        <f t="shared" si="93"/>
        <v/>
      </c>
      <c r="FV23" s="44" t="str">
        <f t="shared" si="94"/>
        <v/>
      </c>
      <c r="FW23" s="44" t="str">
        <f t="shared" si="95"/>
        <v/>
      </c>
      <c r="FX23" s="44" t="str">
        <f t="shared" si="96"/>
        <v/>
      </c>
      <c r="FY23" s="44" t="str">
        <f t="shared" si="97"/>
        <v/>
      </c>
      <c r="FZ23" s="44" t="str">
        <f t="shared" si="98"/>
        <v/>
      </c>
      <c r="GA23" s="44" t="str">
        <f t="shared" si="99"/>
        <v/>
      </c>
      <c r="GB23" s="44" t="str">
        <f t="shared" si="100"/>
        <v/>
      </c>
      <c r="GC23" s="44" t="str">
        <f t="shared" si="101"/>
        <v/>
      </c>
      <c r="GD23" s="44" t="str">
        <f t="shared" si="102"/>
        <v/>
      </c>
      <c r="GE23" s="44" t="str">
        <f t="shared" si="103"/>
        <v/>
      </c>
      <c r="GF23" s="44" t="str">
        <f t="shared" si="145"/>
        <v/>
      </c>
      <c r="GG23" s="44" t="str">
        <f t="shared" si="104"/>
        <v/>
      </c>
      <c r="GH23" s="44" t="str">
        <f t="shared" si="105"/>
        <v/>
      </c>
      <c r="GI23" s="44" t="str">
        <f t="shared" si="106"/>
        <v/>
      </c>
      <c r="GJ23" s="44" t="str">
        <f t="shared" si="107"/>
        <v/>
      </c>
      <c r="GK23" s="44" t="str">
        <f t="shared" si="108"/>
        <v>"HasSta",</v>
      </c>
      <c r="GL23" s="44" t="str">
        <f t="shared" si="109"/>
        <v/>
      </c>
      <c r="GM23" s="44" t="str">
        <f t="shared" si="110"/>
        <v>"2Stars",</v>
      </c>
      <c r="GN23" s="44" t="str">
        <f t="shared" si="111"/>
        <v/>
      </c>
      <c r="GP23" s="44" t="str">
        <f t="shared" si="112"/>
        <v>"State"</v>
      </c>
      <c r="GS23" s="44" t="str">
        <f t="shared" si="113"/>
        <v>["5+Colo","words2","words3","lets14","startR","year19","dgband","alldia","3Bands","Diagon","Circle","Plants","Texted","Weapon","Center","Builds","staBRO","001GRE","002RED","003YEL","myrEQ","HasSta","2Stars"]</v>
      </c>
      <c r="GT23" s="44" t="str">
        <f t="shared" si="114"/>
        <v>"cl_GRE",</v>
      </c>
      <c r="GU23" s="44" t="str">
        <f t="shared" si="115"/>
        <v>"cl_RED",</v>
      </c>
      <c r="GV23" s="44" t="str">
        <f t="shared" si="116"/>
        <v>"cl_YEL",</v>
      </c>
      <c r="GW23" s="44" t="str">
        <f t="shared" si="117"/>
        <v>"cl_WHI",</v>
      </c>
      <c r="GX23" s="44" t="str">
        <f t="shared" si="118"/>
        <v>"cl_BLA",</v>
      </c>
      <c r="GY23" s="44" t="str">
        <f t="shared" si="119"/>
        <v>"cl_BLU",</v>
      </c>
      <c r="GZ23" s="44" t="str">
        <f t="shared" si="120"/>
        <v>"cl_BRO",</v>
      </c>
      <c r="HA23" s="44" t="str">
        <f t="shared" si="121"/>
        <v>"cl_GRA",</v>
      </c>
      <c r="HB23" s="44" t="str">
        <f t="shared" si="122"/>
        <v/>
      </c>
      <c r="HC23" s="44" t="str">
        <f t="shared" si="123"/>
        <v>["cl_GRE","cl_RED","cl_YEL","cl_WHI","cl_BLA","cl_BLU","cl_BRO","cl_GRA"]</v>
      </c>
      <c r="HE23" s="64"/>
      <c r="HF23" s="65" t="str">
        <f t="shared" si="124"/>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links: "https://pt.wikipedia.org/wiki/Bandeira_do_Rio_Grande_do_Sul"},</v>
      </c>
      <c r="HG23" s="66" t="str">
        <f t="shared" si="125"/>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links: "https://pt.wikipedia.org/wiki/Bandeira_do_Rio_Grande_do_Sul"},</v>
      </c>
      <c r="HH23" s="44" t="str">
        <f t="shared" si="126"/>
        <v>"\nMansueto Bernardi said: Is identified with the green of our landscapes, the gold of the ground we walk on, and the red of the modesty that makes us honorable and always prepared to defend our land."</v>
      </c>
      <c r="HI23" s="44" t="str">
        <f t="shared" si="127"/>
        <v>"\nMansueto Bernardi said: Is identified with the green of our landscapes, the gold of the ground we walk on, and the red of the modesty that makes us honorable and always prepared to defend our land."</v>
      </c>
      <c r="HJ23" s="44" t="str">
        <f t="shared" si="128"/>
        <v>"1966 "</v>
      </c>
      <c r="HL23" s="44" t="str">
        <f t="shared" si="129"/>
        <v>"https://pt.wikipedia.org/wiki/Bandeira_do_Rio_Grande_do_Sul"</v>
      </c>
      <c r="HM23" s="65" t="str">
        <f t="shared" si="130"/>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N23" s="67" t="str">
        <f t="shared" si="131"/>
        <v>{"couname":"[BRA] Rio Grande do Sul","year":"1966 ","region":"rgn_South America","Colors":["cl_GRE","cl_RED","cl_YEL","cl_WHI","cl_BLA","cl_BLU","cl_BRO","cl_GRA"],"Items":["5+Colo","words2","words3","lets14","startR","year19","dgband","alldia","3Bands","Diagon","Circle","Plants","Texted","Weapon","Center","Builds","staBRO","001GRE","002RED","003YEL","myrEQ","HasSta","2Stars"],"Flag":"https://upload.wikimedia.org/wikipedia/commons/thumb/6/63/Bandeira_do_Rio_Grande_do_Sul.svg/640px-Bandeira_do_Rio_Grande_do_Sul.svg.png","HDFlag":"https://upload.wikimedia.org/wikipedia/commons/thumb/6/63/Bandeira_do_Rio_Grande_do_Sul.svg/2560px-Bandeira_do_Rio_Grande_do_Sul.svg.png","type":"State", "describe": "\nMansueto Bernardi said: Is identified with the green of our landscapes, the gold of the ground we walk on, and the red of the modesty that makes us honorable and always prepared to defend our land.", "isnew": ".", "links": "https://pt.wikipedia.org/wiki/Bandeira_do_Rio_Grande_do_Sul"},</v>
      </c>
      <c r="HO23" s="71"/>
      <c r="HP23" s="44" t="str" cm="1">
        <f t="array" ref="HP23">IF(_xlfn.TEXTJOIN(", ", TRUE, IF(ISNUMBER(SEARCH("BLA", BL23:BT23)), COLUMN(BL23:BT23) - COLUMN(BL23) + 1, ""))&lt;&gt;"","BLA","")</f>
        <v>BLA</v>
      </c>
      <c r="HQ23" s="44" t="str" cm="1">
        <f t="array" ref="HQ23">IF(_xlfn.TEXTJOIN(", ", TRUE, IF(ISNUMBER(SEARCH("BLU", BL23:BT23)), COLUMN(BL23:BT23) - COLUMN(BL23) + 1, ""))&lt;&gt;"","BLU","")</f>
        <v>BLU</v>
      </c>
      <c r="HR23" s="44" t="str" cm="1">
        <f t="array" ref="HR23">IF(_xlfn.TEXTJOIN(", ", TRUE, IF(ISNUMBER(SEARCH("GRE", BL23:BT23)), COLUMN(BL23:BT23) - COLUMN(BL23) + 1, ""))&lt;&gt;"","GRE","")</f>
        <v>GRE</v>
      </c>
      <c r="HS23" s="44" t="str" cm="1">
        <f t="array" ref="HS23">IF(_xlfn.TEXTJOIN(", ", TRUE, IF(ISNUMBER(SEARCH("RED", BL23:BT23)), COLUMN(BL23:BT23) - COLUMN(BL23) + 1, ""))&lt;&gt;"","RED","")</f>
        <v>RED</v>
      </c>
      <c r="HT23" s="44" t="str" cm="1">
        <f t="array" ref="HT23">IF(_xlfn.TEXTJOIN(", ", TRUE, IF(ISNUMBER(SEARCH("YEL", BL23:BT23)), COLUMN(BL23:BT23) - COLUMN(BL23) + 1, ""))&lt;&gt;"","YEL","")</f>
        <v>YEL</v>
      </c>
      <c r="HU23" s="44" t="str" cm="1">
        <f t="array" ref="HU23">IF(_xlfn.TEXTJOIN(", ", TRUE, IF(ISNUMBER(SEARCH("ORA", BL23:BT23)), COLUMN(BL23:BT23) - COLUMN(BL23) + 1, ""))&lt;&gt;"","ORA","")</f>
        <v/>
      </c>
      <c r="HV23" s="44" t="str" cm="1">
        <f t="array" ref="HV23">IF(_xlfn.TEXTJOIN(", ", TRUE, IF(ISNUMBER(SEARCH("BRO", BL23:BT23)), COLUMN(BL23:BT23) - COLUMN(BL23) + 1, ""))&lt;&gt;"","BRO","")</f>
        <v>BRO</v>
      </c>
      <c r="HW23" s="44" t="str" cm="1">
        <f t="array" ref="HW23">IF(_xlfn.TEXTJOIN(", ", TRUE, IF(ISNUMBER(SEARCH("PUR", BL23:BT23)), COLUMN(BL23:BT23) - COLUMN(BL23) + 1, ""))&lt;&gt;"","PUR","")</f>
        <v/>
      </c>
      <c r="HX23" s="44" t="str" cm="1">
        <f t="array" ref="HX23">IF(_xlfn.TEXTJOIN(", ", TRUE, IF(ISNUMBER(SEARCH("WHI", BL23:BT23)), COLUMN(BL23:BT23) - COLUMN(BL23) + 1, ""))&lt;&gt;"","WHI","")</f>
        <v>WHI</v>
      </c>
      <c r="HY23" s="72"/>
      <c r="HZ23" s="72"/>
      <c r="IA23" s="5"/>
      <c r="IB23" s="5"/>
      <c r="IC23" s="68"/>
      <c r="ID23" s="68"/>
      <c r="IE23" s="68"/>
      <c r="IF23" s="68"/>
      <c r="IG23" s="68"/>
      <c r="IH23" s="68"/>
      <c r="II23" s="68"/>
      <c r="IJ23" s="68"/>
      <c r="IK23" s="68"/>
      <c r="IL23" s="44">
        <f t="shared" si="132"/>
        <v>0</v>
      </c>
      <c r="IM23" s="42">
        <f t="shared" si="133"/>
        <v>-8</v>
      </c>
      <c r="IN23" s="69" t="str">
        <f t="shared" si="134"/>
        <v>http://mkweb.bcgsc.ca/color-summarizer/?url=https://upload.wikimedia.org/wikipedia/commons/thumb/6/63/Bandeira_do_Rio_Grande_do_Sul.svg/640px-Bandeira_do_Rio_Grande_do_Sul.svg.png&amp;precision=low&amp;num_clusters=8&amp;text=1</v>
      </c>
      <c r="IO23" s="44" t="str">
        <f t="shared" si="135"/>
        <v>"black"</v>
      </c>
      <c r="IP23" s="44" t="str">
        <f t="shared" si="136"/>
        <v>"blue"</v>
      </c>
      <c r="IQ23" s="44" t="str">
        <f t="shared" si="137"/>
        <v>"green"</v>
      </c>
      <c r="IR23" s="44" t="str">
        <f t="shared" si="138"/>
        <v>"red"</v>
      </c>
      <c r="IS23" s="44" t="str">
        <f t="shared" si="139"/>
        <v>"yellow"</v>
      </c>
      <c r="IT23" s="44" t="str">
        <f t="shared" si="140"/>
        <v/>
      </c>
      <c r="IU23" s="44" t="str">
        <f t="shared" si="141"/>
        <v>"brown"</v>
      </c>
      <c r="IV23" s="44" t="str">
        <f t="shared" si="142"/>
        <v/>
      </c>
      <c r="IW23" s="44" t="str">
        <f t="shared" si="143"/>
        <v>"white"</v>
      </c>
      <c r="IX23" s="44" t="str">
        <f t="shared" si="144"/>
        <v>{"url":"http://mkweb.bcgsc.ca/color-summarizer/?url=https://upload.wikimedia.org/wikipedia/commons/thumb/6/63/Bandeira_do_Rio_Grande_do_Sul.svg/640px-Bandeira_do_Rio_Grande_do_Sul.svg.png&amp;precision=low&amp;num_clusters=8&amp;text=1","name":"[BRA] Rio Grande do Sul"},</v>
      </c>
      <c r="IY23" s="44">
        <v>347</v>
      </c>
    </row>
    <row r="24" spans="1:259" s="44" customFormat="1" ht="38.4" customHeight="1" thickBot="1" x14ac:dyDescent="0.35">
      <c r="A24" s="84" t="s">
        <v>426</v>
      </c>
      <c r="B24" s="83" t="e" vm="46">
        <v>#VALUE!</v>
      </c>
      <c r="C24" s="39">
        <v>2</v>
      </c>
      <c r="D24" s="70" t="s">
        <v>427</v>
      </c>
      <c r="E24" s="40" t="s">
        <v>428</v>
      </c>
      <c r="F24" s="41" t="s">
        <v>163</v>
      </c>
      <c r="G24" s="42">
        <f t="shared" si="0"/>
        <v>1</v>
      </c>
      <c r="H24" s="43"/>
      <c r="I24" s="59" t="s">
        <v>429</v>
      </c>
      <c r="J24" s="44" t="str">
        <f>""</f>
        <v/>
      </c>
      <c r="K24" s="45"/>
      <c r="L24" s="46"/>
      <c r="M24" s="46"/>
      <c r="N24" s="47" t="s">
        <v>177</v>
      </c>
      <c r="O24" s="74" t="s">
        <v>188</v>
      </c>
      <c r="P24" s="48" t="s">
        <v>430</v>
      </c>
      <c r="Q24" s="73">
        <v>1</v>
      </c>
      <c r="R24" s="49" t="s">
        <v>177</v>
      </c>
      <c r="S24" s="50">
        <v>2</v>
      </c>
      <c r="T24" s="51" t="s">
        <v>165</v>
      </c>
      <c r="U24" s="52" t="s">
        <v>164</v>
      </c>
      <c r="V24" s="52" t="s">
        <v>165</v>
      </c>
      <c r="W24" s="52" t="s">
        <v>164</v>
      </c>
      <c r="X24" s="52" t="s">
        <v>164</v>
      </c>
      <c r="Y24" s="52" t="s">
        <v>164</v>
      </c>
      <c r="Z24" s="52" t="s">
        <v>164</v>
      </c>
      <c r="AA24" s="52" t="s">
        <v>164</v>
      </c>
      <c r="AB24" s="52" t="s">
        <v>164</v>
      </c>
      <c r="AC24" s="52" t="s">
        <v>164</v>
      </c>
      <c r="AD24" s="52" t="s">
        <v>164</v>
      </c>
      <c r="AE24" s="52" t="s">
        <v>164</v>
      </c>
      <c r="AF24" s="53" t="s">
        <v>164</v>
      </c>
      <c r="AG24" s="53" t="s">
        <v>164</v>
      </c>
      <c r="AH24" s="53" t="s">
        <v>165</v>
      </c>
      <c r="AI24" s="53" t="s">
        <v>164</v>
      </c>
      <c r="AJ24" s="53" t="s">
        <v>164</v>
      </c>
      <c r="AK24" s="53" t="s">
        <v>164</v>
      </c>
      <c r="AL24" s="53" t="s">
        <v>164</v>
      </c>
      <c r="AM24" s="53" t="s">
        <v>164</v>
      </c>
      <c r="AN24" s="53" t="s">
        <v>164</v>
      </c>
      <c r="AO24" s="53" t="s">
        <v>164</v>
      </c>
      <c r="AP24" s="53" t="s">
        <v>164</v>
      </c>
      <c r="AQ24" s="53" t="s">
        <v>164</v>
      </c>
      <c r="AR24" s="53" t="s">
        <v>164</v>
      </c>
      <c r="AS24" s="53" t="s">
        <v>164</v>
      </c>
      <c r="AT24" s="54">
        <v>1</v>
      </c>
      <c r="AU24" s="53" t="s">
        <v>308</v>
      </c>
      <c r="AV24" s="53" t="str">
        <f t="shared" si="1"/>
        <v>[BRA]State[BRA] Rondonia</v>
      </c>
      <c r="AW24" s="53" t="str">
        <f t="shared" si="2"/>
        <v>2[BRA] Rondonia</v>
      </c>
      <c r="AX24" s="55"/>
      <c r="AY24" s="55"/>
      <c r="AZ24" s="56" t="s">
        <v>159</v>
      </c>
      <c r="BA24" s="56"/>
      <c r="BB24" s="56"/>
      <c r="BC24" s="57"/>
      <c r="BD24" s="58" t="s">
        <v>152</v>
      </c>
      <c r="BE24" s="59"/>
      <c r="BF24" s="58" t="s">
        <v>152</v>
      </c>
      <c r="BG24" s="58"/>
      <c r="BH24" s="58" t="s">
        <v>155</v>
      </c>
      <c r="BI24" s="58"/>
      <c r="BJ24" s="58"/>
      <c r="BK24" s="59"/>
      <c r="BL24" s="58" t="s">
        <v>152</v>
      </c>
      <c r="BM24" s="58" t="s">
        <v>155</v>
      </c>
      <c r="BN24" s="58" t="s">
        <v>159</v>
      </c>
      <c r="BO24" s="58" t="s">
        <v>153</v>
      </c>
      <c r="BP24" s="58"/>
      <c r="BQ24" s="58"/>
      <c r="BR24" s="58"/>
      <c r="BS24" s="58"/>
      <c r="BT24" s="58"/>
      <c r="BU24" s="60"/>
      <c r="BV24" s="61"/>
      <c r="BW24" s="61">
        <v>0</v>
      </c>
      <c r="BX24" s="59"/>
      <c r="BY24" s="44" t="s">
        <v>164</v>
      </c>
      <c r="CB24" s="5"/>
      <c r="CC24" s="5"/>
      <c r="CD24" s="62">
        <v>0</v>
      </c>
      <c r="CE24" s="62">
        <v>0</v>
      </c>
      <c r="CF24" s="62" t="e">
        <v>#REF!</v>
      </c>
      <c r="CG24" s="75" cm="1">
        <f t="array" ref="CG24">SUMPRODUCT(--(LEN(TRIM(BL24:BT24))&gt;0))</f>
        <v>4</v>
      </c>
      <c r="CH24" s="53" t="str">
        <f t="shared" si="3"/>
        <v>n</v>
      </c>
      <c r="CI24" s="53" t="str">
        <f t="shared" si="4"/>
        <v>n</v>
      </c>
      <c r="CJ24" s="53" t="str">
        <f t="shared" si="5"/>
        <v>y</v>
      </c>
      <c r="CK24" s="53" t="str">
        <f t="shared" si="6"/>
        <v>n</v>
      </c>
      <c r="CL24" s="53" t="str">
        <f t="shared" si="7"/>
        <v>n</v>
      </c>
      <c r="CM24" s="53" t="str">
        <f t="shared" si="8"/>
        <v>y</v>
      </c>
      <c r="CN24" s="53" t="str">
        <f t="shared" si="9"/>
        <v>n</v>
      </c>
      <c r="CO24" s="53" t="str">
        <f t="shared" si="10"/>
        <v>n</v>
      </c>
      <c r="CP24" s="53" t="str">
        <f t="shared" si="11"/>
        <v>n</v>
      </c>
      <c r="CQ24" s="53" t="str">
        <f t="shared" si="12"/>
        <v>y</v>
      </c>
      <c r="CR24" s="53" t="str">
        <f t="shared" si="13"/>
        <v>n</v>
      </c>
      <c r="CS24" s="53" t="str">
        <f t="shared" si="14"/>
        <v>n</v>
      </c>
      <c r="CT24" s="38" t="str">
        <f t="shared" si="15"/>
        <v>"[BRA] Rondonia"</v>
      </c>
      <c r="CU24" s="63" t="str">
        <f t="shared" si="16"/>
        <v>"rgn_South America"</v>
      </c>
      <c r="CV24" s="44" t="str">
        <f t="shared" si="17"/>
        <v>"https://upload.wikimedia.org/wikipedia/commons/thumb/f/fa/Bandeira_de_Rond%C3%B4nia.svg/640px-Bandeira_de_Rond%C3%B4nia.svg.png"</v>
      </c>
      <c r="CW24" s="44" t="str">
        <f t="shared" si="18"/>
        <v/>
      </c>
      <c r="CX24" s="44" t="str">
        <f t="shared" si="19"/>
        <v/>
      </c>
      <c r="CY24" s="44" t="str">
        <f t="shared" si="20"/>
        <v>"4Color",</v>
      </c>
      <c r="CZ24" s="44" t="str">
        <f t="shared" si="21"/>
        <v/>
      </c>
      <c r="DA24" s="44" t="str">
        <f t="shared" si="22"/>
        <v/>
      </c>
      <c r="DB24" s="44" t="str">
        <f t="shared" si="23"/>
        <v/>
      </c>
      <c r="DC24" s="44" t="str">
        <f t="shared" si="24"/>
        <v/>
      </c>
      <c r="DD24" s="44" t="str">
        <f t="shared" si="25"/>
        <v>"lets08",</v>
      </c>
      <c r="DE24" s="44" t="str">
        <f t="shared" si="26"/>
        <v>"startR",</v>
      </c>
      <c r="DF24" s="44" t="str">
        <f t="shared" si="27"/>
        <v/>
      </c>
      <c r="DG24" s="44" t="str">
        <f t="shared" si="28"/>
        <v/>
      </c>
      <c r="DH24" s="44" t="str">
        <f t="shared" si="29"/>
        <v/>
      </c>
      <c r="DI24" s="44" t="str">
        <f t="shared" si="30"/>
        <v/>
      </c>
      <c r="DJ24" s="44" t="str">
        <f t="shared" si="31"/>
        <v/>
      </c>
      <c r="DK24" s="44" t="str">
        <f t="shared" si="32"/>
        <v/>
      </c>
      <c r="DL24" s="44" t="str">
        <f t="shared" si="33"/>
        <v/>
      </c>
      <c r="DM24" s="44" t="str" cm="1">
        <f t="array" ref="DM24">IF(CG24=3,CHAR(34) &amp; _xlfn.TEXTJOIN("", TRUE, RIGHT(HP24:HX24, 2)) &amp; CHAR(34) &amp; ",", "")</f>
        <v/>
      </c>
      <c r="DN24" s="44" t="str">
        <f t="shared" si="34"/>
        <v/>
      </c>
      <c r="DO24" s="44" t="str">
        <f t="shared" si="35"/>
        <v>"year19",</v>
      </c>
      <c r="DP24" s="5" t="str">
        <f t="shared" si="36"/>
        <v/>
      </c>
      <c r="DQ24" s="5" t="str">
        <f t="shared" si="37"/>
        <v/>
      </c>
      <c r="DR24" s="5" t="str">
        <f t="shared" si="38"/>
        <v/>
      </c>
      <c r="DS24" s="5" t="str">
        <f t="shared" si="39"/>
        <v/>
      </c>
      <c r="DT24" s="5" t="str">
        <f t="shared" si="40"/>
        <v>"allhor",</v>
      </c>
      <c r="DU24" s="5" t="str">
        <f t="shared" si="41"/>
        <v/>
      </c>
      <c r="DV24" s="44" t="str">
        <f t="shared" si="42"/>
        <v/>
      </c>
      <c r="DW24" s="44" t="str">
        <f t="shared" si="43"/>
        <v/>
      </c>
      <c r="DX24" s="44" t="str">
        <f t="shared" si="44"/>
        <v>"2Bands",</v>
      </c>
      <c r="DY24" s="44" t="str">
        <f t="shared" si="45"/>
        <v/>
      </c>
      <c r="DZ24" s="44" t="str">
        <f t="shared" si="46"/>
        <v/>
      </c>
      <c r="EA24" s="44" t="str">
        <f t="shared" si="47"/>
        <v>"Diagon",</v>
      </c>
      <c r="EB24" s="44" t="str">
        <f t="shared" si="48"/>
        <v/>
      </c>
      <c r="EC24" s="44" t="str">
        <f t="shared" si="49"/>
        <v>"Horizo",</v>
      </c>
      <c r="ED24" s="44" t="str">
        <f t="shared" si="50"/>
        <v/>
      </c>
      <c r="EE24" s="44" t="str">
        <f t="shared" si="51"/>
        <v/>
      </c>
      <c r="EF24" s="44" t="str">
        <f t="shared" si="52"/>
        <v/>
      </c>
      <c r="EG24" s="44" t="str">
        <f t="shared" si="53"/>
        <v/>
      </c>
      <c r="EH24" s="44" t="str">
        <f t="shared" si="54"/>
        <v/>
      </c>
      <c r="EI24" s="44" t="str">
        <f t="shared" si="55"/>
        <v/>
      </c>
      <c r="EJ24" s="44" t="str">
        <f t="shared" si="56"/>
        <v/>
      </c>
      <c r="EK24" s="44" t="str">
        <f t="shared" si="57"/>
        <v/>
      </c>
      <c r="EL24" s="44" t="str">
        <f t="shared" si="58"/>
        <v/>
      </c>
      <c r="EM24" s="44" t="str">
        <f t="shared" si="59"/>
        <v/>
      </c>
      <c r="EN24" s="44" t="str">
        <f t="shared" si="60"/>
        <v/>
      </c>
      <c r="EO24" s="44" t="str">
        <f t="shared" si="61"/>
        <v>"Center",</v>
      </c>
      <c r="EP24" s="44" t="str">
        <f t="shared" si="62"/>
        <v/>
      </c>
      <c r="EQ24" s="44" t="str">
        <f t="shared" si="63"/>
        <v/>
      </c>
      <c r="ER24" s="44" t="str">
        <f t="shared" si="64"/>
        <v/>
      </c>
      <c r="ES24" s="44" t="str">
        <f t="shared" si="65"/>
        <v/>
      </c>
      <c r="ET24" s="44" t="str">
        <f t="shared" si="66"/>
        <v/>
      </c>
      <c r="EU24" s="44" t="str">
        <f t="shared" si="67"/>
        <v/>
      </c>
      <c r="EV24" s="44" t="str">
        <f t="shared" si="68"/>
        <v/>
      </c>
      <c r="EW24" s="44" t="str">
        <f t="shared" si="69"/>
        <v/>
      </c>
      <c r="EX24" s="44" t="str">
        <f t="shared" si="70"/>
        <v/>
      </c>
      <c r="EY24" s="44" t="str">
        <f t="shared" si="71"/>
        <v/>
      </c>
      <c r="EZ24" s="44" t="str">
        <f t="shared" si="72"/>
        <v/>
      </c>
      <c r="FA24" s="44" t="str">
        <f t="shared" si="73"/>
        <v>"staWHI",</v>
      </c>
      <c r="FB24" s="44" t="str">
        <f t="shared" si="74"/>
        <v/>
      </c>
      <c r="FC24" s="44" t="str">
        <f t="shared" si="75"/>
        <v/>
      </c>
      <c r="FD24" s="44" t="str">
        <f t="shared" si="76"/>
        <v/>
      </c>
      <c r="FE24" s="44" t="str">
        <f t="shared" si="77"/>
        <v/>
      </c>
      <c r="FF24" s="44" t="str">
        <f t="shared" si="78"/>
        <v/>
      </c>
      <c r="FG24" s="44" t="str">
        <f t="shared" si="79"/>
        <v>"NO_RED",</v>
      </c>
      <c r="FH24" s="44" t="str">
        <f t="shared" si="80"/>
        <v/>
      </c>
      <c r="FI24" s="44" t="str">
        <f t="shared" si="81"/>
        <v/>
      </c>
      <c r="FJ24" s="44" t="str">
        <f t="shared" si="82"/>
        <v>"NO_BLA",</v>
      </c>
      <c r="FK24" s="44" t="str">
        <f t="shared" si="83"/>
        <v/>
      </c>
      <c r="FL24" s="44" t="str">
        <f t="shared" si="84"/>
        <v/>
      </c>
      <c r="FM24" s="44" t="str">
        <f t="shared" si="85"/>
        <v/>
      </c>
      <c r="FN24" s="44" t="str">
        <f t="shared" si="86"/>
        <v/>
      </c>
      <c r="FO24" s="44" t="str">
        <f t="shared" si="87"/>
        <v/>
      </c>
      <c r="FP24" s="44" t="str">
        <f t="shared" si="88"/>
        <v/>
      </c>
      <c r="FQ24" s="44" t="str">
        <f t="shared" si="89"/>
        <v>"001BLU",</v>
      </c>
      <c r="FR24" s="44" t="str">
        <f t="shared" si="90"/>
        <v/>
      </c>
      <c r="FS24" s="44" t="str">
        <f t="shared" si="91"/>
        <v>"003YEL",</v>
      </c>
      <c r="FT24" s="44" t="str">
        <f t="shared" si="92"/>
        <v>"myrBLU",</v>
      </c>
      <c r="FU24" s="44" t="str">
        <f t="shared" si="93"/>
        <v/>
      </c>
      <c r="FV24" s="44" t="str">
        <f t="shared" si="94"/>
        <v/>
      </c>
      <c r="FW24" s="44" t="str">
        <f t="shared" si="95"/>
        <v/>
      </c>
      <c r="FX24" s="44" t="str">
        <f t="shared" si="96"/>
        <v/>
      </c>
      <c r="FY24" s="44" t="str">
        <f t="shared" si="97"/>
        <v/>
      </c>
      <c r="FZ24" s="44" t="str">
        <f t="shared" si="98"/>
        <v/>
      </c>
      <c r="GA24" s="44" t="str">
        <f t="shared" si="99"/>
        <v/>
      </c>
      <c r="GB24" s="44" t="str">
        <f t="shared" si="100"/>
        <v/>
      </c>
      <c r="GC24" s="44" t="str">
        <f t="shared" si="101"/>
        <v/>
      </c>
      <c r="GD24" s="44" t="str">
        <f t="shared" si="102"/>
        <v/>
      </c>
      <c r="GE24" s="44" t="str">
        <f t="shared" si="103"/>
        <v/>
      </c>
      <c r="GF24" s="44" t="str">
        <f t="shared" si="145"/>
        <v/>
      </c>
      <c r="GG24" s="44" t="str">
        <f t="shared" si="104"/>
        <v/>
      </c>
      <c r="GH24" s="44" t="str">
        <f t="shared" si="105"/>
        <v/>
      </c>
      <c r="GI24" s="44" t="str">
        <f t="shared" si="106"/>
        <v/>
      </c>
      <c r="GJ24" s="44" t="str">
        <f t="shared" si="107"/>
        <v/>
      </c>
      <c r="GK24" s="44" t="str">
        <f t="shared" si="108"/>
        <v>"HasSta",</v>
      </c>
      <c r="GL24" s="44" t="str">
        <f t="shared" si="109"/>
        <v>"1Stars",</v>
      </c>
      <c r="GM24" s="44" t="str">
        <f t="shared" si="110"/>
        <v/>
      </c>
      <c r="GN24" s="44" t="str">
        <f t="shared" si="111"/>
        <v/>
      </c>
      <c r="GP24" s="44" t="str">
        <f t="shared" si="112"/>
        <v>"State"</v>
      </c>
      <c r="GS24" s="44" t="str">
        <f t="shared" si="113"/>
        <v>["4Color","lets08","startR","year19","allhor","2Bands","Diagon","Horizo","Center","staWHI","NO_RED","NO_BLA","001BLU","003YEL","myrBLU","HasSta","1Stars"]</v>
      </c>
      <c r="GT24" s="44" t="str">
        <f t="shared" si="114"/>
        <v>"cl_BLU",</v>
      </c>
      <c r="GU24" s="44" t="str">
        <f t="shared" si="115"/>
        <v>"cl_YEL",</v>
      </c>
      <c r="GV24" s="44" t="str">
        <f t="shared" si="116"/>
        <v>"cl_WHI",</v>
      </c>
      <c r="GW24" s="44" t="str">
        <f t="shared" si="117"/>
        <v>"cl_GRE",</v>
      </c>
      <c r="GX24" s="44" t="str">
        <f t="shared" si="118"/>
        <v/>
      </c>
      <c r="GY24" s="44" t="str">
        <f t="shared" si="119"/>
        <v/>
      </c>
      <c r="GZ24" s="44" t="str">
        <f t="shared" si="120"/>
        <v/>
      </c>
      <c r="HA24" s="44" t="str">
        <f t="shared" si="121"/>
        <v/>
      </c>
      <c r="HB24" s="44" t="str">
        <f t="shared" si="122"/>
        <v/>
      </c>
      <c r="HC24" s="44" t="str">
        <f t="shared" si="123"/>
        <v>["cl_BLU","cl_YEL","cl_WHI","cl_GRE"]</v>
      </c>
      <c r="HE24" s="64"/>
      <c r="HF24" s="65" t="str">
        <f t="shared" si="124"/>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links: "https://en.wikipedia.org/wiki/Flag_of_Rondônia"},</v>
      </c>
      <c r="HG24" s="66" t="str">
        <f t="shared" si="125"/>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links: "https://en.wikipedia.org/wiki/Flag_of_Rondônia"},</v>
      </c>
      <c r="HH24" s="44" t="str">
        <f t="shared" si="126"/>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I24" s="44" t="str">
        <f t="shared" si="127"/>
        <v>"\nThe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v>
      </c>
      <c r="HJ24" s="44" t="str">
        <f t="shared" si="128"/>
        <v>"1981 "</v>
      </c>
      <c r="HL24" s="44" t="str">
        <f t="shared" si="129"/>
        <v>"https://en.wikipedia.org/wiki/Flag_of_Rondônia"</v>
      </c>
      <c r="HM24" s="65" t="str">
        <f t="shared" si="130"/>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N24" s="67" t="str">
        <f t="shared" si="131"/>
        <v>{"couname":"[BRA] Rondonia","year":"1981 ","region":"rgn_South America","Colors":["cl_BLU","cl_YEL","cl_WHI","cl_GRE"],"Items":["4Color","lets08","startR","year19","allhor","2Bands","Diagon","Horizo","Center","staWHI","NO_RED","NO_BLA","001BLU","003YEL","myrBLU","HasSta","1Stars"],"Flag":"https://upload.wikimedia.org/wikipedia/commons/thumb/f/fa/Bandeira_de_Rond%C3%B4nia.svg/640px-Bandeira_de_Rond%C3%B4nia.svg.png","HDFlag":"https://upload.wikimedia.org/wikipedia/commons/thumb/f/fa/Bandeira_de_Rond%C3%B4nia.svg/2560px-Bandeira_de_Rond%C3%B4nia.svg.png","type":"State", "describe": "\nThe design of the flag is a stylistic representation of Rondônia as the newest star shining in the sky of the Union. The star is Muliphein, a star in the constellation Canis Major, which is the star on the Brazilian Flag that represents Rondônia. The blue upper half of the flag represents the sky, whereas the lower half is a perspective view of the land. The green portion is a representation of the roads that led to the development of the state through strong migration into the state during the 1970s and resource extraction out of the state. These resources are represented by the yellow portions of the flag.", "isnew": ".", "links": "https://en.wikipedia.org/wiki/Flag_of_Rondônia"},</v>
      </c>
      <c r="HO24" s="71"/>
      <c r="HP24" s="44" t="str" cm="1">
        <f t="array" ref="HP24">IF(_xlfn.TEXTJOIN(", ", TRUE, IF(ISNUMBER(SEARCH("BLA", BL24:BT24)), COLUMN(BL24:BT24) - COLUMN(BL24) + 1, ""))&lt;&gt;"","BLA","")</f>
        <v/>
      </c>
      <c r="HQ24" s="44" t="str" cm="1">
        <f t="array" ref="HQ24">IF(_xlfn.TEXTJOIN(", ", TRUE, IF(ISNUMBER(SEARCH("BLU", BL24:BT24)), COLUMN(BL24:BT24) - COLUMN(BL24) + 1, ""))&lt;&gt;"","BLU","")</f>
        <v>BLU</v>
      </c>
      <c r="HR24" s="44" t="str" cm="1">
        <f t="array" ref="HR24">IF(_xlfn.TEXTJOIN(", ", TRUE, IF(ISNUMBER(SEARCH("GRE", BL24:BT24)), COLUMN(BL24:BT24) - COLUMN(BL24) + 1, ""))&lt;&gt;"","GRE","")</f>
        <v>GRE</v>
      </c>
      <c r="HS24" s="44" t="str" cm="1">
        <f t="array" ref="HS24">IF(_xlfn.TEXTJOIN(", ", TRUE, IF(ISNUMBER(SEARCH("RED", BL24:BT24)), COLUMN(BL24:BT24) - COLUMN(BL24) + 1, ""))&lt;&gt;"","RED","")</f>
        <v/>
      </c>
      <c r="HT24" s="44" t="str" cm="1">
        <f t="array" ref="HT24">IF(_xlfn.TEXTJOIN(", ", TRUE, IF(ISNUMBER(SEARCH("YEL", BL24:BT24)), COLUMN(BL24:BT24) - COLUMN(BL24) + 1, ""))&lt;&gt;"","YEL","")</f>
        <v>YEL</v>
      </c>
      <c r="HU24" s="44" t="str" cm="1">
        <f t="array" ref="HU24">IF(_xlfn.TEXTJOIN(", ", TRUE, IF(ISNUMBER(SEARCH("ORA", BL24:BT24)), COLUMN(BL24:BT24) - COLUMN(BL24) + 1, ""))&lt;&gt;"","ORA","")</f>
        <v/>
      </c>
      <c r="HV24" s="44" t="str" cm="1">
        <f t="array" ref="HV24">IF(_xlfn.TEXTJOIN(", ", TRUE, IF(ISNUMBER(SEARCH("BRO", BL24:BT24)), COLUMN(BL24:BT24) - COLUMN(BL24) + 1, ""))&lt;&gt;"","BRO","")</f>
        <v/>
      </c>
      <c r="HW24" s="44" t="str" cm="1">
        <f t="array" ref="HW24">IF(_xlfn.TEXTJOIN(", ", TRUE, IF(ISNUMBER(SEARCH("PUR", BL24:BT24)), COLUMN(BL24:BT24) - COLUMN(BL24) + 1, ""))&lt;&gt;"","PUR","")</f>
        <v/>
      </c>
      <c r="HX24" s="44" t="str" cm="1">
        <f t="array" ref="HX24">IF(_xlfn.TEXTJOIN(", ", TRUE, IF(ISNUMBER(SEARCH("WHI", BL24:BT24)), COLUMN(BL24:BT24) - COLUMN(BL24) + 1, ""))&lt;&gt;"","WHI","")</f>
        <v>WHI</v>
      </c>
      <c r="HY24" s="72"/>
      <c r="HZ24" s="72"/>
      <c r="IA24" s="5"/>
      <c r="IB24" s="5"/>
      <c r="IC24" s="68"/>
      <c r="ID24" s="68"/>
      <c r="IE24" s="68"/>
      <c r="IF24" s="68"/>
      <c r="IG24" s="68"/>
      <c r="IH24" s="68"/>
      <c r="II24" s="68"/>
      <c r="IJ24" s="68"/>
      <c r="IK24" s="68"/>
      <c r="IL24" s="44">
        <f t="shared" si="132"/>
        <v>0</v>
      </c>
      <c r="IM24" s="42">
        <f t="shared" si="133"/>
        <v>-4</v>
      </c>
      <c r="IN24" s="69" t="str">
        <f t="shared" si="134"/>
        <v>http://mkweb.bcgsc.ca/color-summarizer/?url=https://upload.wikimedia.org/wikipedia/commons/thumb/f/fa/Bandeira_de_Rond%C3%B4nia.svg/640px-Bandeira_de_Rond%C3%B4nia.svg.png&amp;precision=low&amp;num_clusters=4&amp;text=1</v>
      </c>
      <c r="IO24" s="44" t="str">
        <f t="shared" si="135"/>
        <v/>
      </c>
      <c r="IP24" s="44" t="str">
        <f t="shared" si="136"/>
        <v>"blue"</v>
      </c>
      <c r="IQ24" s="44" t="str">
        <f t="shared" si="137"/>
        <v>"green"</v>
      </c>
      <c r="IR24" s="44" t="str">
        <f t="shared" si="138"/>
        <v/>
      </c>
      <c r="IS24" s="44" t="str">
        <f t="shared" si="139"/>
        <v>"yellow"</v>
      </c>
      <c r="IT24" s="44" t="str">
        <f t="shared" si="140"/>
        <v/>
      </c>
      <c r="IU24" s="44" t="str">
        <f t="shared" si="141"/>
        <v/>
      </c>
      <c r="IV24" s="44" t="str">
        <f t="shared" si="142"/>
        <v/>
      </c>
      <c r="IW24" s="44" t="str">
        <f t="shared" si="143"/>
        <v>"white"</v>
      </c>
      <c r="IX24" s="44" t="str">
        <f t="shared" si="144"/>
        <v>{"url":"http://mkweb.bcgsc.ca/color-summarizer/?url=https://upload.wikimedia.org/wikipedia/commons/thumb/f/fa/Bandeira_de_Rond%C3%B4nia.svg/640px-Bandeira_de_Rond%C3%B4nia.svg.png&amp;precision=low&amp;num_clusters=4&amp;text=1","name":"[BRA] Rondonia"},</v>
      </c>
      <c r="IY24" s="44">
        <v>348</v>
      </c>
    </row>
    <row r="25" spans="1:259" s="44" customFormat="1" ht="38.4" customHeight="1" thickBot="1" x14ac:dyDescent="0.35">
      <c r="A25" s="84" t="s">
        <v>431</v>
      </c>
      <c r="B25" s="83" t="e" vm="47">
        <v>#VALUE!</v>
      </c>
      <c r="C25" s="39">
        <v>2</v>
      </c>
      <c r="D25" s="70" t="s">
        <v>432</v>
      </c>
      <c r="E25" s="40" t="s">
        <v>433</v>
      </c>
      <c r="F25" s="41" t="s">
        <v>163</v>
      </c>
      <c r="G25" s="42">
        <f t="shared" si="0"/>
        <v>1</v>
      </c>
      <c r="H25" s="43"/>
      <c r="I25" s="59" t="s">
        <v>434</v>
      </c>
      <c r="J25" s="44" t="str">
        <f>""</f>
        <v/>
      </c>
      <c r="K25" s="45"/>
      <c r="L25" s="46"/>
      <c r="M25" s="46"/>
      <c r="N25" s="47" t="s">
        <v>177</v>
      </c>
      <c r="O25" s="74" t="s">
        <v>257</v>
      </c>
      <c r="P25" s="48" t="s">
        <v>435</v>
      </c>
      <c r="Q25" s="73">
        <v>1</v>
      </c>
      <c r="R25" s="49" t="s">
        <v>177</v>
      </c>
      <c r="S25" s="50">
        <v>4</v>
      </c>
      <c r="T25" s="51" t="s">
        <v>165</v>
      </c>
      <c r="U25" s="52" t="s">
        <v>164</v>
      </c>
      <c r="V25" s="52" t="s">
        <v>165</v>
      </c>
      <c r="W25" s="52" t="s">
        <v>164</v>
      </c>
      <c r="X25" s="52" t="s">
        <v>164</v>
      </c>
      <c r="Y25" s="52" t="s">
        <v>164</v>
      </c>
      <c r="Z25" s="52" t="s">
        <v>164</v>
      </c>
      <c r="AA25" s="52" t="s">
        <v>164</v>
      </c>
      <c r="AB25" s="52" t="s">
        <v>164</v>
      </c>
      <c r="AC25" s="52" t="s">
        <v>164</v>
      </c>
      <c r="AD25" s="52" t="s">
        <v>164</v>
      </c>
      <c r="AE25" s="52" t="s">
        <v>164</v>
      </c>
      <c r="AF25" s="53" t="s">
        <v>164</v>
      </c>
      <c r="AG25" s="53" t="s">
        <v>164</v>
      </c>
      <c r="AH25" s="53" t="s">
        <v>165</v>
      </c>
      <c r="AI25" s="53" t="s">
        <v>164</v>
      </c>
      <c r="AJ25" s="53" t="s">
        <v>164</v>
      </c>
      <c r="AK25" s="53" t="s">
        <v>164</v>
      </c>
      <c r="AL25" s="53" t="s">
        <v>164</v>
      </c>
      <c r="AM25" s="53" t="s">
        <v>164</v>
      </c>
      <c r="AN25" s="53" t="s">
        <v>164</v>
      </c>
      <c r="AO25" s="53" t="s">
        <v>164</v>
      </c>
      <c r="AP25" s="53" t="s">
        <v>164</v>
      </c>
      <c r="AQ25" s="53" t="s">
        <v>164</v>
      </c>
      <c r="AR25" s="53" t="s">
        <v>164</v>
      </c>
      <c r="AS25" s="53" t="s">
        <v>164</v>
      </c>
      <c r="AT25" s="54">
        <v>1</v>
      </c>
      <c r="AU25" s="53" t="s">
        <v>308</v>
      </c>
      <c r="AV25" s="53" t="str">
        <f t="shared" si="1"/>
        <v>[BRA]State[BRA] Roraima</v>
      </c>
      <c r="AW25" s="53" t="str">
        <f t="shared" si="2"/>
        <v>2[BRA] Roraima</v>
      </c>
      <c r="AX25" s="55"/>
      <c r="AY25" s="55"/>
      <c r="AZ25" s="56" t="s">
        <v>155</v>
      </c>
      <c r="BA25" s="56"/>
      <c r="BB25" s="56"/>
      <c r="BC25" s="57"/>
      <c r="BD25" s="58" t="s">
        <v>167</v>
      </c>
      <c r="BE25" s="59"/>
      <c r="BF25" s="58" t="s">
        <v>152</v>
      </c>
      <c r="BG25" s="58" t="s">
        <v>159</v>
      </c>
      <c r="BH25" s="58" t="s">
        <v>153</v>
      </c>
      <c r="BI25" s="58" t="s">
        <v>154</v>
      </c>
      <c r="BJ25" s="58"/>
      <c r="BK25" s="59"/>
      <c r="BL25" s="58" t="s">
        <v>152</v>
      </c>
      <c r="BM25" s="58" t="s">
        <v>159</v>
      </c>
      <c r="BN25" s="58" t="s">
        <v>155</v>
      </c>
      <c r="BO25" s="58" t="s">
        <v>154</v>
      </c>
      <c r="BP25" s="58" t="s">
        <v>153</v>
      </c>
      <c r="BQ25" s="58"/>
      <c r="BR25" s="58"/>
      <c r="BS25" s="58"/>
      <c r="BT25" s="58"/>
      <c r="BU25" s="60"/>
      <c r="BV25" s="61"/>
      <c r="BW25" s="61">
        <v>0</v>
      </c>
      <c r="BX25" s="59"/>
      <c r="BY25" s="44" t="s">
        <v>165</v>
      </c>
      <c r="CB25" s="5"/>
      <c r="CC25" s="5"/>
      <c r="CD25" s="62">
        <v>0</v>
      </c>
      <c r="CE25" s="62">
        <v>0</v>
      </c>
      <c r="CF25" s="62" t="e">
        <v>#REF!</v>
      </c>
      <c r="CG25" s="75" cm="1">
        <f t="array" ref="CG25">SUMPRODUCT(--(LEN(TRIM(BL25:BT25))&gt;0))</f>
        <v>5</v>
      </c>
      <c r="CH25" s="53" t="str">
        <f t="shared" si="3"/>
        <v>n</v>
      </c>
      <c r="CI25" s="53" t="str">
        <f t="shared" si="4"/>
        <v>n</v>
      </c>
      <c r="CJ25" s="53" t="str">
        <f t="shared" si="5"/>
        <v>n</v>
      </c>
      <c r="CK25" s="53" t="str">
        <f t="shared" si="6"/>
        <v>y</v>
      </c>
      <c r="CL25" s="53" t="str">
        <f t="shared" si="7"/>
        <v>n</v>
      </c>
      <c r="CM25" s="53" t="str">
        <f t="shared" si="8"/>
        <v>n</v>
      </c>
      <c r="CN25" s="53" t="str">
        <f t="shared" si="9"/>
        <v>n</v>
      </c>
      <c r="CO25" s="53" t="str">
        <f t="shared" si="10"/>
        <v>y</v>
      </c>
      <c r="CP25" s="53" t="str">
        <f t="shared" si="11"/>
        <v>n</v>
      </c>
      <c r="CQ25" s="53" t="str">
        <f t="shared" si="12"/>
        <v>y</v>
      </c>
      <c r="CR25" s="53" t="str">
        <f t="shared" si="13"/>
        <v>n</v>
      </c>
      <c r="CS25" s="53" t="str">
        <f t="shared" si="14"/>
        <v>n</v>
      </c>
      <c r="CT25" s="38" t="str">
        <f t="shared" si="15"/>
        <v>"[BRA] Roraima"</v>
      </c>
      <c r="CU25" s="63" t="str">
        <f t="shared" si="16"/>
        <v>"rgn_South America"</v>
      </c>
      <c r="CV25" s="44" t="str">
        <f t="shared" si="17"/>
        <v>"https://upload.wikimedia.org/wikipedia/commons/thumb/9/98/Bandeira_de_Roraima.svg/640px-Bandeira_de_Roraima.svg.png"</v>
      </c>
      <c r="CW25" s="44" t="str">
        <f t="shared" si="18"/>
        <v/>
      </c>
      <c r="CX25" s="44" t="str">
        <f t="shared" si="19"/>
        <v/>
      </c>
      <c r="CY25" s="44" t="str">
        <f t="shared" si="20"/>
        <v/>
      </c>
      <c r="CZ25" s="44" t="str">
        <f t="shared" si="21"/>
        <v>"5+Colo",</v>
      </c>
      <c r="DA25" s="44" t="str">
        <f t="shared" si="22"/>
        <v/>
      </c>
      <c r="DB25" s="44" t="str">
        <f t="shared" si="23"/>
        <v/>
      </c>
      <c r="DC25" s="44" t="str">
        <f t="shared" si="24"/>
        <v/>
      </c>
      <c r="DD25" s="44" t="str">
        <f t="shared" si="25"/>
        <v>"lets07",</v>
      </c>
      <c r="DE25" s="44" t="str">
        <f t="shared" si="26"/>
        <v>"startR",</v>
      </c>
      <c r="DF25" s="44" t="str">
        <f t="shared" si="27"/>
        <v/>
      </c>
      <c r="DG25" s="44" t="str">
        <f t="shared" si="28"/>
        <v/>
      </c>
      <c r="DH25" s="44" t="str">
        <f t="shared" si="29"/>
        <v/>
      </c>
      <c r="DI25" s="44" t="str">
        <f t="shared" si="30"/>
        <v/>
      </c>
      <c r="DJ25" s="44" t="str">
        <f t="shared" si="31"/>
        <v/>
      </c>
      <c r="DK25" s="44" t="str">
        <f t="shared" si="32"/>
        <v/>
      </c>
      <c r="DL25" s="44" t="str">
        <f t="shared" si="33"/>
        <v/>
      </c>
      <c r="DM25" s="44" t="str" cm="1">
        <f t="array" ref="DM25">IF(CG25=3,CHAR(34) &amp; _xlfn.TEXTJOIN("", TRUE, RIGHT(HP25:HX25, 2)) &amp; CHAR(34) &amp; ",", "")</f>
        <v/>
      </c>
      <c r="DN25" s="44" t="str">
        <f t="shared" si="34"/>
        <v/>
      </c>
      <c r="DO25" s="44" t="str">
        <f t="shared" si="35"/>
        <v>"year19",</v>
      </c>
      <c r="DP25" s="5" t="str">
        <f t="shared" si="36"/>
        <v/>
      </c>
      <c r="DQ25" s="5" t="str">
        <f t="shared" si="37"/>
        <v/>
      </c>
      <c r="DR25" s="5" t="str">
        <f t="shared" si="38"/>
        <v>"dgband",</v>
      </c>
      <c r="DS25" s="5" t="str">
        <f t="shared" si="39"/>
        <v/>
      </c>
      <c r="DT25" s="5" t="str">
        <f t="shared" si="40"/>
        <v/>
      </c>
      <c r="DU25" s="5" t="str">
        <f t="shared" si="41"/>
        <v/>
      </c>
      <c r="DV25" s="44" t="str">
        <f t="shared" si="42"/>
        <v/>
      </c>
      <c r="DW25" s="44" t="str">
        <f t="shared" si="43"/>
        <v/>
      </c>
      <c r="DX25" s="44" t="str">
        <f t="shared" si="44"/>
        <v/>
      </c>
      <c r="DY25" s="44" t="str">
        <f t="shared" si="45"/>
        <v/>
      </c>
      <c r="DZ25" s="44" t="str">
        <f t="shared" si="46"/>
        <v>"4+Band",</v>
      </c>
      <c r="EA25" s="44" t="str">
        <f t="shared" si="47"/>
        <v>"Diagon",</v>
      </c>
      <c r="EB25" s="44" t="str">
        <f t="shared" si="48"/>
        <v/>
      </c>
      <c r="EC25" s="44" t="str">
        <f t="shared" si="49"/>
        <v>"Horizo",</v>
      </c>
      <c r="ED25" s="44" t="str">
        <f t="shared" si="50"/>
        <v/>
      </c>
      <c r="EE25" s="44" t="str">
        <f t="shared" si="51"/>
        <v/>
      </c>
      <c r="EF25" s="44" t="str">
        <f t="shared" si="52"/>
        <v/>
      </c>
      <c r="EG25" s="44" t="str">
        <f t="shared" si="53"/>
        <v/>
      </c>
      <c r="EH25" s="44" t="str">
        <f t="shared" si="54"/>
        <v/>
      </c>
      <c r="EI25" s="44" t="str">
        <f t="shared" si="55"/>
        <v/>
      </c>
      <c r="EJ25" s="44" t="str">
        <f t="shared" si="56"/>
        <v/>
      </c>
      <c r="EK25" s="44" t="str">
        <f t="shared" si="57"/>
        <v/>
      </c>
      <c r="EL25" s="44" t="str">
        <f t="shared" si="58"/>
        <v/>
      </c>
      <c r="EM25" s="44" t="str">
        <f t="shared" si="59"/>
        <v/>
      </c>
      <c r="EN25" s="44" t="str">
        <f t="shared" si="60"/>
        <v/>
      </c>
      <c r="EO25" s="44" t="str">
        <f t="shared" si="61"/>
        <v>"Center",</v>
      </c>
      <c r="EP25" s="44" t="str">
        <f t="shared" si="62"/>
        <v/>
      </c>
      <c r="EQ25" s="44" t="str">
        <f t="shared" si="63"/>
        <v/>
      </c>
      <c r="ER25" s="44" t="str">
        <f t="shared" si="64"/>
        <v/>
      </c>
      <c r="ES25" s="44" t="str">
        <f t="shared" si="65"/>
        <v/>
      </c>
      <c r="ET25" s="44" t="str">
        <f t="shared" si="66"/>
        <v/>
      </c>
      <c r="EU25" s="44" t="str">
        <f t="shared" si="67"/>
        <v/>
      </c>
      <c r="EV25" s="44" t="str">
        <f t="shared" si="68"/>
        <v/>
      </c>
      <c r="EW25" s="44" t="str">
        <f t="shared" si="69"/>
        <v/>
      </c>
      <c r="EX25" s="44" t="str">
        <f t="shared" si="70"/>
        <v/>
      </c>
      <c r="EY25" s="44" t="str">
        <f t="shared" si="71"/>
        <v/>
      </c>
      <c r="EZ25" s="44" t="str">
        <f t="shared" si="72"/>
        <v/>
      </c>
      <c r="FA25" s="44" t="str">
        <f t="shared" si="73"/>
        <v>"staYEL",</v>
      </c>
      <c r="FB25" s="44" t="str">
        <f t="shared" si="74"/>
        <v/>
      </c>
      <c r="FC25" s="44" t="str">
        <f t="shared" si="75"/>
        <v/>
      </c>
      <c r="FD25" s="44" t="str">
        <f t="shared" si="76"/>
        <v/>
      </c>
      <c r="FE25" s="44" t="str">
        <f t="shared" si="77"/>
        <v/>
      </c>
      <c r="FF25" s="44" t="str">
        <f t="shared" si="78"/>
        <v/>
      </c>
      <c r="FG25" s="44" t="str">
        <f t="shared" si="79"/>
        <v/>
      </c>
      <c r="FH25" s="44" t="str">
        <f t="shared" si="80"/>
        <v/>
      </c>
      <c r="FI25" s="44" t="str">
        <f t="shared" si="81"/>
        <v/>
      </c>
      <c r="FJ25" s="44" t="str">
        <f t="shared" si="82"/>
        <v>"NO_BLA",</v>
      </c>
      <c r="FK25" s="44" t="str">
        <f t="shared" si="83"/>
        <v/>
      </c>
      <c r="FL25" s="44" t="str">
        <f t="shared" si="84"/>
        <v/>
      </c>
      <c r="FM25" s="44" t="str">
        <f t="shared" si="85"/>
        <v/>
      </c>
      <c r="FN25" s="44" t="str">
        <f t="shared" si="86"/>
        <v/>
      </c>
      <c r="FO25" s="44" t="str">
        <f t="shared" si="87"/>
        <v/>
      </c>
      <c r="FP25" s="44" t="str">
        <f t="shared" si="88"/>
        <v/>
      </c>
      <c r="FQ25" s="44" t="str">
        <f t="shared" si="89"/>
        <v>"001BLU",</v>
      </c>
      <c r="FR25" s="44" t="str">
        <f t="shared" si="90"/>
        <v>"002WHI",</v>
      </c>
      <c r="FS25" s="44" t="str">
        <f t="shared" si="91"/>
        <v>"003GRE",</v>
      </c>
      <c r="FT25" s="44" t="str">
        <f t="shared" si="92"/>
        <v>"myrEQ",</v>
      </c>
      <c r="FU25" s="44" t="str">
        <f t="shared" si="93"/>
        <v/>
      </c>
      <c r="FV25" s="44" t="str">
        <f t="shared" si="94"/>
        <v/>
      </c>
      <c r="FW25" s="44" t="str">
        <f t="shared" si="95"/>
        <v/>
      </c>
      <c r="FX25" s="44" t="str">
        <f t="shared" si="96"/>
        <v/>
      </c>
      <c r="FY25" s="44" t="str">
        <f t="shared" si="97"/>
        <v/>
      </c>
      <c r="FZ25" s="44" t="str">
        <f t="shared" si="98"/>
        <v/>
      </c>
      <c r="GA25" s="44" t="str">
        <f t="shared" si="99"/>
        <v/>
      </c>
      <c r="GB25" s="44" t="str">
        <f t="shared" si="100"/>
        <v/>
      </c>
      <c r="GC25" s="44" t="str">
        <f t="shared" si="101"/>
        <v/>
      </c>
      <c r="GD25" s="44" t="str">
        <f t="shared" si="102"/>
        <v/>
      </c>
      <c r="GE25" s="44" t="str">
        <f t="shared" si="103"/>
        <v/>
      </c>
      <c r="GF25" s="44" t="str">
        <f t="shared" si="145"/>
        <v/>
      </c>
      <c r="GG25" s="44" t="str">
        <f t="shared" si="104"/>
        <v/>
      </c>
      <c r="GH25" s="44" t="str">
        <f t="shared" si="105"/>
        <v/>
      </c>
      <c r="GI25" s="44" t="str">
        <f t="shared" si="106"/>
        <v/>
      </c>
      <c r="GJ25" s="44" t="str">
        <f t="shared" si="107"/>
        <v/>
      </c>
      <c r="GK25" s="44" t="str">
        <f t="shared" si="108"/>
        <v>"HasSta",</v>
      </c>
      <c r="GL25" s="44" t="str">
        <f t="shared" si="109"/>
        <v>"1Stars",</v>
      </c>
      <c r="GM25" s="44" t="str">
        <f t="shared" si="110"/>
        <v/>
      </c>
      <c r="GN25" s="44" t="str">
        <f t="shared" si="111"/>
        <v/>
      </c>
      <c r="GP25" s="44" t="str">
        <f t="shared" si="112"/>
        <v>"State"</v>
      </c>
      <c r="GS25" s="44" t="str">
        <f t="shared" si="113"/>
        <v>["5+Colo","lets07","startR","year19","dgband","4+Band","Diagon","Horizo","Center","staYEL","NO_BLA","001BLU","002WHI","003GRE","myrEQ","HasSta","1Stars"]</v>
      </c>
      <c r="GT25" s="44" t="str">
        <f t="shared" si="114"/>
        <v>"cl_BLU",</v>
      </c>
      <c r="GU25" s="44" t="str">
        <f t="shared" si="115"/>
        <v>"cl_WHI",</v>
      </c>
      <c r="GV25" s="44" t="str">
        <f t="shared" si="116"/>
        <v>"cl_YEL",</v>
      </c>
      <c r="GW25" s="44" t="str">
        <f t="shared" si="117"/>
        <v>"cl_RED",</v>
      </c>
      <c r="GX25" s="44" t="str">
        <f t="shared" si="118"/>
        <v>"cl_GRE",</v>
      </c>
      <c r="GY25" s="44" t="str">
        <f t="shared" si="119"/>
        <v/>
      </c>
      <c r="GZ25" s="44" t="str">
        <f t="shared" si="120"/>
        <v/>
      </c>
      <c r="HA25" s="44" t="str">
        <f t="shared" si="121"/>
        <v/>
      </c>
      <c r="HB25" s="44" t="str">
        <f t="shared" si="122"/>
        <v/>
      </c>
      <c r="HC25" s="44" t="str">
        <f t="shared" si="123"/>
        <v>["cl_BLU","cl_WHI","cl_YEL","cl_RED","cl_GRE"]</v>
      </c>
      <c r="HE25" s="64"/>
      <c r="HF25" s="65" t="str">
        <f t="shared" si="124"/>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links: "https://en.wikipedia.org/wiki/Flag_of_Roraima"},</v>
      </c>
      <c r="HG25" s="66" t="str">
        <f t="shared" si="125"/>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links: "https://en.wikipedia.org/wiki/Flag_of_Roraima"},</v>
      </c>
      <c r="HH25" s="44" t="str">
        <f t="shared" si="126"/>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I25" s="44" t="str">
        <f t="shared" si="127"/>
        <v>"\nGreen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v>
      </c>
      <c r="HJ25" s="44" t="str">
        <f t="shared" si="128"/>
        <v>"1996 "</v>
      </c>
      <c r="HL25" s="44" t="str">
        <f t="shared" si="129"/>
        <v>"https://en.wikipedia.org/wiki/Flag_of_Roraima"</v>
      </c>
      <c r="HM25" s="65" t="str">
        <f t="shared" si="130"/>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N25" s="67" t="str">
        <f t="shared" si="131"/>
        <v>{"couname":"[BRA] Roraima","year":"1996 ","region":"rgn_South America","Colors":["cl_BLU","cl_WHI","cl_YEL","cl_RED","cl_GRE"],"Items":["5+Colo","lets07","startR","year19","dgband","4+Band","Diagon","Horizo","Center","staYEL","NO_BLA","001BLU","002WHI","003GRE","myrEQ","HasSta","1Stars"],"Flag":"https://upload.wikimedia.org/wikipedia/commons/thumb/9/98/Bandeira_de_Roraima.svg/640px-Bandeira_de_Roraima.svg.png","HDFlag":"https://upload.wikimedia.org/wikipedia/commons/thumb/9/98/Bandeira_de_Roraima.svg/2560px-Bandeira_de_Roraima.svg.png","type":"State", "describe": "\nGreen represents dense forests and scrublands; yellow (in the star) represents abundant mineral wealth; white, peace; and the blue, the sky and the pure air of Roraima; the thin red band symbolizes the equator; the yellow star represents Wezen, star of the constellation of Canis Maior, which in the national flag represents the state of Roraima.", "isnew": ".", "links": "https://en.wikipedia.org/wiki/Flag_of_Roraima"},</v>
      </c>
      <c r="HO25" s="71"/>
      <c r="HP25" s="44" t="str" cm="1">
        <f t="array" ref="HP25">IF(_xlfn.TEXTJOIN(", ", TRUE, IF(ISNUMBER(SEARCH("BLA", BL25:BT25)), COLUMN(BL25:BT25) - COLUMN(BL25) + 1, ""))&lt;&gt;"","BLA","")</f>
        <v/>
      </c>
      <c r="HQ25" s="44" t="str" cm="1">
        <f t="array" ref="HQ25">IF(_xlfn.TEXTJOIN(", ", TRUE, IF(ISNUMBER(SEARCH("BLU", BL25:BT25)), COLUMN(BL25:BT25) - COLUMN(BL25) + 1, ""))&lt;&gt;"","BLU","")</f>
        <v>BLU</v>
      </c>
      <c r="HR25" s="44" t="str" cm="1">
        <f t="array" ref="HR25">IF(_xlfn.TEXTJOIN(", ", TRUE, IF(ISNUMBER(SEARCH("GRE", BL25:BT25)), COLUMN(BL25:BT25) - COLUMN(BL25) + 1, ""))&lt;&gt;"","GRE","")</f>
        <v>GRE</v>
      </c>
      <c r="HS25" s="44" t="str" cm="1">
        <f t="array" ref="HS25">IF(_xlfn.TEXTJOIN(", ", TRUE, IF(ISNUMBER(SEARCH("RED", BL25:BT25)), COLUMN(BL25:BT25) - COLUMN(BL25) + 1, ""))&lt;&gt;"","RED","")</f>
        <v>RED</v>
      </c>
      <c r="HT25" s="44" t="str" cm="1">
        <f t="array" ref="HT25">IF(_xlfn.TEXTJOIN(", ", TRUE, IF(ISNUMBER(SEARCH("YEL", BL25:BT25)), COLUMN(BL25:BT25) - COLUMN(BL25) + 1, ""))&lt;&gt;"","YEL","")</f>
        <v>YEL</v>
      </c>
      <c r="HU25" s="44" t="str" cm="1">
        <f t="array" ref="HU25">IF(_xlfn.TEXTJOIN(", ", TRUE, IF(ISNUMBER(SEARCH("ORA", BL25:BT25)), COLUMN(BL25:BT25) - COLUMN(BL25) + 1, ""))&lt;&gt;"","ORA","")</f>
        <v/>
      </c>
      <c r="HV25" s="44" t="str" cm="1">
        <f t="array" ref="HV25">IF(_xlfn.TEXTJOIN(", ", TRUE, IF(ISNUMBER(SEARCH("BRO", BL25:BT25)), COLUMN(BL25:BT25) - COLUMN(BL25) + 1, ""))&lt;&gt;"","BRO","")</f>
        <v/>
      </c>
      <c r="HW25" s="44" t="str" cm="1">
        <f t="array" ref="HW25">IF(_xlfn.TEXTJOIN(", ", TRUE, IF(ISNUMBER(SEARCH("PUR", BL25:BT25)), COLUMN(BL25:BT25) - COLUMN(BL25) + 1, ""))&lt;&gt;"","PUR","")</f>
        <v/>
      </c>
      <c r="HX25" s="44" t="str" cm="1">
        <f t="array" ref="HX25">IF(_xlfn.TEXTJOIN(", ", TRUE, IF(ISNUMBER(SEARCH("WHI", BL25:BT25)), COLUMN(BL25:BT25) - COLUMN(BL25) + 1, ""))&lt;&gt;"","WHI","")</f>
        <v>WHI</v>
      </c>
      <c r="HY25" s="72"/>
      <c r="HZ25" s="72"/>
      <c r="IA25" s="5"/>
      <c r="IB25" s="5"/>
      <c r="IC25" s="68"/>
      <c r="ID25" s="68"/>
      <c r="IE25" s="68"/>
      <c r="IF25" s="68"/>
      <c r="IG25" s="68"/>
      <c r="IH25" s="68"/>
      <c r="II25" s="68"/>
      <c r="IJ25" s="68"/>
      <c r="IK25" s="68"/>
      <c r="IL25" s="44">
        <f t="shared" si="132"/>
        <v>0</v>
      </c>
      <c r="IM25" s="42">
        <f t="shared" si="133"/>
        <v>-5</v>
      </c>
      <c r="IN25" s="69" t="str">
        <f t="shared" si="134"/>
        <v>http://mkweb.bcgsc.ca/color-summarizer/?url=https://upload.wikimedia.org/wikipedia/commons/thumb/9/98/Bandeira_de_Roraima.svg/640px-Bandeira_de_Roraima.svg.png&amp;precision=low&amp;num_clusters=5&amp;text=1</v>
      </c>
      <c r="IO25" s="44" t="str">
        <f t="shared" si="135"/>
        <v/>
      </c>
      <c r="IP25" s="44" t="str">
        <f t="shared" si="136"/>
        <v>"blue"</v>
      </c>
      <c r="IQ25" s="44" t="str">
        <f t="shared" si="137"/>
        <v>"green"</v>
      </c>
      <c r="IR25" s="44" t="str">
        <f t="shared" si="138"/>
        <v>"red"</v>
      </c>
      <c r="IS25" s="44" t="str">
        <f t="shared" si="139"/>
        <v>"yellow"</v>
      </c>
      <c r="IT25" s="44" t="str">
        <f t="shared" si="140"/>
        <v/>
      </c>
      <c r="IU25" s="44" t="str">
        <f t="shared" si="141"/>
        <v/>
      </c>
      <c r="IV25" s="44" t="str">
        <f t="shared" si="142"/>
        <v/>
      </c>
      <c r="IW25" s="44" t="str">
        <f t="shared" si="143"/>
        <v>"white"</v>
      </c>
      <c r="IX25" s="44" t="str">
        <f t="shared" si="144"/>
        <v>{"url":"http://mkweb.bcgsc.ca/color-summarizer/?url=https://upload.wikimedia.org/wikipedia/commons/thumb/9/98/Bandeira_de_Roraima.svg/640px-Bandeira_de_Roraima.svg.png&amp;precision=low&amp;num_clusters=5&amp;text=1","name":"[BRA] Roraima"},</v>
      </c>
      <c r="IY25" s="44">
        <v>349</v>
      </c>
    </row>
    <row r="26" spans="1:259" s="44" customFormat="1" ht="38.4" customHeight="1" thickBot="1" x14ac:dyDescent="0.35">
      <c r="A26" s="84" t="s">
        <v>436</v>
      </c>
      <c r="B26" s="83" t="e" vm="48">
        <v>#VALUE!</v>
      </c>
      <c r="C26" s="39">
        <v>2</v>
      </c>
      <c r="D26" s="70" t="s">
        <v>437</v>
      </c>
      <c r="E26" s="40" t="s">
        <v>438</v>
      </c>
      <c r="F26" s="41" t="s">
        <v>163</v>
      </c>
      <c r="G26" s="42">
        <f t="shared" si="0"/>
        <v>1</v>
      </c>
      <c r="H26" s="43"/>
      <c r="I26" s="59" t="s">
        <v>439</v>
      </c>
      <c r="J26" s="44" t="str">
        <f>""</f>
        <v/>
      </c>
      <c r="K26" s="45"/>
      <c r="L26" s="46"/>
      <c r="M26" s="46"/>
      <c r="N26" s="47" t="s">
        <v>177</v>
      </c>
      <c r="O26" s="74" t="s">
        <v>440</v>
      </c>
      <c r="P26" s="48" t="s">
        <v>441</v>
      </c>
      <c r="Q26" s="73">
        <v>2</v>
      </c>
      <c r="R26" s="49" t="s">
        <v>177</v>
      </c>
      <c r="S26" s="50">
        <v>3</v>
      </c>
      <c r="T26" s="51" t="s">
        <v>165</v>
      </c>
      <c r="U26" s="52" t="s">
        <v>164</v>
      </c>
      <c r="V26" s="52" t="s">
        <v>165</v>
      </c>
      <c r="W26" s="52" t="s">
        <v>164</v>
      </c>
      <c r="X26" s="52" t="s">
        <v>165</v>
      </c>
      <c r="Y26" s="52" t="s">
        <v>415</v>
      </c>
      <c r="Z26" s="52" t="s">
        <v>165</v>
      </c>
      <c r="AA26" s="52" t="s">
        <v>165</v>
      </c>
      <c r="AB26" s="52" t="s">
        <v>165</v>
      </c>
      <c r="AC26" s="52" t="s">
        <v>164</v>
      </c>
      <c r="AD26" s="52" t="s">
        <v>164</v>
      </c>
      <c r="AE26" s="52" t="s">
        <v>164</v>
      </c>
      <c r="AF26" s="53" t="s">
        <v>164</v>
      </c>
      <c r="AG26" s="53" t="s">
        <v>164</v>
      </c>
      <c r="AH26" s="53" t="s">
        <v>165</v>
      </c>
      <c r="AI26" s="53" t="s">
        <v>164</v>
      </c>
      <c r="AJ26" s="53" t="s">
        <v>164</v>
      </c>
      <c r="AK26" s="53" t="s">
        <v>164</v>
      </c>
      <c r="AL26" s="53" t="s">
        <v>164</v>
      </c>
      <c r="AM26" s="53" t="s">
        <v>164</v>
      </c>
      <c r="AN26" s="53" t="s">
        <v>164</v>
      </c>
      <c r="AO26" s="53" t="s">
        <v>164</v>
      </c>
      <c r="AP26" s="53" t="s">
        <v>164</v>
      </c>
      <c r="AQ26" s="53" t="s">
        <v>164</v>
      </c>
      <c r="AR26" s="53" t="s">
        <v>164</v>
      </c>
      <c r="AS26" s="53" t="s">
        <v>164</v>
      </c>
      <c r="AT26" s="54">
        <v>1</v>
      </c>
      <c r="AU26" s="53" t="s">
        <v>308</v>
      </c>
      <c r="AV26" s="53" t="str">
        <f t="shared" si="1"/>
        <v>[BRA]State[BRA] Santa Catarina</v>
      </c>
      <c r="AW26" s="53" t="str">
        <f t="shared" si="2"/>
        <v>2[BRA] Santa Catarina</v>
      </c>
      <c r="AX26" s="55"/>
      <c r="AY26" s="55"/>
      <c r="AZ26" s="56" t="s">
        <v>159</v>
      </c>
      <c r="BA26" s="56"/>
      <c r="BB26" s="56"/>
      <c r="BC26" s="57"/>
      <c r="BD26" s="58" t="s">
        <v>154</v>
      </c>
      <c r="BE26" s="59"/>
      <c r="BF26" s="58" t="s">
        <v>154</v>
      </c>
      <c r="BG26" s="58" t="s">
        <v>159</v>
      </c>
      <c r="BH26" s="58" t="s">
        <v>154</v>
      </c>
      <c r="BI26" s="58"/>
      <c r="BJ26" s="58"/>
      <c r="BK26" s="59"/>
      <c r="BL26" s="58" t="s">
        <v>154</v>
      </c>
      <c r="BM26" s="58" t="s">
        <v>159</v>
      </c>
      <c r="BN26" s="58" t="s">
        <v>153</v>
      </c>
      <c r="BO26" s="58" t="s">
        <v>155</v>
      </c>
      <c r="BP26" s="58" t="s">
        <v>157</v>
      </c>
      <c r="BQ26" s="58" t="s">
        <v>151</v>
      </c>
      <c r="BR26" s="58"/>
      <c r="BS26" s="58"/>
      <c r="BT26" s="58"/>
      <c r="BU26" s="60"/>
      <c r="BV26" s="61"/>
      <c r="BW26" s="61">
        <v>0</v>
      </c>
      <c r="BX26" s="59"/>
      <c r="BY26" s="44" t="s">
        <v>164</v>
      </c>
      <c r="CB26" s="5"/>
      <c r="CC26" s="5"/>
      <c r="CD26" s="62">
        <v>0</v>
      </c>
      <c r="CE26" s="62">
        <v>0</v>
      </c>
      <c r="CF26" s="62" t="e">
        <v>#REF!</v>
      </c>
      <c r="CG26" s="75" cm="1">
        <f t="array" ref="CG26">SUMPRODUCT(--(LEN(TRIM(BL26:BT26))&gt;0))</f>
        <v>6</v>
      </c>
      <c r="CH26" s="53" t="str">
        <f t="shared" si="3"/>
        <v>n</v>
      </c>
      <c r="CI26" s="53" t="str">
        <f t="shared" si="4"/>
        <v>n</v>
      </c>
      <c r="CJ26" s="53" t="str">
        <f t="shared" si="5"/>
        <v>n</v>
      </c>
      <c r="CK26" s="53" t="str">
        <f t="shared" si="6"/>
        <v>y</v>
      </c>
      <c r="CL26" s="53" t="str">
        <f t="shared" si="7"/>
        <v>n</v>
      </c>
      <c r="CM26" s="53" t="str">
        <f t="shared" si="8"/>
        <v>n</v>
      </c>
      <c r="CN26" s="53" t="str">
        <f t="shared" si="9"/>
        <v>y</v>
      </c>
      <c r="CO26" s="53" t="str">
        <f t="shared" si="10"/>
        <v>n</v>
      </c>
      <c r="CP26" s="53" t="str">
        <f t="shared" si="11"/>
        <v>n</v>
      </c>
      <c r="CQ26" s="53" t="str">
        <f t="shared" si="12"/>
        <v>y</v>
      </c>
      <c r="CR26" s="53" t="str">
        <f t="shared" si="13"/>
        <v>n</v>
      </c>
      <c r="CS26" s="53" t="str">
        <f t="shared" si="14"/>
        <v>n</v>
      </c>
      <c r="CT26" s="38" t="str">
        <f t="shared" si="15"/>
        <v>"[BRA] Santa Catarina"</v>
      </c>
      <c r="CU26" s="63" t="str">
        <f t="shared" si="16"/>
        <v>"rgn_South America"</v>
      </c>
      <c r="CV26" s="44" t="str">
        <f t="shared" si="17"/>
        <v>"https://upload.wikimedia.org/wikipedia/commons/thumb/1/1a/Bandeira_de_Santa_Catarina.svg/640px-Bandeira_de_Santa_Catarina.svg.png"</v>
      </c>
      <c r="CW26" s="44" t="str">
        <f t="shared" si="18"/>
        <v/>
      </c>
      <c r="CX26" s="44" t="str">
        <f t="shared" si="19"/>
        <v/>
      </c>
      <c r="CY26" s="44" t="str">
        <f t="shared" si="20"/>
        <v/>
      </c>
      <c r="CZ26" s="44" t="str">
        <f t="shared" si="21"/>
        <v>"5+Colo",</v>
      </c>
      <c r="DA26" s="44" t="str">
        <f t="shared" si="22"/>
        <v>"words2",</v>
      </c>
      <c r="DB26" s="44" t="str">
        <f t="shared" si="23"/>
        <v/>
      </c>
      <c r="DC26" s="44" t="str">
        <f t="shared" si="24"/>
        <v>"exact2",</v>
      </c>
      <c r="DD26" s="44" t="str">
        <f t="shared" si="25"/>
        <v>"lets13",</v>
      </c>
      <c r="DE26" s="44" t="str">
        <f t="shared" si="26"/>
        <v>"startS",</v>
      </c>
      <c r="DF26" s="44" t="str">
        <f t="shared" si="27"/>
        <v/>
      </c>
      <c r="DG26" s="44" t="str">
        <f t="shared" si="28"/>
        <v/>
      </c>
      <c r="DH26" s="44" t="str">
        <f t="shared" si="29"/>
        <v/>
      </c>
      <c r="DI26" s="44" t="str">
        <f t="shared" si="30"/>
        <v/>
      </c>
      <c r="DJ26" s="44" t="str">
        <f t="shared" si="31"/>
        <v/>
      </c>
      <c r="DK26" s="44" t="str">
        <f t="shared" si="32"/>
        <v/>
      </c>
      <c r="DL26" s="44" t="str">
        <f t="shared" si="33"/>
        <v/>
      </c>
      <c r="DM26" s="44" t="str" cm="1">
        <f t="array" ref="DM26">IF(CG26=3,CHAR(34) &amp; _xlfn.TEXTJOIN("", TRUE, RIGHT(HP26:HX26, 2)) &amp; CHAR(34) &amp; ",", "")</f>
        <v/>
      </c>
      <c r="DN26" s="44" t="str">
        <f t="shared" si="34"/>
        <v/>
      </c>
      <c r="DO26" s="44" t="str">
        <f t="shared" si="35"/>
        <v>"year19",</v>
      </c>
      <c r="DP26" s="5" t="str">
        <f t="shared" si="36"/>
        <v/>
      </c>
      <c r="DQ26" s="5" t="str">
        <f t="shared" si="37"/>
        <v/>
      </c>
      <c r="DR26" s="5" t="str">
        <f t="shared" si="38"/>
        <v/>
      </c>
      <c r="DS26" s="5" t="str">
        <f t="shared" si="39"/>
        <v/>
      </c>
      <c r="DT26" s="5" t="str">
        <f t="shared" si="40"/>
        <v>"allhor",</v>
      </c>
      <c r="DU26" s="5" t="str">
        <f t="shared" si="41"/>
        <v/>
      </c>
      <c r="DV26" s="44" t="str">
        <f t="shared" si="42"/>
        <v/>
      </c>
      <c r="DW26" s="44" t="str">
        <f t="shared" si="43"/>
        <v/>
      </c>
      <c r="DX26" s="44" t="str">
        <f t="shared" si="44"/>
        <v/>
      </c>
      <c r="DY26" s="44" t="str">
        <f t="shared" si="45"/>
        <v>"3Bands",</v>
      </c>
      <c r="DZ26" s="44" t="str">
        <f t="shared" si="46"/>
        <v/>
      </c>
      <c r="EA26" s="44" t="str">
        <f t="shared" si="47"/>
        <v>"Diagon",</v>
      </c>
      <c r="EB26" s="44" t="str">
        <f t="shared" si="48"/>
        <v/>
      </c>
      <c r="EC26" s="44" t="str">
        <f t="shared" si="49"/>
        <v>"Horizo",</v>
      </c>
      <c r="ED26" s="44" t="str">
        <f t="shared" si="50"/>
        <v/>
      </c>
      <c r="EE26" s="44" t="str">
        <f t="shared" si="51"/>
        <v>"Circle",</v>
      </c>
      <c r="EF26" s="44" t="str">
        <f t="shared" si="52"/>
        <v>"Animal",</v>
      </c>
      <c r="EG26" s="44" t="str">
        <f t="shared" si="53"/>
        <v>"Bird",</v>
      </c>
      <c r="EH26" s="44" t="str">
        <f t="shared" si="54"/>
        <v>"Plants",</v>
      </c>
      <c r="EI26" s="44" t="str">
        <f t="shared" si="55"/>
        <v>"Texted",</v>
      </c>
      <c r="EJ26" s="44" t="str">
        <f t="shared" si="56"/>
        <v/>
      </c>
      <c r="EK26" s="44" t="str">
        <f t="shared" si="57"/>
        <v/>
      </c>
      <c r="EL26" s="44" t="str">
        <f t="shared" si="58"/>
        <v/>
      </c>
      <c r="EM26" s="44" t="str">
        <f t="shared" si="59"/>
        <v/>
      </c>
      <c r="EN26" s="44" t="str">
        <f t="shared" si="60"/>
        <v/>
      </c>
      <c r="EO26" s="44" t="str">
        <f t="shared" si="61"/>
        <v>"Center",</v>
      </c>
      <c r="EP26" s="44" t="str">
        <f t="shared" si="62"/>
        <v/>
      </c>
      <c r="EQ26" s="44" t="str">
        <f t="shared" si="63"/>
        <v/>
      </c>
      <c r="ER26" s="44" t="str">
        <f t="shared" si="64"/>
        <v/>
      </c>
      <c r="ES26" s="44" t="str">
        <f t="shared" si="65"/>
        <v/>
      </c>
      <c r="ET26" s="44" t="str">
        <f t="shared" si="66"/>
        <v/>
      </c>
      <c r="EU26" s="44" t="str">
        <f t="shared" si="67"/>
        <v/>
      </c>
      <c r="EV26" s="44" t="str">
        <f t="shared" si="68"/>
        <v/>
      </c>
      <c r="EW26" s="44" t="str">
        <f t="shared" si="69"/>
        <v/>
      </c>
      <c r="EX26" s="44" t="str">
        <f t="shared" si="70"/>
        <v/>
      </c>
      <c r="EY26" s="44" t="str">
        <f t="shared" si="71"/>
        <v/>
      </c>
      <c r="EZ26" s="44" t="str">
        <f t="shared" si="72"/>
        <v/>
      </c>
      <c r="FA26" s="44" t="str">
        <f t="shared" si="73"/>
        <v>"staWHI",</v>
      </c>
      <c r="FB26" s="44" t="str">
        <f t="shared" si="74"/>
        <v/>
      </c>
      <c r="FC26" s="44" t="str">
        <f t="shared" si="75"/>
        <v/>
      </c>
      <c r="FD26" s="44" t="str">
        <f t="shared" si="76"/>
        <v/>
      </c>
      <c r="FE26" s="44" t="str">
        <f t="shared" si="77"/>
        <v>"NO_BLU",</v>
      </c>
      <c r="FF26" s="44" t="str">
        <f t="shared" si="78"/>
        <v/>
      </c>
      <c r="FG26" s="44" t="str">
        <f t="shared" si="79"/>
        <v/>
      </c>
      <c r="FH26" s="44" t="str">
        <f t="shared" si="80"/>
        <v/>
      </c>
      <c r="FI26" s="44" t="str">
        <f t="shared" si="81"/>
        <v/>
      </c>
      <c r="FJ26" s="44" t="str">
        <f t="shared" si="82"/>
        <v/>
      </c>
      <c r="FK26" s="44" t="str">
        <f t="shared" si="83"/>
        <v/>
      </c>
      <c r="FL26" s="44" t="str">
        <f t="shared" si="84"/>
        <v/>
      </c>
      <c r="FM26" s="44" t="str">
        <f t="shared" si="85"/>
        <v/>
      </c>
      <c r="FN26" s="44" t="str">
        <f t="shared" si="86"/>
        <v/>
      </c>
      <c r="FO26" s="44" t="str">
        <f t="shared" si="87"/>
        <v/>
      </c>
      <c r="FP26" s="44" t="str">
        <f t="shared" si="88"/>
        <v/>
      </c>
      <c r="FQ26" s="44" t="str">
        <f t="shared" si="89"/>
        <v>"001RED",</v>
      </c>
      <c r="FR26" s="44" t="str">
        <f t="shared" si="90"/>
        <v>"002WHI",</v>
      </c>
      <c r="FS26" s="44" t="str">
        <f t="shared" si="91"/>
        <v>"003RED",</v>
      </c>
      <c r="FT26" s="44" t="str">
        <f t="shared" si="92"/>
        <v>"myrRED",</v>
      </c>
      <c r="FU26" s="44" t="str">
        <f t="shared" si="93"/>
        <v/>
      </c>
      <c r="FV26" s="44" t="str">
        <f t="shared" si="94"/>
        <v/>
      </c>
      <c r="FW26" s="44" t="str">
        <f t="shared" si="95"/>
        <v/>
      </c>
      <c r="FX26" s="44" t="str">
        <f t="shared" si="96"/>
        <v/>
      </c>
      <c r="FY26" s="44" t="str">
        <f t="shared" si="97"/>
        <v/>
      </c>
      <c r="FZ26" s="44" t="str">
        <f t="shared" si="98"/>
        <v/>
      </c>
      <c r="GA26" s="44" t="str">
        <f t="shared" si="99"/>
        <v/>
      </c>
      <c r="GB26" s="44" t="str">
        <f t="shared" si="100"/>
        <v/>
      </c>
      <c r="GC26" s="44" t="str">
        <f t="shared" si="101"/>
        <v/>
      </c>
      <c r="GD26" s="44" t="str">
        <f t="shared" si="102"/>
        <v/>
      </c>
      <c r="GE26" s="44" t="str">
        <f t="shared" si="103"/>
        <v/>
      </c>
      <c r="GF26" s="44" t="str">
        <f t="shared" si="145"/>
        <v/>
      </c>
      <c r="GG26" s="44" t="str">
        <f t="shared" si="104"/>
        <v/>
      </c>
      <c r="GH26" s="44" t="str">
        <f t="shared" si="105"/>
        <v/>
      </c>
      <c r="GI26" s="44" t="str">
        <f t="shared" si="106"/>
        <v/>
      </c>
      <c r="GJ26" s="44" t="str">
        <f t="shared" si="107"/>
        <v/>
      </c>
      <c r="GK26" s="44" t="str">
        <f t="shared" si="108"/>
        <v>"HasSta",</v>
      </c>
      <c r="GL26" s="44" t="str">
        <f t="shared" si="109"/>
        <v>"1Stars",</v>
      </c>
      <c r="GM26" s="44" t="str">
        <f t="shared" si="110"/>
        <v/>
      </c>
      <c r="GN26" s="44" t="str">
        <f t="shared" si="111"/>
        <v/>
      </c>
      <c r="GP26" s="44" t="str">
        <f t="shared" si="112"/>
        <v>"State"</v>
      </c>
      <c r="GS26" s="44" t="str">
        <f t="shared" si="113"/>
        <v>["5+Colo","words2","exact2","lets13","startS","year19","allhor","3Bands","Diagon","Horizo","Circle","Animal","Bird","Plants","Texted","Center","staWHI","NO_BLU","001RED","002WHI","003RED","myrRED","HasSta","1Stars"]</v>
      </c>
      <c r="GT26" s="44" t="str">
        <f t="shared" si="114"/>
        <v>"cl_RED",</v>
      </c>
      <c r="GU26" s="44" t="str">
        <f t="shared" si="115"/>
        <v>"cl_WHI",</v>
      </c>
      <c r="GV26" s="44" t="str">
        <f t="shared" si="116"/>
        <v>"cl_GRE",</v>
      </c>
      <c r="GW26" s="44" t="str">
        <f t="shared" si="117"/>
        <v>"cl_YEL",</v>
      </c>
      <c r="GX26" s="44" t="str">
        <f t="shared" si="118"/>
        <v>"cl_BRO",</v>
      </c>
      <c r="GY26" s="44" t="str">
        <f t="shared" si="119"/>
        <v>"cl_BLA",</v>
      </c>
      <c r="GZ26" s="44" t="str">
        <f t="shared" si="120"/>
        <v/>
      </c>
      <c r="HA26" s="44" t="str">
        <f t="shared" si="121"/>
        <v/>
      </c>
      <c r="HB26" s="44" t="str">
        <f t="shared" si="122"/>
        <v/>
      </c>
      <c r="HC26" s="44" t="str">
        <f t="shared" si="123"/>
        <v>["cl_RED","cl_WHI","cl_GRE","cl_YEL","cl_BRO","cl_BLA"]</v>
      </c>
      <c r="HE26" s="64"/>
      <c r="HF26" s="65" t="str">
        <f t="shared" si="124"/>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links: "https://vexillology.fandom.com/wiki/Santa_Catarina"},</v>
      </c>
      <c r="HG26" s="66" t="str">
        <f t="shared" si="125"/>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links: "https://vexillology.fandom.com/wiki/Santa_Catarina"},</v>
      </c>
      <c r="HH26" s="44" t="str">
        <f t="shared" si="126"/>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I26" s="44" t="str">
        <f t="shared" si="127"/>
        <v>"\nIn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v>
      </c>
      <c r="HJ26" s="44" t="str">
        <f t="shared" si="128"/>
        <v>"1953 "</v>
      </c>
      <c r="HL26" s="44" t="str">
        <f t="shared" si="129"/>
        <v>"https://vexillology.fandom.com/wiki/Santa_Catarina"</v>
      </c>
      <c r="HM26" s="65" t="str">
        <f t="shared" si="130"/>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N26" s="67" t="str">
        <f t="shared" si="131"/>
        <v>{"couname":"[BRA] Santa Catarina","year":"1953 ","region":"rgn_South America","Colors":["cl_RED","cl_WHI","cl_GRE","cl_YEL","cl_BRO","cl_BLA"],"Items":["5+Colo","words2","exact2","lets13","startS","year19","allhor","3Bands","Diagon","Horizo","Circle","Animal","Bird","Plants","Texted","Center","staWHI","NO_BLU","001RED","002WHI","003RED","myrRED","HasSta","1Stars"],"Flag":"https://upload.wikimedia.org/wikipedia/commons/thumb/1/1a/Bandeira_de_Santa_Catarina.svg/640px-Bandeira_de_Santa_Catarina.svg.png","HDFlag":"https://upload.wikimedia.org/wikipedia/commons/thumb/1/1a/Bandeira_de_Santa_Catarina.svg/2560px-Bandeira_de_Santa_Catarina.svg.png","type":"State", "describe": "\nIn the central shield, the stars symbolize the municipalities of the state, the eagle represents the productive forces, the key symbolizes the strategic position of the state in the south, the anchor refers to the ocean that bathes the state, and the date 17 November 1889 is that of the adoption of the republican regime. The branches correspond to the coffee plant and the phrygian cap also symbolizes the republican regime.", "isnew": ".", "links": "https://vexillology.fandom.com/wiki/Santa_Catarina"},</v>
      </c>
      <c r="HO26" s="71"/>
      <c r="HP26" s="44" t="str" cm="1">
        <f t="array" ref="HP26">IF(_xlfn.TEXTJOIN(", ", TRUE, IF(ISNUMBER(SEARCH("BLA", BL26:BT26)), COLUMN(BL26:BT26) - COLUMN(BL26) + 1, ""))&lt;&gt;"","BLA","")</f>
        <v>BLA</v>
      </c>
      <c r="HQ26" s="44" t="str" cm="1">
        <f t="array" ref="HQ26">IF(_xlfn.TEXTJOIN(", ", TRUE, IF(ISNUMBER(SEARCH("BLU", BL26:BT26)), COLUMN(BL26:BT26) - COLUMN(BL26) + 1, ""))&lt;&gt;"","BLU","")</f>
        <v/>
      </c>
      <c r="HR26" s="44" t="str" cm="1">
        <f t="array" ref="HR26">IF(_xlfn.TEXTJOIN(", ", TRUE, IF(ISNUMBER(SEARCH("GRE", BL26:BT26)), COLUMN(BL26:BT26) - COLUMN(BL26) + 1, ""))&lt;&gt;"","GRE","")</f>
        <v>GRE</v>
      </c>
      <c r="HS26" s="44" t="str" cm="1">
        <f t="array" ref="HS26">IF(_xlfn.TEXTJOIN(", ", TRUE, IF(ISNUMBER(SEARCH("RED", BL26:BT26)), COLUMN(BL26:BT26) - COLUMN(BL26) + 1, ""))&lt;&gt;"","RED","")</f>
        <v>RED</v>
      </c>
      <c r="HT26" s="44" t="str" cm="1">
        <f t="array" ref="HT26">IF(_xlfn.TEXTJOIN(", ", TRUE, IF(ISNUMBER(SEARCH("YEL", BL26:BT26)), COLUMN(BL26:BT26) - COLUMN(BL26) + 1, ""))&lt;&gt;"","YEL","")</f>
        <v>YEL</v>
      </c>
      <c r="HU26" s="44" t="str" cm="1">
        <f t="array" ref="HU26">IF(_xlfn.TEXTJOIN(", ", TRUE, IF(ISNUMBER(SEARCH("ORA", BL26:BT26)), COLUMN(BL26:BT26) - COLUMN(BL26) + 1, ""))&lt;&gt;"","ORA","")</f>
        <v/>
      </c>
      <c r="HV26" s="44" t="str" cm="1">
        <f t="array" ref="HV26">IF(_xlfn.TEXTJOIN(", ", TRUE, IF(ISNUMBER(SEARCH("BRO", BL26:BT26)), COLUMN(BL26:BT26) - COLUMN(BL26) + 1, ""))&lt;&gt;"","BRO","")</f>
        <v>BRO</v>
      </c>
      <c r="HW26" s="44" t="str" cm="1">
        <f t="array" ref="HW26">IF(_xlfn.TEXTJOIN(", ", TRUE, IF(ISNUMBER(SEARCH("PUR", BL26:BT26)), COLUMN(BL26:BT26) - COLUMN(BL26) + 1, ""))&lt;&gt;"","PUR","")</f>
        <v/>
      </c>
      <c r="HX26" s="44" t="str" cm="1">
        <f t="array" ref="HX26">IF(_xlfn.TEXTJOIN(", ", TRUE, IF(ISNUMBER(SEARCH("WHI", BL26:BT26)), COLUMN(BL26:BT26) - COLUMN(BL26) + 1, ""))&lt;&gt;"","WHI","")</f>
        <v>WHI</v>
      </c>
      <c r="HY26" s="72"/>
      <c r="HZ26" s="72"/>
      <c r="IA26" s="5"/>
      <c r="IB26" s="5"/>
      <c r="IC26" s="68"/>
      <c r="ID26" s="68"/>
      <c r="IE26" s="68"/>
      <c r="IF26" s="68"/>
      <c r="IG26" s="68"/>
      <c r="IH26" s="68"/>
      <c r="II26" s="68"/>
      <c r="IJ26" s="68"/>
      <c r="IK26" s="68"/>
      <c r="IL26" s="44">
        <f t="shared" si="132"/>
        <v>0</v>
      </c>
      <c r="IM26" s="42">
        <f t="shared" si="133"/>
        <v>-6</v>
      </c>
      <c r="IN26" s="69" t="str">
        <f t="shared" si="134"/>
        <v>http://mkweb.bcgsc.ca/color-summarizer/?url=https://upload.wikimedia.org/wikipedia/commons/thumb/1/1a/Bandeira_de_Santa_Catarina.svg/640px-Bandeira_de_Santa_Catarina.svg.png&amp;precision=low&amp;num_clusters=6&amp;text=1</v>
      </c>
      <c r="IO26" s="44" t="str">
        <f t="shared" si="135"/>
        <v>"black"</v>
      </c>
      <c r="IP26" s="44" t="str">
        <f t="shared" si="136"/>
        <v/>
      </c>
      <c r="IQ26" s="44" t="str">
        <f t="shared" si="137"/>
        <v>"green"</v>
      </c>
      <c r="IR26" s="44" t="str">
        <f t="shared" si="138"/>
        <v>"red"</v>
      </c>
      <c r="IS26" s="44" t="str">
        <f t="shared" si="139"/>
        <v>"yellow"</v>
      </c>
      <c r="IT26" s="44" t="str">
        <f t="shared" si="140"/>
        <v/>
      </c>
      <c r="IU26" s="44" t="str">
        <f t="shared" si="141"/>
        <v>"brown"</v>
      </c>
      <c r="IV26" s="44" t="str">
        <f t="shared" si="142"/>
        <v/>
      </c>
      <c r="IW26" s="44" t="str">
        <f t="shared" si="143"/>
        <v>"white"</v>
      </c>
      <c r="IX26" s="44" t="str">
        <f t="shared" si="144"/>
        <v>{"url":"http://mkweb.bcgsc.ca/color-summarizer/?url=https://upload.wikimedia.org/wikipedia/commons/thumb/1/1a/Bandeira_de_Santa_Catarina.svg/640px-Bandeira_de_Santa_Catarina.svg.png&amp;precision=low&amp;num_clusters=6&amp;text=1","name":"[BRA] Santa Catarina"},</v>
      </c>
      <c r="IY26" s="44">
        <v>350</v>
      </c>
    </row>
    <row r="27" spans="1:259" s="44" customFormat="1" ht="38.4" customHeight="1" thickBot="1" x14ac:dyDescent="0.35">
      <c r="A27" s="84" t="s">
        <v>442</v>
      </c>
      <c r="B27" s="83" t="e" vm="49">
        <v>#VALUE!</v>
      </c>
      <c r="C27" s="39">
        <v>2</v>
      </c>
      <c r="D27" s="70" t="s">
        <v>443</v>
      </c>
      <c r="E27" s="40" t="s">
        <v>444</v>
      </c>
      <c r="F27" s="41" t="s">
        <v>163</v>
      </c>
      <c r="G27" s="42">
        <f t="shared" si="0"/>
        <v>1</v>
      </c>
      <c r="H27" s="43"/>
      <c r="I27" s="59" t="s">
        <v>445</v>
      </c>
      <c r="J27" s="44" t="str">
        <f>""</f>
        <v/>
      </c>
      <c r="K27" s="45"/>
      <c r="L27" s="46"/>
      <c r="M27" s="46"/>
      <c r="N27" s="47" t="s">
        <v>177</v>
      </c>
      <c r="O27" s="74" t="s">
        <v>242</v>
      </c>
      <c r="P27" s="48" t="s">
        <v>446</v>
      </c>
      <c r="Q27" s="73">
        <v>2</v>
      </c>
      <c r="R27" s="49" t="s">
        <v>177</v>
      </c>
      <c r="S27" s="50">
        <v>13</v>
      </c>
      <c r="T27" s="51" t="s">
        <v>164</v>
      </c>
      <c r="U27" s="52" t="s">
        <v>164</v>
      </c>
      <c r="V27" s="52" t="s">
        <v>165</v>
      </c>
      <c r="W27" s="52" t="s">
        <v>164</v>
      </c>
      <c r="X27" s="52" t="s">
        <v>165</v>
      </c>
      <c r="Y27" s="52" t="s">
        <v>164</v>
      </c>
      <c r="Z27" s="52" t="s">
        <v>164</v>
      </c>
      <c r="AA27" s="52" t="s">
        <v>164</v>
      </c>
      <c r="AB27" s="52" t="s">
        <v>164</v>
      </c>
      <c r="AC27" s="52" t="s">
        <v>164</v>
      </c>
      <c r="AD27" s="52" t="s">
        <v>164</v>
      </c>
      <c r="AE27" s="52" t="s">
        <v>164</v>
      </c>
      <c r="AF27" s="53" t="s">
        <v>164</v>
      </c>
      <c r="AG27" s="53" t="s">
        <v>164</v>
      </c>
      <c r="AH27" s="53" t="s">
        <v>164</v>
      </c>
      <c r="AI27" s="53" t="s">
        <v>165</v>
      </c>
      <c r="AJ27" s="53" t="s">
        <v>164</v>
      </c>
      <c r="AK27" s="53" t="s">
        <v>164</v>
      </c>
      <c r="AL27" s="53" t="s">
        <v>164</v>
      </c>
      <c r="AM27" s="53" t="s">
        <v>165</v>
      </c>
      <c r="AN27" s="53" t="s">
        <v>164</v>
      </c>
      <c r="AO27" s="53" t="s">
        <v>164</v>
      </c>
      <c r="AP27" s="53" t="s">
        <v>164</v>
      </c>
      <c r="AQ27" s="53" t="s">
        <v>164</v>
      </c>
      <c r="AR27" s="53" t="s">
        <v>164</v>
      </c>
      <c r="AS27" s="53" t="s">
        <v>164</v>
      </c>
      <c r="AT27" s="54">
        <v>4</v>
      </c>
      <c r="AU27" s="53" t="s">
        <v>308</v>
      </c>
      <c r="AV27" s="53" t="str">
        <f t="shared" si="1"/>
        <v>[BRA]State[BRA] Sao Paulo</v>
      </c>
      <c r="AW27" s="53" t="str">
        <f t="shared" si="2"/>
        <v>2[BRA] Sao Paulo</v>
      </c>
      <c r="AX27" s="55"/>
      <c r="AY27" s="55"/>
      <c r="AZ27" s="56" t="s">
        <v>155</v>
      </c>
      <c r="BA27" s="56"/>
      <c r="BB27" s="56"/>
      <c r="BC27" s="57"/>
      <c r="BD27" s="58" t="s">
        <v>151</v>
      </c>
      <c r="BE27" s="59"/>
      <c r="BF27" s="58" t="s">
        <v>151</v>
      </c>
      <c r="BG27" s="58" t="s">
        <v>151</v>
      </c>
      <c r="BH27" s="58" t="s">
        <v>151</v>
      </c>
      <c r="BI27" s="58" t="s">
        <v>159</v>
      </c>
      <c r="BJ27" s="58"/>
      <c r="BK27" s="59"/>
      <c r="BL27" s="58" t="s">
        <v>151</v>
      </c>
      <c r="BM27" s="58" t="s">
        <v>159</v>
      </c>
      <c r="BN27" s="58" t="s">
        <v>154</v>
      </c>
      <c r="BO27" s="58" t="s">
        <v>152</v>
      </c>
      <c r="BP27" s="58" t="s">
        <v>155</v>
      </c>
      <c r="BQ27" s="58"/>
      <c r="BR27" s="58"/>
      <c r="BS27" s="58"/>
      <c r="BT27" s="58"/>
      <c r="BU27" s="60" t="s">
        <v>164</v>
      </c>
      <c r="BV27" s="61"/>
      <c r="BW27" s="61">
        <v>0</v>
      </c>
      <c r="BX27" s="59"/>
      <c r="CB27" s="5"/>
      <c r="CC27" s="5"/>
      <c r="CD27" s="62">
        <v>0</v>
      </c>
      <c r="CE27" s="62">
        <v>1</v>
      </c>
      <c r="CF27" s="62" t="e">
        <v>#REF!</v>
      </c>
      <c r="CG27" s="75" cm="1">
        <f t="array" ref="CG27">SUMPRODUCT(--(LEN(TRIM(BL27:BT27))&gt;0))</f>
        <v>5</v>
      </c>
      <c r="CH27" s="53" t="str">
        <f t="shared" si="3"/>
        <v>n</v>
      </c>
      <c r="CI27" s="53" t="str">
        <f t="shared" si="4"/>
        <v>n</v>
      </c>
      <c r="CJ27" s="53" t="str">
        <f t="shared" si="5"/>
        <v>n</v>
      </c>
      <c r="CK27" s="53" t="str">
        <f t="shared" si="6"/>
        <v>y</v>
      </c>
      <c r="CL27" s="53" t="str">
        <f t="shared" si="7"/>
        <v>n</v>
      </c>
      <c r="CM27" s="53" t="str">
        <f t="shared" si="8"/>
        <v>n</v>
      </c>
      <c r="CN27" s="53" t="str">
        <f t="shared" si="9"/>
        <v>n</v>
      </c>
      <c r="CO27" s="53" t="str">
        <f t="shared" si="10"/>
        <v>y</v>
      </c>
      <c r="CP27" s="53" t="str">
        <f t="shared" si="11"/>
        <v>n</v>
      </c>
      <c r="CQ27" s="53" t="str">
        <f t="shared" si="12"/>
        <v>n</v>
      </c>
      <c r="CR27" s="53" t="str">
        <f t="shared" si="13"/>
        <v>n</v>
      </c>
      <c r="CS27" s="53" t="str">
        <f t="shared" si="14"/>
        <v>y</v>
      </c>
      <c r="CT27" s="38" t="str">
        <f t="shared" si="15"/>
        <v>"[BRA] Sao Paulo"</v>
      </c>
      <c r="CU27" s="63" t="str">
        <f t="shared" si="16"/>
        <v>"rgn_South America"</v>
      </c>
      <c r="CV27" s="44" t="str">
        <f t="shared" si="17"/>
        <v>"https://upload.wikimedia.org/wikipedia/commons/thumb/2/2b/Bandeira_do_estado_de_S%C3%A3o_Paulo.svg/640px-Bandeira_do_estado_de_S%C3%A3o_Paulo.svg.png"</v>
      </c>
      <c r="CW27" s="44" t="str">
        <f t="shared" si="18"/>
        <v/>
      </c>
      <c r="CX27" s="44" t="str">
        <f t="shared" si="19"/>
        <v/>
      </c>
      <c r="CY27" s="44" t="str">
        <f t="shared" si="20"/>
        <v/>
      </c>
      <c r="CZ27" s="44" t="str">
        <f t="shared" si="21"/>
        <v>"5+Colo",</v>
      </c>
      <c r="DA27" s="44" t="str">
        <f t="shared" si="22"/>
        <v>"words2",</v>
      </c>
      <c r="DB27" s="44" t="str">
        <f t="shared" si="23"/>
        <v/>
      </c>
      <c r="DC27" s="44" t="str">
        <f t="shared" si="24"/>
        <v>"exact2",</v>
      </c>
      <c r="DD27" s="44" t="str">
        <f t="shared" si="25"/>
        <v>"lets08",</v>
      </c>
      <c r="DE27" s="44" t="str">
        <f t="shared" si="26"/>
        <v>"startS",</v>
      </c>
      <c r="DF27" s="44" t="str">
        <f t="shared" si="27"/>
        <v/>
      </c>
      <c r="DG27" s="44" t="str">
        <f t="shared" si="28"/>
        <v/>
      </c>
      <c r="DH27" s="44" t="str">
        <f t="shared" si="29"/>
        <v/>
      </c>
      <c r="DI27" s="44" t="str">
        <f t="shared" si="30"/>
        <v/>
      </c>
      <c r="DJ27" s="44" t="str">
        <f t="shared" si="31"/>
        <v/>
      </c>
      <c r="DK27" s="44" t="str">
        <f t="shared" si="32"/>
        <v/>
      </c>
      <c r="DL27" s="44" t="str">
        <f t="shared" si="33"/>
        <v/>
      </c>
      <c r="DM27" s="44" t="str" cm="1">
        <f t="array" ref="DM27">IF(CG27=3,CHAR(34) &amp; _xlfn.TEXTJOIN("", TRUE, RIGHT(HP27:HX27, 2)) &amp; CHAR(34) &amp; ",", "")</f>
        <v/>
      </c>
      <c r="DN27" s="44" t="str">
        <f t="shared" si="34"/>
        <v/>
      </c>
      <c r="DO27" s="44" t="str">
        <f t="shared" si="35"/>
        <v>"year19",</v>
      </c>
      <c r="DP27" s="5" t="str">
        <f t="shared" si="36"/>
        <v/>
      </c>
      <c r="DQ27" s="5" t="str">
        <f t="shared" si="37"/>
        <v/>
      </c>
      <c r="DR27" s="5" t="str">
        <f t="shared" si="38"/>
        <v/>
      </c>
      <c r="DS27" s="5" t="str">
        <f t="shared" si="39"/>
        <v/>
      </c>
      <c r="DT27" s="5" t="str">
        <f t="shared" si="40"/>
        <v>"allhor",</v>
      </c>
      <c r="DU27" s="5" t="str">
        <f t="shared" si="41"/>
        <v/>
      </c>
      <c r="DV27" s="44" t="str">
        <f t="shared" si="42"/>
        <v/>
      </c>
      <c r="DW27" s="44" t="str">
        <f t="shared" si="43"/>
        <v/>
      </c>
      <c r="DX27" s="44" t="str">
        <f t="shared" si="44"/>
        <v/>
      </c>
      <c r="DY27" s="44" t="str">
        <f t="shared" si="45"/>
        <v/>
      </c>
      <c r="DZ27" s="44" t="str">
        <f t="shared" si="46"/>
        <v>"4+Band",</v>
      </c>
      <c r="EA27" s="44" t="str">
        <f t="shared" si="47"/>
        <v/>
      </c>
      <c r="EB27" s="44" t="str">
        <f t="shared" si="48"/>
        <v/>
      </c>
      <c r="EC27" s="44" t="str">
        <f t="shared" si="49"/>
        <v>"Horizo",</v>
      </c>
      <c r="ED27" s="44" t="str">
        <f t="shared" si="50"/>
        <v/>
      </c>
      <c r="EE27" s="44" t="str">
        <f t="shared" si="51"/>
        <v>"Circle",</v>
      </c>
      <c r="EF27" s="44" t="str">
        <f t="shared" si="52"/>
        <v/>
      </c>
      <c r="EG27" s="44" t="str">
        <f t="shared" si="53"/>
        <v/>
      </c>
      <c r="EH27" s="44" t="str">
        <f t="shared" si="54"/>
        <v/>
      </c>
      <c r="EI27" s="44" t="str">
        <f t="shared" si="55"/>
        <v/>
      </c>
      <c r="EJ27" s="44" t="str">
        <f t="shared" si="56"/>
        <v/>
      </c>
      <c r="EK27" s="44" t="str">
        <f t="shared" si="57"/>
        <v/>
      </c>
      <c r="EL27" s="44" t="str">
        <f t="shared" si="58"/>
        <v/>
      </c>
      <c r="EM27" s="44" t="str">
        <f t="shared" si="59"/>
        <v/>
      </c>
      <c r="EN27" s="44" t="str">
        <f t="shared" si="60"/>
        <v/>
      </c>
      <c r="EO27" s="44" t="str">
        <f t="shared" si="61"/>
        <v/>
      </c>
      <c r="EP27" s="44" t="str">
        <f t="shared" si="62"/>
        <v>"Canton",</v>
      </c>
      <c r="EQ27" s="44" t="str">
        <f t="shared" si="63"/>
        <v/>
      </c>
      <c r="ER27" s="44" t="str">
        <f t="shared" si="64"/>
        <v/>
      </c>
      <c r="ES27" s="44" t="str">
        <f t="shared" si="65"/>
        <v/>
      </c>
      <c r="ET27" s="44" t="str">
        <f t="shared" si="66"/>
        <v>"Geogrh",</v>
      </c>
      <c r="EU27" s="44" t="str">
        <f t="shared" si="67"/>
        <v/>
      </c>
      <c r="EV27" s="44" t="str">
        <f t="shared" si="68"/>
        <v/>
      </c>
      <c r="EW27" s="44" t="str">
        <f t="shared" si="69"/>
        <v/>
      </c>
      <c r="EX27" s="44" t="str">
        <f t="shared" si="70"/>
        <v/>
      </c>
      <c r="EY27" s="44" t="str">
        <f t="shared" si="71"/>
        <v/>
      </c>
      <c r="EZ27" s="44" t="str">
        <f t="shared" si="72"/>
        <v/>
      </c>
      <c r="FA27" s="44" t="str">
        <f t="shared" si="73"/>
        <v>"staYEL",</v>
      </c>
      <c r="FB27" s="44" t="str">
        <f t="shared" si="74"/>
        <v/>
      </c>
      <c r="FC27" s="44" t="str">
        <f t="shared" si="75"/>
        <v/>
      </c>
      <c r="FD27" s="44" t="str">
        <f t="shared" si="76"/>
        <v/>
      </c>
      <c r="FE27" s="44" t="str">
        <f t="shared" si="77"/>
        <v/>
      </c>
      <c r="FF27" s="44" t="str">
        <f t="shared" si="78"/>
        <v/>
      </c>
      <c r="FG27" s="44" t="str">
        <f t="shared" si="79"/>
        <v/>
      </c>
      <c r="FH27" s="44" t="str">
        <f t="shared" si="80"/>
        <v>"NO_GRE",</v>
      </c>
      <c r="FI27" s="44" t="str">
        <f t="shared" si="81"/>
        <v/>
      </c>
      <c r="FJ27" s="44" t="str">
        <f t="shared" si="82"/>
        <v/>
      </c>
      <c r="FK27" s="44" t="str">
        <f t="shared" si="83"/>
        <v/>
      </c>
      <c r="FL27" s="44" t="str">
        <f t="shared" si="84"/>
        <v/>
      </c>
      <c r="FM27" s="44" t="str">
        <f t="shared" si="85"/>
        <v/>
      </c>
      <c r="FN27" s="44" t="str">
        <f t="shared" si="86"/>
        <v/>
      </c>
      <c r="FO27" s="44" t="str">
        <f t="shared" si="87"/>
        <v/>
      </c>
      <c r="FP27" s="44" t="str">
        <f t="shared" si="88"/>
        <v/>
      </c>
      <c r="FQ27" s="44" t="str">
        <f t="shared" si="89"/>
        <v>"001BLA",</v>
      </c>
      <c r="FR27" s="44" t="str">
        <f t="shared" si="90"/>
        <v>"002BLA",</v>
      </c>
      <c r="FS27" s="44" t="str">
        <f t="shared" si="91"/>
        <v>"003BLA",</v>
      </c>
      <c r="FT27" s="44" t="str">
        <f t="shared" si="92"/>
        <v>"myrBLA",</v>
      </c>
      <c r="FU27" s="44" t="str">
        <f t="shared" si="93"/>
        <v/>
      </c>
      <c r="FV27" s="44" t="str">
        <f t="shared" si="94"/>
        <v/>
      </c>
      <c r="FW27" s="44" t="str">
        <f t="shared" si="95"/>
        <v/>
      </c>
      <c r="FX27" s="44" t="str">
        <f t="shared" si="96"/>
        <v/>
      </c>
      <c r="FY27" s="44" t="str">
        <f t="shared" si="97"/>
        <v/>
      </c>
      <c r="FZ27" s="44" t="str">
        <f t="shared" si="98"/>
        <v/>
      </c>
      <c r="GA27" s="44" t="str">
        <f t="shared" si="99"/>
        <v/>
      </c>
      <c r="GB27" s="44" t="str">
        <f t="shared" si="100"/>
        <v/>
      </c>
      <c r="GC27" s="44" t="str">
        <f t="shared" si="101"/>
        <v/>
      </c>
      <c r="GD27" s="44" t="str">
        <f t="shared" si="102"/>
        <v/>
      </c>
      <c r="GE27" s="44" t="str">
        <f t="shared" si="103"/>
        <v/>
      </c>
      <c r="GF27" s="44" t="str">
        <f t="shared" si="145"/>
        <v/>
      </c>
      <c r="GG27" s="44" t="str">
        <f t="shared" si="104"/>
        <v/>
      </c>
      <c r="GH27" s="44" t="str">
        <f t="shared" si="105"/>
        <v/>
      </c>
      <c r="GI27" s="44" t="str">
        <f t="shared" si="106"/>
        <v>"hasmap",</v>
      </c>
      <c r="GJ27" s="44" t="str">
        <f t="shared" si="107"/>
        <v/>
      </c>
      <c r="GK27" s="44" t="str">
        <f t="shared" si="108"/>
        <v>"HasSta",</v>
      </c>
      <c r="GL27" s="44" t="str">
        <f t="shared" si="109"/>
        <v/>
      </c>
      <c r="GM27" s="44" t="str">
        <f t="shared" si="110"/>
        <v/>
      </c>
      <c r="GN27" s="44" t="str">
        <f t="shared" si="111"/>
        <v>"3+Star",</v>
      </c>
      <c r="GP27" s="44" t="str">
        <f t="shared" si="112"/>
        <v>"State"</v>
      </c>
      <c r="GS27" s="44" t="str">
        <f t="shared" si="113"/>
        <v>["5+Colo","words2","exact2","lets08","startS","year19","allhor","4+Band","Horizo","Circle","Canton","Geogrh","staYEL","NO_GRE","001BLA","002BLA","003BLA","myrBLA","hasmap","HasSta","3+Star"]</v>
      </c>
      <c r="GT27" s="44" t="str">
        <f t="shared" si="114"/>
        <v>"cl_BLA",</v>
      </c>
      <c r="GU27" s="44" t="str">
        <f t="shared" si="115"/>
        <v>"cl_WHI",</v>
      </c>
      <c r="GV27" s="44" t="str">
        <f t="shared" si="116"/>
        <v>"cl_RED",</v>
      </c>
      <c r="GW27" s="44" t="str">
        <f t="shared" si="117"/>
        <v>"cl_BLU",</v>
      </c>
      <c r="GX27" s="44" t="str">
        <f t="shared" si="118"/>
        <v>"cl_YEL",</v>
      </c>
      <c r="GY27" s="44" t="str">
        <f t="shared" si="119"/>
        <v/>
      </c>
      <c r="GZ27" s="44" t="str">
        <f t="shared" si="120"/>
        <v/>
      </c>
      <c r="HA27" s="44" t="str">
        <f t="shared" si="121"/>
        <v/>
      </c>
      <c r="HB27" s="44" t="str">
        <f t="shared" si="122"/>
        <v/>
      </c>
      <c r="HC27" s="44" t="str">
        <f t="shared" si="123"/>
        <v>["cl_BLA","cl_WHI","cl_RED","cl_BLU","cl_YEL"]</v>
      </c>
      <c r="HE27" s="64"/>
      <c r="HF27" s="65" t="str">
        <f t="shared" si="124"/>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links: "https://en.wikipedia.org/wiki/Flag_of_São_Paulo_(state)"},</v>
      </c>
      <c r="HG27" s="66" t="str">
        <f t="shared" si="125"/>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links: "https://en.wikipedia.org/wiki/Flag_of_São_Paulo_(state)"},</v>
      </c>
      <c r="HH27" s="44" t="str">
        <f t="shared" si="126"/>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I27" s="44" t="str">
        <f t="shared" si="127"/>
        <v>"\nThe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v>
      </c>
      <c r="HJ27" s="44" t="str">
        <f t="shared" si="128"/>
        <v>"1946 "</v>
      </c>
      <c r="HL27" s="44" t="str">
        <f t="shared" si="129"/>
        <v>"https://en.wikipedia.org/wiki/Flag_of_São_Paulo_(state)"</v>
      </c>
      <c r="HM27" s="65" t="str">
        <f t="shared" si="130"/>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N27" s="67" t="str">
        <f t="shared" si="131"/>
        <v>{"couname":"[BRA] Sao Paulo","year":"1946 ","region":"rgn_South America","Colors":["cl_BLA","cl_WHI","cl_RED","cl_BLU","cl_YEL"],"Items":["5+Colo","words2","exact2","lets08","startS","year19","allhor","4+Band","Horizo","Circle","Canton","Geogrh","staYEL","NO_GRE","001BLA","002BLA","003BLA","myrBLA","hasmap","HasSta","3+Star"],"Flag":"https://upload.wikimedia.org/wikipedia/commons/thumb/2/2b/Bandeira_do_estado_de_S%C3%A3o_Paulo.svg/640px-Bandeira_do_estado_de_S%C3%A3o_Paulo.svg.png","HDFlag":"https://upload.wikimedia.org/wikipedia/commons/thumb/2/2b/Bandeira_do_estado_de_S%C3%A3o_Paulo.svg/2560px-Bandeira_do_estado_de_S%C3%A3o_Paulo.svg.png","type":"State", "describe": "\nThe red, black and white colors symbolize, respectively, the three constituent races of the Brazilian people: Amerindians, blacks, and whites. The canton consists of a red rectangle on the upper left corner, representing the blood shed by the bandeirantes. The white circle contains an outline of Brazil in blue, the color of strength, which the bandeirantes brought to the state.", "isnew": ".", "links": "https://en.wikipedia.org/wiki/Flag_of_São_Paulo_(state)"},</v>
      </c>
      <c r="HO27" s="71"/>
      <c r="HP27" s="44" t="str" cm="1">
        <f t="array" ref="HP27">IF(_xlfn.TEXTJOIN(", ", TRUE, IF(ISNUMBER(SEARCH("BLA", BL27:BT27)), COLUMN(BL27:BT27) - COLUMN(BL27) + 1, ""))&lt;&gt;"","BLA","")</f>
        <v>BLA</v>
      </c>
      <c r="HQ27" s="44" t="str" cm="1">
        <f t="array" ref="HQ27">IF(_xlfn.TEXTJOIN(", ", TRUE, IF(ISNUMBER(SEARCH("BLU", BL27:BT27)), COLUMN(BL27:BT27) - COLUMN(BL27) + 1, ""))&lt;&gt;"","BLU","")</f>
        <v>BLU</v>
      </c>
      <c r="HR27" s="44" t="str" cm="1">
        <f t="array" ref="HR27">IF(_xlfn.TEXTJOIN(", ", TRUE, IF(ISNUMBER(SEARCH("GRE", BL27:BT27)), COLUMN(BL27:BT27) - COLUMN(BL27) + 1, ""))&lt;&gt;"","GRE","")</f>
        <v/>
      </c>
      <c r="HS27" s="44" t="str" cm="1">
        <f t="array" ref="HS27">IF(_xlfn.TEXTJOIN(", ", TRUE, IF(ISNUMBER(SEARCH("RED", BL27:BT27)), COLUMN(BL27:BT27) - COLUMN(BL27) + 1, ""))&lt;&gt;"","RED","")</f>
        <v>RED</v>
      </c>
      <c r="HT27" s="44" t="str" cm="1">
        <f t="array" ref="HT27">IF(_xlfn.TEXTJOIN(", ", TRUE, IF(ISNUMBER(SEARCH("YEL", BL27:BT27)), COLUMN(BL27:BT27) - COLUMN(BL27) + 1, ""))&lt;&gt;"","YEL","")</f>
        <v>YEL</v>
      </c>
      <c r="HU27" s="44" t="str" cm="1">
        <f t="array" ref="HU27">IF(_xlfn.TEXTJOIN(", ", TRUE, IF(ISNUMBER(SEARCH("ORA", BL27:BT27)), COLUMN(BL27:BT27) - COLUMN(BL27) + 1, ""))&lt;&gt;"","ORA","")</f>
        <v/>
      </c>
      <c r="HV27" s="44" t="str" cm="1">
        <f t="array" ref="HV27">IF(_xlfn.TEXTJOIN(", ", TRUE, IF(ISNUMBER(SEARCH("BRO", BL27:BT27)), COLUMN(BL27:BT27) - COLUMN(BL27) + 1, ""))&lt;&gt;"","BRO","")</f>
        <v/>
      </c>
      <c r="HW27" s="44" t="str" cm="1">
        <f t="array" ref="HW27">IF(_xlfn.TEXTJOIN(", ", TRUE, IF(ISNUMBER(SEARCH("PUR", BL27:BT27)), COLUMN(BL27:BT27) - COLUMN(BL27) + 1, ""))&lt;&gt;"","PUR","")</f>
        <v/>
      </c>
      <c r="HX27" s="44" t="str" cm="1">
        <f t="array" ref="HX27">IF(_xlfn.TEXTJOIN(", ", TRUE, IF(ISNUMBER(SEARCH("WHI", BL27:BT27)), COLUMN(BL27:BT27) - COLUMN(BL27) + 1, ""))&lt;&gt;"","WHI","")</f>
        <v>WHI</v>
      </c>
      <c r="HY27" s="72"/>
      <c r="HZ27" s="72"/>
      <c r="IA27" s="5"/>
      <c r="IB27" s="5"/>
      <c r="IC27" s="68"/>
      <c r="ID27" s="68"/>
      <c r="IE27" s="68"/>
      <c r="IF27" s="68"/>
      <c r="IG27" s="68"/>
      <c r="IH27" s="68"/>
      <c r="II27" s="68"/>
      <c r="IJ27" s="68"/>
      <c r="IK27" s="68"/>
      <c r="IL27" s="44">
        <f t="shared" si="132"/>
        <v>0</v>
      </c>
      <c r="IM27" s="42">
        <f t="shared" si="133"/>
        <v>-5</v>
      </c>
      <c r="IN27" s="69" t="str">
        <f t="shared" si="134"/>
        <v>http://mkweb.bcgsc.ca/color-summarizer/?url=https://upload.wikimedia.org/wikipedia/commons/thumb/2/2b/Bandeira_do_estado_de_S%C3%A3o_Paulo.svg/640px-Bandeira_do_estado_de_S%C3%A3o_Paulo.svg.png&amp;precision=low&amp;num_clusters=5&amp;text=1</v>
      </c>
      <c r="IO27" s="44" t="str">
        <f t="shared" si="135"/>
        <v>"black"</v>
      </c>
      <c r="IP27" s="44" t="str">
        <f t="shared" si="136"/>
        <v>"blue"</v>
      </c>
      <c r="IQ27" s="44" t="str">
        <f t="shared" si="137"/>
        <v/>
      </c>
      <c r="IR27" s="44" t="str">
        <f t="shared" si="138"/>
        <v>"red"</v>
      </c>
      <c r="IS27" s="44" t="str">
        <f t="shared" si="139"/>
        <v>"yellow"</v>
      </c>
      <c r="IT27" s="44" t="str">
        <f t="shared" si="140"/>
        <v/>
      </c>
      <c r="IU27" s="44" t="str">
        <f t="shared" si="141"/>
        <v/>
      </c>
      <c r="IV27" s="44" t="str">
        <f t="shared" si="142"/>
        <v/>
      </c>
      <c r="IW27" s="44" t="str">
        <f t="shared" si="143"/>
        <v>"white"</v>
      </c>
      <c r="IX27" s="44" t="str">
        <f t="shared" si="144"/>
        <v>{"url":"http://mkweb.bcgsc.ca/color-summarizer/?url=https://upload.wikimedia.org/wikipedia/commons/thumb/2/2b/Bandeira_do_estado_de_S%C3%A3o_Paulo.svg/640px-Bandeira_do_estado_de_S%C3%A3o_Paulo.svg.png&amp;precision=low&amp;num_clusters=5&amp;text=1","name":"[BRA] Sao Paulo"},</v>
      </c>
      <c r="IY27" s="44">
        <v>351</v>
      </c>
    </row>
    <row r="28" spans="1:259" s="44" customFormat="1" ht="38.4" customHeight="1" thickBot="1" x14ac:dyDescent="0.35">
      <c r="A28" s="84" t="s">
        <v>447</v>
      </c>
      <c r="B28" s="83" t="e" vm="50">
        <v>#VALUE!</v>
      </c>
      <c r="C28" s="39">
        <v>2</v>
      </c>
      <c r="D28" s="70" t="s">
        <v>448</v>
      </c>
      <c r="E28" s="40" t="s">
        <v>449</v>
      </c>
      <c r="F28" s="41" t="s">
        <v>163</v>
      </c>
      <c r="G28" s="42">
        <f t="shared" si="0"/>
        <v>1</v>
      </c>
      <c r="H28" s="43"/>
      <c r="I28" s="59" t="s">
        <v>450</v>
      </c>
      <c r="J28" s="44" t="str">
        <f>""</f>
        <v/>
      </c>
      <c r="K28" s="45"/>
      <c r="L28" s="46"/>
      <c r="M28" s="46"/>
      <c r="N28" s="47" t="s">
        <v>177</v>
      </c>
      <c r="O28" s="74" t="s">
        <v>451</v>
      </c>
      <c r="P28" s="48" t="s">
        <v>452</v>
      </c>
      <c r="Q28" s="73">
        <v>1</v>
      </c>
      <c r="R28" s="49" t="s">
        <v>177</v>
      </c>
      <c r="S28" s="50">
        <v>4</v>
      </c>
      <c r="T28" s="51" t="s">
        <v>164</v>
      </c>
      <c r="U28" s="52" t="s">
        <v>164</v>
      </c>
      <c r="V28" s="52" t="s">
        <v>165</v>
      </c>
      <c r="W28" s="52" t="s">
        <v>164</v>
      </c>
      <c r="X28" s="52" t="s">
        <v>164</v>
      </c>
      <c r="Y28" s="52" t="s">
        <v>164</v>
      </c>
      <c r="Z28" s="52" t="s">
        <v>164</v>
      </c>
      <c r="AA28" s="52" t="s">
        <v>164</v>
      </c>
      <c r="AB28" s="52" t="s">
        <v>164</v>
      </c>
      <c r="AC28" s="52" t="s">
        <v>164</v>
      </c>
      <c r="AD28" s="52" t="s">
        <v>164</v>
      </c>
      <c r="AE28" s="52" t="s">
        <v>164</v>
      </c>
      <c r="AF28" s="53" t="s">
        <v>164</v>
      </c>
      <c r="AG28" s="53" t="s">
        <v>164</v>
      </c>
      <c r="AH28" s="53" t="s">
        <v>164</v>
      </c>
      <c r="AI28" s="53" t="s">
        <v>165</v>
      </c>
      <c r="AJ28" s="53" t="s">
        <v>164</v>
      </c>
      <c r="AK28" s="53" t="s">
        <v>164</v>
      </c>
      <c r="AL28" s="53" t="s">
        <v>164</v>
      </c>
      <c r="AM28" s="53" t="s">
        <v>164</v>
      </c>
      <c r="AN28" s="53" t="s">
        <v>164</v>
      </c>
      <c r="AO28" s="53" t="s">
        <v>164</v>
      </c>
      <c r="AP28" s="53" t="s">
        <v>164</v>
      </c>
      <c r="AQ28" s="53" t="s">
        <v>164</v>
      </c>
      <c r="AR28" s="53" t="s">
        <v>164</v>
      </c>
      <c r="AS28" s="53" t="s">
        <v>164</v>
      </c>
      <c r="AT28" s="54">
        <v>5</v>
      </c>
      <c r="AU28" s="53" t="s">
        <v>308</v>
      </c>
      <c r="AV28" s="53" t="str">
        <f t="shared" si="1"/>
        <v>[BRA]State[BRA] Sergipe</v>
      </c>
      <c r="AW28" s="53" t="str">
        <f t="shared" si="2"/>
        <v>2[BRA] Sergipe</v>
      </c>
      <c r="AX28" s="55"/>
      <c r="AY28" s="55"/>
      <c r="AZ28" s="56" t="s">
        <v>159</v>
      </c>
      <c r="BA28" s="56"/>
      <c r="BB28" s="56"/>
      <c r="BC28" s="57"/>
      <c r="BD28" s="58" t="s">
        <v>167</v>
      </c>
      <c r="BE28" s="59"/>
      <c r="BF28" s="58" t="s">
        <v>153</v>
      </c>
      <c r="BG28" s="58"/>
      <c r="BH28" s="58" t="s">
        <v>155</v>
      </c>
      <c r="BI28" s="58"/>
      <c r="BJ28" s="58"/>
      <c r="BK28" s="59"/>
      <c r="BL28" s="58" t="s">
        <v>153</v>
      </c>
      <c r="BM28" s="58" t="s">
        <v>155</v>
      </c>
      <c r="BN28" s="58" t="s">
        <v>152</v>
      </c>
      <c r="BO28" s="58" t="s">
        <v>159</v>
      </c>
      <c r="BP28" s="58"/>
      <c r="BQ28" s="58"/>
      <c r="BR28" s="58"/>
      <c r="BS28" s="58"/>
      <c r="BT28" s="58"/>
      <c r="BU28" s="60" t="s">
        <v>164</v>
      </c>
      <c r="BV28" s="61"/>
      <c r="BW28" s="61">
        <v>0</v>
      </c>
      <c r="BX28" s="59"/>
      <c r="CB28" s="5"/>
      <c r="CC28" s="5"/>
      <c r="CD28" s="62">
        <v>0</v>
      </c>
      <c r="CE28" s="62">
        <v>0</v>
      </c>
      <c r="CF28" s="62" t="e">
        <v>#REF!</v>
      </c>
      <c r="CG28" s="75" cm="1">
        <f t="array" ref="CG28">SUMPRODUCT(--(LEN(TRIM(BL28:BT28))&gt;0))</f>
        <v>4</v>
      </c>
      <c r="CH28" s="53" t="str">
        <f t="shared" si="3"/>
        <v>n</v>
      </c>
      <c r="CI28" s="53" t="str">
        <f t="shared" si="4"/>
        <v>n</v>
      </c>
      <c r="CJ28" s="53" t="str">
        <f t="shared" si="5"/>
        <v>y</v>
      </c>
      <c r="CK28" s="53" t="str">
        <f t="shared" si="6"/>
        <v>n</v>
      </c>
      <c r="CL28" s="53" t="str">
        <f t="shared" si="7"/>
        <v>n</v>
      </c>
      <c r="CM28" s="53" t="str">
        <f t="shared" si="8"/>
        <v>n</v>
      </c>
      <c r="CN28" s="53" t="str">
        <f t="shared" si="9"/>
        <v>n</v>
      </c>
      <c r="CO28" s="53" t="str">
        <f t="shared" si="10"/>
        <v>y</v>
      </c>
      <c r="CP28" s="53" t="str">
        <f t="shared" si="11"/>
        <v>n</v>
      </c>
      <c r="CQ28" s="53" t="str">
        <f t="shared" si="12"/>
        <v>n</v>
      </c>
      <c r="CR28" s="53" t="str">
        <f t="shared" si="13"/>
        <v>n</v>
      </c>
      <c r="CS28" s="53" t="str">
        <f t="shared" si="14"/>
        <v>y</v>
      </c>
      <c r="CT28" s="38" t="str">
        <f t="shared" si="15"/>
        <v>"[BRA] Sergipe"</v>
      </c>
      <c r="CU28" s="63" t="str">
        <f t="shared" si="16"/>
        <v>"rgn_South America"</v>
      </c>
      <c r="CV28" s="44" t="str">
        <f t="shared" si="17"/>
        <v>"https://upload.wikimedia.org/wikipedia/commons/thumb/b/be/Bandeira_de_Sergipe.svg/640px-Bandeira_de_Sergipe.svg.png"</v>
      </c>
      <c r="CW28" s="44" t="str">
        <f t="shared" si="18"/>
        <v/>
      </c>
      <c r="CX28" s="44" t="str">
        <f t="shared" si="19"/>
        <v/>
      </c>
      <c r="CY28" s="44" t="str">
        <f t="shared" si="20"/>
        <v>"4Color",</v>
      </c>
      <c r="CZ28" s="44" t="str">
        <f t="shared" si="21"/>
        <v/>
      </c>
      <c r="DA28" s="44" t="str">
        <f t="shared" si="22"/>
        <v/>
      </c>
      <c r="DB28" s="44" t="str">
        <f t="shared" si="23"/>
        <v/>
      </c>
      <c r="DC28" s="44" t="str">
        <f t="shared" si="24"/>
        <v/>
      </c>
      <c r="DD28" s="44" t="str">
        <f t="shared" si="25"/>
        <v>"lets07",</v>
      </c>
      <c r="DE28" s="44" t="str">
        <f t="shared" si="26"/>
        <v>"startS",</v>
      </c>
      <c r="DF28" s="44" t="str">
        <f t="shared" si="27"/>
        <v/>
      </c>
      <c r="DG28" s="44" t="str">
        <f t="shared" si="28"/>
        <v/>
      </c>
      <c r="DH28" s="44" t="str">
        <f t="shared" si="29"/>
        <v/>
      </c>
      <c r="DI28" s="44" t="str">
        <f t="shared" si="30"/>
        <v/>
      </c>
      <c r="DJ28" s="44" t="str">
        <f t="shared" si="31"/>
        <v/>
      </c>
      <c r="DK28" s="44" t="str">
        <f t="shared" si="32"/>
        <v/>
      </c>
      <c r="DL28" s="44" t="str">
        <f t="shared" si="33"/>
        <v/>
      </c>
      <c r="DM28" s="44" t="str" cm="1">
        <f t="array" ref="DM28">IF(CG28=3,CHAR(34) &amp; _xlfn.TEXTJOIN("", TRUE, RIGHT(HP28:HX28, 2)) &amp; CHAR(34) &amp; ",", "")</f>
        <v/>
      </c>
      <c r="DN28" s="44" t="str">
        <f t="shared" si="34"/>
        <v/>
      </c>
      <c r="DO28" s="44" t="str">
        <f t="shared" si="35"/>
        <v>"year19",</v>
      </c>
      <c r="DP28" s="5" t="str">
        <f t="shared" si="36"/>
        <v/>
      </c>
      <c r="DQ28" s="5" t="str">
        <f t="shared" si="37"/>
        <v/>
      </c>
      <c r="DR28" s="5" t="str">
        <f t="shared" si="38"/>
        <v/>
      </c>
      <c r="DS28" s="5" t="str">
        <f t="shared" si="39"/>
        <v/>
      </c>
      <c r="DT28" s="5" t="str">
        <f t="shared" si="40"/>
        <v>"allhor",</v>
      </c>
      <c r="DU28" s="5" t="str">
        <f t="shared" si="41"/>
        <v/>
      </c>
      <c r="DV28" s="44" t="str">
        <f t="shared" si="42"/>
        <v/>
      </c>
      <c r="DW28" s="44" t="str">
        <f t="shared" si="43"/>
        <v/>
      </c>
      <c r="DX28" s="44" t="str">
        <f t="shared" si="44"/>
        <v/>
      </c>
      <c r="DY28" s="44" t="str">
        <f t="shared" si="45"/>
        <v/>
      </c>
      <c r="DZ28" s="44" t="str">
        <f t="shared" si="46"/>
        <v>"4+Band",</v>
      </c>
      <c r="EA28" s="44" t="str">
        <f t="shared" si="47"/>
        <v/>
      </c>
      <c r="EB28" s="44" t="str">
        <f t="shared" si="48"/>
        <v/>
      </c>
      <c r="EC28" s="44" t="str">
        <f t="shared" si="49"/>
        <v>"Horizo",</v>
      </c>
      <c r="ED28" s="44" t="str">
        <f t="shared" si="50"/>
        <v/>
      </c>
      <c r="EE28" s="44" t="str">
        <f t="shared" si="51"/>
        <v/>
      </c>
      <c r="EF28" s="44" t="str">
        <f t="shared" si="52"/>
        <v/>
      </c>
      <c r="EG28" s="44" t="str">
        <f t="shared" si="53"/>
        <v/>
      </c>
      <c r="EH28" s="44" t="str">
        <f t="shared" si="54"/>
        <v/>
      </c>
      <c r="EI28" s="44" t="str">
        <f t="shared" si="55"/>
        <v/>
      </c>
      <c r="EJ28" s="44" t="str">
        <f t="shared" si="56"/>
        <v/>
      </c>
      <c r="EK28" s="44" t="str">
        <f t="shared" si="57"/>
        <v/>
      </c>
      <c r="EL28" s="44" t="str">
        <f t="shared" si="58"/>
        <v/>
      </c>
      <c r="EM28" s="44" t="str">
        <f t="shared" si="59"/>
        <v/>
      </c>
      <c r="EN28" s="44" t="str">
        <f t="shared" si="60"/>
        <v/>
      </c>
      <c r="EO28" s="44" t="str">
        <f t="shared" si="61"/>
        <v/>
      </c>
      <c r="EP28" s="44" t="str">
        <f t="shared" si="62"/>
        <v>"Canton",</v>
      </c>
      <c r="EQ28" s="44" t="str">
        <f t="shared" si="63"/>
        <v/>
      </c>
      <c r="ER28" s="44" t="str">
        <f t="shared" si="64"/>
        <v/>
      </c>
      <c r="ES28" s="44" t="str">
        <f t="shared" si="65"/>
        <v/>
      </c>
      <c r="ET28" s="44" t="str">
        <f t="shared" si="66"/>
        <v/>
      </c>
      <c r="EU28" s="44" t="str">
        <f t="shared" si="67"/>
        <v/>
      </c>
      <c r="EV28" s="44" t="str">
        <f t="shared" si="68"/>
        <v/>
      </c>
      <c r="EW28" s="44" t="str">
        <f t="shared" si="69"/>
        <v/>
      </c>
      <c r="EX28" s="44" t="str">
        <f t="shared" si="70"/>
        <v/>
      </c>
      <c r="EY28" s="44" t="str">
        <f t="shared" si="71"/>
        <v/>
      </c>
      <c r="EZ28" s="44" t="str">
        <f t="shared" si="72"/>
        <v/>
      </c>
      <c r="FA28" s="44" t="str">
        <f t="shared" si="73"/>
        <v>"staWHI",</v>
      </c>
      <c r="FB28" s="44" t="str">
        <f t="shared" si="74"/>
        <v/>
      </c>
      <c r="FC28" s="44" t="str">
        <f t="shared" si="75"/>
        <v/>
      </c>
      <c r="FD28" s="44" t="str">
        <f t="shared" si="76"/>
        <v/>
      </c>
      <c r="FE28" s="44" t="str">
        <f t="shared" si="77"/>
        <v/>
      </c>
      <c r="FF28" s="44" t="str">
        <f t="shared" si="78"/>
        <v/>
      </c>
      <c r="FG28" s="44" t="str">
        <f t="shared" si="79"/>
        <v>"NO_RED",</v>
      </c>
      <c r="FH28" s="44" t="str">
        <f t="shared" si="80"/>
        <v/>
      </c>
      <c r="FI28" s="44" t="str">
        <f t="shared" si="81"/>
        <v/>
      </c>
      <c r="FJ28" s="44" t="str">
        <f t="shared" si="82"/>
        <v>"NO_BLA",</v>
      </c>
      <c r="FK28" s="44" t="str">
        <f t="shared" si="83"/>
        <v/>
      </c>
      <c r="FL28" s="44" t="str">
        <f t="shared" si="84"/>
        <v/>
      </c>
      <c r="FM28" s="44" t="str">
        <f t="shared" si="85"/>
        <v/>
      </c>
      <c r="FN28" s="44" t="str">
        <f t="shared" si="86"/>
        <v/>
      </c>
      <c r="FO28" s="44" t="str">
        <f t="shared" si="87"/>
        <v/>
      </c>
      <c r="FP28" s="44" t="str">
        <f t="shared" si="88"/>
        <v/>
      </c>
      <c r="FQ28" s="44" t="str">
        <f t="shared" si="89"/>
        <v>"001GRE",</v>
      </c>
      <c r="FR28" s="44" t="str">
        <f t="shared" si="90"/>
        <v/>
      </c>
      <c r="FS28" s="44" t="str">
        <f t="shared" si="91"/>
        <v>"003YEL",</v>
      </c>
      <c r="FT28" s="44" t="str">
        <f t="shared" si="92"/>
        <v>"myrEQ",</v>
      </c>
      <c r="FU28" s="44" t="str">
        <f t="shared" si="93"/>
        <v/>
      </c>
      <c r="FV28" s="44" t="str">
        <f t="shared" si="94"/>
        <v/>
      </c>
      <c r="FW28" s="44" t="str">
        <f t="shared" si="95"/>
        <v/>
      </c>
      <c r="FX28" s="44" t="str">
        <f t="shared" si="96"/>
        <v/>
      </c>
      <c r="FY28" s="44" t="str">
        <f t="shared" si="97"/>
        <v/>
      </c>
      <c r="FZ28" s="44" t="str">
        <f t="shared" si="98"/>
        <v/>
      </c>
      <c r="GA28" s="44" t="str">
        <f t="shared" si="99"/>
        <v/>
      </c>
      <c r="GB28" s="44" t="str">
        <f t="shared" si="100"/>
        <v/>
      </c>
      <c r="GC28" s="44" t="str">
        <f t="shared" si="101"/>
        <v/>
      </c>
      <c r="GD28" s="44" t="str">
        <f t="shared" si="102"/>
        <v/>
      </c>
      <c r="GE28" s="44" t="str">
        <f t="shared" si="103"/>
        <v/>
      </c>
      <c r="GF28" s="44" t="str">
        <f t="shared" si="145"/>
        <v/>
      </c>
      <c r="GG28" s="44" t="str">
        <f t="shared" si="104"/>
        <v/>
      </c>
      <c r="GH28" s="44" t="str">
        <f t="shared" si="105"/>
        <v/>
      </c>
      <c r="GI28" s="44" t="str">
        <f t="shared" si="106"/>
        <v/>
      </c>
      <c r="GJ28" s="44" t="str">
        <f t="shared" si="107"/>
        <v/>
      </c>
      <c r="GK28" s="44" t="str">
        <f t="shared" si="108"/>
        <v>"HasSta",</v>
      </c>
      <c r="GL28" s="44" t="str">
        <f t="shared" si="109"/>
        <v/>
      </c>
      <c r="GM28" s="44" t="str">
        <f t="shared" si="110"/>
        <v/>
      </c>
      <c r="GN28" s="44" t="str">
        <f t="shared" si="111"/>
        <v>"3+Star",</v>
      </c>
      <c r="GP28" s="44" t="str">
        <f t="shared" si="112"/>
        <v>"State"</v>
      </c>
      <c r="GS28" s="44" t="str">
        <f t="shared" si="113"/>
        <v>["4Color","lets07","startS","year19","allhor","4+Band","Horizo","Canton","staWHI","NO_RED","NO_BLA","001GRE","003YEL","myrEQ","HasSta","3+Star"]</v>
      </c>
      <c r="GT28" s="44" t="str">
        <f t="shared" si="114"/>
        <v>"cl_GRE",</v>
      </c>
      <c r="GU28" s="44" t="str">
        <f t="shared" si="115"/>
        <v>"cl_YEL",</v>
      </c>
      <c r="GV28" s="44" t="str">
        <f t="shared" si="116"/>
        <v>"cl_BLU",</v>
      </c>
      <c r="GW28" s="44" t="str">
        <f t="shared" si="117"/>
        <v>"cl_WHI",</v>
      </c>
      <c r="GX28" s="44" t="str">
        <f t="shared" si="118"/>
        <v/>
      </c>
      <c r="GY28" s="44" t="str">
        <f t="shared" si="119"/>
        <v/>
      </c>
      <c r="GZ28" s="44" t="str">
        <f t="shared" si="120"/>
        <v/>
      </c>
      <c r="HA28" s="44" t="str">
        <f t="shared" si="121"/>
        <v/>
      </c>
      <c r="HB28" s="44" t="str">
        <f t="shared" si="122"/>
        <v/>
      </c>
      <c r="HC28" s="44" t="str">
        <f t="shared" si="123"/>
        <v>["cl_GRE","cl_YEL","cl_BLU","cl_WHI"]</v>
      </c>
      <c r="HE28" s="64"/>
      <c r="HF28" s="65" t="str">
        <f t="shared" si="124"/>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links: "https://en.wikipedia.org/wiki/Sergipe"},</v>
      </c>
      <c r="HG28" s="66" t="str">
        <f t="shared" si="125"/>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links: "https://en.wikipedia.org/wiki/Sergipe"},</v>
      </c>
      <c r="HH28" s="44" t="str">
        <f t="shared" si="126"/>
        <v>"\nThe stars on the flag of Sergipe represent the number of river estuaries in the state, and the green and yellow stripes represent Sergipe's union with the rest of Brazil."</v>
      </c>
      <c r="HI28" s="44" t="str">
        <f t="shared" si="127"/>
        <v>"\nThe stars on the flag of Sergipe represent the number of river estuaries in the state, and the green and yellow stripes represent Sergipe's union with the rest of Brazil."</v>
      </c>
      <c r="HJ28" s="44" t="str">
        <f t="shared" si="128"/>
        <v>"1952 "</v>
      </c>
      <c r="HL28" s="44" t="str">
        <f t="shared" si="129"/>
        <v>"https://en.wikipedia.org/wiki/Sergipe"</v>
      </c>
      <c r="HM28" s="65" t="str">
        <f t="shared" si="130"/>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N28" s="67" t="str">
        <f t="shared" si="131"/>
        <v>{"couname":"[BRA] Sergipe","year":"1952 ","region":"rgn_South America","Colors":["cl_GRE","cl_YEL","cl_BLU","cl_WHI"],"Items":["4Color","lets07","startS","year19","allhor","4+Band","Horizo","Canton","staWHI","NO_RED","NO_BLA","001GRE","003YEL","myrEQ","HasSta","3+Star"],"Flag":"https://upload.wikimedia.org/wikipedia/commons/thumb/b/be/Bandeira_de_Sergipe.svg/640px-Bandeira_de_Sergipe.svg.png","HDFlag":"https://upload.wikimedia.org/wikipedia/commons/thumb/b/be/Bandeira_de_Sergipe.svg/2560px-Bandeira_de_Sergipe.svg.png","type":"State", "describe": "\nThe stars on the flag of Sergipe represent the number of river estuaries in the state, and the green and yellow stripes represent Sergipe's union with the rest of Brazil.", "isnew": ".", "links": "https://en.wikipedia.org/wiki/Sergipe"},</v>
      </c>
      <c r="HO28" s="71"/>
      <c r="HP28" s="44" t="str" cm="1">
        <f t="array" ref="HP28">IF(_xlfn.TEXTJOIN(", ", TRUE, IF(ISNUMBER(SEARCH("BLA", BL28:BT28)), COLUMN(BL28:BT28) - COLUMN(BL28) + 1, ""))&lt;&gt;"","BLA","")</f>
        <v/>
      </c>
      <c r="HQ28" s="44" t="str" cm="1">
        <f t="array" ref="HQ28">IF(_xlfn.TEXTJOIN(", ", TRUE, IF(ISNUMBER(SEARCH("BLU", BL28:BT28)), COLUMN(BL28:BT28) - COLUMN(BL28) + 1, ""))&lt;&gt;"","BLU","")</f>
        <v>BLU</v>
      </c>
      <c r="HR28" s="44" t="str" cm="1">
        <f t="array" ref="HR28">IF(_xlfn.TEXTJOIN(", ", TRUE, IF(ISNUMBER(SEARCH("GRE", BL28:BT28)), COLUMN(BL28:BT28) - COLUMN(BL28) + 1, ""))&lt;&gt;"","GRE","")</f>
        <v>GRE</v>
      </c>
      <c r="HS28" s="44" t="str" cm="1">
        <f t="array" ref="HS28">IF(_xlfn.TEXTJOIN(", ", TRUE, IF(ISNUMBER(SEARCH("RED", BL28:BT28)), COLUMN(BL28:BT28) - COLUMN(BL28) + 1, ""))&lt;&gt;"","RED","")</f>
        <v/>
      </c>
      <c r="HT28" s="44" t="str" cm="1">
        <f t="array" ref="HT28">IF(_xlfn.TEXTJOIN(", ", TRUE, IF(ISNUMBER(SEARCH("YEL", BL28:BT28)), COLUMN(BL28:BT28) - COLUMN(BL28) + 1, ""))&lt;&gt;"","YEL","")</f>
        <v>YEL</v>
      </c>
      <c r="HU28" s="44" t="str" cm="1">
        <f t="array" ref="HU28">IF(_xlfn.TEXTJOIN(", ", TRUE, IF(ISNUMBER(SEARCH("ORA", BL28:BT28)), COLUMN(BL28:BT28) - COLUMN(BL28) + 1, ""))&lt;&gt;"","ORA","")</f>
        <v/>
      </c>
      <c r="HV28" s="44" t="str" cm="1">
        <f t="array" ref="HV28">IF(_xlfn.TEXTJOIN(", ", TRUE, IF(ISNUMBER(SEARCH("BRO", BL28:BT28)), COLUMN(BL28:BT28) - COLUMN(BL28) + 1, ""))&lt;&gt;"","BRO","")</f>
        <v/>
      </c>
      <c r="HW28" s="44" t="str" cm="1">
        <f t="array" ref="HW28">IF(_xlfn.TEXTJOIN(", ", TRUE, IF(ISNUMBER(SEARCH("PUR", BL28:BT28)), COLUMN(BL28:BT28) - COLUMN(BL28) + 1, ""))&lt;&gt;"","PUR","")</f>
        <v/>
      </c>
      <c r="HX28" s="44" t="str" cm="1">
        <f t="array" ref="HX28">IF(_xlfn.TEXTJOIN(", ", TRUE, IF(ISNUMBER(SEARCH("WHI", BL28:BT28)), COLUMN(BL28:BT28) - COLUMN(BL28) + 1, ""))&lt;&gt;"","WHI","")</f>
        <v>WHI</v>
      </c>
      <c r="HY28" s="72"/>
      <c r="HZ28" s="72"/>
      <c r="IA28" s="5"/>
      <c r="IB28" s="5"/>
      <c r="IC28" s="68"/>
      <c r="ID28" s="68"/>
      <c r="IE28" s="68"/>
      <c r="IF28" s="68"/>
      <c r="IG28" s="68"/>
      <c r="IH28" s="68"/>
      <c r="II28" s="68"/>
      <c r="IJ28" s="68"/>
      <c r="IK28" s="68"/>
      <c r="IL28" s="44">
        <f t="shared" si="132"/>
        <v>0</v>
      </c>
      <c r="IM28" s="42">
        <f t="shared" si="133"/>
        <v>-4</v>
      </c>
      <c r="IN28" s="69" t="str">
        <f t="shared" si="134"/>
        <v>http://mkweb.bcgsc.ca/color-summarizer/?url=https://upload.wikimedia.org/wikipedia/commons/thumb/b/be/Bandeira_de_Sergipe.svg/640px-Bandeira_de_Sergipe.svg.png&amp;precision=low&amp;num_clusters=4&amp;text=1</v>
      </c>
      <c r="IO28" s="44" t="str">
        <f t="shared" si="135"/>
        <v/>
      </c>
      <c r="IP28" s="44" t="str">
        <f t="shared" si="136"/>
        <v>"blue"</v>
      </c>
      <c r="IQ28" s="44" t="str">
        <f t="shared" si="137"/>
        <v>"green"</v>
      </c>
      <c r="IR28" s="44" t="str">
        <f t="shared" si="138"/>
        <v/>
      </c>
      <c r="IS28" s="44" t="str">
        <f t="shared" si="139"/>
        <v>"yellow"</v>
      </c>
      <c r="IT28" s="44" t="str">
        <f t="shared" si="140"/>
        <v/>
      </c>
      <c r="IU28" s="44" t="str">
        <f t="shared" si="141"/>
        <v/>
      </c>
      <c r="IV28" s="44" t="str">
        <f t="shared" si="142"/>
        <v/>
      </c>
      <c r="IW28" s="44" t="str">
        <f t="shared" si="143"/>
        <v>"white"</v>
      </c>
      <c r="IX28" s="44" t="str">
        <f t="shared" si="144"/>
        <v>{"url":"http://mkweb.bcgsc.ca/color-summarizer/?url=https://upload.wikimedia.org/wikipedia/commons/thumb/b/be/Bandeira_de_Sergipe.svg/640px-Bandeira_de_Sergipe.svg.png&amp;precision=low&amp;num_clusters=4&amp;text=1","name":"[BRA] Sergipe"},</v>
      </c>
      <c r="IY28" s="44">
        <v>352</v>
      </c>
    </row>
    <row r="29" spans="1:259" s="44" customFormat="1" ht="38.4" customHeight="1" thickBot="1" x14ac:dyDescent="0.35">
      <c r="A29" s="84" t="s">
        <v>453</v>
      </c>
      <c r="B29" s="83" t="e" vm="51">
        <v>#VALUE!</v>
      </c>
      <c r="C29" s="39">
        <v>2</v>
      </c>
      <c r="D29" s="70" t="s">
        <v>454</v>
      </c>
      <c r="E29" s="40" t="s">
        <v>455</v>
      </c>
      <c r="F29" s="41" t="s">
        <v>163</v>
      </c>
      <c r="G29" s="42">
        <f t="shared" si="0"/>
        <v>1</v>
      </c>
      <c r="H29" s="43"/>
      <c r="I29" s="59" t="s">
        <v>456</v>
      </c>
      <c r="J29" s="44" t="str">
        <f>""</f>
        <v/>
      </c>
      <c r="K29" s="45"/>
      <c r="L29" s="46"/>
      <c r="M29" s="46"/>
      <c r="N29" s="47" t="s">
        <v>177</v>
      </c>
      <c r="O29" s="74" t="s">
        <v>457</v>
      </c>
      <c r="P29" s="48" t="s">
        <v>458</v>
      </c>
      <c r="Q29" s="73">
        <v>1</v>
      </c>
      <c r="R29" s="49" t="s">
        <v>177</v>
      </c>
      <c r="S29" s="50">
        <v>3</v>
      </c>
      <c r="T29" s="51" t="s">
        <v>165</v>
      </c>
      <c r="U29" s="52" t="s">
        <v>164</v>
      </c>
      <c r="V29" s="52" t="s">
        <v>164</v>
      </c>
      <c r="W29" s="52" t="s">
        <v>164</v>
      </c>
      <c r="X29" s="52" t="s">
        <v>165</v>
      </c>
      <c r="Y29" s="52" t="s">
        <v>164</v>
      </c>
      <c r="Z29" s="52" t="s">
        <v>164</v>
      </c>
      <c r="AA29" s="52" t="s">
        <v>164</v>
      </c>
      <c r="AB29" s="52" t="s">
        <v>164</v>
      </c>
      <c r="AC29" s="52" t="s">
        <v>164</v>
      </c>
      <c r="AD29" s="52" t="s">
        <v>165</v>
      </c>
      <c r="AE29" s="52" t="s">
        <v>164</v>
      </c>
      <c r="AF29" s="53" t="s">
        <v>164</v>
      </c>
      <c r="AG29" s="53" t="s">
        <v>165</v>
      </c>
      <c r="AH29" s="53" t="s">
        <v>165</v>
      </c>
      <c r="AI29" s="53" t="s">
        <v>164</v>
      </c>
      <c r="AJ29" s="53" t="s">
        <v>164</v>
      </c>
      <c r="AK29" s="53" t="s">
        <v>164</v>
      </c>
      <c r="AL29" s="53" t="s">
        <v>164</v>
      </c>
      <c r="AM29" s="53" t="s">
        <v>164</v>
      </c>
      <c r="AN29" s="53" t="s">
        <v>164</v>
      </c>
      <c r="AO29" s="53" t="s">
        <v>164</v>
      </c>
      <c r="AP29" s="53" t="s">
        <v>164</v>
      </c>
      <c r="AQ29" s="53" t="s">
        <v>164</v>
      </c>
      <c r="AR29" s="53" t="s">
        <v>164</v>
      </c>
      <c r="AS29" s="53" t="s">
        <v>164</v>
      </c>
      <c r="AT29" s="54">
        <v>0</v>
      </c>
      <c r="AU29" s="53" t="s">
        <v>308</v>
      </c>
      <c r="AV29" s="53" t="str">
        <f t="shared" si="1"/>
        <v>[BRA]State[BRA] Tocantins</v>
      </c>
      <c r="AW29" s="53" t="str">
        <f t="shared" si="2"/>
        <v>2[BRA] Tocantins</v>
      </c>
      <c r="AX29" s="55"/>
      <c r="AY29" s="55"/>
      <c r="AZ29" s="56"/>
      <c r="BA29" s="56"/>
      <c r="BB29" s="56"/>
      <c r="BC29" s="57"/>
      <c r="BD29" s="58" t="s">
        <v>155</v>
      </c>
      <c r="BE29" s="59"/>
      <c r="BF29" s="58" t="s">
        <v>152</v>
      </c>
      <c r="BG29" s="58" t="s">
        <v>159</v>
      </c>
      <c r="BH29" s="58" t="s">
        <v>155</v>
      </c>
      <c r="BI29" s="58"/>
      <c r="BJ29" s="58"/>
      <c r="BK29" s="59"/>
      <c r="BL29" s="58" t="s">
        <v>152</v>
      </c>
      <c r="BM29" s="58" t="s">
        <v>159</v>
      </c>
      <c r="BN29" s="58" t="s">
        <v>155</v>
      </c>
      <c r="BO29" s="58"/>
      <c r="BP29" s="58"/>
      <c r="BQ29" s="58"/>
      <c r="BR29" s="58"/>
      <c r="BS29" s="58"/>
      <c r="BT29" s="58"/>
      <c r="BU29" s="60"/>
      <c r="BV29" s="61"/>
      <c r="BW29" s="61">
        <v>0</v>
      </c>
      <c r="BX29" s="59"/>
      <c r="BY29" s="44" t="s">
        <v>165</v>
      </c>
      <c r="CB29" s="5"/>
      <c r="CC29" s="5"/>
      <c r="CD29" s="62">
        <v>0</v>
      </c>
      <c r="CE29" s="62">
        <v>0</v>
      </c>
      <c r="CF29" s="62" t="e">
        <v>#REF!</v>
      </c>
      <c r="CG29" s="75" cm="1">
        <f t="array" ref="CG29">SUMPRODUCT(--(LEN(TRIM(BL29:BT29))&gt;0))</f>
        <v>3</v>
      </c>
      <c r="CH29" s="53" t="str">
        <f t="shared" si="3"/>
        <v>n</v>
      </c>
      <c r="CI29" s="53" t="str">
        <f t="shared" si="4"/>
        <v>y</v>
      </c>
      <c r="CJ29" s="53" t="str">
        <f t="shared" si="5"/>
        <v>n</v>
      </c>
      <c r="CK29" s="53" t="str">
        <f t="shared" si="6"/>
        <v>n</v>
      </c>
      <c r="CL29" s="53" t="str">
        <f t="shared" si="7"/>
        <v>n</v>
      </c>
      <c r="CM29" s="53" t="str">
        <f t="shared" si="8"/>
        <v>n</v>
      </c>
      <c r="CN29" s="53" t="str">
        <f t="shared" si="9"/>
        <v>y</v>
      </c>
      <c r="CO29" s="53" t="str">
        <f t="shared" si="10"/>
        <v>n</v>
      </c>
      <c r="CP29" s="53" t="str">
        <f t="shared" si="11"/>
        <v>y</v>
      </c>
      <c r="CQ29" s="53" t="str">
        <f t="shared" si="12"/>
        <v>n</v>
      </c>
      <c r="CR29" s="53" t="str">
        <f t="shared" si="13"/>
        <v>n</v>
      </c>
      <c r="CS29" s="53" t="str">
        <f t="shared" si="14"/>
        <v>n</v>
      </c>
      <c r="CT29" s="38" t="str">
        <f t="shared" si="15"/>
        <v>"[BRA] Tocantins"</v>
      </c>
      <c r="CU29" s="63" t="str">
        <f t="shared" si="16"/>
        <v>"rgn_South America"</v>
      </c>
      <c r="CV29" s="44" t="str">
        <f t="shared" si="17"/>
        <v>"https://upload.wikimedia.org/wikipedia/commons/thumb/f/ff/Bandeira_do_Tocantins.svg/640px-Bandeira_do_Tocantins.svg.png"</v>
      </c>
      <c r="CW29" s="44" t="str">
        <f t="shared" si="18"/>
        <v/>
      </c>
      <c r="CX29" s="44" t="str">
        <f t="shared" si="19"/>
        <v>"3Color",</v>
      </c>
      <c r="CY29" s="44" t="str">
        <f t="shared" si="20"/>
        <v/>
      </c>
      <c r="CZ29" s="44" t="str">
        <f t="shared" si="21"/>
        <v/>
      </c>
      <c r="DA29" s="44" t="str">
        <f t="shared" si="22"/>
        <v/>
      </c>
      <c r="DB29" s="44" t="str">
        <f t="shared" si="23"/>
        <v/>
      </c>
      <c r="DC29" s="44" t="str">
        <f t="shared" si="24"/>
        <v/>
      </c>
      <c r="DD29" s="44" t="str">
        <f t="shared" si="25"/>
        <v>"lets09",</v>
      </c>
      <c r="DE29" s="44" t="str">
        <f t="shared" si="26"/>
        <v>"startT",</v>
      </c>
      <c r="DF29" s="44" t="str">
        <f t="shared" si="27"/>
        <v/>
      </c>
      <c r="DG29" s="44" t="str">
        <f t="shared" si="28"/>
        <v/>
      </c>
      <c r="DH29" s="44" t="str">
        <f t="shared" si="29"/>
        <v/>
      </c>
      <c r="DI29" s="44" t="str">
        <f t="shared" si="30"/>
        <v/>
      </c>
      <c r="DJ29" s="44" t="str">
        <f t="shared" si="31"/>
        <v/>
      </c>
      <c r="DK29" s="44" t="str">
        <f t="shared" si="32"/>
        <v/>
      </c>
      <c r="DL29" s="44" t="str">
        <f t="shared" si="33"/>
        <v/>
      </c>
      <c r="DM29" s="44" t="str" cm="1">
        <f t="array" ref="DM29">IF(CG29=3,CHAR(34) &amp; _xlfn.TEXTJOIN("", TRUE, RIGHT(HP29:HX29, 2)) &amp; CHAR(34) &amp; ",", "")</f>
        <v>"LUELHI",</v>
      </c>
      <c r="DN29" s="44" t="str">
        <f t="shared" si="34"/>
        <v/>
      </c>
      <c r="DO29" s="44" t="str">
        <f t="shared" si="35"/>
        <v>"year19",</v>
      </c>
      <c r="DP29" s="5" t="str">
        <f t="shared" si="36"/>
        <v/>
      </c>
      <c r="DQ29" s="5" t="str">
        <f t="shared" si="37"/>
        <v/>
      </c>
      <c r="DR29" s="5" t="str">
        <f t="shared" si="38"/>
        <v>"dgband",</v>
      </c>
      <c r="DS29" s="5" t="str">
        <f t="shared" si="39"/>
        <v/>
      </c>
      <c r="DT29" s="5" t="str">
        <f t="shared" si="40"/>
        <v/>
      </c>
      <c r="DU29" s="5" t="str">
        <f t="shared" si="41"/>
        <v>"alldia",</v>
      </c>
      <c r="DV29" s="44" t="str">
        <f t="shared" si="42"/>
        <v/>
      </c>
      <c r="DW29" s="44" t="str">
        <f t="shared" si="43"/>
        <v/>
      </c>
      <c r="DX29" s="44" t="str">
        <f t="shared" si="44"/>
        <v/>
      </c>
      <c r="DY29" s="44" t="str">
        <f t="shared" si="45"/>
        <v>"3Bands",</v>
      </c>
      <c r="DZ29" s="44" t="str">
        <f t="shared" si="46"/>
        <v/>
      </c>
      <c r="EA29" s="44" t="str">
        <f t="shared" si="47"/>
        <v>"Diagon",</v>
      </c>
      <c r="EB29" s="44" t="str">
        <f t="shared" si="48"/>
        <v/>
      </c>
      <c r="EC29" s="44" t="str">
        <f t="shared" si="49"/>
        <v/>
      </c>
      <c r="ED29" s="44" t="str">
        <f t="shared" si="50"/>
        <v/>
      </c>
      <c r="EE29" s="44" t="str">
        <f t="shared" si="51"/>
        <v>"Circle",</v>
      </c>
      <c r="EF29" s="44" t="str">
        <f t="shared" si="52"/>
        <v/>
      </c>
      <c r="EG29" s="44" t="str">
        <f t="shared" si="53"/>
        <v/>
      </c>
      <c r="EH29" s="44" t="str">
        <f t="shared" si="54"/>
        <v/>
      </c>
      <c r="EI29" s="44" t="str">
        <f t="shared" si="55"/>
        <v/>
      </c>
      <c r="EJ29" s="44" t="str">
        <f t="shared" si="56"/>
        <v/>
      </c>
      <c r="EK29" s="44" t="str">
        <f t="shared" si="57"/>
        <v>"HasSun",</v>
      </c>
      <c r="EL29" s="44" t="str">
        <f t="shared" si="58"/>
        <v/>
      </c>
      <c r="EM29" s="44" t="str">
        <f t="shared" si="59"/>
        <v/>
      </c>
      <c r="EN29" s="44" t="str">
        <f t="shared" si="60"/>
        <v>"Unequa",</v>
      </c>
      <c r="EO29" s="44" t="str">
        <f t="shared" si="61"/>
        <v>"Center",</v>
      </c>
      <c r="EP29" s="44" t="str">
        <f t="shared" si="62"/>
        <v/>
      </c>
      <c r="EQ29" s="44" t="str">
        <f t="shared" si="63"/>
        <v/>
      </c>
      <c r="ER29" s="44" t="str">
        <f t="shared" si="64"/>
        <v/>
      </c>
      <c r="ES29" s="44" t="str">
        <f t="shared" si="65"/>
        <v/>
      </c>
      <c r="ET29" s="44" t="str">
        <f t="shared" si="66"/>
        <v/>
      </c>
      <c r="EU29" s="44" t="str">
        <f t="shared" si="67"/>
        <v/>
      </c>
      <c r="EV29" s="44" t="str">
        <f t="shared" si="68"/>
        <v/>
      </c>
      <c r="EW29" s="44" t="str">
        <f t="shared" si="69"/>
        <v/>
      </c>
      <c r="EX29" s="44" t="str">
        <f t="shared" si="70"/>
        <v/>
      </c>
      <c r="EY29" s="44" t="str">
        <f t="shared" si="71"/>
        <v/>
      </c>
      <c r="EZ29" s="44" t="str">
        <f t="shared" si="72"/>
        <v/>
      </c>
      <c r="FA29" s="44" t="str">
        <f t="shared" si="73"/>
        <v/>
      </c>
      <c r="FB29" s="44" t="str">
        <f t="shared" si="74"/>
        <v/>
      </c>
      <c r="FC29" s="44" t="str">
        <f t="shared" si="75"/>
        <v/>
      </c>
      <c r="FD29" s="44" t="str">
        <f t="shared" si="76"/>
        <v/>
      </c>
      <c r="FE29" s="44" t="str">
        <f t="shared" si="77"/>
        <v/>
      </c>
      <c r="FF29" s="44" t="str">
        <f t="shared" si="78"/>
        <v/>
      </c>
      <c r="FG29" s="44" t="str">
        <f t="shared" si="79"/>
        <v>"NO_RED",</v>
      </c>
      <c r="FH29" s="44" t="str">
        <f t="shared" si="80"/>
        <v>"NO_GRE",</v>
      </c>
      <c r="FI29" s="44" t="str">
        <f t="shared" si="81"/>
        <v/>
      </c>
      <c r="FJ29" s="44" t="str">
        <f t="shared" si="82"/>
        <v>"NO_BLA",</v>
      </c>
      <c r="FK29" s="44" t="str">
        <f t="shared" si="83"/>
        <v/>
      </c>
      <c r="FL29" s="44" t="str">
        <f t="shared" si="84"/>
        <v/>
      </c>
      <c r="FM29" s="44" t="str">
        <f t="shared" si="85"/>
        <v/>
      </c>
      <c r="FN29" s="44" t="str">
        <f t="shared" si="86"/>
        <v/>
      </c>
      <c r="FO29" s="44" t="str">
        <f t="shared" si="87"/>
        <v/>
      </c>
      <c r="FP29" s="44" t="str">
        <f t="shared" si="88"/>
        <v/>
      </c>
      <c r="FQ29" s="44" t="str">
        <f t="shared" si="89"/>
        <v>"001BLU",</v>
      </c>
      <c r="FR29" s="44" t="str">
        <f t="shared" si="90"/>
        <v>"002WHI",</v>
      </c>
      <c r="FS29" s="44" t="str">
        <f t="shared" si="91"/>
        <v>"003YEL",</v>
      </c>
      <c r="FT29" s="44" t="str">
        <f t="shared" si="92"/>
        <v>"myrYEL",</v>
      </c>
      <c r="FU29" s="44" t="str">
        <f t="shared" si="93"/>
        <v/>
      </c>
      <c r="FV29" s="44" t="str">
        <f t="shared" si="94"/>
        <v/>
      </c>
      <c r="FW29" s="44" t="str">
        <f t="shared" si="95"/>
        <v/>
      </c>
      <c r="FX29" s="44" t="str">
        <f t="shared" si="96"/>
        <v/>
      </c>
      <c r="FY29" s="44" t="str">
        <f t="shared" si="97"/>
        <v/>
      </c>
      <c r="FZ29" s="44" t="str">
        <f t="shared" si="98"/>
        <v/>
      </c>
      <c r="GA29" s="44" t="str">
        <f t="shared" si="99"/>
        <v/>
      </c>
      <c r="GB29" s="44" t="str">
        <f t="shared" si="100"/>
        <v/>
      </c>
      <c r="GC29" s="44" t="str">
        <f t="shared" si="101"/>
        <v/>
      </c>
      <c r="GD29" s="44" t="str">
        <f t="shared" si="102"/>
        <v/>
      </c>
      <c r="GE29" s="44" t="str">
        <f t="shared" si="103"/>
        <v/>
      </c>
      <c r="GF29" s="44" t="str">
        <f t="shared" si="145"/>
        <v/>
      </c>
      <c r="GG29" s="44" t="str">
        <f t="shared" si="104"/>
        <v/>
      </c>
      <c r="GH29" s="44" t="str">
        <f t="shared" si="105"/>
        <v/>
      </c>
      <c r="GI29" s="44" t="str">
        <f t="shared" si="106"/>
        <v/>
      </c>
      <c r="GJ29" s="44" t="str">
        <f t="shared" si="107"/>
        <v>"NoStar",</v>
      </c>
      <c r="GK29" s="44" t="str">
        <f t="shared" si="108"/>
        <v/>
      </c>
      <c r="GL29" s="44" t="str">
        <f t="shared" si="109"/>
        <v/>
      </c>
      <c r="GM29" s="44" t="str">
        <f t="shared" si="110"/>
        <v/>
      </c>
      <c r="GN29" s="44" t="str">
        <f t="shared" si="111"/>
        <v/>
      </c>
      <c r="GP29" s="44" t="str">
        <f t="shared" si="112"/>
        <v>"State"</v>
      </c>
      <c r="GS29" s="44" t="str">
        <f t="shared" si="113"/>
        <v>["3Color","lets09","startT","LUELHI","year19","dgband","alldia","3Bands","Diagon","Circle","HasSun","Unequa","Center","NO_RED","NO_GRE","NO_BLA","001BLU","002WHI","003YEL","myrYEL","NoStar"]</v>
      </c>
      <c r="GT29" s="44" t="str">
        <f t="shared" si="114"/>
        <v>"cl_BLU",</v>
      </c>
      <c r="GU29" s="44" t="str">
        <f t="shared" si="115"/>
        <v>"cl_WHI",</v>
      </c>
      <c r="GV29" s="44" t="str">
        <f t="shared" si="116"/>
        <v>"cl_YEL",</v>
      </c>
      <c r="GW29" s="44" t="str">
        <f t="shared" si="117"/>
        <v/>
      </c>
      <c r="GX29" s="44" t="str">
        <f t="shared" si="118"/>
        <v/>
      </c>
      <c r="GY29" s="44" t="str">
        <f t="shared" si="119"/>
        <v/>
      </c>
      <c r="GZ29" s="44" t="str">
        <f t="shared" si="120"/>
        <v/>
      </c>
      <c r="HA29" s="44" t="str">
        <f t="shared" si="121"/>
        <v/>
      </c>
      <c r="HB29" s="44" t="str">
        <f t="shared" si="122"/>
        <v/>
      </c>
      <c r="HC29" s="44" t="str">
        <f t="shared" si="123"/>
        <v>["cl_BLU","cl_WHI","cl_YEL"]</v>
      </c>
      <c r="HE29" s="64"/>
      <c r="HF29" s="65" t="str">
        <f t="shared" si="124"/>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links: "https://en.wikipedia.org/wiki/Flag_of_Tocantins"},</v>
      </c>
      <c r="HG29" s="66" t="str">
        <f t="shared" si="125"/>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links: "https://en.wikipedia.org/wiki/Flag_of_Tocantins"},</v>
      </c>
      <c r="HH29" s="44" t="str">
        <f t="shared" si="126"/>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I29" s="44" t="str">
        <f t="shared" si="127"/>
        <v>"\nThe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v>
      </c>
      <c r="HJ29" s="44" t="str">
        <f t="shared" si="128"/>
        <v>"1989 "</v>
      </c>
      <c r="HL29" s="44" t="str">
        <f t="shared" si="129"/>
        <v>"https://en.wikipedia.org/wiki/Flag_of_Tocantins"</v>
      </c>
      <c r="HM29" s="65" t="str">
        <f t="shared" si="130"/>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N29" s="67" t="str">
        <f t="shared" si="131"/>
        <v>{"couname":"[BRA] Tocantins","year":"1989 ","region":"rgn_South America","Colors":["cl_BLU","cl_WHI","cl_YEL"],"Items":["3Color","lets09","startT","LUELHI","year19","dgband","alldia","3Bands","Diagon","Circle","HasSun","Unequa","Center","NO_RED","NO_GRE","NO_BLA","001BLU","002WHI","003YEL","myrYEL","NoStar"],"Flag":"https://upload.wikimedia.org/wikipedia/commons/thumb/f/ff/Bandeira_do_Tocantins.svg/640px-Bandeira_do_Tocantins.svg.png","HDFlag":"https://upload.wikimedia.org/wikipedia/commons/thumb/f/ff/Bandeira_do_Tocantins.svg/2560px-Bandeira_do_Tocantins.svg.png","type":"State", "describe": "\nThe yellow-gold sun in the center of the flag represents how Tocantins is a land where the sun rises for everyone. The white bar represents the cultivation of peace. The blue bar represents the state's water sources, whereas the gold bar represents gold and the mineral wealth of the state.", "isnew": ".", "links": "https://en.wikipedia.org/wiki/Flag_of_Tocantins"},</v>
      </c>
      <c r="HO29" s="71"/>
      <c r="HP29" s="44" t="str" cm="1">
        <f t="array" ref="HP29">IF(_xlfn.TEXTJOIN(", ", TRUE, IF(ISNUMBER(SEARCH("BLA", BL29:BT29)), COLUMN(BL29:BT29) - COLUMN(BL29) + 1, ""))&lt;&gt;"","BLA","")</f>
        <v/>
      </c>
      <c r="HQ29" s="44" t="str" cm="1">
        <f t="array" ref="HQ29">IF(_xlfn.TEXTJOIN(", ", TRUE, IF(ISNUMBER(SEARCH("BLU", BL29:BT29)), COLUMN(BL29:BT29) - COLUMN(BL29) + 1, ""))&lt;&gt;"","BLU","")</f>
        <v>BLU</v>
      </c>
      <c r="HR29" s="44" t="str" cm="1">
        <f t="array" ref="HR29">IF(_xlfn.TEXTJOIN(", ", TRUE, IF(ISNUMBER(SEARCH("GRE", BL29:BT29)), COLUMN(BL29:BT29) - COLUMN(BL29) + 1, ""))&lt;&gt;"","GRE","")</f>
        <v/>
      </c>
      <c r="HS29" s="44" t="str" cm="1">
        <f t="array" ref="HS29">IF(_xlfn.TEXTJOIN(", ", TRUE, IF(ISNUMBER(SEARCH("RED", BL29:BT29)), COLUMN(BL29:BT29) - COLUMN(BL29) + 1, ""))&lt;&gt;"","RED","")</f>
        <v/>
      </c>
      <c r="HT29" s="44" t="str" cm="1">
        <f t="array" ref="HT29">IF(_xlfn.TEXTJOIN(", ", TRUE, IF(ISNUMBER(SEARCH("YEL", BL29:BT29)), COLUMN(BL29:BT29) - COLUMN(BL29) + 1, ""))&lt;&gt;"","YEL","")</f>
        <v>YEL</v>
      </c>
      <c r="HU29" s="44" t="str" cm="1">
        <f t="array" ref="HU29">IF(_xlfn.TEXTJOIN(", ", TRUE, IF(ISNUMBER(SEARCH("ORA", BL29:BT29)), COLUMN(BL29:BT29) - COLUMN(BL29) + 1, ""))&lt;&gt;"","ORA","")</f>
        <v/>
      </c>
      <c r="HV29" s="44" t="str" cm="1">
        <f t="array" ref="HV29">IF(_xlfn.TEXTJOIN(", ", TRUE, IF(ISNUMBER(SEARCH("BRO", BL29:BT29)), COLUMN(BL29:BT29) - COLUMN(BL29) + 1, ""))&lt;&gt;"","BRO","")</f>
        <v/>
      </c>
      <c r="HW29" s="44" t="str" cm="1">
        <f t="array" ref="HW29">IF(_xlfn.TEXTJOIN(", ", TRUE, IF(ISNUMBER(SEARCH("PUR", BL29:BT29)), COLUMN(BL29:BT29) - COLUMN(BL29) + 1, ""))&lt;&gt;"","PUR","")</f>
        <v/>
      </c>
      <c r="HX29" s="44" t="str" cm="1">
        <f t="array" ref="HX29">IF(_xlfn.TEXTJOIN(", ", TRUE, IF(ISNUMBER(SEARCH("WHI", BL29:BT29)), COLUMN(BL29:BT29) - COLUMN(BL29) + 1, ""))&lt;&gt;"","WHI","")</f>
        <v>WHI</v>
      </c>
      <c r="HY29" s="72"/>
      <c r="HZ29" s="72"/>
      <c r="IA29" s="5"/>
      <c r="IB29" s="5"/>
      <c r="IC29" s="68"/>
      <c r="ID29" s="68"/>
      <c r="IE29" s="68"/>
      <c r="IF29" s="68"/>
      <c r="IG29" s="68"/>
      <c r="IH29" s="68"/>
      <c r="II29" s="68"/>
      <c r="IJ29" s="68"/>
      <c r="IK29" s="68"/>
      <c r="IL29" s="44">
        <f t="shared" si="132"/>
        <v>0</v>
      </c>
      <c r="IM29" s="42">
        <f t="shared" si="133"/>
        <v>-3</v>
      </c>
      <c r="IN29" s="69" t="str">
        <f t="shared" si="134"/>
        <v>http://mkweb.bcgsc.ca/color-summarizer/?url=https://upload.wikimedia.org/wikipedia/commons/thumb/f/ff/Bandeira_do_Tocantins.svg/640px-Bandeira_do_Tocantins.svg.png&amp;precision=low&amp;num_clusters=3&amp;text=1</v>
      </c>
      <c r="IO29" s="44" t="str">
        <f t="shared" si="135"/>
        <v/>
      </c>
      <c r="IP29" s="44" t="str">
        <f t="shared" si="136"/>
        <v>"blue"</v>
      </c>
      <c r="IQ29" s="44" t="str">
        <f t="shared" si="137"/>
        <v/>
      </c>
      <c r="IR29" s="44" t="str">
        <f t="shared" si="138"/>
        <v/>
      </c>
      <c r="IS29" s="44" t="str">
        <f t="shared" si="139"/>
        <v>"yellow"</v>
      </c>
      <c r="IT29" s="44" t="str">
        <f t="shared" si="140"/>
        <v/>
      </c>
      <c r="IU29" s="44" t="str">
        <f t="shared" si="141"/>
        <v/>
      </c>
      <c r="IV29" s="44" t="str">
        <f t="shared" si="142"/>
        <v/>
      </c>
      <c r="IW29" s="44" t="str">
        <f t="shared" si="143"/>
        <v>"white"</v>
      </c>
      <c r="IX29" s="44" t="str">
        <f t="shared" si="144"/>
        <v>{"url":"http://mkweb.bcgsc.ca/color-summarizer/?url=https://upload.wikimedia.org/wikipedia/commons/thumb/f/ff/Bandeira_do_Tocantins.svg/640px-Bandeira_do_Tocantins.svg.png&amp;precision=low&amp;num_clusters=3&amp;text=1","name":"[BRA] Tocantins"},</v>
      </c>
      <c r="IY29" s="44">
        <v>353</v>
      </c>
    </row>
    <row r="30" spans="1:259" s="44" customFormat="1" ht="38.4" customHeight="1" thickBot="1" x14ac:dyDescent="0.35">
      <c r="A30" s="85" t="s">
        <v>310</v>
      </c>
      <c r="B30" s="83" t="e" vm="52">
        <v>#VALUE!</v>
      </c>
      <c r="C30" s="39">
        <v>3</v>
      </c>
      <c r="D30" s="70" t="s">
        <v>311</v>
      </c>
      <c r="E30" s="40" t="s">
        <v>312</v>
      </c>
      <c r="F30" s="41" t="s">
        <v>163</v>
      </c>
      <c r="G30" s="42">
        <f t="shared" si="0"/>
        <v>1</v>
      </c>
      <c r="H30" s="43" t="s">
        <v>1196</v>
      </c>
      <c r="I30" s="59" t="s">
        <v>313</v>
      </c>
      <c r="J30" s="44" t="str">
        <f>""</f>
        <v/>
      </c>
      <c r="K30" s="45"/>
      <c r="L30" s="46"/>
      <c r="M30" s="46"/>
      <c r="N30" s="47" t="s">
        <v>177</v>
      </c>
      <c r="O30" s="74">
        <v>1853</v>
      </c>
      <c r="P30" s="48" t="s">
        <v>314</v>
      </c>
      <c r="Q30" s="73">
        <v>3</v>
      </c>
      <c r="R30" s="49" t="s">
        <v>177</v>
      </c>
      <c r="S30" s="50">
        <v>0</v>
      </c>
      <c r="T30" s="51" t="s">
        <v>165</v>
      </c>
      <c r="U30" s="52" t="s">
        <v>165</v>
      </c>
      <c r="V30" s="52" t="s">
        <v>164</v>
      </c>
      <c r="W30" s="52" t="s">
        <v>164</v>
      </c>
      <c r="X30" s="52" t="s">
        <v>165</v>
      </c>
      <c r="Y30" s="52" t="s">
        <v>164</v>
      </c>
      <c r="Z30" s="52" t="s">
        <v>165</v>
      </c>
      <c r="AA30" s="52" t="s">
        <v>165</v>
      </c>
      <c r="AB30" s="52" t="s">
        <v>164</v>
      </c>
      <c r="AC30" s="52" t="s">
        <v>164</v>
      </c>
      <c r="AD30" s="52" t="s">
        <v>164</v>
      </c>
      <c r="AE30" s="52" t="s">
        <v>164</v>
      </c>
      <c r="AF30" s="53" t="s">
        <v>164</v>
      </c>
      <c r="AG30" s="53" t="s">
        <v>164</v>
      </c>
      <c r="AH30" s="53" t="s">
        <v>165</v>
      </c>
      <c r="AI30" s="53" t="s">
        <v>164</v>
      </c>
      <c r="AJ30" s="53" t="s">
        <v>164</v>
      </c>
      <c r="AK30" s="53" t="s">
        <v>164</v>
      </c>
      <c r="AL30" s="53" t="s">
        <v>164</v>
      </c>
      <c r="AM30" s="53" t="s">
        <v>164</v>
      </c>
      <c r="AN30" s="53" t="s">
        <v>164</v>
      </c>
      <c r="AO30" s="53" t="s">
        <v>164</v>
      </c>
      <c r="AP30" s="53" t="s">
        <v>164</v>
      </c>
      <c r="AQ30" s="53" t="s">
        <v>165</v>
      </c>
      <c r="AR30" s="53" t="s">
        <v>164</v>
      </c>
      <c r="AS30" s="53" t="s">
        <v>164</v>
      </c>
      <c r="AT30" s="54">
        <v>20</v>
      </c>
      <c r="AU30" s="53" t="s">
        <v>275</v>
      </c>
      <c r="AV30" s="53" t="str">
        <f t="shared" si="1"/>
        <v>[BRA]Historical[BRA] Empire of Brazil (1853-1889)</v>
      </c>
      <c r="AW30" s="53" t="str">
        <f t="shared" si="2"/>
        <v>3[BRA] Other[BRA] Empire of Brazil (1853-1889)</v>
      </c>
      <c r="AX30" s="55"/>
      <c r="AY30" s="55"/>
      <c r="AZ30" s="56" t="s">
        <v>159</v>
      </c>
      <c r="BA30" s="56" t="s">
        <v>234</v>
      </c>
      <c r="BB30" s="56"/>
      <c r="BC30" s="57"/>
      <c r="BD30" s="58" t="s">
        <v>153</v>
      </c>
      <c r="BE30" s="59"/>
      <c r="BF30" s="58" t="s">
        <v>234</v>
      </c>
      <c r="BG30" s="58" t="s">
        <v>234</v>
      </c>
      <c r="BH30" s="58" t="s">
        <v>234</v>
      </c>
      <c r="BI30" s="58"/>
      <c r="BJ30" s="58"/>
      <c r="BK30" s="59"/>
      <c r="BL30" s="58" t="s">
        <v>234</v>
      </c>
      <c r="BM30" s="58" t="s">
        <v>152</v>
      </c>
      <c r="BN30" s="58" t="s">
        <v>153</v>
      </c>
      <c r="BO30" s="58" t="s">
        <v>154</v>
      </c>
      <c r="BP30" s="58" t="s">
        <v>155</v>
      </c>
      <c r="BQ30" s="58" t="s">
        <v>234</v>
      </c>
      <c r="BR30" s="58" t="s">
        <v>234</v>
      </c>
      <c r="BS30" s="58" t="s">
        <v>234</v>
      </c>
      <c r="BT30" s="58" t="s">
        <v>159</v>
      </c>
      <c r="BU30" s="60"/>
      <c r="BV30" s="61"/>
      <c r="BW30" s="61">
        <v>0</v>
      </c>
      <c r="BX30" s="59"/>
      <c r="BY30" s="44" t="s">
        <v>164</v>
      </c>
      <c r="CB30" s="5"/>
      <c r="CC30" s="5"/>
      <c r="CD30" s="62">
        <v>0</v>
      </c>
      <c r="CE30" s="62">
        <v>0</v>
      </c>
      <c r="CF30" s="62" t="e">
        <v>#REF!</v>
      </c>
      <c r="CG30" s="75" cm="1">
        <f t="array" ref="CG30">SUMPRODUCT(--(LEN(TRIM(BL30:BT30))&gt;0))</f>
        <v>5</v>
      </c>
      <c r="CH30" s="53" t="str">
        <f t="shared" si="3"/>
        <v>n</v>
      </c>
      <c r="CI30" s="53" t="str">
        <f t="shared" si="4"/>
        <v>n</v>
      </c>
      <c r="CJ30" s="53" t="str">
        <f t="shared" si="5"/>
        <v>n</v>
      </c>
      <c r="CK30" s="53" t="str">
        <f t="shared" si="6"/>
        <v>y</v>
      </c>
      <c r="CL30" s="53" t="str">
        <f t="shared" si="7"/>
        <v>y</v>
      </c>
      <c r="CM30" s="53" t="str">
        <f t="shared" si="8"/>
        <v>n</v>
      </c>
      <c r="CN30" s="53" t="str">
        <f t="shared" si="9"/>
        <v>n</v>
      </c>
      <c r="CO30" s="53" t="str">
        <f t="shared" si="10"/>
        <v>n</v>
      </c>
      <c r="CP30" s="53" t="str">
        <f t="shared" si="11"/>
        <v>n</v>
      </c>
      <c r="CQ30" s="53" t="str">
        <f t="shared" si="12"/>
        <v>n</v>
      </c>
      <c r="CR30" s="53" t="str">
        <f t="shared" si="13"/>
        <v>n</v>
      </c>
      <c r="CS30" s="53" t="str">
        <f t="shared" si="14"/>
        <v>y</v>
      </c>
      <c r="CT30" s="38" t="str">
        <f t="shared" si="15"/>
        <v>"[BRA] Empire of Brazil (1853-1889)"</v>
      </c>
      <c r="CU30" s="63" t="str">
        <f t="shared" si="16"/>
        <v>"rgn_South America"</v>
      </c>
      <c r="CV30" s="44" t="str">
        <f t="shared" si="17"/>
        <v>"https://upload.wikimedia.org/wikipedia/commons/thumb/e/ea/Bandeira_do_Imp%C3%A9rio_do_Brasil_com_n%C3%B3_e_cores_corretos.png/320px-Bandeira_do_Imp%C3%A9rio_do_Brasil_com_n%C3%B3_e_cores_corretos.png"</v>
      </c>
      <c r="CW30" s="44" t="str">
        <f t="shared" si="18"/>
        <v/>
      </c>
      <c r="CX30" s="44" t="str">
        <f t="shared" si="19"/>
        <v/>
      </c>
      <c r="CY30" s="44" t="str">
        <f t="shared" si="20"/>
        <v/>
      </c>
      <c r="CZ30" s="44" t="str">
        <f t="shared" si="21"/>
        <v>"5+Colo",</v>
      </c>
      <c r="DA30" s="44" t="str">
        <f t="shared" si="22"/>
        <v>"words2",</v>
      </c>
      <c r="DB30" s="44" t="str">
        <f t="shared" si="23"/>
        <v>"words3",</v>
      </c>
      <c r="DC30" s="44" t="str">
        <f t="shared" si="24"/>
        <v/>
      </c>
      <c r="DD30" s="44" t="str">
        <f t="shared" si="25"/>
        <v>"lets14",</v>
      </c>
      <c r="DE30" s="44" t="str">
        <f t="shared" si="26"/>
        <v>"startE",</v>
      </c>
      <c r="DF30" s="44" t="str">
        <f t="shared" si="27"/>
        <v/>
      </c>
      <c r="DG30" s="44" t="str">
        <f t="shared" si="28"/>
        <v/>
      </c>
      <c r="DH30" s="44" t="str">
        <f t="shared" si="29"/>
        <v/>
      </c>
      <c r="DI30" s="44" t="str">
        <f t="shared" si="30"/>
        <v/>
      </c>
      <c r="DJ30" s="44" t="str">
        <f t="shared" si="31"/>
        <v/>
      </c>
      <c r="DK30" s="44" t="str">
        <f t="shared" si="32"/>
        <v>"with_z",</v>
      </c>
      <c r="DL30" s="44" t="str">
        <f t="shared" si="33"/>
        <v/>
      </c>
      <c r="DM30" s="44" t="str" cm="1">
        <f t="array" ref="DM30">IF(CG30=3,CHAR(34) &amp; _xlfn.TEXTJOIN("", TRUE, RIGHT(HP30:HX30, 2)) &amp; CHAR(34) &amp; ",", "")</f>
        <v/>
      </c>
      <c r="DN30" s="44" t="str">
        <f t="shared" si="34"/>
        <v>"year18",</v>
      </c>
      <c r="DO30" s="44" t="str">
        <f t="shared" si="35"/>
        <v/>
      </c>
      <c r="DP30" s="5" t="str">
        <f t="shared" si="36"/>
        <v/>
      </c>
      <c r="DQ30" s="5" t="str">
        <f t="shared" si="37"/>
        <v/>
      </c>
      <c r="DR30" s="5" t="str">
        <f t="shared" si="38"/>
        <v/>
      </c>
      <c r="DS30" s="5" t="str">
        <f t="shared" si="39"/>
        <v/>
      </c>
      <c r="DT30" s="5" t="str">
        <f t="shared" si="40"/>
        <v/>
      </c>
      <c r="DU30" s="5" t="str">
        <f t="shared" si="41"/>
        <v/>
      </c>
      <c r="DV30" s="44" t="str">
        <f t="shared" si="42"/>
        <v>"smallc",</v>
      </c>
      <c r="DW30" s="44" t="str">
        <f t="shared" si="43"/>
        <v>"NoBand",</v>
      </c>
      <c r="DX30" s="44" t="str">
        <f t="shared" si="44"/>
        <v/>
      </c>
      <c r="DY30" s="44" t="str">
        <f t="shared" si="45"/>
        <v/>
      </c>
      <c r="DZ30" s="44" t="str">
        <f t="shared" si="46"/>
        <v/>
      </c>
      <c r="EA30" s="44" t="str">
        <f t="shared" si="47"/>
        <v>"Diagon",</v>
      </c>
      <c r="EB30" s="44" t="str">
        <f t="shared" si="48"/>
        <v>"Crosse",</v>
      </c>
      <c r="EC30" s="44" t="str">
        <f t="shared" si="49"/>
        <v/>
      </c>
      <c r="ED30" s="44" t="str">
        <f t="shared" si="50"/>
        <v/>
      </c>
      <c r="EE30" s="44" t="str">
        <f t="shared" si="51"/>
        <v>"Circle",</v>
      </c>
      <c r="EF30" s="44" t="str">
        <f t="shared" si="52"/>
        <v/>
      </c>
      <c r="EG30" s="44" t="str">
        <f t="shared" si="53"/>
        <v>"Bird",</v>
      </c>
      <c r="EH30" s="44" t="str">
        <f t="shared" si="54"/>
        <v>"Plants",</v>
      </c>
      <c r="EI30" s="44" t="str">
        <f t="shared" si="55"/>
        <v/>
      </c>
      <c r="EJ30" s="44" t="str">
        <f t="shared" si="56"/>
        <v/>
      </c>
      <c r="EK30" s="44" t="str">
        <f t="shared" si="57"/>
        <v/>
      </c>
      <c r="EL30" s="44" t="str">
        <f t="shared" si="58"/>
        <v/>
      </c>
      <c r="EM30" s="44" t="str">
        <f t="shared" si="59"/>
        <v/>
      </c>
      <c r="EN30" s="44" t="str">
        <f t="shared" si="60"/>
        <v/>
      </c>
      <c r="EO30" s="44" t="str">
        <f t="shared" si="61"/>
        <v>"Center",</v>
      </c>
      <c r="EP30" s="44" t="str">
        <f t="shared" si="62"/>
        <v/>
      </c>
      <c r="EQ30" s="44" t="str">
        <f t="shared" si="63"/>
        <v/>
      </c>
      <c r="ER30" s="44" t="str">
        <f t="shared" si="64"/>
        <v/>
      </c>
      <c r="ES30" s="44" t="str">
        <f t="shared" si="65"/>
        <v/>
      </c>
      <c r="ET30" s="44" t="str">
        <f t="shared" si="66"/>
        <v/>
      </c>
      <c r="EU30" s="44" t="str">
        <f t="shared" si="67"/>
        <v/>
      </c>
      <c r="EV30" s="44" t="str">
        <f t="shared" si="68"/>
        <v/>
      </c>
      <c r="EW30" s="44" t="str">
        <f t="shared" si="69"/>
        <v/>
      </c>
      <c r="EX30" s="44" t="str">
        <f t="shared" si="70"/>
        <v>"Crowns",</v>
      </c>
      <c r="EY30" s="44" t="str">
        <f t="shared" si="71"/>
        <v/>
      </c>
      <c r="EZ30" s="44" t="str">
        <f t="shared" si="72"/>
        <v/>
      </c>
      <c r="FA30" s="44" t="str">
        <f t="shared" si="73"/>
        <v>"staWHI",</v>
      </c>
      <c r="FB30" s="44" t="str">
        <f t="shared" si="74"/>
        <v/>
      </c>
      <c r="FC30" s="44" t="str">
        <f t="shared" si="75"/>
        <v/>
      </c>
      <c r="FD30" s="44" t="str">
        <f t="shared" si="76"/>
        <v/>
      </c>
      <c r="FE30" s="44" t="str">
        <f t="shared" si="77"/>
        <v/>
      </c>
      <c r="FF30" s="44" t="str">
        <f t="shared" si="78"/>
        <v/>
      </c>
      <c r="FG30" s="44" t="str">
        <f t="shared" si="79"/>
        <v/>
      </c>
      <c r="FH30" s="44" t="str">
        <f t="shared" si="80"/>
        <v/>
      </c>
      <c r="FI30" s="44" t="str">
        <f t="shared" si="81"/>
        <v/>
      </c>
      <c r="FJ30" s="44" t="str">
        <f t="shared" si="82"/>
        <v>"NO_BLA",</v>
      </c>
      <c r="FK30" s="44" t="str">
        <f t="shared" si="83"/>
        <v/>
      </c>
      <c r="FL30" s="44" t="str">
        <f t="shared" si="84"/>
        <v/>
      </c>
      <c r="FM30" s="44" t="str">
        <f t="shared" si="85"/>
        <v/>
      </c>
      <c r="FN30" s="44" t="str">
        <f t="shared" si="86"/>
        <v/>
      </c>
      <c r="FO30" s="44" t="str">
        <f t="shared" si="87"/>
        <v/>
      </c>
      <c r="FP30" s="44" t="str">
        <f t="shared" si="88"/>
        <v/>
      </c>
      <c r="FQ30" s="44" t="str">
        <f t="shared" si="89"/>
        <v/>
      </c>
      <c r="FR30" s="44" t="str">
        <f t="shared" si="90"/>
        <v/>
      </c>
      <c r="FS30" s="44" t="str">
        <f t="shared" si="91"/>
        <v/>
      </c>
      <c r="FT30" s="44" t="str">
        <f t="shared" si="92"/>
        <v>"myrGRE",</v>
      </c>
      <c r="FU30" s="44" t="str">
        <f t="shared" si="93"/>
        <v/>
      </c>
      <c r="FV30" s="44" t="str">
        <f t="shared" si="94"/>
        <v/>
      </c>
      <c r="FW30" s="44" t="str">
        <f t="shared" si="95"/>
        <v/>
      </c>
      <c r="FX30" s="44" t="str">
        <f t="shared" si="96"/>
        <v/>
      </c>
      <c r="FY30" s="44" t="str">
        <f t="shared" si="97"/>
        <v/>
      </c>
      <c r="FZ30" s="44" t="str">
        <f t="shared" si="98"/>
        <v/>
      </c>
      <c r="GA30" s="44" t="str">
        <f t="shared" si="99"/>
        <v/>
      </c>
      <c r="GB30" s="44" t="str">
        <f t="shared" si="100"/>
        <v/>
      </c>
      <c r="GC30" s="44" t="str">
        <f t="shared" si="101"/>
        <v/>
      </c>
      <c r="GD30" s="44" t="str">
        <f t="shared" si="102"/>
        <v/>
      </c>
      <c r="GE30" s="44" t="str">
        <f t="shared" si="103"/>
        <v/>
      </c>
      <c r="GF30" s="44" t="str">
        <f t="shared" si="145"/>
        <v>"histor",</v>
      </c>
      <c r="GG30" s="44" t="str">
        <f t="shared" si="104"/>
        <v/>
      </c>
      <c r="GH30" s="44" t="str">
        <f t="shared" si="105"/>
        <v/>
      </c>
      <c r="GI30" s="44" t="str">
        <f t="shared" si="106"/>
        <v/>
      </c>
      <c r="GJ30" s="44" t="str">
        <f t="shared" si="107"/>
        <v/>
      </c>
      <c r="GK30" s="44" t="str">
        <f t="shared" si="108"/>
        <v>"HasSta",</v>
      </c>
      <c r="GL30" s="44" t="str">
        <f t="shared" si="109"/>
        <v/>
      </c>
      <c r="GM30" s="44" t="str">
        <f t="shared" si="110"/>
        <v/>
      </c>
      <c r="GN30" s="44" t="str">
        <f t="shared" si="111"/>
        <v>"3+Star",</v>
      </c>
      <c r="GP30" s="44" t="str">
        <f t="shared" si="112"/>
        <v>"Historical"</v>
      </c>
      <c r="GS30" s="44" t="str">
        <f t="shared" si="113"/>
        <v>["5+Colo","words2","words3","lets14","startE","with_z","year18","smallc","NoBand","Diagon","Crosse","Circle","Bird","Plants","Center","Crowns","staWHI","NO_BLA","myrGRE","histor","HasSta","3+Star"]</v>
      </c>
      <c r="GT30" s="44" t="str">
        <f t="shared" si="114"/>
        <v/>
      </c>
      <c r="GU30" s="44" t="str">
        <f t="shared" si="115"/>
        <v>"cl_BLU",</v>
      </c>
      <c r="GV30" s="44" t="str">
        <f t="shared" si="116"/>
        <v>"cl_GRE",</v>
      </c>
      <c r="GW30" s="44" t="str">
        <f t="shared" si="117"/>
        <v>"cl_RED",</v>
      </c>
      <c r="GX30" s="44" t="str">
        <f t="shared" si="118"/>
        <v>"cl_YEL",</v>
      </c>
      <c r="GY30" s="44" t="str">
        <f t="shared" si="119"/>
        <v/>
      </c>
      <c r="GZ30" s="44" t="str">
        <f t="shared" si="120"/>
        <v/>
      </c>
      <c r="HA30" s="44" t="str">
        <f t="shared" si="121"/>
        <v/>
      </c>
      <c r="HB30" s="44" t="str">
        <f t="shared" si="122"/>
        <v>"cl_WHI",</v>
      </c>
      <c r="HC30" s="44" t="str">
        <f t="shared" si="123"/>
        <v>["cl_BLU","cl_GRE","cl_RED","cl_YEL","cl_WHI"]</v>
      </c>
      <c r="HE30" s="64"/>
      <c r="HF30" s="65" t="str">
        <f t="shared" si="124"/>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links: "https://en.wikipedia.org/wiki/Flag_of_Brazil#Empire_of_Brazil_(1822%E2%80%931889)"},</v>
      </c>
      <c r="HG30" s="66" t="str">
        <f t="shared" si="125"/>
        <v>{couname:"[BRA] Empire of Brazil (1853-1889)",year:"1853",region:"rgn_South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links: "https://en.wikipedia.org/wiki/Flag_of_Brazil#Empire_of_Brazil_(1822%E2%80%931889)"},</v>
      </c>
      <c r="HH30" s="44" t="str">
        <f t="shared" si="126"/>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I30" s="44" t="str">
        <f t="shared" si="127"/>
        <v>"\nAfter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v>
      </c>
      <c r="HJ30" s="44" t="str">
        <f t="shared" si="128"/>
        <v>"1853"</v>
      </c>
      <c r="HL30" s="44" t="str">
        <f t="shared" si="129"/>
        <v>"https://en.wikipedia.org/wiki/Flag_of_Brazil#Empire_of_Brazil_(1822%E2%80%931889)"</v>
      </c>
      <c r="HM30" s="65" t="str">
        <f t="shared" si="130"/>
        <v>{"couname":"[BRA] Empire of Brazil (1853-1889)","subtype":"[BRA] Other","year":"1853","region":"rgn_South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N30" s="67" t="str">
        <f t="shared" si="131"/>
        <v>{"couname":"[BRA] Empire of Brazil (1853-1889)","subtype":"[BRA] Other","year":"1853","region":"rgn_South America","Colors":["cl_BLU","cl_GRE","cl_RED","cl_YEL","cl_WHI"],"Items":["5+Colo","words2","words3","lets14","startE","with_z","year18","smallc","NoBand","Diagon","Crosse","Circle","Bird","Plants","Center","Crowns","staWHI","NO_BLA","myrGRE","histor","HasSta","3+Star"],"Flag":"https://upload.wikimedia.org/wikipedia/commons/thumb/e/ea/Bandeira_do_Imp%C3%A9rio_do_Brasil_com_n%C3%B3_e_cores_corretos.png/320px-Bandeira_do_Imp%C3%A9rio_do_Brasil_com_n%C3%B3_e_cores_corretos.png","HDFlag":"https://upload.wikimedia.org/wikipedia/commons/thumb/e/ea/Bandeira_do_Imp%C3%A9rio_do_Brasil_com_n%C3%B3_e_cores_corretos.png/800px-Bandeira_do_Imp%C3%A9rio_do_Brasil_com_n%C3%B3_e_cores_corretos.png","type":"Historical", "describe": "\nAfter the Brazilian Declaration of Independence and the coronation of Pedro I as Emperor of Brazil, the Royal Standard was modified to become the flag of the Empire of Brazil. The new flag featured the imperial coat of arms within a yellow rhombus on a green field. The green and yellow colors represented the dynastic houses of Pedro I and his consort Maria Leopoldina of Austria.\n\nThe imperial flag was slightly modified during the reign of Pedro II when an extra star was added to the imperial arms to conform to the new territorial organization of the country. The flag used was the second flag of the Empire of Brazil, with 20 stars, and it was used in 1853 up until 1889.", "isnew": ".", "links": "https://en.wikipedia.org/wiki/Flag_of_Brazil#Empire_of_Brazil_(1822%E2%80%931889)"},</v>
      </c>
      <c r="HO30" s="71">
        <v>45583</v>
      </c>
      <c r="HP30" s="44" t="str" cm="1">
        <f t="array" ref="HP30">IF(_xlfn.TEXTJOIN(", ", TRUE, IF(ISNUMBER(SEARCH("BLA", BL30:BT30)), COLUMN(BL30:BT30) - COLUMN(BL30) + 1, ""))&lt;&gt;"","BLA","")</f>
        <v/>
      </c>
      <c r="HQ30" s="44" t="str" cm="1">
        <f t="array" ref="HQ30">IF(_xlfn.TEXTJOIN(", ", TRUE, IF(ISNUMBER(SEARCH("BLU", BL30:BT30)), COLUMN(BL30:BT30) - COLUMN(BL30) + 1, ""))&lt;&gt;"","BLU","")</f>
        <v>BLU</v>
      </c>
      <c r="HR30" s="44" t="str" cm="1">
        <f t="array" ref="HR30">IF(_xlfn.TEXTJOIN(", ", TRUE, IF(ISNUMBER(SEARCH("GRE", BL30:BT30)), COLUMN(BL30:BT30) - COLUMN(BL30) + 1, ""))&lt;&gt;"","GRE","")</f>
        <v>GRE</v>
      </c>
      <c r="HS30" s="44" t="str" cm="1">
        <f t="array" ref="HS30">IF(_xlfn.TEXTJOIN(", ", TRUE, IF(ISNUMBER(SEARCH("RED", BL30:BT30)), COLUMN(BL30:BT30) - COLUMN(BL30) + 1, ""))&lt;&gt;"","RED","")</f>
        <v>RED</v>
      </c>
      <c r="HT30" s="44" t="str" cm="1">
        <f t="array" ref="HT30">IF(_xlfn.TEXTJOIN(", ", TRUE, IF(ISNUMBER(SEARCH("YEL", BL30:BT30)), COLUMN(BL30:BT30) - COLUMN(BL30) + 1, ""))&lt;&gt;"","YEL","")</f>
        <v>YEL</v>
      </c>
      <c r="HU30" s="44" t="str" cm="1">
        <f t="array" ref="HU30">IF(_xlfn.TEXTJOIN(", ", TRUE, IF(ISNUMBER(SEARCH("ORA", BL30:BT30)), COLUMN(BL30:BT30) - COLUMN(BL30) + 1, ""))&lt;&gt;"","ORA","")</f>
        <v/>
      </c>
      <c r="HV30" s="44" t="str" cm="1">
        <f t="array" ref="HV30">IF(_xlfn.TEXTJOIN(", ", TRUE, IF(ISNUMBER(SEARCH("BRO", BL30:BT30)), COLUMN(BL30:BT30) - COLUMN(BL30) + 1, ""))&lt;&gt;"","BRO","")</f>
        <v/>
      </c>
      <c r="HW30" s="44" t="str" cm="1">
        <f t="array" ref="HW30">IF(_xlfn.TEXTJOIN(", ", TRUE, IF(ISNUMBER(SEARCH("PUR", BL30:BT30)), COLUMN(BL30:BT30) - COLUMN(BL30) + 1, ""))&lt;&gt;"","PUR","")</f>
        <v/>
      </c>
      <c r="HX30" s="44" t="str" cm="1">
        <f t="array" ref="HX30">IF(_xlfn.TEXTJOIN(", ", TRUE, IF(ISNUMBER(SEARCH("WHI", BL30:BT30)), COLUMN(BL30:BT30) - COLUMN(BL30) + 1, ""))&lt;&gt;"","WHI","")</f>
        <v>WHI</v>
      </c>
      <c r="HY30" s="72"/>
      <c r="HZ30" s="72"/>
      <c r="IA30" s="5" t="s">
        <v>164</v>
      </c>
      <c r="IB30" s="5"/>
      <c r="IC30" s="68"/>
      <c r="ID30" s="68"/>
      <c r="IE30" s="68"/>
      <c r="IF30" s="68"/>
      <c r="IG30" s="68"/>
      <c r="IH30" s="68"/>
      <c r="II30" s="68"/>
      <c r="IJ30" s="68"/>
      <c r="IK30" s="68"/>
      <c r="IL30" s="44">
        <f t="shared" si="132"/>
        <v>0</v>
      </c>
      <c r="IM30" s="42">
        <f t="shared" si="133"/>
        <v>-5</v>
      </c>
      <c r="IN30" s="69" t="str">
        <f t="shared" si="134"/>
        <v>http://mkweb.bcgsc.ca/color-summarizer/?url=https://upload.wikimedia.org/wikipedia/commons/thumb/e/ea/Bandeira_do_Imp%C3%A9rio_do_Brasil_com_n%C3%B3_e_cores_corretos.png/320px-Bandeira_do_Imp%C3%A9rio_do_Brasil_com_n%C3%B3_e_cores_corretos.png&amp;precision=low&amp;num_clusters=5&amp;text=1</v>
      </c>
      <c r="IO30" s="44" t="str">
        <f t="shared" si="135"/>
        <v/>
      </c>
      <c r="IP30" s="44" t="str">
        <f t="shared" si="136"/>
        <v>"blue"</v>
      </c>
      <c r="IQ30" s="44" t="str">
        <f t="shared" si="137"/>
        <v>"green"</v>
      </c>
      <c r="IR30" s="44" t="str">
        <f t="shared" si="138"/>
        <v>"red"</v>
      </c>
      <c r="IS30" s="44" t="str">
        <f t="shared" si="139"/>
        <v>"yellow"</v>
      </c>
      <c r="IT30" s="44" t="str">
        <f t="shared" si="140"/>
        <v/>
      </c>
      <c r="IU30" s="44" t="str">
        <f t="shared" si="141"/>
        <v/>
      </c>
      <c r="IV30" s="44" t="str">
        <f t="shared" si="142"/>
        <v/>
      </c>
      <c r="IW30" s="44" t="str">
        <f t="shared" si="143"/>
        <v>"white"</v>
      </c>
      <c r="IX30" s="44" t="str">
        <f t="shared" si="144"/>
        <v>{"url":"http://mkweb.bcgsc.ca/color-summarizer/?url=https://upload.wikimedia.org/wikipedia/commons/thumb/e/ea/Bandeira_do_Imp%C3%A9rio_do_Brasil_com_n%C3%B3_e_cores_corretos.png/320px-Bandeira_do_Imp%C3%A9rio_do_Brasil_com_n%C3%B3_e_cores_corretos.png&amp;precision=low&amp;num_clusters=5&amp;text=1","name":"[BRA] Empire of Brazil (1853-1889)"},</v>
      </c>
      <c r="IY30" s="44">
        <v>326</v>
      </c>
    </row>
    <row r="31" spans="1:259" s="44" customFormat="1" ht="38.4" customHeight="1" thickBot="1" x14ac:dyDescent="0.35">
      <c r="A31" s="85" t="s">
        <v>656</v>
      </c>
      <c r="B31" s="83" t="e" vm="53">
        <v>#VALUE!</v>
      </c>
      <c r="C31" s="39">
        <v>3</v>
      </c>
      <c r="D31" s="70" t="s">
        <v>657</v>
      </c>
      <c r="E31" s="40" t="s">
        <v>658</v>
      </c>
      <c r="F31" s="41" t="s">
        <v>163</v>
      </c>
      <c r="G31" s="42">
        <f t="shared" si="0"/>
        <v>1</v>
      </c>
      <c r="H31" s="43" t="s">
        <v>389</v>
      </c>
      <c r="I31" s="59" t="s">
        <v>659</v>
      </c>
      <c r="J31" s="44" t="str">
        <f>""</f>
        <v/>
      </c>
      <c r="K31" s="45"/>
      <c r="L31" s="46"/>
      <c r="M31" s="46"/>
      <c r="N31" s="47" t="s">
        <v>177</v>
      </c>
      <c r="O31" s="74" t="s">
        <v>233</v>
      </c>
      <c r="P31" s="48" t="s">
        <v>660</v>
      </c>
      <c r="Q31" s="73">
        <v>2</v>
      </c>
      <c r="R31" s="49" t="s">
        <v>177</v>
      </c>
      <c r="S31" s="50">
        <v>14</v>
      </c>
      <c r="T31" s="51" t="s">
        <v>164</v>
      </c>
      <c r="U31" s="52" t="s">
        <v>164</v>
      </c>
      <c r="V31" s="52" t="s">
        <v>165</v>
      </c>
      <c r="W31" s="52" t="s">
        <v>165</v>
      </c>
      <c r="X31" s="52" t="s">
        <v>164</v>
      </c>
      <c r="Y31" s="52" t="s">
        <v>164</v>
      </c>
      <c r="Z31" s="52" t="s">
        <v>164</v>
      </c>
      <c r="AA31" s="52" t="s">
        <v>164</v>
      </c>
      <c r="AB31" s="52" t="s">
        <v>164</v>
      </c>
      <c r="AC31" s="52" t="s">
        <v>164</v>
      </c>
      <c r="AD31" s="52" t="s">
        <v>164</v>
      </c>
      <c r="AE31" s="52" t="s">
        <v>164</v>
      </c>
      <c r="AF31" s="53" t="s">
        <v>164</v>
      </c>
      <c r="AG31" s="53" t="s">
        <v>164</v>
      </c>
      <c r="AH31" s="53" t="s">
        <v>165</v>
      </c>
      <c r="AI31" s="53" t="s">
        <v>164</v>
      </c>
      <c r="AJ31" s="53" t="s">
        <v>164</v>
      </c>
      <c r="AK31" s="53" t="s">
        <v>164</v>
      </c>
      <c r="AL31" s="53" t="s">
        <v>164</v>
      </c>
      <c r="AM31" s="53" t="s">
        <v>164</v>
      </c>
      <c r="AN31" s="53" t="s">
        <v>164</v>
      </c>
      <c r="AO31" s="53" t="s">
        <v>165</v>
      </c>
      <c r="AP31" s="53" t="s">
        <v>164</v>
      </c>
      <c r="AQ31" s="53" t="s">
        <v>164</v>
      </c>
      <c r="AR31" s="53" t="s">
        <v>164</v>
      </c>
      <c r="AS31" s="53" t="s">
        <v>164</v>
      </c>
      <c r="AT31" s="54">
        <v>0</v>
      </c>
      <c r="AU31" s="53" t="s">
        <v>661</v>
      </c>
      <c r="AV31" s="53" t="str">
        <f t="shared" si="1"/>
        <v>[BRA]City, State Capital[BRA] Joao Pessoa</v>
      </c>
      <c r="AW31" s="53" t="str">
        <f t="shared" si="2"/>
        <v>3[BRA] Paraiba[BRA] Joao Pessoa</v>
      </c>
      <c r="AX31" s="55"/>
      <c r="AY31" s="55"/>
      <c r="AZ31" s="56" t="s">
        <v>234</v>
      </c>
      <c r="BA31" s="56" t="s">
        <v>234</v>
      </c>
      <c r="BB31" s="56"/>
      <c r="BC31" s="57"/>
      <c r="BD31" s="58" t="s">
        <v>159</v>
      </c>
      <c r="BE31" s="59"/>
      <c r="BF31" s="58" t="s">
        <v>159</v>
      </c>
      <c r="BG31" s="58" t="s">
        <v>234</v>
      </c>
      <c r="BH31" s="58" t="s">
        <v>159</v>
      </c>
      <c r="BI31" s="58"/>
      <c r="BJ31" s="58"/>
      <c r="BK31" s="59"/>
      <c r="BL31" s="58" t="s">
        <v>151</v>
      </c>
      <c r="BM31" s="58" t="s">
        <v>234</v>
      </c>
      <c r="BN31" s="58" t="s">
        <v>234</v>
      </c>
      <c r="BO31" s="58" t="s">
        <v>154</v>
      </c>
      <c r="BP31" s="58" t="s">
        <v>234</v>
      </c>
      <c r="BQ31" s="58" t="s">
        <v>234</v>
      </c>
      <c r="BR31" s="58" t="s">
        <v>234</v>
      </c>
      <c r="BS31" s="58" t="s">
        <v>234</v>
      </c>
      <c r="BT31" s="58" t="s">
        <v>159</v>
      </c>
      <c r="BU31" s="60"/>
      <c r="BV31" s="61"/>
      <c r="BW31" s="61">
        <v>0</v>
      </c>
      <c r="BX31" s="59"/>
      <c r="CB31" s="5"/>
      <c r="CC31" s="5"/>
      <c r="CD31" s="62">
        <v>0</v>
      </c>
      <c r="CE31" s="62">
        <v>0</v>
      </c>
      <c r="CF31" s="62" t="e">
        <v>#REF!</v>
      </c>
      <c r="CG31" s="75" cm="1">
        <f t="array" ref="CG31">SUMPRODUCT(--(LEN(TRIM(BL31:BT31))&gt;0))</f>
        <v>3</v>
      </c>
      <c r="CH31" s="53" t="str">
        <f t="shared" si="3"/>
        <v>n</v>
      </c>
      <c r="CI31" s="53" t="str">
        <f t="shared" si="4"/>
        <v>y</v>
      </c>
      <c r="CJ31" s="53" t="str">
        <f t="shared" si="5"/>
        <v>n</v>
      </c>
      <c r="CK31" s="53" t="str">
        <f t="shared" si="6"/>
        <v>n</v>
      </c>
      <c r="CL31" s="53" t="str">
        <f t="shared" si="7"/>
        <v>n</v>
      </c>
      <c r="CM31" s="53" t="str">
        <f t="shared" si="8"/>
        <v>n</v>
      </c>
      <c r="CN31" s="53" t="str">
        <f t="shared" si="9"/>
        <v>n</v>
      </c>
      <c r="CO31" s="53" t="str">
        <f t="shared" si="10"/>
        <v>y</v>
      </c>
      <c r="CP31" s="53" t="str">
        <f t="shared" si="11"/>
        <v>y</v>
      </c>
      <c r="CQ31" s="53" t="str">
        <f t="shared" si="12"/>
        <v>n</v>
      </c>
      <c r="CR31" s="53" t="str">
        <f t="shared" si="13"/>
        <v>n</v>
      </c>
      <c r="CS31" s="53" t="str">
        <f t="shared" si="14"/>
        <v>n</v>
      </c>
      <c r="CT31" s="38" t="str">
        <f t="shared" si="15"/>
        <v>"[BRA] Joao Pessoa"</v>
      </c>
      <c r="CU31" s="63" t="str">
        <f t="shared" si="16"/>
        <v>"rgn_South America"</v>
      </c>
      <c r="CV31" s="44" t="str">
        <f t="shared" si="17"/>
        <v>"https://upload.wikimedia.org/wikipedia/commons/thumb/d/d9/Bandeira_de_Jo%C3%A3o_Pessoa.svg/640px-Bandeira_de_Jo%C3%A3o_Pessoa.svg.png"</v>
      </c>
      <c r="CW31" s="44" t="str">
        <f t="shared" si="18"/>
        <v/>
      </c>
      <c r="CX31" s="44" t="str">
        <f t="shared" si="19"/>
        <v>"3Color",</v>
      </c>
      <c r="CY31" s="44" t="str">
        <f t="shared" si="20"/>
        <v/>
      </c>
      <c r="CZ31" s="44" t="str">
        <f t="shared" si="21"/>
        <v/>
      </c>
      <c r="DA31" s="44" t="str">
        <f t="shared" si="22"/>
        <v>"words2",</v>
      </c>
      <c r="DB31" s="44" t="str">
        <f t="shared" si="23"/>
        <v/>
      </c>
      <c r="DD31" s="44" t="str">
        <f>IF(LEN(CHAR(34)&amp;"lets"&amp;LEN(SUBSTITUTE(SUBSTITUTE(IFERROR(TRIM(SUBSTITUTE(A31,MID(A31,FIND("[",A31),FIND("]",A31)-FIND("[",A31)+1),"")),A31)," ",""),"-",""))&amp;CHAR(34)&amp;",")=9,CHAR(34)&amp;"lets"&amp;LEN(SUBSTITUTE(SUBSTITUTE(IFERROR(TRIM(SUBSTITUTE(A31,MID(A31,FIND("[",A31),FIND("]",A31)-FIND("[",A31)+1),"")),A31)," ",""),"-",""))&amp;CHAR(34)&amp;",",CHAR(34)&amp;"lets0"&amp;LEN(SUBSTITUTE(SUBSTITUTE(IFERROR(TRIM(SUBSTITUTE(A31,MID(A31,FIND("[",A31),FIND("]",A31)-FIND("[",A31)+1),"")),A31)," ",""),"-",""))&amp;CHAR(34)&amp;",")</f>
        <v>"lets10",</v>
      </c>
      <c r="DE31" s="44" t="str">
        <f>CHAR(34)&amp;"start"&amp;IFERROR(LEFT(SUBSTITUTE(A31,"["&amp;MID(A31,FIND("[",A31)+1,FIND("]",A31)-FIND("[",A31)-1)&amp;"] ",""),1),LEFT(A31,1))&amp;CHAR(34)&amp;","</f>
        <v>"startJ",</v>
      </c>
      <c r="DF31" s="44" t="str">
        <f t="shared" si="27"/>
        <v/>
      </c>
      <c r="DG31" s="44" t="str">
        <f t="shared" si="28"/>
        <v/>
      </c>
      <c r="DH31" s="44" t="str">
        <f t="shared" si="29"/>
        <v/>
      </c>
      <c r="DI31" s="44" t="str">
        <f t="shared" si="30"/>
        <v/>
      </c>
      <c r="DJ31" s="44" t="str">
        <f t="shared" si="31"/>
        <v/>
      </c>
      <c r="DK31" s="44" t="str">
        <f t="shared" si="32"/>
        <v/>
      </c>
      <c r="DL31" s="44" t="str">
        <f t="shared" si="33"/>
        <v/>
      </c>
      <c r="DM31" s="44" t="str" cm="1">
        <f t="array" ref="DM31">IF(CG31=3,CHAR(34) &amp; _xlfn.TEXTJOIN("", TRUE, RIGHT(HP31:HX31, 2)) &amp; CHAR(34) &amp; ",", "")</f>
        <v>"LAEDHI",</v>
      </c>
      <c r="DN31" s="44" t="str">
        <f t="shared" si="34"/>
        <v/>
      </c>
      <c r="DO31" s="44" t="str">
        <f t="shared" si="35"/>
        <v/>
      </c>
      <c r="DP31" s="5" t="str">
        <f t="shared" si="36"/>
        <v/>
      </c>
      <c r="DQ31" s="5" t="str">
        <f t="shared" si="37"/>
        <v/>
      </c>
      <c r="DR31" s="5" t="str">
        <f t="shared" si="38"/>
        <v/>
      </c>
      <c r="DS31" s="5" t="str">
        <f t="shared" si="39"/>
        <v/>
      </c>
      <c r="DT31" s="5" t="str">
        <f t="shared" si="40"/>
        <v/>
      </c>
      <c r="DU31" s="5" t="str">
        <f t="shared" si="41"/>
        <v/>
      </c>
      <c r="DW31" s="44" t="str">
        <f t="shared" si="43"/>
        <v/>
      </c>
      <c r="DX31" s="44" t="str">
        <f t="shared" si="44"/>
        <v/>
      </c>
      <c r="DY31" s="44" t="str">
        <f t="shared" si="45"/>
        <v/>
      </c>
      <c r="DZ31" s="44" t="str">
        <f t="shared" si="46"/>
        <v>"4+Band",</v>
      </c>
      <c r="EA31" s="44" t="str">
        <f t="shared" si="47"/>
        <v/>
      </c>
      <c r="EB31" s="44" t="str">
        <f t="shared" si="48"/>
        <v/>
      </c>
      <c r="EC31" s="44" t="str">
        <f t="shared" si="49"/>
        <v>"Horizo",</v>
      </c>
      <c r="ED31" s="44" t="str">
        <f t="shared" si="50"/>
        <v>"Vertic",</v>
      </c>
      <c r="EE31" s="44" t="str">
        <f t="shared" si="51"/>
        <v/>
      </c>
      <c r="EF31" s="44" t="str">
        <f t="shared" si="52"/>
        <v/>
      </c>
      <c r="EG31" s="44" t="str">
        <f t="shared" si="53"/>
        <v/>
      </c>
      <c r="EH31" s="44" t="str">
        <f t="shared" si="54"/>
        <v/>
      </c>
      <c r="EI31" s="44" t="str">
        <f t="shared" si="55"/>
        <v/>
      </c>
      <c r="EJ31" s="44" t="str">
        <f t="shared" si="56"/>
        <v/>
      </c>
      <c r="EK31" s="44" t="str">
        <f t="shared" si="57"/>
        <v/>
      </c>
      <c r="EL31" s="44" t="str">
        <f t="shared" si="58"/>
        <v/>
      </c>
      <c r="EM31" s="44" t="str">
        <f t="shared" si="59"/>
        <v/>
      </c>
      <c r="EN31" s="44" t="str">
        <f t="shared" si="60"/>
        <v/>
      </c>
      <c r="EO31" s="44" t="str">
        <f t="shared" si="61"/>
        <v>"Center",</v>
      </c>
      <c r="EP31" s="44" t="str">
        <f t="shared" si="62"/>
        <v/>
      </c>
      <c r="EQ31" s="44" t="str">
        <f t="shared" si="63"/>
        <v/>
      </c>
      <c r="ER31" s="44" t="str">
        <f t="shared" si="64"/>
        <v/>
      </c>
      <c r="ES31" s="44" t="str">
        <f t="shared" si="65"/>
        <v/>
      </c>
      <c r="ET31" s="44" t="str">
        <f t="shared" si="66"/>
        <v/>
      </c>
      <c r="EU31" s="44" t="str">
        <f t="shared" si="67"/>
        <v/>
      </c>
      <c r="EV31" s="44" t="str">
        <f t="shared" si="68"/>
        <v>"Builds",</v>
      </c>
      <c r="EW31" s="44" t="str">
        <f t="shared" si="69"/>
        <v/>
      </c>
      <c r="EX31" s="44" t="str">
        <f t="shared" si="70"/>
        <v/>
      </c>
      <c r="EY31" s="44" t="str">
        <f t="shared" si="71"/>
        <v/>
      </c>
      <c r="EZ31" s="44" t="str">
        <f t="shared" si="72"/>
        <v/>
      </c>
      <c r="FA31" s="44" t="str">
        <f t="shared" si="73"/>
        <v/>
      </c>
      <c r="FB31" s="44" t="str">
        <f t="shared" si="74"/>
        <v/>
      </c>
      <c r="FD31" s="44" t="str">
        <f t="shared" si="76"/>
        <v/>
      </c>
      <c r="FE31" s="44" t="str">
        <f t="shared" si="77"/>
        <v>"NO_BLU",</v>
      </c>
      <c r="FF31" s="44" t="str">
        <f t="shared" si="78"/>
        <v/>
      </c>
      <c r="FG31" s="44" t="str">
        <f t="shared" si="79"/>
        <v/>
      </c>
      <c r="FH31" s="44" t="str">
        <f t="shared" si="80"/>
        <v>"NO_GRE",</v>
      </c>
      <c r="FI31" s="44" t="str">
        <f t="shared" si="81"/>
        <v>"NO_YEL",</v>
      </c>
      <c r="FJ31" s="44" t="str">
        <f t="shared" si="82"/>
        <v/>
      </c>
      <c r="FK31" s="44" t="str">
        <f t="shared" si="83"/>
        <v/>
      </c>
      <c r="FL31" s="44" t="str">
        <f t="shared" si="84"/>
        <v/>
      </c>
      <c r="FM31" s="44" t="str">
        <f t="shared" si="85"/>
        <v/>
      </c>
      <c r="FN31" s="44" t="str">
        <f t="shared" si="86"/>
        <v/>
      </c>
      <c r="FO31" s="44" t="str">
        <f t="shared" si="87"/>
        <v/>
      </c>
      <c r="FP31" s="44" t="str">
        <f t="shared" si="88"/>
        <v/>
      </c>
      <c r="FQ31" s="44" t="str">
        <f t="shared" si="89"/>
        <v>"001WHI",</v>
      </c>
      <c r="FR31" s="44" t="str">
        <f t="shared" si="90"/>
        <v/>
      </c>
      <c r="FS31" s="44" t="str">
        <f t="shared" si="91"/>
        <v>"003WHI",</v>
      </c>
      <c r="FT31" s="44" t="str">
        <f t="shared" si="92"/>
        <v>"myrWHI",</v>
      </c>
      <c r="FU31" s="44" t="str">
        <f t="shared" si="93"/>
        <v/>
      </c>
      <c r="FV31" s="44" t="str">
        <f t="shared" si="94"/>
        <v/>
      </c>
      <c r="FW31" s="44" t="str">
        <f t="shared" si="95"/>
        <v/>
      </c>
      <c r="FY31" s="44" t="str">
        <f t="shared" si="97"/>
        <v/>
      </c>
      <c r="FZ31" s="44" t="str">
        <f t="shared" si="98"/>
        <v/>
      </c>
      <c r="GA31" s="44" t="str">
        <f t="shared" si="99"/>
        <v/>
      </c>
      <c r="GB31" s="44" t="str">
        <f t="shared" si="100"/>
        <v/>
      </c>
      <c r="GE31" s="44" t="str">
        <f t="shared" si="103"/>
        <v/>
      </c>
      <c r="GF31" s="44" t="str">
        <f t="shared" si="145"/>
        <v/>
      </c>
      <c r="GG31" s="44" t="str">
        <f t="shared" si="104"/>
        <v/>
      </c>
      <c r="GH31" s="44" t="str">
        <f t="shared" si="105"/>
        <v/>
      </c>
      <c r="GI31" s="44" t="str">
        <f t="shared" si="106"/>
        <v/>
      </c>
      <c r="GJ31" s="44" t="str">
        <f t="shared" si="107"/>
        <v>"NoStar",</v>
      </c>
      <c r="GK31" s="44" t="str">
        <f t="shared" si="108"/>
        <v/>
      </c>
      <c r="GL31" s="44" t="str">
        <f t="shared" si="109"/>
        <v/>
      </c>
      <c r="GM31" s="44" t="str">
        <f t="shared" si="110"/>
        <v/>
      </c>
      <c r="GN31" s="44" t="str">
        <f t="shared" si="111"/>
        <v/>
      </c>
      <c r="GP31" s="44" t="str">
        <f t="shared" si="112"/>
        <v>"City, State Capital"</v>
      </c>
      <c r="GS31" s="44" t="str">
        <f t="shared" si="113"/>
        <v>["3Color","words2","lets10","startJ","LAEDHI","4+Band","Horizo","Vertic","Center","Builds","NO_BLU","NO_GRE","NO_YEL","001WHI","003WHI","myrWHI","NoStar"]</v>
      </c>
      <c r="GT31" s="44" t="str">
        <f t="shared" si="114"/>
        <v>"cl_BLA",</v>
      </c>
      <c r="GU31" s="44" t="str">
        <f t="shared" si="115"/>
        <v/>
      </c>
      <c r="GV31" s="44" t="str">
        <f t="shared" si="116"/>
        <v/>
      </c>
      <c r="GW31" s="44" t="str">
        <f t="shared" si="117"/>
        <v>"cl_RED",</v>
      </c>
      <c r="GX31" s="44" t="str">
        <f t="shared" si="118"/>
        <v/>
      </c>
      <c r="GY31" s="44" t="str">
        <f t="shared" si="119"/>
        <v/>
      </c>
      <c r="GZ31" s="44" t="str">
        <f t="shared" si="120"/>
        <v/>
      </c>
      <c r="HA31" s="44" t="str">
        <f t="shared" si="121"/>
        <v/>
      </c>
      <c r="HB31" s="44" t="str">
        <f t="shared" si="122"/>
        <v>"cl_WHI",</v>
      </c>
      <c r="HC31" s="44" t="str">
        <f t="shared" si="123"/>
        <v>["cl_BLA","cl_RED","cl_WHI"]</v>
      </c>
      <c r="HE31" s="64"/>
      <c r="HF31" s="65" t="str">
        <f t="shared" si="124"/>
        <v>{couname:"[BRA] Joao Pessoa",year:"???",region:"rgn_South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links: "https://en.m.wikipedia.org/wiki/Jo%C3%A3o_Pessoa,_Para%C3%ADba"},</v>
      </c>
      <c r="HG31" s="66" t="str">
        <f t="shared" si="125"/>
        <v>{couname:"[BRA] Joao Pessoa",year:"???",region:"rgn_South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links: "https://en.m.wikipedia.org/wiki/Jo%C3%A3o_Pessoa,_Para%C3%ADba"},</v>
      </c>
      <c r="HH31" s="44" t="str">
        <f t="shared" si="126"/>
        <v>"\nSeven horizontal bands alternating white and red with black bands between each white and red band. In the center a vertical black band with three castles."</v>
      </c>
      <c r="HI31" s="44" t="str">
        <f t="shared" si="127"/>
        <v>"\nSeven horizontal bands alternating white and red with black bands between each white and red band. In the center a vertical black band with three castles."</v>
      </c>
      <c r="HJ31" s="44" t="str">
        <f t="shared" si="128"/>
        <v>"???"</v>
      </c>
      <c r="HL31" s="44" t="str">
        <f t="shared" si="129"/>
        <v>"https://en.m.wikipedia.org/wiki/Jo%C3%A3o_Pessoa,_Para%C3%ADba"</v>
      </c>
      <c r="HM31" s="65" t="str">
        <f t="shared" si="130"/>
        <v>{"couname":"[BRA] Joao Pessoa","subtype":"[BRA] Paraiba","year":"???","region":"rgn_South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N31" s="67" t="str">
        <f t="shared" si="131"/>
        <v>{"couname":"[BRA] Joao Pessoa","subtype":"[BRA] Paraiba","year":"???","region":"rgn_South America","Colors":["cl_BLA","cl_RED","cl_WHI"],"Items":["3Color","words2","lets10","startJ","LAEDHI","4+Band","Horizo","Vertic","Center","Builds","NO_BLU","NO_GRE","NO_YEL","001WHI","003WHI","myrWHI","NoStar"],"Flag":"https://upload.wikimedia.org/wikipedia/commons/thumb/d/d9/Bandeira_de_Jo%C3%A3o_Pessoa.svg/640px-Bandeira_de_Jo%C3%A3o_Pessoa.svg.png","HDFlag":"https://upload.wikimedia.org/wikipedia/commons/thumb/d/d9/Bandeira_de_Jo%C3%A3o_Pessoa.svg/1280px-Bandeira_de_Jo%C3%A3o_Pessoa.svg.png","type":"City, State Capital", "describe": "\nSeven horizontal bands alternating white and red with black bands between each white and red band. In the center a vertical black band with three castles.", "isnew": ".", "links": "https://en.m.wikipedia.org/wiki/Jo%C3%A3o_Pessoa,_Para%C3%ADba"},</v>
      </c>
      <c r="HO31" s="71">
        <v>45610</v>
      </c>
      <c r="HP31" s="44" t="str" cm="1">
        <f t="array" ref="HP31">IF(_xlfn.TEXTJOIN(", ", TRUE, IF(ISNUMBER(SEARCH("BLA", BL31:BT31)), COLUMN(BL31:BT31) - COLUMN(BL31) + 1, ""))&lt;&gt;"","BLA","")</f>
        <v>BLA</v>
      </c>
      <c r="HQ31" s="44" t="str" cm="1">
        <f t="array" ref="HQ31">IF(_xlfn.TEXTJOIN(", ", TRUE, IF(ISNUMBER(SEARCH("BLU", BL31:BT31)), COLUMN(BL31:BT31) - COLUMN(BL31) + 1, ""))&lt;&gt;"","BLU","")</f>
        <v/>
      </c>
      <c r="HR31" s="44" t="str" cm="1">
        <f t="array" ref="HR31">IF(_xlfn.TEXTJOIN(", ", TRUE, IF(ISNUMBER(SEARCH("GRE", BL31:BT31)), COLUMN(BL31:BT31) - COLUMN(BL31) + 1, ""))&lt;&gt;"","GRE","")</f>
        <v/>
      </c>
      <c r="HS31" s="44" t="str" cm="1">
        <f t="array" ref="HS31">IF(_xlfn.TEXTJOIN(", ", TRUE, IF(ISNUMBER(SEARCH("RED", BL31:BT31)), COLUMN(BL31:BT31) - COLUMN(BL31) + 1, ""))&lt;&gt;"","RED","")</f>
        <v>RED</v>
      </c>
      <c r="HT31" s="44" t="str" cm="1">
        <f t="array" ref="HT31">IF(_xlfn.TEXTJOIN(", ", TRUE, IF(ISNUMBER(SEARCH("YEL", BL31:BT31)), COLUMN(BL31:BT31) - COLUMN(BL31) + 1, ""))&lt;&gt;"","YEL","")</f>
        <v/>
      </c>
      <c r="HU31" s="44" t="str" cm="1">
        <f t="array" ref="HU31">IF(_xlfn.TEXTJOIN(", ", TRUE, IF(ISNUMBER(SEARCH("ORA", BL31:BT31)), COLUMN(BL31:BT31) - COLUMN(BL31) + 1, ""))&lt;&gt;"","ORA","")</f>
        <v/>
      </c>
      <c r="HV31" s="44" t="str" cm="1">
        <f t="array" ref="HV31">IF(_xlfn.TEXTJOIN(", ", TRUE, IF(ISNUMBER(SEARCH("BRO", BL31:BT31)), COLUMN(BL31:BT31) - COLUMN(BL31) + 1, ""))&lt;&gt;"","BRO","")</f>
        <v/>
      </c>
      <c r="HW31" s="44" t="str" cm="1">
        <f t="array" ref="HW31">IF(_xlfn.TEXTJOIN(", ", TRUE, IF(ISNUMBER(SEARCH("PUR", BL31:BT31)), COLUMN(BL31:BT31) - COLUMN(BL31) + 1, ""))&lt;&gt;"","PUR","")</f>
        <v/>
      </c>
      <c r="HX31" s="44" t="str" cm="1">
        <f t="array" ref="HX31">IF(_xlfn.TEXTJOIN(", ", TRUE, IF(ISNUMBER(SEARCH("WHI", BL31:BT31)), COLUMN(BL31:BT31) - COLUMN(BL31) + 1, ""))&lt;&gt;"","WHI","")</f>
        <v>WHI</v>
      </c>
      <c r="HY31" s="72"/>
      <c r="HZ31" s="72"/>
      <c r="IA31" s="5"/>
      <c r="IB31" s="5"/>
      <c r="IC31" s="68"/>
      <c r="ID31" s="68"/>
      <c r="IE31" s="68"/>
      <c r="IF31" s="68"/>
      <c r="IG31" s="68"/>
      <c r="IH31" s="68"/>
      <c r="II31" s="68"/>
      <c r="IJ31" s="68"/>
      <c r="IK31" s="68"/>
      <c r="IM31" s="42">
        <f t="shared" si="133"/>
        <v>-3</v>
      </c>
      <c r="IN31" s="69" t="str">
        <f t="shared" si="134"/>
        <v>http://mkweb.bcgsc.ca/color-summarizer/?url=https://upload.wikimedia.org/wikipedia/commons/thumb/d/d9/Bandeira_de_Jo%C3%A3o_Pessoa.svg/640px-Bandeira_de_Jo%C3%A3o_Pessoa.svg.png&amp;precision=low&amp;num_clusters=3&amp;text=1</v>
      </c>
      <c r="IO31" s="44" t="str">
        <f t="shared" si="135"/>
        <v>"black"</v>
      </c>
      <c r="IP31" s="44" t="str">
        <f t="shared" si="136"/>
        <v/>
      </c>
      <c r="IQ31" s="44" t="str">
        <f t="shared" si="137"/>
        <v/>
      </c>
      <c r="IR31" s="44" t="str">
        <f t="shared" si="138"/>
        <v>"red"</v>
      </c>
      <c r="IS31" s="44" t="str">
        <f t="shared" si="139"/>
        <v/>
      </c>
      <c r="IT31" s="44" t="str">
        <f t="shared" si="140"/>
        <v/>
      </c>
      <c r="IU31" s="44" t="str">
        <f t="shared" si="141"/>
        <v/>
      </c>
      <c r="IV31" s="44" t="str">
        <f t="shared" si="142"/>
        <v/>
      </c>
      <c r="IW31" s="44" t="str">
        <f t="shared" si="143"/>
        <v>"white"</v>
      </c>
      <c r="IX31" s="44" t="str">
        <f t="shared" si="144"/>
        <v>{"url":"http://mkweb.bcgsc.ca/color-summarizer/?url=https://upload.wikimedia.org/wikipedia/commons/thumb/d/d9/Bandeira_de_Jo%C3%A3o_Pessoa.svg/640px-Bandeira_de_Jo%C3%A3o_Pessoa.svg.png&amp;precision=low&amp;num_clusters=3&amp;text=1","name":"[BRA] Joao Pessoa"},</v>
      </c>
      <c r="IY31" s="44">
        <v>1254</v>
      </c>
    </row>
    <row r="32" spans="1:259" s="44" customFormat="1" ht="38.4" customHeight="1" thickBot="1" x14ac:dyDescent="0.35">
      <c r="A32" s="85" t="s">
        <v>662</v>
      </c>
      <c r="B32" s="83" t="e" vm="54">
        <v>#VALUE!</v>
      </c>
      <c r="C32" s="39">
        <v>3</v>
      </c>
      <c r="D32" s="70" t="s">
        <v>663</v>
      </c>
      <c r="E32" s="40" t="s">
        <v>664</v>
      </c>
      <c r="F32" s="41" t="s">
        <v>163</v>
      </c>
      <c r="G32" s="42">
        <f t="shared" si="0"/>
        <v>1</v>
      </c>
      <c r="H32" s="43" t="s">
        <v>410</v>
      </c>
      <c r="I32" s="59" t="s">
        <v>665</v>
      </c>
      <c r="J32" s="44" t="str">
        <f>""</f>
        <v/>
      </c>
      <c r="K32" s="45"/>
      <c r="L32" s="46"/>
      <c r="M32" s="46"/>
      <c r="N32" s="47" t="s">
        <v>177</v>
      </c>
      <c r="O32" s="74">
        <v>1908</v>
      </c>
      <c r="P32" s="48" t="s">
        <v>666</v>
      </c>
      <c r="Q32" s="73">
        <v>4</v>
      </c>
      <c r="R32" s="49" t="s">
        <v>177</v>
      </c>
      <c r="S32" s="50">
        <v>2</v>
      </c>
      <c r="T32" s="51" t="s">
        <v>165</v>
      </c>
      <c r="U32" s="52" t="s">
        <v>165</v>
      </c>
      <c r="V32" s="52" t="s">
        <v>164</v>
      </c>
      <c r="W32" s="52" t="s">
        <v>164</v>
      </c>
      <c r="X32" s="52" t="s">
        <v>165</v>
      </c>
      <c r="Y32" s="52" t="s">
        <v>165</v>
      </c>
      <c r="Z32" s="52" t="s">
        <v>164</v>
      </c>
      <c r="AA32" s="52" t="s">
        <v>164</v>
      </c>
      <c r="AB32" s="52" t="s">
        <v>164</v>
      </c>
      <c r="AC32" s="52" t="s">
        <v>165</v>
      </c>
      <c r="AD32" s="52" t="s">
        <v>164</v>
      </c>
      <c r="AE32" s="52" t="s">
        <v>164</v>
      </c>
      <c r="AF32" s="53" t="s">
        <v>164</v>
      </c>
      <c r="AG32" s="53" t="s">
        <v>165</v>
      </c>
      <c r="AH32" s="53" t="s">
        <v>165</v>
      </c>
      <c r="AI32" s="53" t="s">
        <v>164</v>
      </c>
      <c r="AJ32" s="53" t="s">
        <v>164</v>
      </c>
      <c r="AK32" s="53" t="s">
        <v>164</v>
      </c>
      <c r="AL32" s="53" t="s">
        <v>164</v>
      </c>
      <c r="AM32" s="53" t="s">
        <v>164</v>
      </c>
      <c r="AN32" s="53" t="s">
        <v>164</v>
      </c>
      <c r="AO32" s="53" t="s">
        <v>165</v>
      </c>
      <c r="AP32" s="53" t="s">
        <v>164</v>
      </c>
      <c r="AQ32" s="53" t="s">
        <v>164</v>
      </c>
      <c r="AR32" s="53" t="s">
        <v>164</v>
      </c>
      <c r="AS32" s="53" t="s">
        <v>164</v>
      </c>
      <c r="AT32" s="54">
        <v>0</v>
      </c>
      <c r="AU32" s="53" t="s">
        <v>661</v>
      </c>
      <c r="AV32" s="53" t="str">
        <f t="shared" si="1"/>
        <v>[BRA]City, State Capital[BRA] Rio de Janeiro (City)</v>
      </c>
      <c r="AW32" s="53" t="str">
        <f t="shared" si="2"/>
        <v>3[BRA] Rio de Janeiro (State)[BRA] Rio de Janeiro (City)</v>
      </c>
      <c r="AX32" s="55"/>
      <c r="AY32" s="55"/>
      <c r="AZ32" s="56" t="s">
        <v>234</v>
      </c>
      <c r="BA32" s="56" t="s">
        <v>234</v>
      </c>
      <c r="BB32" s="56"/>
      <c r="BC32" s="57"/>
      <c r="BD32" s="58" t="s">
        <v>159</v>
      </c>
      <c r="BE32" s="59"/>
      <c r="BF32" s="58"/>
      <c r="BG32" s="58" t="s">
        <v>234</v>
      </c>
      <c r="BH32" s="58"/>
      <c r="BI32" s="58"/>
      <c r="BJ32" s="58"/>
      <c r="BK32" s="59"/>
      <c r="BL32" s="58" t="s">
        <v>151</v>
      </c>
      <c r="BM32" s="58" t="s">
        <v>152</v>
      </c>
      <c r="BN32" s="58" t="s">
        <v>234</v>
      </c>
      <c r="BO32" s="58" t="s">
        <v>154</v>
      </c>
      <c r="BP32" s="58" t="s">
        <v>234</v>
      </c>
      <c r="BQ32" s="58" t="s">
        <v>234</v>
      </c>
      <c r="BR32" s="58" t="s">
        <v>234</v>
      </c>
      <c r="BS32" s="58" t="s">
        <v>234</v>
      </c>
      <c r="BT32" s="58" t="s">
        <v>159</v>
      </c>
      <c r="BU32" s="60"/>
      <c r="BV32" s="61"/>
      <c r="BW32" s="61">
        <v>0</v>
      </c>
      <c r="BX32" s="59"/>
      <c r="BY32" s="44" t="s">
        <v>165</v>
      </c>
      <c r="CB32" s="5"/>
      <c r="CC32" s="5"/>
      <c r="CD32" s="62">
        <v>0</v>
      </c>
      <c r="CE32" s="62">
        <v>0</v>
      </c>
      <c r="CF32" s="62" t="e">
        <v>#REF!</v>
      </c>
      <c r="CG32" s="75" cm="1">
        <f t="array" ref="CG32">SUMPRODUCT(--(LEN(TRIM(BL32:BT32))&gt;0))</f>
        <v>4</v>
      </c>
      <c r="CH32" s="53" t="str">
        <f t="shared" si="3"/>
        <v>n</v>
      </c>
      <c r="CI32" s="53" t="str">
        <f t="shared" si="4"/>
        <v>n</v>
      </c>
      <c r="CJ32" s="53" t="str">
        <f t="shared" si="5"/>
        <v>y</v>
      </c>
      <c r="CK32" s="53" t="str">
        <f t="shared" si="6"/>
        <v>n</v>
      </c>
      <c r="CL32" s="53" t="str">
        <f t="shared" si="7"/>
        <v>n</v>
      </c>
      <c r="CM32" s="53" t="str">
        <f t="shared" si="8"/>
        <v>y</v>
      </c>
      <c r="CN32" s="53" t="str">
        <f t="shared" si="9"/>
        <v>n</v>
      </c>
      <c r="CO32" s="53" t="str">
        <f t="shared" si="10"/>
        <v>n</v>
      </c>
      <c r="CP32" s="53" t="str">
        <f t="shared" si="11"/>
        <v>y</v>
      </c>
      <c r="CQ32" s="53" t="str">
        <f t="shared" si="12"/>
        <v>n</v>
      </c>
      <c r="CR32" s="53" t="str">
        <f t="shared" si="13"/>
        <v>n</v>
      </c>
      <c r="CS32" s="53" t="str">
        <f t="shared" si="14"/>
        <v>n</v>
      </c>
      <c r="CT32" s="38" t="str">
        <f t="shared" si="15"/>
        <v>"[BRA] Rio de Janeiro (City)"</v>
      </c>
      <c r="CU32" s="63" t="str">
        <f t="shared" si="16"/>
        <v>"rgn_South America"</v>
      </c>
      <c r="CV32" s="44" t="str">
        <f t="shared" si="17"/>
        <v>"https://upload.wikimedia.org/wikipedia/commons/thumb/a/a9/Bandeira_da_cidade_do_Rio_de_Janeiro.svg/640px-Bandeira_da_cidade_do_Rio_de_Janeiro.svg.png"</v>
      </c>
      <c r="CW32" s="44" t="str">
        <f t="shared" si="18"/>
        <v/>
      </c>
      <c r="CX32" s="44" t="str">
        <f t="shared" si="19"/>
        <v/>
      </c>
      <c r="CY32" s="44" t="str">
        <f t="shared" si="20"/>
        <v>"4Color",</v>
      </c>
      <c r="CZ32" s="44" t="str">
        <f t="shared" si="21"/>
        <v/>
      </c>
      <c r="DA32" s="44" t="str">
        <f t="shared" si="22"/>
        <v>"words2",</v>
      </c>
      <c r="DB32" s="44" t="str">
        <f t="shared" si="23"/>
        <v>"words3",</v>
      </c>
      <c r="DD32" s="44" t="str">
        <f>IF(LEN(CHAR(34)&amp;"lets"&amp;LEN(SUBSTITUTE(SUBSTITUTE(IFERROR(TRIM(SUBSTITUTE(A32,MID(A32,FIND("[",A32),FIND("]",A32)-FIND("[",A32)+1),"")),A32)," ",""),"-",""))&amp;CHAR(34)&amp;",")=9,CHAR(34)&amp;"lets"&amp;LEN(SUBSTITUTE(SUBSTITUTE(IFERROR(TRIM(SUBSTITUTE(A32,MID(A32,FIND("[",A32),FIND("]",A32)-FIND("[",A32)+1),"")),A32)," ",""),"-",""))&amp;CHAR(34)&amp;",",CHAR(34)&amp;"lets0"&amp;LEN(SUBSTITUTE(SUBSTITUTE(IFERROR(TRIM(SUBSTITUTE(A32,MID(A32,FIND("[",A32),FIND("]",A32)-FIND("[",A32)+1),"")),A32)," ",""),"-",""))&amp;CHAR(34)&amp;",")</f>
        <v>"lets18",</v>
      </c>
      <c r="DE32" s="44" t="str">
        <f>CHAR(34)&amp;"start"&amp;IFERROR(LEFT(SUBSTITUTE(A32,"["&amp;MID(A32,FIND("[",A32)+1,FIND("]",A32)-FIND("[",A32)-1)&amp;"] ",""),1),LEFT(A32,1))&amp;CHAR(34)&amp;","</f>
        <v>"startR",</v>
      </c>
      <c r="DF32" s="44" t="str">
        <f t="shared" si="27"/>
        <v/>
      </c>
      <c r="DG32" s="44" t="str">
        <f t="shared" si="28"/>
        <v/>
      </c>
      <c r="DH32" s="44" t="str">
        <f t="shared" si="29"/>
        <v/>
      </c>
      <c r="DI32" s="44" t="str">
        <f t="shared" si="30"/>
        <v/>
      </c>
      <c r="DJ32" s="44" t="str">
        <f t="shared" si="31"/>
        <v>"with_y",</v>
      </c>
      <c r="DK32" s="44" t="str">
        <f t="shared" si="32"/>
        <v/>
      </c>
      <c r="DL32" s="44" t="str">
        <f t="shared" si="33"/>
        <v/>
      </c>
      <c r="DM32" s="44" t="str" cm="1">
        <f t="array" ref="DM32">IF(CG32=3,CHAR(34) &amp; _xlfn.TEXTJOIN("", TRUE, RIGHT(HP32:HX32, 2)) &amp; CHAR(34) &amp; ",", "")</f>
        <v/>
      </c>
      <c r="DN32" s="44" t="str">
        <f t="shared" si="34"/>
        <v/>
      </c>
      <c r="DO32" s="44" t="str">
        <f t="shared" si="35"/>
        <v>"year19",</v>
      </c>
      <c r="DP32" s="5" t="str">
        <f t="shared" si="36"/>
        <v/>
      </c>
      <c r="DQ32" s="5" t="str">
        <f t="shared" si="37"/>
        <v/>
      </c>
      <c r="DR32" s="5" t="str">
        <f t="shared" si="38"/>
        <v>"dgband",</v>
      </c>
      <c r="DS32" s="5" t="str">
        <f t="shared" si="39"/>
        <v/>
      </c>
      <c r="DT32" s="5" t="str">
        <f t="shared" si="40"/>
        <v/>
      </c>
      <c r="DU32" s="5" t="str">
        <f t="shared" si="41"/>
        <v>"alldia",</v>
      </c>
      <c r="DW32" s="44" t="str">
        <f t="shared" si="43"/>
        <v/>
      </c>
      <c r="DX32" s="44" t="str">
        <f t="shared" si="44"/>
        <v>"2Bands",</v>
      </c>
      <c r="DY32" s="44" t="str">
        <f t="shared" si="45"/>
        <v/>
      </c>
      <c r="DZ32" s="44" t="str">
        <f t="shared" si="46"/>
        <v/>
      </c>
      <c r="EA32" s="44" t="str">
        <f t="shared" si="47"/>
        <v>"Diagon",</v>
      </c>
      <c r="EB32" s="44" t="str">
        <f t="shared" si="48"/>
        <v>"Crosse",</v>
      </c>
      <c r="EC32" s="44" t="str">
        <f t="shared" si="49"/>
        <v/>
      </c>
      <c r="ED32" s="44" t="str">
        <f t="shared" si="50"/>
        <v/>
      </c>
      <c r="EE32" s="44" t="str">
        <f t="shared" si="51"/>
        <v>"Circle",</v>
      </c>
      <c r="EF32" s="44" t="str">
        <f t="shared" si="52"/>
        <v>"Animal",</v>
      </c>
      <c r="EG32" s="44" t="str">
        <f t="shared" si="53"/>
        <v/>
      </c>
      <c r="EH32" s="44" t="str">
        <f t="shared" si="54"/>
        <v/>
      </c>
      <c r="EI32" s="44" t="str">
        <f t="shared" si="55"/>
        <v/>
      </c>
      <c r="EJ32" s="44" t="str">
        <f t="shared" si="56"/>
        <v>"Weapon",</v>
      </c>
      <c r="EK32" s="44" t="str">
        <f t="shared" si="57"/>
        <v/>
      </c>
      <c r="EL32" s="44" t="str">
        <f t="shared" si="58"/>
        <v/>
      </c>
      <c r="EM32" s="44" t="str">
        <f t="shared" si="59"/>
        <v/>
      </c>
      <c r="EN32" s="44" t="str">
        <f t="shared" si="60"/>
        <v>"Unequa",</v>
      </c>
      <c r="EO32" s="44" t="str">
        <f t="shared" si="61"/>
        <v>"Center",</v>
      </c>
      <c r="EP32" s="44" t="str">
        <f t="shared" si="62"/>
        <v/>
      </c>
      <c r="EQ32" s="44" t="str">
        <f t="shared" si="63"/>
        <v/>
      </c>
      <c r="ER32" s="44" t="str">
        <f t="shared" si="64"/>
        <v/>
      </c>
      <c r="ES32" s="44" t="str">
        <f t="shared" si="65"/>
        <v/>
      </c>
      <c r="ET32" s="44" t="str">
        <f t="shared" si="66"/>
        <v/>
      </c>
      <c r="EU32" s="44" t="str">
        <f t="shared" si="67"/>
        <v/>
      </c>
      <c r="EV32" s="44" t="str">
        <f t="shared" si="68"/>
        <v>"Builds",</v>
      </c>
      <c r="EW32" s="44" t="str">
        <f t="shared" si="69"/>
        <v/>
      </c>
      <c r="EX32" s="44" t="str">
        <f t="shared" si="70"/>
        <v/>
      </c>
      <c r="EY32" s="44" t="str">
        <f t="shared" si="71"/>
        <v/>
      </c>
      <c r="EZ32" s="44" t="str">
        <f t="shared" si="72"/>
        <v/>
      </c>
      <c r="FA32" s="44" t="str">
        <f t="shared" si="73"/>
        <v/>
      </c>
      <c r="FB32" s="44" t="str">
        <f t="shared" si="74"/>
        <v/>
      </c>
      <c r="FD32" s="44" t="str">
        <f t="shared" si="76"/>
        <v/>
      </c>
      <c r="FE32" s="44" t="str">
        <f t="shared" si="77"/>
        <v/>
      </c>
      <c r="FF32" s="44" t="str">
        <f t="shared" si="78"/>
        <v/>
      </c>
      <c r="FG32" s="44" t="str">
        <f t="shared" si="79"/>
        <v/>
      </c>
      <c r="FH32" s="44" t="str">
        <f t="shared" si="80"/>
        <v>"NO_GRE",</v>
      </c>
      <c r="FI32" s="44" t="str">
        <f t="shared" si="81"/>
        <v>"NO_YEL",</v>
      </c>
      <c r="FJ32" s="44" t="str">
        <f t="shared" si="82"/>
        <v/>
      </c>
      <c r="FK32" s="44" t="str">
        <f t="shared" si="83"/>
        <v/>
      </c>
      <c r="FL32" s="44" t="str">
        <f t="shared" si="84"/>
        <v/>
      </c>
      <c r="FM32" s="44" t="str">
        <f t="shared" si="85"/>
        <v/>
      </c>
      <c r="FN32" s="44" t="str">
        <f t="shared" si="86"/>
        <v/>
      </c>
      <c r="FO32" s="44" t="str">
        <f t="shared" si="87"/>
        <v/>
      </c>
      <c r="FP32" s="44" t="str">
        <f t="shared" si="88"/>
        <v/>
      </c>
      <c r="FQ32" s="44" t="str">
        <f t="shared" si="89"/>
        <v/>
      </c>
      <c r="FR32" s="44" t="str">
        <f t="shared" si="90"/>
        <v/>
      </c>
      <c r="FS32" s="44" t="str">
        <f t="shared" si="91"/>
        <v/>
      </c>
      <c r="FT32" s="44" t="str">
        <f t="shared" si="92"/>
        <v>"myrWHI",</v>
      </c>
      <c r="FU32" s="44" t="str">
        <f t="shared" si="93"/>
        <v/>
      </c>
      <c r="FV32" s="44" t="str">
        <f t="shared" si="94"/>
        <v/>
      </c>
      <c r="FW32" s="44" t="str">
        <f t="shared" si="95"/>
        <v/>
      </c>
      <c r="FY32" s="44" t="str">
        <f t="shared" si="97"/>
        <v/>
      </c>
      <c r="FZ32" s="44" t="str">
        <f t="shared" si="98"/>
        <v/>
      </c>
      <c r="GA32" s="44" t="str">
        <f t="shared" si="99"/>
        <v/>
      </c>
      <c r="GB32" s="44" t="str">
        <f t="shared" si="100"/>
        <v/>
      </c>
      <c r="GE32" s="44" t="str">
        <f t="shared" si="103"/>
        <v/>
      </c>
      <c r="GF32" s="44" t="str">
        <f t="shared" si="145"/>
        <v/>
      </c>
      <c r="GG32" s="44" t="str">
        <f t="shared" si="104"/>
        <v/>
      </c>
      <c r="GH32" s="44" t="str">
        <f t="shared" si="105"/>
        <v/>
      </c>
      <c r="GI32" s="44" t="str">
        <f t="shared" si="106"/>
        <v/>
      </c>
      <c r="GJ32" s="44" t="str">
        <f t="shared" si="107"/>
        <v>"NoStar",</v>
      </c>
      <c r="GK32" s="44" t="str">
        <f t="shared" si="108"/>
        <v/>
      </c>
      <c r="GL32" s="44" t="str">
        <f t="shared" si="109"/>
        <v/>
      </c>
      <c r="GM32" s="44" t="str">
        <f t="shared" si="110"/>
        <v/>
      </c>
      <c r="GN32" s="44" t="str">
        <f t="shared" si="111"/>
        <v/>
      </c>
      <c r="GP32" s="44" t="str">
        <f t="shared" si="112"/>
        <v>"City, State Capital"</v>
      </c>
      <c r="GS32" s="44" t="str">
        <f t="shared" si="113"/>
        <v>["4Color","words2","words3","lets18","startR","with_y","year19","dgband","alldia","2Bands","Diagon","Crosse","Circle","Animal","Weapon","Unequa","Center","Builds","NO_GRE","NO_YEL","myrWHI","NoStar"]</v>
      </c>
      <c r="GT32" s="44" t="str">
        <f t="shared" si="114"/>
        <v>"cl_BLA",</v>
      </c>
      <c r="GU32" s="44" t="str">
        <f t="shared" si="115"/>
        <v>"cl_BLU",</v>
      </c>
      <c r="GV32" s="44" t="str">
        <f t="shared" si="116"/>
        <v/>
      </c>
      <c r="GW32" s="44" t="str">
        <f t="shared" si="117"/>
        <v>"cl_RED",</v>
      </c>
      <c r="GX32" s="44" t="str">
        <f t="shared" si="118"/>
        <v/>
      </c>
      <c r="GY32" s="44" t="str">
        <f t="shared" si="119"/>
        <v/>
      </c>
      <c r="GZ32" s="44" t="str">
        <f t="shared" si="120"/>
        <v/>
      </c>
      <c r="HA32" s="44" t="str">
        <f t="shared" si="121"/>
        <v/>
      </c>
      <c r="HB32" s="44" t="str">
        <f t="shared" si="122"/>
        <v>"cl_WHI",</v>
      </c>
      <c r="HC32" s="44" t="str">
        <f t="shared" si="123"/>
        <v>["cl_BLA","cl_BLU","cl_RED","cl_WHI"]</v>
      </c>
      <c r="HE32" s="64"/>
      <c r="HF32" s="65" t="str">
        <f t="shared" si="124"/>
        <v>{couname:"[BRA] Rio de Janeiro (City)",year:"1908",region:"rgn_South America",Colors:["cl_BLA","cl_BLU","cl_RED","cl_WHI"],Items:["4Color","words2","words3","lets18","startR","with_y","year19","dgband","alldia","2Bands","Diagon","Crosse","Circle","Animal","Weapon","Unequa","Center","Builds","NO_GRE","NO_YEL","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links: "https://en.m.wikipedia.org/wiki/Flag_of_Rio_de_Janeiro"},</v>
      </c>
      <c r="HG32" s="66" t="str">
        <f t="shared" si="125"/>
        <v>{couname:"[BRA] Rio de Janeiro (City)",year:"1908",region:"rgn_South America",Colors:["cl_BLA","cl_BLU","cl_RED","cl_WHI"],Items:["4Color","words2","words3","lets18","startR","with_y","year19","dgband","alldia","2Bands","Diagon","Crosse","Circle","Animal","Weapon","Unequa","Center","Builds","NO_GRE","NO_YEL","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links: "https://en.m.wikipedia.org/wiki/Flag_of_Rio_de_Janeiro"},</v>
      </c>
      <c r="HH32" s="44" t="str">
        <f t="shared" si="126"/>
        <v>"\nA white rectangle with a blue saltire behind the city's coat of arms displayed red in the center"</v>
      </c>
      <c r="HI32" s="44" t="str">
        <f t="shared" si="127"/>
        <v>"\nA white rectangle with a blue saltire behind the city's coat of arms displayed red in the center"</v>
      </c>
      <c r="HJ32" s="44" t="str">
        <f t="shared" si="128"/>
        <v>"1908"</v>
      </c>
      <c r="HL32" s="44" t="str">
        <f t="shared" si="129"/>
        <v>"https://en.m.wikipedia.org/wiki/Flag_of_Rio_de_Janeiro"</v>
      </c>
      <c r="HM32" s="65" t="str">
        <f t="shared" si="130"/>
        <v>{"couname":"[BRA] Rio de Janeiro (City)","subtype":"[BRA] Rio de Janeiro (State)","year":"1908","region":"rgn_South America","Colors":["cl_BLA","cl_BLU","cl_RED","cl_WHI"],"Items":["4Color","words2","words3","lets18","startR","with_y","year19","dgband","alldia","2Bands","Diagon","Crosse","Circle","Animal","Weapon","Unequa","Center","Builds","NO_GRE","NO_YEL","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N32" s="67" t="str">
        <f t="shared" si="131"/>
        <v>{"couname":"[BRA] Rio de Janeiro (City)","subtype":"[BRA] Rio de Janeiro (State)","year":"1908","region":"rgn_South America","Colors":["cl_BLA","cl_BLU","cl_RED","cl_WHI"],"Items":["4Color","words2","words3","lets18","startR","with_y","year19","dgband","alldia","2Bands","Diagon","Crosse","Circle","Animal","Weapon","Unequa","Center","Builds","NO_GRE","NO_YEL","myrWHI","NoStar"],"Flag":"https://upload.wikimedia.org/wikipedia/commons/thumb/a/a9/Bandeira_da_cidade_do_Rio_de_Janeiro.svg/640px-Bandeira_da_cidade_do_Rio_de_Janeiro.svg.png","HDFlag":"https://upload.wikimedia.org/wikipedia/commons/thumb/a/a9/Bandeira_da_cidade_do_Rio_de_Janeiro.svg/1280px-Bandeira_da_cidade_do_Rio_de_Janeiro.svg.png","type":"City, State Capital", "describe": "\nA white rectangle with a blue saltire behind the city's coat of arms displayed red in the center", "isnew": ".", "links": "https://en.m.wikipedia.org/wiki/Flag_of_Rio_de_Janeiro"},</v>
      </c>
      <c r="HO32" s="71">
        <v>45610</v>
      </c>
      <c r="HP32" s="44" t="str" cm="1">
        <f t="array" ref="HP32">IF(_xlfn.TEXTJOIN(", ", TRUE, IF(ISNUMBER(SEARCH("BLA", BL32:BT32)), COLUMN(BL32:BT32) - COLUMN(BL32) + 1, ""))&lt;&gt;"","BLA","")</f>
        <v>BLA</v>
      </c>
      <c r="HQ32" s="44" t="str" cm="1">
        <f t="array" ref="HQ32">IF(_xlfn.TEXTJOIN(", ", TRUE, IF(ISNUMBER(SEARCH("BLU", BL32:BT32)), COLUMN(BL32:BT32) - COLUMN(BL32) + 1, ""))&lt;&gt;"","BLU","")</f>
        <v>BLU</v>
      </c>
      <c r="HR32" s="44" t="str" cm="1">
        <f t="array" ref="HR32">IF(_xlfn.TEXTJOIN(", ", TRUE, IF(ISNUMBER(SEARCH("GRE", BL32:BT32)), COLUMN(BL32:BT32) - COLUMN(BL32) + 1, ""))&lt;&gt;"","GRE","")</f>
        <v/>
      </c>
      <c r="HS32" s="44" t="str" cm="1">
        <f t="array" ref="HS32">IF(_xlfn.TEXTJOIN(", ", TRUE, IF(ISNUMBER(SEARCH("RED", BL32:BT32)), COLUMN(BL32:BT32) - COLUMN(BL32) + 1, ""))&lt;&gt;"","RED","")</f>
        <v>RED</v>
      </c>
      <c r="HT32" s="44" t="str" cm="1">
        <f t="array" ref="HT32">IF(_xlfn.TEXTJOIN(", ", TRUE, IF(ISNUMBER(SEARCH("YEL", BL32:BT32)), COLUMN(BL32:BT32) - COLUMN(BL32) + 1, ""))&lt;&gt;"","YEL","")</f>
        <v/>
      </c>
      <c r="HU32" s="44" t="str" cm="1">
        <f t="array" ref="HU32">IF(_xlfn.TEXTJOIN(", ", TRUE, IF(ISNUMBER(SEARCH("ORA", BL32:BT32)), COLUMN(BL32:BT32) - COLUMN(BL32) + 1, ""))&lt;&gt;"","ORA","")</f>
        <v/>
      </c>
      <c r="HV32" s="44" t="str" cm="1">
        <f t="array" ref="HV32">IF(_xlfn.TEXTJOIN(", ", TRUE, IF(ISNUMBER(SEARCH("BRO", BL32:BT32)), COLUMN(BL32:BT32) - COLUMN(BL32) + 1, ""))&lt;&gt;"","BRO","")</f>
        <v/>
      </c>
      <c r="HW32" s="44" t="str" cm="1">
        <f t="array" ref="HW32">IF(_xlfn.TEXTJOIN(", ", TRUE, IF(ISNUMBER(SEARCH("PUR", BL32:BT32)), COLUMN(BL32:BT32) - COLUMN(BL32) + 1, ""))&lt;&gt;"","PUR","")</f>
        <v/>
      </c>
      <c r="HX32" s="44" t="str" cm="1">
        <f t="array" ref="HX32">IF(_xlfn.TEXTJOIN(", ", TRUE, IF(ISNUMBER(SEARCH("WHI", BL32:BT32)), COLUMN(BL32:BT32) - COLUMN(BL32) + 1, ""))&lt;&gt;"","WHI","")</f>
        <v>WHI</v>
      </c>
      <c r="HY32" s="72"/>
      <c r="HZ32" s="72"/>
      <c r="IA32" s="5"/>
      <c r="IB32" s="5"/>
      <c r="IC32" s="68"/>
      <c r="ID32" s="68"/>
      <c r="IE32" s="68"/>
      <c r="IF32" s="68"/>
      <c r="IG32" s="68"/>
      <c r="IH32" s="68"/>
      <c r="II32" s="68"/>
      <c r="IJ32" s="68"/>
      <c r="IK32" s="68"/>
      <c r="IM32" s="42">
        <f t="shared" si="133"/>
        <v>-4</v>
      </c>
      <c r="IN32" s="69" t="str">
        <f t="shared" si="134"/>
        <v>http://mkweb.bcgsc.ca/color-summarizer/?url=https://upload.wikimedia.org/wikipedia/commons/thumb/a/a9/Bandeira_da_cidade_do_Rio_de_Janeiro.svg/640px-Bandeira_da_cidade_do_Rio_de_Janeiro.svg.png&amp;precision=low&amp;num_clusters=4&amp;text=1</v>
      </c>
      <c r="IO32" s="44" t="str">
        <f t="shared" si="135"/>
        <v>"black"</v>
      </c>
      <c r="IP32" s="44" t="str">
        <f t="shared" si="136"/>
        <v>"blue"</v>
      </c>
      <c r="IQ32" s="44" t="str">
        <f t="shared" si="137"/>
        <v/>
      </c>
      <c r="IR32" s="44" t="str">
        <f t="shared" si="138"/>
        <v>"red"</v>
      </c>
      <c r="IS32" s="44" t="str">
        <f t="shared" si="139"/>
        <v/>
      </c>
      <c r="IT32" s="44" t="str">
        <f t="shared" si="140"/>
        <v/>
      </c>
      <c r="IU32" s="44" t="str">
        <f t="shared" si="141"/>
        <v/>
      </c>
      <c r="IV32" s="44" t="str">
        <f t="shared" si="142"/>
        <v/>
      </c>
      <c r="IW32" s="44" t="str">
        <f t="shared" si="143"/>
        <v>"white"</v>
      </c>
      <c r="IX32" s="44" t="str">
        <f t="shared" si="144"/>
        <v>{"url":"http://mkweb.bcgsc.ca/color-summarizer/?url=https://upload.wikimedia.org/wikipedia/commons/thumb/a/a9/Bandeira_da_cidade_do_Rio_de_Janeiro.svg/640px-Bandeira_da_cidade_do_Rio_de_Janeiro.svg.png&amp;precision=low&amp;num_clusters=4&amp;text=1","name":"[BRA] Rio de Janeiro (City)"},</v>
      </c>
      <c r="IY32" s="44">
        <v>1255</v>
      </c>
    </row>
    <row r="33" spans="1:259" s="44" customFormat="1" ht="38.4" customHeight="1" thickBot="1" x14ac:dyDescent="0.35">
      <c r="A33" s="85" t="s">
        <v>667</v>
      </c>
      <c r="B33" s="83" t="e" vm="55">
        <v>#VALUE!</v>
      </c>
      <c r="C33" s="39">
        <v>3</v>
      </c>
      <c r="D33" s="70" t="s">
        <v>668</v>
      </c>
      <c r="E33" s="40" t="s">
        <v>669</v>
      </c>
      <c r="F33" s="41" t="s">
        <v>163</v>
      </c>
      <c r="G33" s="42">
        <f t="shared" si="0"/>
        <v>1</v>
      </c>
      <c r="H33" s="43" t="s">
        <v>442</v>
      </c>
      <c r="I33" s="59" t="s">
        <v>670</v>
      </c>
      <c r="J33" s="44" t="str">
        <f>""</f>
        <v/>
      </c>
      <c r="K33" s="45"/>
      <c r="L33" s="46"/>
      <c r="M33" s="46"/>
      <c r="N33" s="47" t="s">
        <v>177</v>
      </c>
      <c r="O33" s="74">
        <v>1967</v>
      </c>
      <c r="P33" s="48" t="s">
        <v>671</v>
      </c>
      <c r="Q33" s="73">
        <v>3</v>
      </c>
      <c r="R33" s="49" t="s">
        <v>177</v>
      </c>
      <c r="S33" s="50">
        <v>2</v>
      </c>
      <c r="T33" s="51" t="s">
        <v>164</v>
      </c>
      <c r="U33" s="52" t="s">
        <v>165</v>
      </c>
      <c r="V33" s="52" t="s">
        <v>165</v>
      </c>
      <c r="W33" s="52" t="s">
        <v>165</v>
      </c>
      <c r="X33" s="52" t="s">
        <v>165</v>
      </c>
      <c r="Y33" s="52" t="s">
        <v>164</v>
      </c>
      <c r="Z33" s="52" t="s">
        <v>165</v>
      </c>
      <c r="AA33" s="52" t="s">
        <v>165</v>
      </c>
      <c r="AB33" s="52" t="s">
        <v>165</v>
      </c>
      <c r="AC33" s="52" t="s">
        <v>165</v>
      </c>
      <c r="AD33" s="52" t="s">
        <v>164</v>
      </c>
      <c r="AE33" s="52" t="s">
        <v>164</v>
      </c>
      <c r="AF33" s="53" t="s">
        <v>164</v>
      </c>
      <c r="AG33" s="53" t="s">
        <v>165</v>
      </c>
      <c r="AH33" s="53" t="s">
        <v>164</v>
      </c>
      <c r="AI33" s="53" t="s">
        <v>164</v>
      </c>
      <c r="AJ33" s="53" t="s">
        <v>165</v>
      </c>
      <c r="AK33" s="53" t="s">
        <v>164</v>
      </c>
      <c r="AL33" s="53" t="s">
        <v>164</v>
      </c>
      <c r="AM33" s="53" t="s">
        <v>164</v>
      </c>
      <c r="AN33" s="53" t="s">
        <v>165</v>
      </c>
      <c r="AO33" s="53" t="s">
        <v>165</v>
      </c>
      <c r="AP33" s="53" t="s">
        <v>164</v>
      </c>
      <c r="AQ33" s="53" t="s">
        <v>165</v>
      </c>
      <c r="AR33" s="53" t="s">
        <v>164</v>
      </c>
      <c r="AS33" s="53" t="s">
        <v>164</v>
      </c>
      <c r="AT33" s="54">
        <v>0</v>
      </c>
      <c r="AU33" s="53" t="s">
        <v>661</v>
      </c>
      <c r="AV33" s="53" t="str">
        <f t="shared" si="1"/>
        <v>[BRA]City, State Capital[BRA] Sao Paulo (City)</v>
      </c>
      <c r="AW33" s="53" t="str">
        <f t="shared" si="2"/>
        <v>3[BRA] Sao Paulo[BRA] Sao Paulo (City)</v>
      </c>
      <c r="AX33" s="55"/>
      <c r="AY33" s="55"/>
      <c r="AZ33" s="56" t="s">
        <v>234</v>
      </c>
      <c r="BA33" s="56" t="s">
        <v>234</v>
      </c>
      <c r="BB33" s="56"/>
      <c r="BC33" s="57"/>
      <c r="BD33" s="58" t="s">
        <v>159</v>
      </c>
      <c r="BE33" s="59"/>
      <c r="BF33" s="58"/>
      <c r="BG33" s="58" t="s">
        <v>234</v>
      </c>
      <c r="BH33" s="58"/>
      <c r="BI33" s="58"/>
      <c r="BJ33" s="58"/>
      <c r="BK33" s="59"/>
      <c r="BL33" s="58" t="s">
        <v>151</v>
      </c>
      <c r="BM33" s="58" t="s">
        <v>234</v>
      </c>
      <c r="BN33" s="58" t="s">
        <v>153</v>
      </c>
      <c r="BO33" s="58" t="s">
        <v>154</v>
      </c>
      <c r="BP33" s="58" t="s">
        <v>155</v>
      </c>
      <c r="BQ33" s="58" t="s">
        <v>234</v>
      </c>
      <c r="BR33" s="58" t="s">
        <v>234</v>
      </c>
      <c r="BS33" s="58" t="s">
        <v>234</v>
      </c>
      <c r="BT33" s="58" t="s">
        <v>159</v>
      </c>
      <c r="BU33" s="60"/>
      <c r="BV33" s="61"/>
      <c r="BW33" s="61">
        <v>0</v>
      </c>
      <c r="BX33" s="59"/>
      <c r="CB33" s="5"/>
      <c r="CC33" s="5"/>
      <c r="CD33" s="62">
        <v>0</v>
      </c>
      <c r="CE33" s="62">
        <v>0</v>
      </c>
      <c r="CF33" s="62" t="e">
        <v>#REF!</v>
      </c>
      <c r="CG33" s="75" cm="1">
        <f t="array" ref="CG33">SUMPRODUCT(--(LEN(TRIM(BL33:BT33))&gt;0))</f>
        <v>5</v>
      </c>
      <c r="CH33" s="53" t="str">
        <f t="shared" si="3"/>
        <v>n</v>
      </c>
      <c r="CI33" s="53" t="str">
        <f t="shared" si="4"/>
        <v>n</v>
      </c>
      <c r="CJ33" s="53" t="str">
        <f t="shared" si="5"/>
        <v>n</v>
      </c>
      <c r="CK33" s="53" t="str">
        <f t="shared" si="6"/>
        <v>y</v>
      </c>
      <c r="CL33" s="53" t="str">
        <f t="shared" si="7"/>
        <v>n</v>
      </c>
      <c r="CM33" s="53" t="str">
        <f t="shared" si="8"/>
        <v>y</v>
      </c>
      <c r="CN33" s="53" t="str">
        <f t="shared" si="9"/>
        <v>n</v>
      </c>
      <c r="CO33" s="53" t="str">
        <f t="shared" si="10"/>
        <v>n</v>
      </c>
      <c r="CP33" s="53" t="str">
        <f t="shared" si="11"/>
        <v>y</v>
      </c>
      <c r="CQ33" s="53" t="str">
        <f t="shared" si="12"/>
        <v>n</v>
      </c>
      <c r="CR33" s="53" t="str">
        <f t="shared" si="13"/>
        <v>n</v>
      </c>
      <c r="CS33" s="53" t="str">
        <f t="shared" si="14"/>
        <v>n</v>
      </c>
      <c r="CT33" s="38" t="str">
        <f t="shared" si="15"/>
        <v>"[BRA] Sao Paulo (City)"</v>
      </c>
      <c r="CU33" s="63" t="str">
        <f t="shared" si="16"/>
        <v>"rgn_South America"</v>
      </c>
      <c r="CV33" s="44" t="str">
        <f t="shared" si="17"/>
        <v>"https://upload.wikimedia.org/wikipedia/commons/thumb/4/4b/Bandeira_da_cidade_de_S%C3%A3o_Paulo.svg/640px-Bandeira_da_cidade_de_S%C3%A3o_Paulo.svg.png"</v>
      </c>
      <c r="CW33" s="44" t="str">
        <f t="shared" si="18"/>
        <v/>
      </c>
      <c r="CX33" s="44" t="str">
        <f t="shared" si="19"/>
        <v/>
      </c>
      <c r="CY33" s="44" t="str">
        <f t="shared" si="20"/>
        <v/>
      </c>
      <c r="CZ33" s="44" t="str">
        <f t="shared" si="21"/>
        <v>"5+Colo",</v>
      </c>
      <c r="DA33" s="44" t="str">
        <f t="shared" si="22"/>
        <v>"words2",</v>
      </c>
      <c r="DB33" s="44" t="str">
        <f t="shared" si="23"/>
        <v>"words3",</v>
      </c>
      <c r="DD33" s="44" t="str">
        <f>IF(LEN(CHAR(34)&amp;"lets"&amp;LEN(SUBSTITUTE(SUBSTITUTE(IFERROR(TRIM(SUBSTITUTE(A33,MID(A33,FIND("[",A33),FIND("]",A33)-FIND("[",A33)+1),"")),A33)," ",""),"-",""))&amp;CHAR(34)&amp;",")=9,CHAR(34)&amp;"lets"&amp;LEN(SUBSTITUTE(SUBSTITUTE(IFERROR(TRIM(SUBSTITUTE(A33,MID(A33,FIND("[",A33),FIND("]",A33)-FIND("[",A33)+1),"")),A33)," ",""),"-",""))&amp;CHAR(34)&amp;",",CHAR(34)&amp;"lets0"&amp;LEN(SUBSTITUTE(SUBSTITUTE(IFERROR(TRIM(SUBSTITUTE(A33,MID(A33,FIND("[",A33),FIND("]",A33)-FIND("[",A33)+1),"")),A33)," ",""),"-",""))&amp;CHAR(34)&amp;",")</f>
        <v>"lets14",</v>
      </c>
      <c r="DE33" s="44" t="str">
        <f>CHAR(34)&amp;"start"&amp;IFERROR(LEFT(SUBSTITUTE(A33,"["&amp;MID(A33,FIND("[",A33)+1,FIND("]",A33)-FIND("[",A33)-1)&amp;"] ",""),1),LEFT(A33,1))&amp;CHAR(34)&amp;","</f>
        <v>"startS",</v>
      </c>
      <c r="DF33" s="44" t="str">
        <f t="shared" si="27"/>
        <v/>
      </c>
      <c r="DG33" s="44" t="str">
        <f t="shared" si="28"/>
        <v/>
      </c>
      <c r="DH33" s="44" t="str">
        <f t="shared" si="29"/>
        <v/>
      </c>
      <c r="DI33" s="44" t="str">
        <f t="shared" si="30"/>
        <v/>
      </c>
      <c r="DJ33" s="44" t="str">
        <f t="shared" si="31"/>
        <v>"with_y",</v>
      </c>
      <c r="DK33" s="44" t="str">
        <f t="shared" si="32"/>
        <v/>
      </c>
      <c r="DL33" s="44" t="str">
        <f t="shared" si="33"/>
        <v/>
      </c>
      <c r="DM33" s="44" t="str" cm="1">
        <f t="array" ref="DM33">IF(CG33=3,CHAR(34) &amp; _xlfn.TEXTJOIN("", TRUE, RIGHT(HP33:HX33, 2)) &amp; CHAR(34) &amp; ",", "")</f>
        <v/>
      </c>
      <c r="DN33" s="44" t="str">
        <f t="shared" si="34"/>
        <v/>
      </c>
      <c r="DO33" s="44" t="str">
        <f t="shared" si="35"/>
        <v>"year19",</v>
      </c>
      <c r="DP33" s="5" t="str">
        <f t="shared" si="36"/>
        <v/>
      </c>
      <c r="DQ33" s="5" t="str">
        <f t="shared" si="37"/>
        <v/>
      </c>
      <c r="DR33" s="5" t="str">
        <f t="shared" si="38"/>
        <v/>
      </c>
      <c r="DS33" s="5" t="str">
        <f t="shared" si="39"/>
        <v/>
      </c>
      <c r="DT33" s="5" t="str">
        <f t="shared" si="40"/>
        <v/>
      </c>
      <c r="DU33" s="5" t="str">
        <f t="shared" si="41"/>
        <v/>
      </c>
      <c r="DW33" s="44" t="str">
        <f t="shared" si="43"/>
        <v/>
      </c>
      <c r="DX33" s="44" t="str">
        <f t="shared" si="44"/>
        <v>"2Bands",</v>
      </c>
      <c r="DY33" s="44" t="str">
        <f t="shared" si="45"/>
        <v/>
      </c>
      <c r="DZ33" s="44" t="str">
        <f t="shared" si="46"/>
        <v/>
      </c>
      <c r="EA33" s="44" t="str">
        <f t="shared" si="47"/>
        <v/>
      </c>
      <c r="EB33" s="44" t="str">
        <f t="shared" si="48"/>
        <v>"Crosse",</v>
      </c>
      <c r="EC33" s="44" t="str">
        <f t="shared" si="49"/>
        <v>"Horizo",</v>
      </c>
      <c r="ED33" s="44" t="str">
        <f t="shared" si="50"/>
        <v>"Vertic",</v>
      </c>
      <c r="EE33" s="44" t="str">
        <f t="shared" si="51"/>
        <v>"Circle",</v>
      </c>
      <c r="EF33" s="44" t="str">
        <f t="shared" si="52"/>
        <v/>
      </c>
      <c r="EG33" s="44" t="str">
        <f t="shared" si="53"/>
        <v>"Bird",</v>
      </c>
      <c r="EH33" s="44" t="str">
        <f t="shared" si="54"/>
        <v>"Plants",</v>
      </c>
      <c r="EI33" s="44" t="str">
        <f t="shared" si="55"/>
        <v>"Texted",</v>
      </c>
      <c r="EJ33" s="44" t="str">
        <f t="shared" si="56"/>
        <v>"Weapon",</v>
      </c>
      <c r="EK33" s="44" t="str">
        <f t="shared" si="57"/>
        <v/>
      </c>
      <c r="EL33" s="44" t="str">
        <f t="shared" si="58"/>
        <v/>
      </c>
      <c r="EM33" s="44" t="str">
        <f t="shared" si="59"/>
        <v/>
      </c>
      <c r="EN33" s="44" t="str">
        <f t="shared" si="60"/>
        <v>"Unequa",</v>
      </c>
      <c r="EO33" s="44" t="str">
        <f t="shared" si="61"/>
        <v/>
      </c>
      <c r="EP33" s="44" t="str">
        <f t="shared" si="62"/>
        <v/>
      </c>
      <c r="EQ33" s="44" t="str">
        <f t="shared" si="63"/>
        <v>"Nordic",</v>
      </c>
      <c r="ER33" s="44" t="str">
        <f t="shared" si="64"/>
        <v/>
      </c>
      <c r="ES33" s="44" t="str">
        <f t="shared" si="65"/>
        <v/>
      </c>
      <c r="ET33" s="44" t="str">
        <f t="shared" si="66"/>
        <v/>
      </c>
      <c r="EU33" s="44" t="str">
        <f t="shared" si="67"/>
        <v>"Humans",</v>
      </c>
      <c r="EV33" s="44" t="str">
        <f t="shared" si="68"/>
        <v>"Builds",</v>
      </c>
      <c r="EW33" s="44" t="str">
        <f t="shared" si="69"/>
        <v/>
      </c>
      <c r="EX33" s="44" t="str">
        <f t="shared" si="70"/>
        <v>"Crowns",</v>
      </c>
      <c r="EY33" s="44" t="str">
        <f t="shared" si="71"/>
        <v/>
      </c>
      <c r="EZ33" s="44" t="str">
        <f t="shared" si="72"/>
        <v/>
      </c>
      <c r="FA33" s="44" t="str">
        <f t="shared" si="73"/>
        <v/>
      </c>
      <c r="FB33" s="44" t="str">
        <f t="shared" si="74"/>
        <v/>
      </c>
      <c r="FD33" s="44" t="str">
        <f t="shared" si="76"/>
        <v/>
      </c>
      <c r="FE33" s="44" t="str">
        <f t="shared" si="77"/>
        <v>"NO_BLU",</v>
      </c>
      <c r="FF33" s="44" t="str">
        <f t="shared" si="78"/>
        <v/>
      </c>
      <c r="FG33" s="44" t="str">
        <f t="shared" si="79"/>
        <v/>
      </c>
      <c r="FH33" s="44" t="str">
        <f t="shared" si="80"/>
        <v/>
      </c>
      <c r="FI33" s="44" t="str">
        <f t="shared" si="81"/>
        <v/>
      </c>
      <c r="FJ33" s="44" t="str">
        <f t="shared" si="82"/>
        <v/>
      </c>
      <c r="FK33" s="44" t="str">
        <f t="shared" si="83"/>
        <v/>
      </c>
      <c r="FL33" s="44" t="str">
        <f t="shared" si="84"/>
        <v/>
      </c>
      <c r="FM33" s="44" t="str">
        <f t="shared" si="85"/>
        <v/>
      </c>
      <c r="FN33" s="44" t="str">
        <f t="shared" si="86"/>
        <v/>
      </c>
      <c r="FO33" s="44" t="str">
        <f t="shared" si="87"/>
        <v/>
      </c>
      <c r="FP33" s="44" t="str">
        <f t="shared" si="88"/>
        <v/>
      </c>
      <c r="FQ33" s="44" t="str">
        <f t="shared" si="89"/>
        <v/>
      </c>
      <c r="FR33" s="44" t="str">
        <f t="shared" si="90"/>
        <v/>
      </c>
      <c r="FS33" s="44" t="str">
        <f t="shared" si="91"/>
        <v/>
      </c>
      <c r="FT33" s="44" t="str">
        <f t="shared" si="92"/>
        <v>"myrWHI",</v>
      </c>
      <c r="FU33" s="44" t="str">
        <f t="shared" si="93"/>
        <v/>
      </c>
      <c r="FV33" s="44" t="str">
        <f t="shared" si="94"/>
        <v/>
      </c>
      <c r="FW33" s="44" t="str">
        <f t="shared" si="95"/>
        <v/>
      </c>
      <c r="FY33" s="44" t="str">
        <f t="shared" si="97"/>
        <v/>
      </c>
      <c r="FZ33" s="44" t="str">
        <f t="shared" si="98"/>
        <v/>
      </c>
      <c r="GA33" s="44" t="str">
        <f t="shared" si="99"/>
        <v/>
      </c>
      <c r="GB33" s="44" t="str">
        <f t="shared" si="100"/>
        <v/>
      </c>
      <c r="GE33" s="44" t="str">
        <f t="shared" si="103"/>
        <v/>
      </c>
      <c r="GF33" s="44" t="str">
        <f t="shared" si="145"/>
        <v/>
      </c>
      <c r="GG33" s="44" t="str">
        <f t="shared" si="104"/>
        <v/>
      </c>
      <c r="GH33" s="44" t="str">
        <f t="shared" si="105"/>
        <v/>
      </c>
      <c r="GI33" s="44" t="str">
        <f t="shared" si="106"/>
        <v/>
      </c>
      <c r="GJ33" s="44" t="str">
        <f t="shared" si="107"/>
        <v>"NoStar",</v>
      </c>
      <c r="GK33" s="44" t="str">
        <f t="shared" si="108"/>
        <v/>
      </c>
      <c r="GL33" s="44" t="str">
        <f t="shared" si="109"/>
        <v/>
      </c>
      <c r="GM33" s="44" t="str">
        <f t="shared" si="110"/>
        <v/>
      </c>
      <c r="GN33" s="44" t="str">
        <f t="shared" si="111"/>
        <v/>
      </c>
      <c r="GP33" s="44" t="str">
        <f t="shared" si="112"/>
        <v>"City, State Capital"</v>
      </c>
      <c r="GS33" s="44" t="str">
        <f t="shared" si="113"/>
        <v>["5+Colo","words2","words3","lets14","startS","with_y","year19","2Bands","Crosse","Horizo","Vertic","Circle","Bird","Plants","Texted","Weapon","Unequa","Nordic","Humans","Builds","Crowns","NO_BLU","myrWHI","NoStar"]</v>
      </c>
      <c r="GT33" s="44" t="str">
        <f t="shared" si="114"/>
        <v>"cl_BLA",</v>
      </c>
      <c r="GU33" s="44" t="str">
        <f t="shared" si="115"/>
        <v/>
      </c>
      <c r="GV33" s="44" t="str">
        <f t="shared" si="116"/>
        <v>"cl_GRE",</v>
      </c>
      <c r="GW33" s="44" t="str">
        <f t="shared" si="117"/>
        <v>"cl_RED",</v>
      </c>
      <c r="GX33" s="44" t="str">
        <f t="shared" si="118"/>
        <v>"cl_YEL",</v>
      </c>
      <c r="GY33" s="44" t="str">
        <f t="shared" si="119"/>
        <v/>
      </c>
      <c r="GZ33" s="44" t="str">
        <f t="shared" si="120"/>
        <v/>
      </c>
      <c r="HA33" s="44" t="str">
        <f t="shared" si="121"/>
        <v/>
      </c>
      <c r="HB33" s="44" t="str">
        <f t="shared" si="122"/>
        <v>"cl_WHI",</v>
      </c>
      <c r="HC33" s="44" t="str">
        <f t="shared" si="123"/>
        <v>["cl_BLA","cl_GRE","cl_RED","cl_YEL","cl_WHI"]</v>
      </c>
      <c r="HE33" s="64"/>
      <c r="HF33" s="65" t="str">
        <f t="shared" si="124"/>
        <v>{couname:"[BRA] Sao Paulo (City)",year:"1967",region:"rgn_South America",Colors:["cl_BLA","cl_GRE","cl_RED","cl_YEL","cl_WHI"],Items:["5+Colo","words2","words3","lets14","startS","with_y","year19","2Bands","Crosse","Horizo","Vertic","Circle","Bird","Plants","Texted","Weapon","Unequa","Nordic","Humans","Builds","Crowns","NO_BLU","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links: "https://simple.m.wikipedia.org/wiki/Flag_of_S%C3%A3o_Paulo_City"},</v>
      </c>
      <c r="HG33" s="66" t="str">
        <f t="shared" si="125"/>
        <v>{couname:"[BRA] Sao Paulo (City)",year:"1967",region:"rgn_South America",Colors:["cl_BLA","cl_GRE","cl_RED","cl_YEL","cl_WHI"],Items:["5+Colo","words2","words3","lets14","startS","with_y","year19","2Bands","Crosse","Horizo","Vertic","Circle","Bird","Plants","Texted","Weapon","Unequa","Nordic","Humans","Builds","Crowns","NO_BLU","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links: "https://simple.m.wikipedia.org/wiki/Flag_of_S%C3%A3o_Paulo_City"},</v>
      </c>
      <c r="HH33" s="44" t="str">
        <f t="shared" si="126"/>
        <v>"\nA red nordic cross on a white field with the city's coat of arms over the cross section of the cross."</v>
      </c>
      <c r="HI33" s="44" t="str">
        <f t="shared" si="127"/>
        <v>"\nA red nordic cross on a white field with the city's coat of arms over the cross section of the cross."</v>
      </c>
      <c r="HJ33" s="44" t="str">
        <f t="shared" si="128"/>
        <v>"1967"</v>
      </c>
      <c r="HL33" s="44" t="str">
        <f t="shared" si="129"/>
        <v>"https://simple.m.wikipedia.org/wiki/Flag_of_S%C3%A3o_Paulo_City"</v>
      </c>
      <c r="HM33" s="65" t="str">
        <f t="shared" si="130"/>
        <v>{"couname":"[BRA] Sao Paulo (City)","subtype":"[BRA] Sao Paulo","year":"1967","region":"rgn_South America","Colors":["cl_BLA","cl_GRE","cl_RED","cl_YEL","cl_WHI"],"Items":["5+Colo","words2","words3","lets14","startS","with_y","year19","2Bands","Crosse","Horizo","Vertic","Circle","Bird","Plants","Texted","Weapon","Unequa","Nordic","Humans","Builds","Crowns","NO_BLU","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N33" s="67" t="str">
        <f t="shared" si="131"/>
        <v>{"couname":"[BRA] Sao Paulo (City)","subtype":"[BRA] Sao Paulo","year":"1967","region":"rgn_South America","Colors":["cl_BLA","cl_GRE","cl_RED","cl_YEL","cl_WHI"],"Items":["5+Colo","words2","words3","lets14","startS","with_y","year19","2Bands","Crosse","Horizo","Vertic","Circle","Bird","Plants","Texted","Weapon","Unequa","Nordic","Humans","Builds","Crowns","NO_BLU","myrWHI","NoStar"],"Flag":"https://upload.wikimedia.org/wikipedia/commons/thumb/4/4b/Bandeira_da_cidade_de_S%C3%A3o_Paulo.svg/640px-Bandeira_da_cidade_de_S%C3%A3o_Paulo.svg.png","HDFlag":"https://upload.wikimedia.org/wikipedia/commons/thumb/4/4b/Bandeira_da_cidade_de_S%C3%A3o_Paulo.svg/1280px-Bandeira_da_cidade_de_S%C3%A3o_Paulo.svg.png","type":"City, State Capital", "describe": "\nA red nordic cross on a white field with the city's coat of arms over the cross section of the cross.", "isnew": ".", "links": "https://simple.m.wikipedia.org/wiki/Flag_of_S%C3%A3o_Paulo_City"},</v>
      </c>
      <c r="HO33" s="71">
        <v>45610</v>
      </c>
      <c r="HP33" s="44" t="str" cm="1">
        <f t="array" ref="HP33">IF(_xlfn.TEXTJOIN(", ", TRUE, IF(ISNUMBER(SEARCH("BLA", BL33:BT33)), COLUMN(BL33:BT33) - COLUMN(BL33) + 1, ""))&lt;&gt;"","BLA","")</f>
        <v>BLA</v>
      </c>
      <c r="HQ33" s="44" t="str" cm="1">
        <f t="array" ref="HQ33">IF(_xlfn.TEXTJOIN(", ", TRUE, IF(ISNUMBER(SEARCH("BLU", BL33:BT33)), COLUMN(BL33:BT33) - COLUMN(BL33) + 1, ""))&lt;&gt;"","BLU","")</f>
        <v/>
      </c>
      <c r="HR33" s="44" t="str" cm="1">
        <f t="array" ref="HR33">IF(_xlfn.TEXTJOIN(", ", TRUE, IF(ISNUMBER(SEARCH("GRE", BL33:BT33)), COLUMN(BL33:BT33) - COLUMN(BL33) + 1, ""))&lt;&gt;"","GRE","")</f>
        <v>GRE</v>
      </c>
      <c r="HS33" s="44" t="str" cm="1">
        <f t="array" ref="HS33">IF(_xlfn.TEXTJOIN(", ", TRUE, IF(ISNUMBER(SEARCH("RED", BL33:BT33)), COLUMN(BL33:BT33) - COLUMN(BL33) + 1, ""))&lt;&gt;"","RED","")</f>
        <v>RED</v>
      </c>
      <c r="HT33" s="44" t="str" cm="1">
        <f t="array" ref="HT33">IF(_xlfn.TEXTJOIN(", ", TRUE, IF(ISNUMBER(SEARCH("YEL", BL33:BT33)), COLUMN(BL33:BT33) - COLUMN(BL33) + 1, ""))&lt;&gt;"","YEL","")</f>
        <v>YEL</v>
      </c>
      <c r="HU33" s="44" t="str" cm="1">
        <f t="array" ref="HU33">IF(_xlfn.TEXTJOIN(", ", TRUE, IF(ISNUMBER(SEARCH("ORA", BL33:BT33)), COLUMN(BL33:BT33) - COLUMN(BL33) + 1, ""))&lt;&gt;"","ORA","")</f>
        <v/>
      </c>
      <c r="HV33" s="44" t="str" cm="1">
        <f t="array" ref="HV33">IF(_xlfn.TEXTJOIN(", ", TRUE, IF(ISNUMBER(SEARCH("BRO", BL33:BT33)), COLUMN(BL33:BT33) - COLUMN(BL33) + 1, ""))&lt;&gt;"","BRO","")</f>
        <v/>
      </c>
      <c r="HW33" s="44" t="str" cm="1">
        <f t="array" ref="HW33">IF(_xlfn.TEXTJOIN(", ", TRUE, IF(ISNUMBER(SEARCH("PUR", BL33:BT33)), COLUMN(BL33:BT33) - COLUMN(BL33) + 1, ""))&lt;&gt;"","PUR","")</f>
        <v/>
      </c>
      <c r="HX33" s="44" t="str" cm="1">
        <f t="array" ref="HX33">IF(_xlfn.TEXTJOIN(", ", TRUE, IF(ISNUMBER(SEARCH("WHI", BL33:BT33)), COLUMN(BL33:BT33) - COLUMN(BL33) + 1, ""))&lt;&gt;"","WHI","")</f>
        <v>WHI</v>
      </c>
      <c r="HY33" s="72"/>
      <c r="HZ33" s="72"/>
      <c r="IA33" s="5"/>
      <c r="IB33" s="5"/>
      <c r="IC33" s="68"/>
      <c r="ID33" s="68"/>
      <c r="IE33" s="68"/>
      <c r="IF33" s="68"/>
      <c r="IG33" s="68"/>
      <c r="IH33" s="68"/>
      <c r="II33" s="68"/>
      <c r="IJ33" s="68"/>
      <c r="IK33" s="68"/>
      <c r="IM33" s="42">
        <f t="shared" si="133"/>
        <v>-5</v>
      </c>
      <c r="IN33" s="69" t="str">
        <f t="shared" si="134"/>
        <v>http://mkweb.bcgsc.ca/color-summarizer/?url=https://upload.wikimedia.org/wikipedia/commons/thumb/4/4b/Bandeira_da_cidade_de_S%C3%A3o_Paulo.svg/640px-Bandeira_da_cidade_de_S%C3%A3o_Paulo.svg.png&amp;precision=low&amp;num_clusters=5&amp;text=1</v>
      </c>
      <c r="IO33" s="44" t="str">
        <f t="shared" si="135"/>
        <v>"black"</v>
      </c>
      <c r="IP33" s="44" t="str">
        <f t="shared" si="136"/>
        <v/>
      </c>
      <c r="IQ33" s="44" t="str">
        <f t="shared" si="137"/>
        <v>"green"</v>
      </c>
      <c r="IR33" s="44" t="str">
        <f t="shared" si="138"/>
        <v>"red"</v>
      </c>
      <c r="IS33" s="44" t="str">
        <f t="shared" si="139"/>
        <v>"yellow"</v>
      </c>
      <c r="IT33" s="44" t="str">
        <f t="shared" si="140"/>
        <v/>
      </c>
      <c r="IU33" s="44" t="str">
        <f t="shared" si="141"/>
        <v/>
      </c>
      <c r="IV33" s="44" t="str">
        <f t="shared" si="142"/>
        <v/>
      </c>
      <c r="IW33" s="44" t="str">
        <f t="shared" si="143"/>
        <v>"white"</v>
      </c>
      <c r="IX33" s="44" t="str">
        <f t="shared" si="144"/>
        <v>{"url":"http://mkweb.bcgsc.ca/color-summarizer/?url=https://upload.wikimedia.org/wikipedia/commons/thumb/4/4b/Bandeira_da_cidade_de_S%C3%A3o_Paulo.svg/640px-Bandeira_da_cidade_de_S%C3%A3o_Paulo.svg.png&amp;precision=low&amp;num_clusters=5&amp;text=1","name":"[BRA] Sao Paulo (City)"},</v>
      </c>
      <c r="IY33" s="44">
        <v>1256</v>
      </c>
    </row>
  </sheetData>
  <autoFilter ref="A1:IY33" xr:uid="{A1051193-A95B-4CFB-A73C-F0184620C81F}">
    <sortState xmlns:xlrd2="http://schemas.microsoft.com/office/spreadsheetml/2017/richdata2" ref="A2:IY33">
      <sortCondition ref="AW1:AW33"/>
    </sortState>
  </autoFilter>
  <conditionalFormatting sqref="H1 CW1:GS1 IA1:IB1">
    <cfRule type="cellIs" dxfId="838" priority="77" operator="greaterThan">
      <formula>0</formula>
    </cfRule>
  </conditionalFormatting>
  <conditionalFormatting sqref="H1:H1048576">
    <cfRule type="cellIs" dxfId="837" priority="17" stopIfTrue="1" operator="notEqual">
      <formula>""</formula>
    </cfRule>
  </conditionalFormatting>
  <conditionalFormatting sqref="R2:R33 CU2:CU33">
    <cfRule type="cellIs" dxfId="836" priority="19" operator="greaterThan">
      <formula>0</formula>
    </cfRule>
  </conditionalFormatting>
  <conditionalFormatting sqref="T2:AS33 CH2:CS33">
    <cfRule type="cellIs" dxfId="835" priority="14" stopIfTrue="1" operator="equal">
      <formula>"n"</formula>
    </cfRule>
    <cfRule type="cellIs" dxfId="834" priority="15" stopIfTrue="1" operator="equal">
      <formula>"y"</formula>
    </cfRule>
    <cfRule type="cellIs" dxfId="833" priority="16" operator="greaterThan">
      <formula>0</formula>
    </cfRule>
  </conditionalFormatting>
  <conditionalFormatting sqref="T1:BK1">
    <cfRule type="cellIs" dxfId="832" priority="80" operator="greaterThan">
      <formula>0</formula>
    </cfRule>
  </conditionalFormatting>
  <conditionalFormatting sqref="AZ2:BB33">
    <cfRule type="expression" dxfId="831" priority="13">
      <formula>$AT2=0</formula>
    </cfRule>
  </conditionalFormatting>
  <conditionalFormatting sqref="AZ2:BU33">
    <cfRule type="cellIs" dxfId="830" priority="55" operator="equal">
      <formula>"PIN"</formula>
    </cfRule>
    <cfRule type="cellIs" dxfId="829" priority="56" operator="equal">
      <formula>"ORA"</formula>
    </cfRule>
    <cfRule type="cellIs" dxfId="828" priority="57" operator="equal">
      <formula>"GRA"</formula>
    </cfRule>
    <cfRule type="cellIs" dxfId="827" priority="58" operator="equal">
      <formula>"PUR"</formula>
    </cfRule>
    <cfRule type="cellIs" dxfId="826" priority="59" operator="equal">
      <formula>"BRO"</formula>
    </cfRule>
    <cfRule type="cellIs" dxfId="825" priority="60" operator="equal">
      <formula>"YEL"</formula>
    </cfRule>
    <cfRule type="cellIs" dxfId="824" priority="61" operator="equal">
      <formula>"BLU"</formula>
    </cfRule>
    <cfRule type="cellIs" dxfId="823" priority="62" operator="equal">
      <formula>"WHI"</formula>
    </cfRule>
    <cfRule type="cellIs" dxfId="822" priority="63" operator="equal">
      <formula>"GRE"</formula>
    </cfRule>
    <cfRule type="cellIs" dxfId="821" priority="64" operator="equal">
      <formula>"RED"</formula>
    </cfRule>
    <cfRule type="cellIs" dxfId="820" priority="65" operator="equal">
      <formula>"BLA"</formula>
    </cfRule>
  </conditionalFormatting>
  <conditionalFormatting sqref="BV1:BW1 BV34:BW1048576 BV2:BV33">
    <cfRule type="cellIs" dxfId="819" priority="79" operator="equal">
      <formula>"nc"</formula>
    </cfRule>
  </conditionalFormatting>
  <conditionalFormatting sqref="BX2:CA33 CD2:CF33">
    <cfRule type="cellIs" dxfId="818" priority="18" operator="equal">
      <formula>"y"</formula>
    </cfRule>
    <cfRule type="cellIs" dxfId="817" priority="66" operator="equal">
      <formula>"PIN"</formula>
    </cfRule>
    <cfRule type="cellIs" dxfId="816" priority="67" operator="equal">
      <formula>"ORA"</formula>
    </cfRule>
    <cfRule type="cellIs" dxfId="815" priority="68" operator="equal">
      <formula>"GRA"</formula>
    </cfRule>
    <cfRule type="cellIs" dxfId="814" priority="69" operator="equal">
      <formula>"PUR"</formula>
    </cfRule>
    <cfRule type="cellIs" dxfId="813" priority="70" operator="equal">
      <formula>"BRO"</formula>
    </cfRule>
    <cfRule type="cellIs" dxfId="812" priority="71" operator="equal">
      <formula>"YEL"</formula>
    </cfRule>
    <cfRule type="cellIs" dxfId="811" priority="72" operator="equal">
      <formula>"BLU"</formula>
    </cfRule>
    <cfRule type="cellIs" dxfId="810" priority="73" operator="equal">
      <formula>"WHI"</formula>
    </cfRule>
    <cfRule type="cellIs" dxfId="809" priority="74" operator="equal">
      <formula>"GRE"</formula>
    </cfRule>
    <cfRule type="cellIs" dxfId="808" priority="75" operator="equal">
      <formula>"RED"</formula>
    </cfRule>
    <cfRule type="cellIs" dxfId="807" priority="76" operator="equal">
      <formula>"BLA"</formula>
    </cfRule>
  </conditionalFormatting>
  <conditionalFormatting sqref="BZ2:CA33 CD2:CF33">
    <cfRule type="cellIs" dxfId="806" priority="20" operator="greaterThan">
      <formula>0</formula>
    </cfRule>
  </conditionalFormatting>
  <conditionalFormatting sqref="HF1:HG1">
    <cfRule type="cellIs" dxfId="805" priority="81" operator="greaterThan">
      <formula>0</formula>
    </cfRule>
  </conditionalFormatting>
  <conditionalFormatting sqref="HK1">
    <cfRule type="cellIs" dxfId="804" priority="78" operator="greaterThan">
      <formula>0</formula>
    </cfRule>
  </conditionalFormatting>
  <conditionalFormatting sqref="HP1:HX1">
    <cfRule type="cellIs" dxfId="803" priority="32" operator="equal">
      <formula>"PIN"</formula>
    </cfRule>
    <cfRule type="cellIs" dxfId="802" priority="33" operator="equal">
      <formula>"ORA"</formula>
    </cfRule>
    <cfRule type="cellIs" dxfId="801" priority="34" operator="equal">
      <formula>"GRA"</formula>
    </cfRule>
    <cfRule type="cellIs" dxfId="800" priority="35" operator="equal">
      <formula>"PUR"</formula>
    </cfRule>
    <cfRule type="cellIs" dxfId="799" priority="36" operator="equal">
      <formula>"BRO"</formula>
    </cfRule>
    <cfRule type="cellIs" dxfId="798" priority="37" operator="equal">
      <formula>"YEL"</formula>
    </cfRule>
    <cfRule type="cellIs" dxfId="797" priority="38" operator="equal">
      <formula>"BLU"</formula>
    </cfRule>
    <cfRule type="cellIs" dxfId="796" priority="39" operator="equal">
      <formula>"WHI"</formula>
    </cfRule>
    <cfRule type="cellIs" dxfId="795" priority="40" operator="equal">
      <formula>"GRE"</formula>
    </cfRule>
    <cfRule type="cellIs" dxfId="794" priority="41" operator="equal">
      <formula>"RED"</formula>
    </cfRule>
    <cfRule type="cellIs" dxfId="793" priority="42" operator="equal">
      <formula>"BLA"</formula>
    </cfRule>
  </conditionalFormatting>
  <conditionalFormatting sqref="IC1:IK1">
    <cfRule type="cellIs" dxfId="792" priority="44" operator="equal">
      <formula>"PIN"</formula>
    </cfRule>
    <cfRule type="cellIs" dxfId="791" priority="45" operator="equal">
      <formula>"ORA"</formula>
    </cfRule>
    <cfRule type="cellIs" dxfId="790" priority="46" operator="equal">
      <formula>"GRA"</formula>
    </cfRule>
    <cfRule type="cellIs" dxfId="789" priority="47" operator="equal">
      <formula>"PUR"</formula>
    </cfRule>
    <cfRule type="cellIs" dxfId="788" priority="48" operator="equal">
      <formula>"BRO"</formula>
    </cfRule>
    <cfRule type="cellIs" dxfId="787" priority="49" operator="equal">
      <formula>"YEL"</formula>
    </cfRule>
    <cfRule type="cellIs" dxfId="786" priority="50" operator="equal">
      <formula>"BLU"</formula>
    </cfRule>
    <cfRule type="cellIs" dxfId="785" priority="51" operator="equal">
      <formula>"WHI"</formula>
    </cfRule>
    <cfRule type="cellIs" dxfId="784" priority="52" operator="equal">
      <formula>"GRE"</formula>
    </cfRule>
    <cfRule type="cellIs" dxfId="783" priority="53" operator="equal">
      <formula>"RED"</formula>
    </cfRule>
    <cfRule type="cellIs" dxfId="782" priority="54" operator="equal">
      <formula>"BLA"</formula>
    </cfRule>
  </conditionalFormatting>
  <conditionalFormatting sqref="IC2:IK33">
    <cfRule type="expression" dxfId="781" priority="43">
      <formula>$IL2&gt;0</formula>
    </cfRule>
  </conditionalFormatting>
  <conditionalFormatting sqref="IO1:IW1">
    <cfRule type="cellIs" dxfId="780" priority="21" operator="equal">
      <formula>"PIN"</formula>
    </cfRule>
    <cfRule type="cellIs" dxfId="779" priority="22" operator="equal">
      <formula>"ORA"</formula>
    </cfRule>
    <cfRule type="cellIs" dxfId="778" priority="23" operator="equal">
      <formula>"GRA"</formula>
    </cfRule>
    <cfRule type="cellIs" dxfId="777" priority="24" operator="equal">
      <formula>"PUR"</formula>
    </cfRule>
    <cfRule type="cellIs" dxfId="776" priority="25" operator="equal">
      <formula>"BRO"</formula>
    </cfRule>
    <cfRule type="cellIs" dxfId="775" priority="26" operator="equal">
      <formula>"YEL"</formula>
    </cfRule>
    <cfRule type="cellIs" dxfId="774" priority="27" operator="equal">
      <formula>"BLU"</formula>
    </cfRule>
    <cfRule type="cellIs" dxfId="773" priority="28" operator="equal">
      <formula>"WHI"</formula>
    </cfRule>
    <cfRule type="cellIs" dxfId="772" priority="29" operator="equal">
      <formula>"GRE"</formula>
    </cfRule>
    <cfRule type="cellIs" dxfId="771" priority="30" operator="equal">
      <formula>"RED"</formula>
    </cfRule>
    <cfRule type="cellIs" dxfId="770" priority="31" operator="equal">
      <formula>"BLA"</formula>
    </cfRule>
  </conditionalFormatting>
  <conditionalFormatting sqref="J2:J33">
    <cfRule type="colorScale" priority="712">
      <colorScale>
        <cfvo type="min"/>
        <cfvo type="percentile" val="50"/>
        <cfvo type="max"/>
        <color rgb="FFF8696B"/>
        <color rgb="FFFFEB84"/>
        <color rgb="FF63BE7B"/>
      </colorScale>
    </cfRule>
  </conditionalFormatting>
  <conditionalFormatting sqref="S2:S33">
    <cfRule type="colorScale" priority="713">
      <colorScale>
        <cfvo type="min"/>
        <cfvo type="max"/>
        <color rgb="FFFCFCFF"/>
        <color rgb="FF754BFB"/>
      </colorScale>
    </cfRule>
  </conditionalFormatting>
  <conditionalFormatting sqref="AT2:AT33">
    <cfRule type="colorScale" priority="714">
      <colorScale>
        <cfvo type="min"/>
        <cfvo type="max"/>
        <color rgb="FFFCFCFF"/>
        <color theme="8" tint="0.39997558519241921"/>
      </colorScale>
    </cfRule>
  </conditionalFormatting>
  <conditionalFormatting sqref="CG2:CG33">
    <cfRule type="colorScale" priority="715">
      <colorScale>
        <cfvo type="min"/>
        <cfvo type="max"/>
        <color rgb="FFFCFCFF"/>
        <color rgb="FF63BE7B"/>
      </colorScale>
    </cfRule>
  </conditionalFormatting>
  <hyperlinks>
    <hyperlink ref="A2" r:id="rId1" display="https://fbref.com/en/country/BRA/Brazil-Football" xr:uid="{A327C8E4-8E38-4E69-9233-553CAE009C53}"/>
    <hyperlink ref="E2" r:id="rId2" xr:uid="{A79D34C1-467D-47ED-A916-7385167CBB01}"/>
    <hyperlink ref="P2" r:id="rId3" display="https://en.wikipedia.org/wiki/Flag_of_Brazil" xr:uid="{405AF858-5023-49B6-8DE4-2D02C2CF34B5}"/>
    <hyperlink ref="E3" r:id="rId4" xr:uid="{026630DE-982F-4204-A7E3-3779469A8F0C}"/>
    <hyperlink ref="I15" r:id="rId5" xr:uid="{79DBCF6A-829F-4A12-93F1-56518453B35E}"/>
    <hyperlink ref="E15" r:id="rId6" xr:uid="{5EE63793-C96F-4FE2-8951-97ACDA89F33D}"/>
    <hyperlink ref="I17" r:id="rId7" xr:uid="{DE282206-CD79-4180-B08B-4FFC3D7184FC}"/>
    <hyperlink ref="E17" r:id="rId8" xr:uid="{B11DA0B6-00B8-4346-99A6-79378A7ACF15}"/>
    <hyperlink ref="D17" r:id="rId9" xr:uid="{03C76DD4-56D8-4E4C-8A71-68FA6B3CF739}"/>
    <hyperlink ref="I12" r:id="rId10" xr:uid="{6F7206A5-F050-443C-81F9-76A9ABE6D9E0}"/>
    <hyperlink ref="E12" r:id="rId11" xr:uid="{886C3E17-BB20-45FC-8626-366328AFD4BD}"/>
    <hyperlink ref="D12" r:id="rId12" xr:uid="{581FA8ED-A505-45E1-99F4-E6791C681D28}"/>
    <hyperlink ref="I11" r:id="rId13" xr:uid="{046DB1B5-3CD7-4DD7-90C1-7558049815B3}"/>
    <hyperlink ref="E11" r:id="rId14" xr:uid="{400F140D-9954-4059-9F28-D03141EEB745}"/>
    <hyperlink ref="D11" r:id="rId15" xr:uid="{C48F234D-2ACD-42B7-8869-6663451573B2}"/>
    <hyperlink ref="E20" r:id="rId16" xr:uid="{579EEA4B-C2C8-4F1F-BC6F-3969F475F646}"/>
    <hyperlink ref="D20" r:id="rId17" xr:uid="{37720B75-41BA-45F7-B2BC-A6DD57F63BC0}"/>
    <hyperlink ref="I27" r:id="rId18" xr:uid="{E4E615BB-0F6D-44B3-87E2-7341BB45FB6D}"/>
    <hyperlink ref="E27" r:id="rId19" xr:uid="{4510D2E4-D3F5-4DBB-AE89-A020A50E19B2}"/>
    <hyperlink ref="D27" r:id="rId20" xr:uid="{18239D69-BAD9-4346-8E49-0AC93377316E}"/>
    <hyperlink ref="I28" r:id="rId21" xr:uid="{E31E4519-FE2B-407A-B358-72E0BA0D3E64}"/>
    <hyperlink ref="E28" r:id="rId22" xr:uid="{F3E572AC-1921-4941-9E18-76123344C4B7}"/>
    <hyperlink ref="D28" r:id="rId23" xr:uid="{58B0B461-D942-4FCD-9CDF-73DB9F19D215}"/>
    <hyperlink ref="I13" r:id="rId24" xr:uid="{7471BE6F-20CB-40C6-BA02-D6588677E225}"/>
    <hyperlink ref="E13" r:id="rId25" xr:uid="{B6D76FCB-D379-4897-817F-3650BBB239AF}"/>
    <hyperlink ref="D13" r:id="rId26" xr:uid="{517F3EC8-EF25-4E1C-BE32-5408EE2E16BB}"/>
    <hyperlink ref="E14" r:id="rId27" xr:uid="{746FD32B-37FE-4896-854E-8E982C526FD5}"/>
    <hyperlink ref="D14" r:id="rId28" xr:uid="{636B67A0-1FB4-40AF-8CA6-3D586F6ACB70}"/>
    <hyperlink ref="I4" r:id="rId29" xr:uid="{49A7ED67-1CCD-4DCF-8196-4A8CEFB7C434}"/>
    <hyperlink ref="E4" r:id="rId30" xr:uid="{F4A5E24B-19E0-48E8-A2A1-98F9BAC5226F}"/>
    <hyperlink ref="D4" r:id="rId31" xr:uid="{479FB81E-3DBF-4231-93ED-8F12175B5836}"/>
    <hyperlink ref="I5" r:id="rId32" xr:uid="{48D18007-D33C-4F29-9134-3E8845CE2FD2}"/>
    <hyperlink ref="E5" r:id="rId33" xr:uid="{CD105663-A1C1-4B24-8B4B-068F9C9CB2AA}"/>
    <hyperlink ref="D5" r:id="rId34" xr:uid="{C2AF276B-E0C9-4E13-85F9-521A37ADAFEE}"/>
    <hyperlink ref="I6" r:id="rId35" xr:uid="{0526823F-0C1A-4E2E-989B-64007B3D1CAF}"/>
    <hyperlink ref="E6" r:id="rId36" xr:uid="{3BAD77D9-3D59-48A9-B61F-3AAC54236561}"/>
    <hyperlink ref="D6" r:id="rId37" xr:uid="{12D9DA8B-0DAF-4A37-83A9-154FCE6D4F4A}"/>
    <hyperlink ref="E7" r:id="rId38" xr:uid="{29F1F173-7191-41AC-B3A6-1190F14FDDCB}"/>
    <hyperlink ref="D7" r:id="rId39" xr:uid="{9BFCA783-693C-4FB1-99A4-B8FB569447C7}"/>
    <hyperlink ref="I7" r:id="rId40" xr:uid="{670B392C-1E4E-45CF-9941-22F302E57DBF}"/>
    <hyperlink ref="E8" r:id="rId41" xr:uid="{384FB1FE-2985-4F2D-A07E-0220C888C4B2}"/>
    <hyperlink ref="D8" r:id="rId42" xr:uid="{1E0711B6-6E25-4952-B592-AECAD768B703}"/>
    <hyperlink ref="I8" r:id="rId43" xr:uid="{6E5CA2CF-D48F-41E2-A6B2-7362F1884405}"/>
    <hyperlink ref="I29" r:id="rId44" xr:uid="{3F88C47E-F863-449A-AFB1-22A92B3398AE}"/>
    <hyperlink ref="E29" r:id="rId45" xr:uid="{9F32B9AF-8100-4A31-8A59-DE89BBE71625}"/>
    <hyperlink ref="D29" r:id="rId46" xr:uid="{80A33AC4-ABF4-497F-A95A-9E3E1FEDF43E}"/>
    <hyperlink ref="I25" r:id="rId47" xr:uid="{F18CA431-5426-4F84-A0D9-3D124E1CCFA5}"/>
    <hyperlink ref="E25" r:id="rId48" xr:uid="{34880212-AB84-4AE5-93DB-913B7395C507}"/>
    <hyperlink ref="D25" r:id="rId49" xr:uid="{4004646D-259D-468B-9E1E-CF20E1EF260F}"/>
    <hyperlink ref="I24" r:id="rId50" xr:uid="{CA6C4386-9F07-4D39-B243-3368F5B4D383}"/>
    <hyperlink ref="E24" r:id="rId51" xr:uid="{945A82A1-80CA-4030-B337-3D5139E6601F}"/>
    <hyperlink ref="D24" r:id="rId52" xr:uid="{B1B07E31-A971-426D-A411-85D4DE589162}"/>
    <hyperlink ref="I22" r:id="rId53" xr:uid="{2180716E-1ECA-4B0B-8589-70380A87321E}"/>
    <hyperlink ref="E22" r:id="rId54" xr:uid="{596C72CE-B730-46EB-8539-202FA1CC96DD}"/>
    <hyperlink ref="D22" r:id="rId55" xr:uid="{D6B097BE-C718-4D0D-BDBB-0301D5D8F2EF}"/>
    <hyperlink ref="I19" r:id="rId56" xr:uid="{8710C7C8-2522-4259-AEF7-AC9EC56BD3F5}"/>
    <hyperlink ref="E19" r:id="rId57" xr:uid="{BB9F6E48-39ED-4E5C-B4A8-E2176D32E9D4}"/>
    <hyperlink ref="D19" r:id="rId58" xr:uid="{CEBE6B6E-DB74-4D33-B338-5B0C2109BF6B}"/>
    <hyperlink ref="I18" r:id="rId59" xr:uid="{A59149B5-3B9C-49B6-8B6F-79C6A935A9DF}"/>
    <hyperlink ref="E18" r:id="rId60" xr:uid="{8265B848-844D-4AD1-ABB1-B03D0B82D890}"/>
    <hyperlink ref="D18" r:id="rId61" xr:uid="{A51970B6-2968-41B6-8A8A-AF57844E8638}"/>
    <hyperlink ref="I16" r:id="rId62" xr:uid="{D7904CC6-B64B-4801-A1A1-679AABD3E554}"/>
    <hyperlink ref="E16" r:id="rId63" xr:uid="{A2606F8B-B47C-4B54-A2BD-ECE75B38C0A6}"/>
    <hyperlink ref="D16" r:id="rId64" xr:uid="{A59BF049-E392-45D6-9945-20C07D5D6CD5}"/>
    <hyperlink ref="I9" r:id="rId65" xr:uid="{233A618A-2C38-4487-91D1-A34F5D78D397}"/>
    <hyperlink ref="E9" r:id="rId66" xr:uid="{056438F7-0750-474E-B1F6-25A4F1322D21}"/>
    <hyperlink ref="D9" r:id="rId67" xr:uid="{023510D7-8A22-4D39-A5FA-436FB7B8A0EC}"/>
    <hyperlink ref="I10" r:id="rId68" xr:uid="{61EFBB98-F22E-4C57-ABDA-148394E9CBA3}"/>
    <hyperlink ref="E10" r:id="rId69" xr:uid="{2A8C8CDE-000C-4C8D-B583-F0DB1449C226}"/>
    <hyperlink ref="D10" r:id="rId70" xr:uid="{A2B34EA9-608F-442D-9BEC-9BD244B148B6}"/>
    <hyperlink ref="E21" r:id="rId71" xr:uid="{DDCF0CD4-311E-4FDD-87D9-A1706EE7BEC1}"/>
    <hyperlink ref="D21" r:id="rId72" xr:uid="{A26D88EF-545D-4E6B-A957-9D37243315FF}"/>
    <hyperlink ref="I21" r:id="rId73" xr:uid="{0E113C19-7495-4D1B-A13C-9B9F6121CB31}"/>
    <hyperlink ref="E23" r:id="rId74" xr:uid="{F092BA24-F816-43B1-A037-7F1CB8B14BF1}"/>
    <hyperlink ref="D23" r:id="rId75" xr:uid="{66CF1480-3583-49C7-8A70-69FA9DB2E66B}"/>
    <hyperlink ref="I23" r:id="rId76" xr:uid="{914CACE4-D6E0-4FF4-BC45-5481D6A6652D}"/>
    <hyperlink ref="I26" r:id="rId77" xr:uid="{B221B023-13E7-40FD-9D7B-C208F295320A}"/>
    <hyperlink ref="E26" r:id="rId78" xr:uid="{FAE6AB5B-4073-486A-8712-37587511F0EC}"/>
    <hyperlink ref="D26" r:id="rId79" xr:uid="{C5DFDA0F-14FE-4F93-A900-35F8FF2DE106}"/>
    <hyperlink ref="I14" r:id="rId80" xr:uid="{32549E61-036F-4BDF-A09B-9E033C155330}"/>
  </hyperlinks>
  <pageMargins left="0.7" right="0.7" top="0.75" bottom="0.75" header="0.3" footer="0.3"/>
  <pageSetup paperSize="9" orientation="portrait" r:id="rId81"/>
  <drawing r:id="rId82"/>
  <legacyDrawing r:id="rId83"/>
  <mc:AlternateContent xmlns:mc="http://schemas.openxmlformats.org/markup-compatibility/2006">
    <mc:Choice Requires="x14">
      <controls>
        <mc:AlternateContent xmlns:mc="http://schemas.openxmlformats.org/markup-compatibility/2006">
          <mc:Choice Requires="x14">
            <control shapeId="6145" r:id="rId84"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6146" r:id="rId85"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6147" r:id="rId86" name="Button 3">
              <controlPr defaultSize="0" print="0" autoFill="0" autoPict="0" macro="[0]!GoToSheet">
                <anchor moveWithCells="1" sizeWithCells="1">
                  <from>
                    <xdr:col>0</xdr:col>
                    <xdr:colOff>137160</xdr:colOff>
                    <xdr:row>0</xdr:row>
                    <xdr:rowOff>114300</xdr:rowOff>
                  </from>
                  <to>
                    <xdr:col>0</xdr:col>
                    <xdr:colOff>762000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BC43-3AF2-4AED-A670-EDF25459D7D3}">
  <sheetPr codeName="Sheet10"/>
  <dimension ref="A1:IY15"/>
  <sheetViews>
    <sheetView zoomScale="70" zoomScaleNormal="70" workbookViewId="0">
      <pane xSplit="5" ySplit="1" topLeftCell="F3" activePane="bottomRight" state="frozen"/>
      <selection pane="topRight" activeCell="F1" sqref="F1"/>
      <selection pane="bottomLeft" activeCell="A2" sqref="A2"/>
      <selection pane="bottomRight" activeCell="B13" sqref="B13"/>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198</v>
      </c>
      <c r="B2" s="83" t="e" vm="56">
        <v>#VALUE!</v>
      </c>
      <c r="C2" s="39">
        <v>1</v>
      </c>
      <c r="D2" s="70" t="s">
        <v>199</v>
      </c>
      <c r="E2" s="40" t="s">
        <v>200</v>
      </c>
      <c r="F2" s="41" t="s">
        <v>163</v>
      </c>
      <c r="G2" s="42">
        <f t="shared" ref="G2:G15" si="0">COUNTIF($A$1:$A$8294,A2)</f>
        <v>1</v>
      </c>
      <c r="H2" s="43"/>
      <c r="I2" s="59" t="s">
        <v>201</v>
      </c>
      <c r="J2" s="44" t="str">
        <f>""</f>
        <v/>
      </c>
      <c r="K2" s="45">
        <v>19630000</v>
      </c>
      <c r="L2" s="46">
        <v>2900000</v>
      </c>
      <c r="M2" s="46" t="s">
        <v>1966</v>
      </c>
      <c r="N2" s="47" t="s">
        <v>177</v>
      </c>
      <c r="O2" s="74" t="s">
        <v>202</v>
      </c>
      <c r="P2" s="48" t="s">
        <v>203</v>
      </c>
      <c r="Q2" s="73">
        <v>1</v>
      </c>
      <c r="R2" s="49" t="s">
        <v>177</v>
      </c>
      <c r="S2" s="50">
        <v>2</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165</v>
      </c>
      <c r="AH2" s="53" t="s">
        <v>164</v>
      </c>
      <c r="AI2" s="53" t="s">
        <v>165</v>
      </c>
      <c r="AJ2" s="53" t="s">
        <v>164</v>
      </c>
      <c r="AK2" s="53" t="s">
        <v>164</v>
      </c>
      <c r="AL2" s="53" t="s">
        <v>164</v>
      </c>
      <c r="AM2" s="53" t="s">
        <v>164</v>
      </c>
      <c r="AN2" s="53" t="s">
        <v>164</v>
      </c>
      <c r="AO2" s="53" t="s">
        <v>164</v>
      </c>
      <c r="AP2" s="53" t="s">
        <v>164</v>
      </c>
      <c r="AQ2" s="53" t="s">
        <v>164</v>
      </c>
      <c r="AR2" s="53" t="s">
        <v>164</v>
      </c>
      <c r="AS2" s="53" t="s">
        <v>164</v>
      </c>
      <c r="AT2" s="54">
        <v>1</v>
      </c>
      <c r="AU2" s="53"/>
      <c r="AV2" s="53" t="str">
        <f t="shared" ref="AV2:AV15" si="1">IF(LEFT(A2,1)="[",LEFT(A2,5)&amp;AU2&amp;A2,"")</f>
        <v/>
      </c>
      <c r="AW2" s="53" t="str">
        <f t="shared" ref="AW2:AW15" si="2">C2&amp;A2</f>
        <v>1Chile</v>
      </c>
      <c r="AX2" s="55" t="str">
        <f>_xlfn.TEXTJOIN(";",TRUE,AU2:AW2)</f>
        <v>1Chile</v>
      </c>
      <c r="AY2" s="55"/>
      <c r="AZ2" s="56" t="s">
        <v>159</v>
      </c>
      <c r="BA2" s="56"/>
      <c r="BB2" s="56"/>
      <c r="BC2" s="57"/>
      <c r="BD2" s="58" t="s">
        <v>154</v>
      </c>
      <c r="BE2" s="59"/>
      <c r="BF2" s="58" t="s">
        <v>159</v>
      </c>
      <c r="BG2" s="58"/>
      <c r="BH2" s="58" t="s">
        <v>154</v>
      </c>
      <c r="BI2" s="58"/>
      <c r="BJ2" s="58"/>
      <c r="BK2" s="59"/>
      <c r="BL2" s="58" t="s">
        <v>154</v>
      </c>
      <c r="BM2" s="58" t="s">
        <v>159</v>
      </c>
      <c r="BN2" s="58" t="s">
        <v>152</v>
      </c>
      <c r="BO2" s="58"/>
      <c r="BP2" s="58"/>
      <c r="BQ2" s="58"/>
      <c r="BR2" s="58"/>
      <c r="BS2" s="58"/>
      <c r="BT2" s="58"/>
      <c r="BU2" s="60" t="s">
        <v>164</v>
      </c>
      <c r="BV2" s="61" t="s">
        <v>166</v>
      </c>
      <c r="BW2" s="61" t="s">
        <v>168</v>
      </c>
      <c r="BX2" s="59"/>
      <c r="CB2" s="5" t="s">
        <v>138</v>
      </c>
      <c r="CC2" s="5"/>
      <c r="CD2" s="62">
        <v>0</v>
      </c>
      <c r="CE2" s="62">
        <v>0</v>
      </c>
      <c r="CF2" s="62" t="e">
        <v>#REF!</v>
      </c>
      <c r="CG2" s="75" cm="1">
        <f t="array" ref="CG2">SUMPRODUCT(--(LEN(TRIM(BL2:BT2))&gt;0))</f>
        <v>3</v>
      </c>
      <c r="CH2" s="53" t="str">
        <f t="shared" ref="CH2:CH15" si="3">IF(CG2=2,"y","n")</f>
        <v>n</v>
      </c>
      <c r="CI2" s="53" t="str">
        <f t="shared" ref="CI2:CI15" si="4">IF(CG2=3,"y","n")</f>
        <v>y</v>
      </c>
      <c r="CJ2" s="53" t="str">
        <f t="shared" ref="CJ2:CJ15" si="5">IF(CG2=4,"y","n")</f>
        <v>n</v>
      </c>
      <c r="CK2" s="53" t="str">
        <f t="shared" ref="CK2:CK15" si="6">IF(CG2&gt;4,"y","n")</f>
        <v>n</v>
      </c>
      <c r="CL2" s="53" t="str">
        <f t="shared" ref="CL2:CL15" si="7">IF(S2=0,"y","n")</f>
        <v>n</v>
      </c>
      <c r="CM2" s="53" t="str">
        <f t="shared" ref="CM2:CM15" si="8">IF(S2=2,"y","n")</f>
        <v>y</v>
      </c>
      <c r="CN2" s="53" t="str">
        <f t="shared" ref="CN2:CN15" si="9">IF(S2=3,"y","n")</f>
        <v>n</v>
      </c>
      <c r="CO2" s="53" t="str">
        <f t="shared" ref="CO2:CO15" si="10">IF(S2&gt;=4,"y","n")</f>
        <v>n</v>
      </c>
      <c r="CP2" s="53" t="str">
        <f t="shared" ref="CP2:CP15" si="11">IF(AT2=0,"y","n")</f>
        <v>n</v>
      </c>
      <c r="CQ2" s="53" t="str">
        <f t="shared" ref="CQ2:CQ15" si="12">IF(AT2=1,"y","n")</f>
        <v>y</v>
      </c>
      <c r="CR2" s="53" t="str">
        <f t="shared" ref="CR2:CR15" si="13">IF(AT2=2,"y","n")</f>
        <v>n</v>
      </c>
      <c r="CS2" s="53" t="str">
        <f t="shared" ref="CS2:CS15" si="14">IF(AT2&gt;=3,"y","n")</f>
        <v>n</v>
      </c>
      <c r="CT2" s="38" t="str">
        <f t="shared" ref="CT2:CT15" si="15">CHAR(34)&amp;A2&amp;CHAR(34)</f>
        <v>"Chile"</v>
      </c>
      <c r="CU2" s="63" t="str">
        <f t="shared" ref="CU2:CU15" si="16">CHAR(34)&amp;"rgn_"&amp;R2&amp;CHAR(34)</f>
        <v>"rgn_South America"</v>
      </c>
      <c r="CV2" s="44" t="str">
        <f t="shared" ref="CV2:CV15" si="17">CHAR(34)&amp;D2&amp;CHAR(34)</f>
        <v>"https://i.ibb.co/YWTPJTk/Chile-Flag.png"</v>
      </c>
      <c r="CW2" s="44" t="str">
        <f t="shared" ref="CW2:CW15" si="18">IF(CH2="y",CHAR(34)&amp;CH$1&amp;CHAR(34)&amp;",","")</f>
        <v/>
      </c>
      <c r="CX2" s="44" t="str">
        <f t="shared" ref="CX2:CX15" si="19">IF(CI2="y",CHAR(34)&amp;CI$1&amp;CHAR(34)&amp;",","")</f>
        <v>"3Color",</v>
      </c>
      <c r="CY2" s="44" t="str">
        <f t="shared" ref="CY2:CY15" si="20">IF(CJ2="y",CHAR(34)&amp;CJ$1&amp;CHAR(34)&amp;",","")</f>
        <v/>
      </c>
      <c r="CZ2" s="44" t="str">
        <f t="shared" ref="CZ2:CZ15" si="21">IF(CK2="y",CHAR(34)&amp;CK$1&amp;CHAR(34)&amp;",","")</f>
        <v/>
      </c>
      <c r="DA2" s="44" t="str">
        <f t="shared" ref="DA2:DA15" si="22">IF(Q2&gt;1,CHAR(34)&amp;"words2"&amp;CHAR(34)&amp;",","")</f>
        <v/>
      </c>
      <c r="DB2" s="44" t="str">
        <f t="shared" ref="DB2:DB15" si="23">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4" t="str">
        <f t="shared" ref="DF2:DF15" si="24">IFERROR(IF(SEARCH("tan",A2)&gt;0,CHAR(34)&amp;"withtn"&amp;CHAR(34)&amp;",",""),"")</f>
        <v/>
      </c>
      <c r="DG2" s="44" t="str">
        <f t="shared" ref="DG2:DG15" si="25">IFERROR(IF(SEARCH("q",A2)&gt;0,CHAR(34)&amp;"with_q"&amp;CHAR(34)&amp;",",""),"")</f>
        <v/>
      </c>
      <c r="DH2" s="44" t="str">
        <f t="shared" ref="DH2:DH15" si="26">IFERROR(IF(SEARCH("v",A2)&gt;0,CHAR(34)&amp;"with_v"&amp;CHAR(34)&amp;",",""),"")</f>
        <v/>
      </c>
      <c r="DI2" s="44" t="str">
        <f t="shared" ref="DI2:DI15" si="27">IFERROR(IF(SEARCH("w",A2)&gt;0,CHAR(34)&amp;"with_w"&amp;CHAR(34)&amp;",",""),"")</f>
        <v/>
      </c>
      <c r="DJ2" s="44" t="str">
        <f t="shared" ref="DJ2:DJ15" si="28">IFERROR(IF(SEARCH("y",A2)&gt;0,CHAR(34)&amp;"with_y"&amp;CHAR(34)&amp;",",""),"")</f>
        <v/>
      </c>
      <c r="DK2" s="44" t="str">
        <f t="shared" ref="DK2:DK15" si="29">IFERROR(IF(SEARCH("z",A2)&gt;0,CHAR(34)&amp;"with_z"&amp;CHAR(34)&amp;",",""),"")</f>
        <v/>
      </c>
      <c r="DL2" s="44" t="str">
        <f t="shared" ref="DL2:DL15" si="30">IF(CG2=2, CHAR(34) &amp; _xlfn.TEXTJOIN("", TRUE, _xlfn._xlws.SORT(HP2:HX2)) &amp; CHAR(34) &amp; ",", "")</f>
        <v/>
      </c>
      <c r="DM2" s="44" t="str" cm="1">
        <f t="array" ref="DM2">IF(CG2=3,CHAR(34) &amp; _xlfn.TEXTJOIN("", TRUE, RIGHT(HP2:HX2, 2)) &amp; CHAR(34) &amp; ",", "")</f>
        <v>"LUEDHI",</v>
      </c>
      <c r="DN2" s="44" t="str">
        <f t="shared" ref="DN2:DN15" si="31">IF(AND(ISNUMBER(SEARCH("18", O2)), ISERROR(SEARCH("1918", O2)), ISERROR(SEARCH("2018", O2))), CHAR(34) &amp; "year18" &amp; CHAR(34) &amp; ",", "")</f>
        <v>"year18",</v>
      </c>
      <c r="DO2" s="44" t="str">
        <f t="shared" ref="DO2:DO15" si="32">IF(AND(ISNUMBER(SEARCH("19", O2)), ISERROR(SEARCH("1819", O2)),  ISERROR(SEARCH("1219", O2)),ISERROR(SEARCH("1119", O2)),ISERROR(SEARCH("1190", O2)),ISERROR(SEARCH("2019", O2))), CHAR(34) &amp; "year19" &amp; CHAR(34) &amp; ",", "")</f>
        <v/>
      </c>
      <c r="DP2" s="5" t="str">
        <f t="shared" ref="DP2:DP15" si="33">IF(AND(ISNUMBER(SEARCH("20", O2)), ISERROR(SEARCH("1920", O2))), CHAR(34)&amp;"year00"&amp;CHAR(34)&amp;",", "")</f>
        <v/>
      </c>
      <c r="DQ2" s="5" t="str">
        <f t="shared" ref="DQ2:DQ15" si="34">IF(CC2="y",CHAR(34)&amp;"soviet"&amp;CHAR(34)&amp;",","")</f>
        <v/>
      </c>
      <c r="DR2" s="5" t="str">
        <f t="shared" ref="DR2:DR15" si="35">IF(BY2="y",CHAR(34)&amp;"dgband"&amp;CHAR(34)&amp;",","")</f>
        <v/>
      </c>
      <c r="DS2" s="5" t="str">
        <f t="shared" ref="DS2:DS15" si="36">IF(W2="y",IF(AND(V2="n",BY2&lt;&gt;"y"),CHAR(34)&amp;"allver"&amp;CHAR(34)&amp;",",""),"")</f>
        <v/>
      </c>
      <c r="DT2" s="5" t="str">
        <f t="shared" ref="DT2:DT15" si="37">IF(V2="y",IF(AND(W2="n",BY2&lt;&gt;"y"),CHAR(34)&amp;"allhor"&amp;CHAR(34)&amp;",",""),"")</f>
        <v>"allhor",</v>
      </c>
      <c r="DU2" s="5" t="str">
        <f t="shared" ref="DU2:DU15" si="38">IF(BY2="y",IF(AND(W2="n",V2="n"),CHAR(34)&amp;"alldia"&amp;CHAR(34)&amp;",",""),"")</f>
        <v/>
      </c>
      <c r="DV2" s="44" t="str">
        <f>IF(IA2&lt;&gt;"",(IF(IA2="y",CHAR(34)&amp;"largec"&amp;CHAR(34)&amp;",",CHAR(34)&amp;"smallc"&amp;CHAR(34)&amp;",")),"")</f>
        <v/>
      </c>
      <c r="DW2" s="44" t="str">
        <f t="shared" ref="DW2:DW15" si="39">IF(CL2="y",CHAR(34)&amp;CL$1&amp;CHAR(34)&amp;",","")</f>
        <v/>
      </c>
      <c r="DX2" s="44" t="str">
        <f t="shared" ref="DX2:DX15" si="40">IF(CM2="y",CHAR(34)&amp;CM$1&amp;CHAR(34)&amp;",","")</f>
        <v>"2Bands",</v>
      </c>
      <c r="DY2" s="44" t="str">
        <f t="shared" ref="DY2:DY15" si="41">IF(CN2="y",CHAR(34)&amp;CN$1&amp;CHAR(34)&amp;",","")</f>
        <v/>
      </c>
      <c r="DZ2" s="44" t="str">
        <f t="shared" ref="DZ2:DZ15" si="42">IF(CO2="y",CHAR(34)&amp;CO$1&amp;CHAR(34)&amp;",","")</f>
        <v/>
      </c>
      <c r="EA2" s="44" t="str">
        <f t="shared" ref="EA2:EA15" si="43">IF(T2="y",CHAR(34)&amp;T$1&amp;CHAR(34)&amp;",","")</f>
        <v/>
      </c>
      <c r="EB2" s="44" t="str">
        <f t="shared" ref="EB2:EB15" si="44">IF(U2="y",CHAR(34)&amp;U$1&amp;CHAR(34)&amp;",","")</f>
        <v/>
      </c>
      <c r="EC2" s="44" t="str">
        <f t="shared" ref="EC2:EC15" si="45">IF(V2="y",CHAR(34)&amp;V$1&amp;CHAR(34)&amp;",","")</f>
        <v>"Horizo",</v>
      </c>
      <c r="ED2" s="44" t="str">
        <f t="shared" ref="ED2:ED15" si="46">IF(W2="y",CHAR(34)&amp;W$1&amp;CHAR(34)&amp;",","")</f>
        <v/>
      </c>
      <c r="EE2" s="44" t="str">
        <f t="shared" ref="EE2:EE15" si="47">IF(X2="y",CHAR(34)&amp;X$1&amp;CHAR(34)&amp;",","")</f>
        <v/>
      </c>
      <c r="EF2" s="44" t="str">
        <f t="shared" ref="EF2:EF15" si="48">IF(AND(Y2&lt;&gt;"n",Y2&lt;&gt;""),CHAR(34)&amp;Y$1&amp;CHAR(34)&amp;",","")</f>
        <v/>
      </c>
      <c r="EG2" s="44" t="str">
        <f t="shared" ref="EG2:EG15" si="49">IF(Z2="y",CHAR(34)&amp;Z$1&amp;CHAR(34)&amp;",","")</f>
        <v/>
      </c>
      <c r="EH2" s="44" t="str">
        <f t="shared" ref="EH2:EH15" si="50">IF(AA2="y",CHAR(34)&amp;AA$1&amp;CHAR(34)&amp;",","")</f>
        <v/>
      </c>
      <c r="EI2" s="44" t="str">
        <f t="shared" ref="EI2:EI15" si="51">IF(AB2="y",CHAR(34)&amp;AB$1&amp;CHAR(34)&amp;",","")</f>
        <v/>
      </c>
      <c r="EJ2" s="44" t="str">
        <f t="shared" ref="EJ2:EJ15" si="52">IF(AC2="y",CHAR(34)&amp;AC$1&amp;CHAR(34)&amp;",","")</f>
        <v/>
      </c>
      <c r="EK2" s="44" t="str">
        <f t="shared" ref="EK2:EK15" si="53">IF(AD2="y",CHAR(34)&amp;AD$1&amp;CHAR(34)&amp;",","")</f>
        <v/>
      </c>
      <c r="EL2" s="44" t="str">
        <f t="shared" ref="EL2:EL15" si="54">IF(AE2="y",CHAR(34)&amp;AE$1&amp;CHAR(34)&amp;",","")</f>
        <v/>
      </c>
      <c r="EM2" s="44" t="str">
        <f t="shared" ref="EM2:EM15" si="55">IF(AF2="y",CHAR(34)&amp;AF$1&amp;CHAR(34)&amp;",","")</f>
        <v/>
      </c>
      <c r="EN2" s="44" t="str">
        <f t="shared" ref="EN2:EN15" si="56">IF(AG2="y",CHAR(34)&amp;AG$1&amp;CHAR(34)&amp;",","")</f>
        <v>"Unequa",</v>
      </c>
      <c r="EO2" s="44" t="str">
        <f t="shared" ref="EO2:EO15" si="57">IF(AH2="y",CHAR(34)&amp;AH$1&amp;CHAR(34)&amp;",","")</f>
        <v/>
      </c>
      <c r="EP2" s="44" t="str">
        <f t="shared" ref="EP2:EP15" si="58">IF(AI2="y",CHAR(34)&amp;AI$1&amp;CHAR(34)&amp;",","")</f>
        <v>"Canton",</v>
      </c>
      <c r="EQ2" s="44" t="str">
        <f t="shared" ref="EQ2:EQ15" si="59">IF(AJ2="y",CHAR(34)&amp;AJ$1&amp;CHAR(34)&amp;",","")</f>
        <v/>
      </c>
      <c r="ER2" s="44" t="str">
        <f t="shared" ref="ER2:ER15" si="60">IF(AK2="y",CHAR(34)&amp;AK$1&amp;CHAR(34)&amp;",","")</f>
        <v/>
      </c>
      <c r="ES2" s="44" t="str">
        <f t="shared" ref="ES2:ES15" si="61">IF(AL2="y",CHAR(34)&amp;AL$1&amp;CHAR(34)&amp;",","")</f>
        <v/>
      </c>
      <c r="ET2" s="44" t="str">
        <f t="shared" ref="ET2:ET15" si="62">IF(AM2="y",CHAR(34)&amp;AM$1&amp;CHAR(34)&amp;",","")</f>
        <v/>
      </c>
      <c r="EU2" s="44" t="str">
        <f t="shared" ref="EU2:EU15" si="63">IF(AN2="y",CHAR(34)&amp;AN$1&amp;CHAR(34)&amp;",","")</f>
        <v/>
      </c>
      <c r="EV2" s="44" t="str">
        <f t="shared" ref="EV2:EV15" si="64">IF(AO2="y",CHAR(34)&amp;AO$1&amp;CHAR(34)&amp;",","")</f>
        <v/>
      </c>
      <c r="EW2" s="44" t="str">
        <f t="shared" ref="EW2:EW15" si="65">IF(AP2="y",CHAR(34)&amp;AP$1&amp;CHAR(34)&amp;",","")</f>
        <v/>
      </c>
      <c r="EX2" s="44" t="str">
        <f t="shared" ref="EX2:EX15" si="66">IF(AQ2="y",CHAR(34)&amp;AQ$1&amp;CHAR(34)&amp;",","")</f>
        <v/>
      </c>
      <c r="EY2" s="44" t="str">
        <f t="shared" ref="EY2:EY15" si="67">IF(AR2="y",CHAR(34)&amp;AR$1&amp;CHAR(34)&amp;",","")</f>
        <v/>
      </c>
      <c r="EZ2" s="44" t="str">
        <f t="shared" ref="EZ2:EZ15" si="68">IF(AS2="y",CHAR(34)&amp;AS$1&amp;CHAR(34)&amp;",","")</f>
        <v/>
      </c>
      <c r="FA2" s="44" t="str">
        <f t="shared" ref="FA2:FA15" si="69">IF(AT2&gt;0,CHAR(34)&amp;"sta"&amp;AZ2&amp;CHAR(34)&amp;",","")</f>
        <v>"staWHI",</v>
      </c>
      <c r="FB2" s="44" t="str">
        <f t="shared" ref="FB2:FB15" si="70">IF(AND(AT2&gt;0,BA2&lt;&gt;""),CHAR(34)&amp;"sta"&amp;BA2&amp;CHAR(34)&amp;",","")</f>
        <v/>
      </c>
      <c r="FC2" s="44" t="str">
        <f>IF(AND(AT2&gt;0,BB2&lt;&gt;""),CHAR(34)&amp;"sta"&amp;BB2&amp;CHAR(34)&amp;",","")</f>
        <v/>
      </c>
      <c r="FD2" s="44" t="str">
        <f t="shared" ref="FD2:FD15" si="71">IF(BV2="n",CHAR(34)&amp;"tcWHYE"&amp;CHAR(34)&amp;",",IF(BV2="y",CHAR(34)&amp;FD$1&amp;CHAR(34)&amp;",",""))</f>
        <v/>
      </c>
      <c r="FE2" s="44" t="str">
        <f t="shared" ref="FE2:FE15" si="72">IF(COUNTIF(BL2:BT2,"BLU")=0,CHAR(34)&amp;"NO_BLU"&amp;CHAR(34)&amp;",", "")</f>
        <v/>
      </c>
      <c r="FF2" s="44" t="str">
        <f t="shared" ref="FF2:FF15" si="73">IF(COUNTIF(BL2:BT2,"WHI")=0,CHAR(34)&amp;"NO_WHI"&amp;CHAR(34)&amp;",", "")</f>
        <v/>
      </c>
      <c r="FG2" s="44" t="str">
        <f t="shared" ref="FG2:FG15" si="74">IF(COUNTIF(BL2:BT2,"RED")=0,CHAR(34)&amp;"NO_RED"&amp;CHAR(34)&amp;",", "")</f>
        <v/>
      </c>
      <c r="FH2" s="44" t="str">
        <f t="shared" ref="FH2:FH15" si="75">IF(COUNTIF(BL2:BS2,"GRE")=0,CHAR(34)&amp;"NO_GRE"&amp;CHAR(34)&amp;",", "")</f>
        <v>"NO_GRE",</v>
      </c>
      <c r="FI2" s="44" t="str">
        <f t="shared" ref="FI2:FI15" si="76">IF(COUNTIF(BL2:BT2,"YEL")=0,CHAR(34)&amp;"NO_YEL"&amp;CHAR(34)&amp;",", "")</f>
        <v>"NO_YEL",</v>
      </c>
      <c r="FJ2" s="44" t="str">
        <f t="shared" ref="FJ2:FJ15" si="77">IF(COUNTIF(BL2:BT2,"BLA")=0,CHAR(34)&amp;"NO_BLA"&amp;CHAR(34)&amp;",", "")</f>
        <v>"NO_BLA",</v>
      </c>
      <c r="FK2" s="44" t="str">
        <f t="shared" ref="FK2:FK15" si="78">IF(AND(FH2&lt;&gt;"",FF2&lt;&gt;""),CHAR(34)&amp;"WHGRNO"&amp;CHAR(34)&amp;",","")</f>
        <v/>
      </c>
      <c r="FL2" s="44" t="str">
        <f t="shared" ref="FL2:FL15" si="79">IF(AND(FI2&lt;&gt;"",FF2&lt;&gt;""),CHAR(34)&amp;"WHYENO"&amp;CHAR(34)&amp;",","")</f>
        <v/>
      </c>
      <c r="FM2" s="44" t="str">
        <f t="shared" ref="FM2:FM15" si="80">IF(AND(FJ2&lt;&gt;"",FF2&lt;&gt;""),CHAR(34)&amp;"BAWHNO"&amp;CHAR(34)&amp;",","")</f>
        <v/>
      </c>
      <c r="FN2" s="44" t="str">
        <f t="shared" ref="FN2:FN15" si="81">IF(AND(FE2&lt;&gt;"",FF2&lt;&gt;""),CHAR(34)&amp;"BLWHNO"&amp;CHAR(34)&amp;",","")</f>
        <v/>
      </c>
      <c r="FO2" s="44" t="str">
        <f t="shared" ref="FO2:FO15" si="82">IF(AND(FE2&lt;&gt;"",FG2&lt;&gt;""),CHAR(34)&amp;"BLRENO"&amp;CHAR(34)&amp;",","")</f>
        <v/>
      </c>
      <c r="FP2" s="44" t="str">
        <f t="shared" ref="FP2:FP15" si="83">IF(AND(FF2&lt;&gt;"",FF2&lt;&gt;""),CHAR(34)&amp;"WHRENO"&amp;CHAR(34)&amp;",","")</f>
        <v/>
      </c>
      <c r="FQ2" s="44" t="str">
        <f t="shared" ref="FQ2:FQ15" si="84">IF(LEN(BF2)=3,CHAR(34)&amp;"001"&amp;BF2&amp;CHAR(34)&amp;",","")</f>
        <v>"001WHI",</v>
      </c>
      <c r="FR2" s="44" t="str">
        <f t="shared" ref="FR2:FR15" si="85">IF(LEN(BG2)=3,CHAR(34)&amp;"002"&amp;BG2&amp;CHAR(34)&amp;",","")</f>
        <v/>
      </c>
      <c r="FS2" s="44" t="str">
        <f t="shared" ref="FS2:FS15" si="86">IF(LEN(BH2)=3,CHAR(34)&amp;"003"&amp;BH2&amp;CHAR(34)&amp;",","")</f>
        <v>"003RED",</v>
      </c>
      <c r="FT2" s="44" t="str">
        <f t="shared" ref="FT2:FT15" si="87">CHAR(34)&amp;"myr"&amp;BD2&amp;CHAR(34)&amp;","</f>
        <v>"myrRED",</v>
      </c>
      <c r="FU2" s="44" t="str">
        <f t="shared" ref="FU2:FU15" si="88">IF(AY2="y",CHAR(34)&amp;"island"&amp;CHAR(34)&amp;",","")</f>
        <v/>
      </c>
      <c r="FV2" s="44" t="str">
        <f t="shared" ref="FV2:FV15" si="89">IF(BZ2="y",CHAR(34)&amp;"landlo"&amp;CHAR(34)&amp;",","")</f>
        <v/>
      </c>
      <c r="FW2" s="44" t="str">
        <f t="shared" ref="FW2:FW15" si="90">IF(CA2="y",CHAR(34)&amp;"eunion"&amp;CHAR(34)&amp;",","")</f>
        <v/>
      </c>
      <c r="FX2" s="44" t="str">
        <f>SUBSTITUTE(IFERROR(SEARCH("[",A2),IFERROR(IF(AND(CA2&lt;&gt;"y",SEARCH("Europe",R2)&gt;0),CHAR(34)&amp;"noeuni"&amp;CHAR(34)&amp;",",""),"")),"1","")</f>
        <v/>
      </c>
      <c r="FY2" s="44" t="str">
        <f t="shared" ref="FY2:FY15" si="91">IFERROR(IF(SEARCH("Arabic",CB2)&gt;0,CHAR(34)&amp;"arabic"&amp;CHAR(34)&amp;",",""),"")</f>
        <v/>
      </c>
      <c r="FZ2" s="44" t="str">
        <f t="shared" ref="FZ2:FZ15" si="92">IFERROR(IF(SEARCH("English",CB2)&gt;0,CHAR(34)&amp;"englis"&amp;CHAR(34)&amp;",",""),"")</f>
        <v/>
      </c>
      <c r="GA2" s="44" t="str">
        <f t="shared" ref="GA2:GA15" si="93">IFERROR(IF(SEARCH("French",CB2)&gt;0,CHAR(34)&amp;"french"&amp;CHAR(34)&amp;",",""),"")</f>
        <v/>
      </c>
      <c r="GB2" s="44" t="str">
        <f t="shared" ref="GB2:GB15" si="94">IFERROR(IF(SEARCH("Spanish",CB2)&gt;0,CHAR(34)&amp;"spanis"&amp;CHAR(34)&amp;",",""),"")</f>
        <v>"spanis",</v>
      </c>
      <c r="GC2" s="44" t="str">
        <f>IFERROR(IF(SEARCH("Portuguese",CB2)&gt;0,CHAR(34)&amp;"portug"&amp;CHAR(34)&amp;",",""),"")</f>
        <v/>
      </c>
      <c r="GD2" s="44" t="str">
        <f>IFERROR(IF(SEARCH("German",CB2)&gt;0,CHAR(34)&amp;"german"&amp;CHAR(34)&amp;",",""),"")</f>
        <v/>
      </c>
      <c r="GE2" s="44" t="str">
        <f t="shared" ref="GE2:GE15" si="95">IFERROR(IF(SEARCH("Dutch",CB2)&gt;0,CHAR(34)&amp;"dutchs"&amp;CHAR(34)&amp;",",""),"")</f>
        <v/>
      </c>
      <c r="GF2" s="44" t="str">
        <f>IFERROR(IF(SEARCH("Histor",AU2)&gt;0,CHAR(34)&amp;"histor"&amp;CHAR(34)&amp;",",""),"")</f>
        <v/>
      </c>
      <c r="GG2" s="44" t="str">
        <f t="shared" ref="GG2:GG15" si="96">IF(BU2="y",CHAR(34)&amp;"unjack"&amp;CHAR(34)&amp;",","")</f>
        <v/>
      </c>
      <c r="GH2" s="44" t="str">
        <f t="shared" ref="GH2:GH15" si="97">IF(CD2=1,CHAR(34)&amp;"southc"&amp;CHAR(34)&amp;",","")</f>
        <v/>
      </c>
      <c r="GI2" s="44" t="str">
        <f t="shared" ref="GI2:GI15" si="98">IF(CE2=1,CHAR(34)&amp;"hasmap"&amp;CHAR(34)&amp;",","")</f>
        <v/>
      </c>
      <c r="GJ2" s="44" t="str">
        <f t="shared" ref="GJ2:GJ15" si="99">IF(CP2="y",CHAR(34)&amp;CP$1&amp;CHAR(34)&amp;",","")</f>
        <v/>
      </c>
      <c r="GK2" s="44" t="str">
        <f t="shared" ref="GK2:GK15" si="100">IF(GJ2="",CHAR(34)&amp;"HasSta"&amp;CHAR(34)&amp;",","")</f>
        <v>"HasSta",</v>
      </c>
      <c r="GL2" s="44" t="str">
        <f t="shared" ref="GL2:GL15" si="101">IF(CQ2="y",CHAR(34)&amp;CQ$1&amp;CHAR(34)&amp;",","")</f>
        <v>"1Stars",</v>
      </c>
      <c r="GM2" s="44" t="str">
        <f t="shared" ref="GM2:GM15" si="102">IF(CR2="y",CHAR(34)&amp;CR$1&amp;CHAR(34)&amp;",","")</f>
        <v/>
      </c>
      <c r="GN2" s="44" t="str">
        <f t="shared" ref="GN2:GN15" si="103">IF(CS2="y",CHAR(34)&amp;CS$1&amp;CHAR(34)&amp;",","")</f>
        <v/>
      </c>
      <c r="GP2" s="44" t="str">
        <f t="shared" ref="GP2:GP15" si="104">CHAR(34)&amp;AU2&amp;CHAR(34)</f>
        <v>""</v>
      </c>
      <c r="GS2" s="44" t="str">
        <f t="shared" ref="GS2:GS15" si="105">SUBSTITUTE("["&amp;_xlfn.CONCAT(CW2:GN2)&amp;"]",",]","]")</f>
        <v>["3Color","lets05","startC","LUEDHI","year18","allhor","2Bands","Horizo","Unequa","Canton","staWHI","NO_GRE","NO_YEL","NO_BLA","001WHI","003RED","myrRED","spanis","HasSta","1Stars"]</v>
      </c>
      <c r="GT2" s="44" t="str">
        <f t="shared" ref="GT2:GT15" si="106">IF(BL2&lt;&gt;"",CHAR(34)&amp;"cl_"&amp;BL2&amp;CHAR(34)&amp;",","")</f>
        <v>"cl_RED",</v>
      </c>
      <c r="GU2" s="44" t="str">
        <f t="shared" ref="GU2:GU15" si="107">IF(BM2&lt;&gt;"",CHAR(34)&amp;"cl_"&amp;BM2&amp;CHAR(34)&amp;",","")</f>
        <v>"cl_WHI",</v>
      </c>
      <c r="GV2" s="44" t="str">
        <f t="shared" ref="GV2:GV15" si="108">IF(BN2&lt;&gt;"",CHAR(34)&amp;"cl_"&amp;BN2&amp;CHAR(34)&amp;",","")</f>
        <v>"cl_BLU",</v>
      </c>
      <c r="GW2" s="44" t="str">
        <f t="shared" ref="GW2:GW15" si="109">IF(BO2&lt;&gt;"",CHAR(34)&amp;"cl_"&amp;BO2&amp;CHAR(34)&amp;",","")</f>
        <v/>
      </c>
      <c r="GX2" s="44" t="str">
        <f t="shared" ref="GX2:GX15" si="110">IF(BP2&lt;&gt;"",CHAR(34)&amp;"cl_"&amp;BP2&amp;CHAR(34)&amp;",","")</f>
        <v/>
      </c>
      <c r="GY2" s="44" t="str">
        <f t="shared" ref="GY2:GY15" si="111">IF(BQ2&lt;&gt;"",CHAR(34)&amp;"cl_"&amp;BQ2&amp;CHAR(34)&amp;",","")</f>
        <v/>
      </c>
      <c r="GZ2" s="44" t="str">
        <f t="shared" ref="GZ2:GZ15" si="112">IF(BR2&lt;&gt;"",CHAR(34)&amp;"cl_"&amp;BR2&amp;CHAR(34)&amp;",","")</f>
        <v/>
      </c>
      <c r="HA2" s="44" t="str">
        <f t="shared" ref="HA2:HA15" si="113">IF(BS2&lt;&gt;"",CHAR(34)&amp;"cl_"&amp;BS2&amp;CHAR(34)&amp;",","")</f>
        <v/>
      </c>
      <c r="HB2" s="44" t="str">
        <f t="shared" ref="HB2:HB15" si="114">IF(BT2&lt;&gt;"",CHAR(34)&amp;"cl_"&amp;BT2&amp;CHAR(34)&amp;",","")</f>
        <v/>
      </c>
      <c r="HC2" s="44" t="str">
        <f t="shared" ref="HC2:HC15" si="115">SUBSTITUTE("["&amp;_xlfn.CONCAT(GT2:HB2)&amp;"]",",]","]")</f>
        <v>["cl_RED","cl_WHI","cl_BLU"]</v>
      </c>
      <c r="HE2" s="64"/>
      <c r="HF2" s="65" t="str">
        <f t="shared" ref="HF2:HF15" si="116">"{couname:"&amp;CT2&amp;(IF(HK2&lt;&gt;"",",subtype:"&amp;CHAR(34)&amp;HK2&amp;CHAR(34),""))&amp;",year:"&amp;HJ2&amp;",region:"&amp;CU2&amp;",Colors:"&amp;HC2&amp;",Items:"&amp;GS2&amp;",Flag:"&amp;CV2&amp;",HDFlag:"&amp;CHAR(34)&amp;E2&amp;CHAR(34)&amp;",type:"&amp;GP2&amp;", describe: "&amp;HH2&amp;", isnew:"&amp;CHAR(34)&amp;F2&amp;CHAR(34)&amp;", links: "&amp;HL2&amp;"},"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links: "https://en.wikipedia.org/wiki/Flag_of_Chile"},</v>
      </c>
      <c r="HG2" s="66" t="str">
        <f t="shared" ref="HG2:HG15" si="117">"{couname:"&amp;CT2&amp;(IF(HK2&lt;&gt;"",",subtype:"&amp;CHAR(34)&amp;HK2&amp;CHAR(34),""))&amp;",year:"&amp;HJ2&amp;",region:"&amp;CU2&amp;",Colors:"&amp;HC2&amp;",Items:"&amp;GS2&amp;",Flag:"&amp;CV2&amp;",HDFlag:"&amp;CHAR(34)&amp;E2&amp;CHAR(34)&amp;",type:"&amp;GP2&amp;", describe: "&amp;HI2&amp;", links: "&amp;HL2&amp;"},"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links: "https://en.wikipedia.org/wiki/Flag_of_Chile"},</v>
      </c>
      <c r="HH2" s="44" t="str">
        <f t="shared" ref="HH2:HH15" si="118">IF(P2&lt;&gt;"",CHAR(34)&amp;"\n"&amp;P2&amp;CHAR(34),CHAR(34)&amp;CHAR(34))</f>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I2" s="44" t="str">
        <f t="shared" ref="HI2:HI15" si="119">IF(J2=0,CHAR(34)&amp;CHAR(34),HH2)</f>
        <v>"\nThe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v>
      </c>
      <c r="HJ2" s="44" t="str">
        <f t="shared" ref="HJ2:HJ15" si="120">CHAR(34)&amp;O2&amp;CHAR(34)</f>
        <v>"1817 "</v>
      </c>
      <c r="HL2" s="44" t="str">
        <f t="shared" ref="HL2:HL15" si="121">CHAR(34)&amp;I2&amp;CHAR(34)</f>
        <v>"https://en.wikipedia.org/wiki/Flag_of_Chile"</v>
      </c>
      <c r="HM2" s="65" t="str">
        <f t="shared" ref="HM2:HM15" si="12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N2" s="67" t="str">
        <f t="shared" ref="HN2:HN15" si="12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{"couname":"Chile","year":"1817 ","region":"rgn_South America","Colors":["cl_RED","cl_WHI","cl_BLU"],"Items":["3Color","lets05","startC","LUEDHI","year18","allhor","2Bands","Horizo","Unequa","Canton","staWHI","NO_GRE","NO_YEL","NO_BLA","001WHI","003RED","myrRED","spanis","HasSta","1Stars"],"Flag":"https://i.ibb.co/YWTPJTk/Chile-Flag.png","HDFlag":"https://upload.wikimedia.org/wikipedia/commons/thumb/7/78/Flag_of_Chile.svg/2560px-Flag_of_Chile.svg.png","type":"", "describe": "\nThe blue square represents the sky and the Pacific Ocean, the white stripe symbolizes the snow-covered Andes mountains, and the red stripe stands for the bloodshed during the fight for independence from Spain. The white star represents Venus and it is a symbol of guidance and honor​ ", "isnew": ".", "links": "https://en.wikipedia.org/wiki/Flag_of_Chile"},</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 t="shared" ref="IM2:IM15" si="124">COUNTIF(IC2:IK2,"&gt;0")-CG2</f>
        <v>-3</v>
      </c>
      <c r="IN2" s="69" t="str">
        <f t="shared" ref="IN2:IN15" si="125">"http://mkweb.bcgsc.ca/color-summarizer/?url="&amp;D2&amp;"&amp;precision=low&amp;num_clusters="&amp;CG2&amp;"&amp;text=1"</f>
        <v>http://mkweb.bcgsc.ca/color-summarizer/?url=https://i.ibb.co/YWTPJTk/Chile-Flag.png&amp;precision=low&amp;num_clusters=3&amp;text=1</v>
      </c>
      <c r="IO2" s="44" t="str">
        <f t="shared" ref="IO2:IO15" si="126">IF(HP2&lt;&gt;"",CHAR(34)&amp;"black"&amp;CHAR(34),"")</f>
        <v/>
      </c>
      <c r="IP2" s="44" t="str">
        <f t="shared" ref="IP2:IP15" si="127">IF(HQ2&lt;&gt;"",CHAR(34)&amp;"blue"&amp;CHAR(34),"")</f>
        <v>"blue"</v>
      </c>
      <c r="IQ2" s="44" t="str">
        <f t="shared" ref="IQ2:IQ15" si="128">IF(HR2&lt;&gt;"",CHAR(34)&amp;"green"&amp;CHAR(34),"")</f>
        <v/>
      </c>
      <c r="IR2" s="44" t="str">
        <f t="shared" ref="IR2:IR15" si="129">IF(HS2&lt;&gt;"",CHAR(34)&amp;"red"&amp;CHAR(34),"")</f>
        <v>"red"</v>
      </c>
      <c r="IS2" s="44" t="str">
        <f t="shared" ref="IS2:IS15" si="130">IF(HT2&lt;&gt;"",CHAR(34)&amp;"yellow"&amp;CHAR(34),"")</f>
        <v/>
      </c>
      <c r="IT2" s="44" t="str">
        <f t="shared" ref="IT2:IT15" si="131">IF(HU2&lt;&gt;"",CHAR(34)&amp;"orange"&amp;CHAR(34),"")</f>
        <v/>
      </c>
      <c r="IU2" s="44" t="str">
        <f t="shared" ref="IU2:IU15" si="132">IF(HV2&lt;&gt;"",CHAR(34)&amp;"brown"&amp;CHAR(34),"")</f>
        <v/>
      </c>
      <c r="IV2" s="44" t="str">
        <f t="shared" ref="IV2:IV15" si="133">IF(HW2&lt;&gt;"",CHAR(34)&amp;"purple"&amp;CHAR(34),"")</f>
        <v/>
      </c>
      <c r="IW2" s="44" t="str">
        <f t="shared" ref="IW2:IW15" si="134">IF(HX2&lt;&gt;"",CHAR(34)&amp;"white"&amp;CHAR(34),"")</f>
        <v>"white"</v>
      </c>
      <c r="IX2" s="44" t="str">
        <f t="shared" ref="IX2:IX15" si="135">"{"&amp;CHAR(34)&amp;"url"&amp;CHAR(34)&amp;":"&amp;CHAR(34)&amp;IN2&amp;CHAR(34)&amp;","&amp;CHAR(34)&amp;"name"&amp;CHAR(34)&amp;":"&amp;CHAR(34)&amp;A2&amp;CHAR(34)&amp;"},"</f>
        <v>{"url":"http://mkweb.bcgsc.ca/color-summarizer/?url=https://i.ibb.co/YWTPJTk/Chile-Flag.png&amp;precision=low&amp;num_clusters=3&amp;text=1","name":"Chile"},</v>
      </c>
      <c r="IY2" s="44">
        <v>45</v>
      </c>
    </row>
    <row r="3" spans="1:259" s="44" customFormat="1" ht="38.4" customHeight="1" thickBot="1" x14ac:dyDescent="0.35">
      <c r="A3" s="84" t="s">
        <v>1757</v>
      </c>
      <c r="B3" s="83" t="e" vm="57">
        <v>#VALUE!</v>
      </c>
      <c r="C3" s="39">
        <v>2</v>
      </c>
      <c r="D3" s="70" t="s">
        <v>548</v>
      </c>
      <c r="E3" s="40" t="s">
        <v>549</v>
      </c>
      <c r="F3" s="41" t="s">
        <v>163</v>
      </c>
      <c r="G3" s="42">
        <f t="shared" si="0"/>
        <v>1</v>
      </c>
      <c r="H3" s="43"/>
      <c r="I3" s="59" t="s">
        <v>550</v>
      </c>
      <c r="J3" s="44" t="str">
        <f>""</f>
        <v/>
      </c>
      <c r="K3" s="45"/>
      <c r="L3" s="46"/>
      <c r="M3" s="46"/>
      <c r="N3" s="47" t="s">
        <v>177</v>
      </c>
      <c r="O3" s="74">
        <v>2005</v>
      </c>
      <c r="P3" s="48" t="s">
        <v>551</v>
      </c>
      <c r="Q3" s="73">
        <v>2</v>
      </c>
      <c r="R3" s="49" t="s">
        <v>177</v>
      </c>
      <c r="S3" s="50">
        <v>0</v>
      </c>
      <c r="T3" s="51" t="s">
        <v>164</v>
      </c>
      <c r="U3" s="52" t="s">
        <v>164</v>
      </c>
      <c r="V3" s="52" t="s">
        <v>164</v>
      </c>
      <c r="W3" s="52" t="s">
        <v>164</v>
      </c>
      <c r="X3" s="52" t="s">
        <v>164</v>
      </c>
      <c r="Y3" s="52" t="s">
        <v>164</v>
      </c>
      <c r="Z3" s="52" t="s">
        <v>164</v>
      </c>
      <c r="AA3" s="52" t="s">
        <v>164</v>
      </c>
      <c r="AB3" s="52" t="s">
        <v>164</v>
      </c>
      <c r="AC3" s="52" t="s">
        <v>164</v>
      </c>
      <c r="AD3" s="52" t="s">
        <v>164</v>
      </c>
      <c r="AE3" s="52" t="s">
        <v>164</v>
      </c>
      <c r="AF3" s="53" t="s">
        <v>164</v>
      </c>
      <c r="AG3" s="53" t="s">
        <v>164</v>
      </c>
      <c r="AH3" s="53" t="s">
        <v>165</v>
      </c>
      <c r="AI3" s="53" t="s">
        <v>164</v>
      </c>
      <c r="AJ3" s="53" t="s">
        <v>164</v>
      </c>
      <c r="AK3" s="53" t="s">
        <v>164</v>
      </c>
      <c r="AL3" s="53" t="s">
        <v>164</v>
      </c>
      <c r="AM3" s="53" t="s">
        <v>164</v>
      </c>
      <c r="AN3" s="53" t="s">
        <v>164</v>
      </c>
      <c r="AO3" s="53" t="s">
        <v>164</v>
      </c>
      <c r="AP3" s="53" t="s">
        <v>164</v>
      </c>
      <c r="AQ3" s="53" t="s">
        <v>164</v>
      </c>
      <c r="AR3" s="53" t="s">
        <v>164</v>
      </c>
      <c r="AS3" s="53" t="s">
        <v>164</v>
      </c>
      <c r="AT3" s="54">
        <v>1</v>
      </c>
      <c r="AU3" s="53" t="s">
        <v>309</v>
      </c>
      <c r="AV3" s="53" t="str">
        <f t="shared" si="1"/>
        <v>[CHL]Region[CHL] Atacama Region</v>
      </c>
      <c r="AW3" s="53" t="str">
        <f t="shared" si="2"/>
        <v>2[CHL] Atacama Region</v>
      </c>
      <c r="AX3" s="55"/>
      <c r="AY3" s="55"/>
      <c r="AZ3" s="56" t="s">
        <v>155</v>
      </c>
      <c r="BA3" s="56" t="s">
        <v>234</v>
      </c>
      <c r="BB3" s="56"/>
      <c r="BC3" s="57"/>
      <c r="BD3" s="58" t="s">
        <v>152</v>
      </c>
      <c r="BE3" s="59"/>
      <c r="BF3" s="58" t="s">
        <v>234</v>
      </c>
      <c r="BG3" s="58" t="s">
        <v>234</v>
      </c>
      <c r="BH3" s="58" t="s">
        <v>234</v>
      </c>
      <c r="BI3" s="58"/>
      <c r="BJ3" s="58"/>
      <c r="BK3" s="59"/>
      <c r="BL3" s="58" t="s">
        <v>234</v>
      </c>
      <c r="BM3" s="58" t="s">
        <v>152</v>
      </c>
      <c r="BN3" s="58" t="s">
        <v>234</v>
      </c>
      <c r="BO3" s="58" t="s">
        <v>234</v>
      </c>
      <c r="BP3" s="58" t="s">
        <v>155</v>
      </c>
      <c r="BQ3" s="58" t="s">
        <v>234</v>
      </c>
      <c r="BR3" s="58" t="s">
        <v>234</v>
      </c>
      <c r="BS3" s="58" t="s">
        <v>234</v>
      </c>
      <c r="BT3" s="58" t="s">
        <v>234</v>
      </c>
      <c r="BU3" s="60"/>
      <c r="BV3" s="61"/>
      <c r="BW3" s="61">
        <v>0</v>
      </c>
      <c r="BX3" s="59"/>
      <c r="CB3" s="5"/>
      <c r="CC3" s="5"/>
      <c r="CD3" s="62">
        <v>0</v>
      </c>
      <c r="CE3" s="62">
        <v>0</v>
      </c>
      <c r="CF3" s="62" t="e">
        <v>#REF!</v>
      </c>
      <c r="CG3" s="75" cm="1">
        <f t="array" ref="CG3">SUMPRODUCT(--(LEN(TRIM(BL3:BT3))&gt;0))</f>
        <v>2</v>
      </c>
      <c r="CH3" s="53" t="str">
        <f t="shared" si="3"/>
        <v>y</v>
      </c>
      <c r="CI3" s="53" t="str">
        <f t="shared" si="4"/>
        <v>n</v>
      </c>
      <c r="CJ3" s="53" t="str">
        <f t="shared" si="5"/>
        <v>n</v>
      </c>
      <c r="CK3" s="53" t="str">
        <f t="shared" si="6"/>
        <v>n</v>
      </c>
      <c r="CL3" s="53" t="str">
        <f t="shared" si="7"/>
        <v>y</v>
      </c>
      <c r="CM3" s="53" t="str">
        <f t="shared" si="8"/>
        <v>n</v>
      </c>
      <c r="CN3" s="53" t="str">
        <f t="shared" si="9"/>
        <v>n</v>
      </c>
      <c r="CO3" s="53" t="str">
        <f t="shared" si="10"/>
        <v>n</v>
      </c>
      <c r="CP3" s="53" t="str">
        <f t="shared" si="11"/>
        <v>n</v>
      </c>
      <c r="CQ3" s="53" t="str">
        <f t="shared" si="12"/>
        <v>y</v>
      </c>
      <c r="CR3" s="53" t="str">
        <f t="shared" si="13"/>
        <v>n</v>
      </c>
      <c r="CS3" s="53" t="str">
        <f t="shared" si="14"/>
        <v>n</v>
      </c>
      <c r="CT3" s="38" t="str">
        <f t="shared" si="15"/>
        <v>"[CHL] Atacama Region"</v>
      </c>
      <c r="CU3" s="63" t="str">
        <f t="shared" si="16"/>
        <v>"rgn_South America"</v>
      </c>
      <c r="CV3" s="44" t="str">
        <f t="shared" si="17"/>
        <v>"https://upload.wikimedia.org/wikipedia/commons/thumb/3/38/Flag_of_Atacama%2C_Chile.svg/640px-Flag_of_Atacama%2C_Chile.svg.png"</v>
      </c>
      <c r="CW3" s="44" t="str">
        <f t="shared" si="18"/>
        <v>"2Color",</v>
      </c>
      <c r="CX3" s="44" t="str">
        <f t="shared" si="19"/>
        <v/>
      </c>
      <c r="CY3" s="44" t="str">
        <f t="shared" si="20"/>
        <v/>
      </c>
      <c r="CZ3" s="44" t="str">
        <f t="shared" si="21"/>
        <v/>
      </c>
      <c r="DA3" s="44" t="str">
        <f t="shared" si="22"/>
        <v>"words2",</v>
      </c>
      <c r="DB3" s="44" t="str">
        <f t="shared" si="23"/>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"lets13",</v>
      </c>
      <c r="DE3" s="44" t="str">
        <f>CHAR(34)&amp;"start"&amp;IFERROR(LEFT(SUBSTITUTE(A3,"["&amp;MID(A3,FIND("[",A3)+1,FIND("]",A3)-FIND("[",A3)-1)&amp;"] ",""),1),LEFT(A3,1))&amp;CHAR(34)&amp;","</f>
        <v>"startA",</v>
      </c>
      <c r="DF3" s="44" t="str">
        <f t="shared" si="24"/>
        <v/>
      </c>
      <c r="DG3" s="44" t="str">
        <f t="shared" si="25"/>
        <v/>
      </c>
      <c r="DH3" s="44" t="str">
        <f t="shared" si="26"/>
        <v/>
      </c>
      <c r="DI3" s="44" t="str">
        <f t="shared" si="27"/>
        <v/>
      </c>
      <c r="DJ3" s="44" t="str">
        <f t="shared" si="28"/>
        <v/>
      </c>
      <c r="DK3" s="44" t="str">
        <f t="shared" si="29"/>
        <v/>
      </c>
      <c r="DL3" s="44" t="str">
        <f t="shared" si="30"/>
        <v>"BLUYEL",</v>
      </c>
      <c r="DM3" s="44" t="str" cm="1">
        <f t="array" ref="DM3">IF(CG3=3,CHAR(34) &amp; _xlfn.TEXTJOIN("", TRUE, RIGHT(HP3:HX3, 2)) &amp; CHAR(34) &amp; ",", "")</f>
        <v/>
      </c>
      <c r="DN3" s="44" t="str">
        <f t="shared" si="31"/>
        <v/>
      </c>
      <c r="DO3" s="44" t="str">
        <f t="shared" si="32"/>
        <v/>
      </c>
      <c r="DP3" s="5" t="str">
        <f t="shared" si="33"/>
        <v>"year00",</v>
      </c>
      <c r="DQ3" s="5" t="str">
        <f t="shared" si="34"/>
        <v/>
      </c>
      <c r="DR3" s="5" t="str">
        <f t="shared" si="35"/>
        <v/>
      </c>
      <c r="DS3" s="5" t="str">
        <f t="shared" si="36"/>
        <v/>
      </c>
      <c r="DT3" s="5" t="str">
        <f t="shared" si="37"/>
        <v/>
      </c>
      <c r="DU3" s="5" t="str">
        <f t="shared" si="38"/>
        <v/>
      </c>
      <c r="DW3" s="44" t="str">
        <f t="shared" si="39"/>
        <v>"NoBand",</v>
      </c>
      <c r="DX3" s="44" t="str">
        <f t="shared" si="40"/>
        <v/>
      </c>
      <c r="DY3" s="44" t="str">
        <f t="shared" si="41"/>
        <v/>
      </c>
      <c r="DZ3" s="44" t="str">
        <f t="shared" si="42"/>
        <v/>
      </c>
      <c r="EA3" s="44" t="str">
        <f t="shared" si="43"/>
        <v/>
      </c>
      <c r="EB3" s="44" t="str">
        <f t="shared" si="44"/>
        <v/>
      </c>
      <c r="EC3" s="44" t="str">
        <f t="shared" si="45"/>
        <v/>
      </c>
      <c r="ED3" s="44" t="str">
        <f t="shared" si="46"/>
        <v/>
      </c>
      <c r="EE3" s="44" t="str">
        <f t="shared" si="47"/>
        <v/>
      </c>
      <c r="EF3" s="44" t="str">
        <f t="shared" si="48"/>
        <v/>
      </c>
      <c r="EG3" s="44" t="str">
        <f t="shared" si="49"/>
        <v/>
      </c>
      <c r="EH3" s="44" t="str">
        <f t="shared" si="50"/>
        <v/>
      </c>
      <c r="EI3" s="44" t="str">
        <f t="shared" si="51"/>
        <v/>
      </c>
      <c r="EJ3" s="44" t="str">
        <f t="shared" si="52"/>
        <v/>
      </c>
      <c r="EK3" s="44" t="str">
        <f t="shared" si="53"/>
        <v/>
      </c>
      <c r="EL3" s="44" t="str">
        <f t="shared" si="54"/>
        <v/>
      </c>
      <c r="EM3" s="44" t="str">
        <f t="shared" si="55"/>
        <v/>
      </c>
      <c r="EN3" s="44" t="str">
        <f t="shared" si="56"/>
        <v/>
      </c>
      <c r="EO3" s="44" t="str">
        <f t="shared" si="57"/>
        <v>"Center",</v>
      </c>
      <c r="EP3" s="44" t="str">
        <f t="shared" si="58"/>
        <v/>
      </c>
      <c r="EQ3" s="44" t="str">
        <f t="shared" si="59"/>
        <v/>
      </c>
      <c r="ER3" s="44" t="str">
        <f t="shared" si="60"/>
        <v/>
      </c>
      <c r="ES3" s="44" t="str">
        <f t="shared" si="61"/>
        <v/>
      </c>
      <c r="ET3" s="44" t="str">
        <f t="shared" si="62"/>
        <v/>
      </c>
      <c r="EU3" s="44" t="str">
        <f t="shared" si="63"/>
        <v/>
      </c>
      <c r="EV3" s="44" t="str">
        <f t="shared" si="64"/>
        <v/>
      </c>
      <c r="EW3" s="44" t="str">
        <f t="shared" si="65"/>
        <v/>
      </c>
      <c r="EX3" s="44" t="str">
        <f t="shared" si="66"/>
        <v/>
      </c>
      <c r="EY3" s="44" t="str">
        <f t="shared" si="67"/>
        <v/>
      </c>
      <c r="EZ3" s="44" t="str">
        <f t="shared" si="68"/>
        <v/>
      </c>
      <c r="FA3" s="44" t="str">
        <f t="shared" si="69"/>
        <v>"staYEL",</v>
      </c>
      <c r="FB3" s="44" t="str">
        <f t="shared" si="70"/>
        <v/>
      </c>
      <c r="FD3" s="44" t="str">
        <f t="shared" si="71"/>
        <v/>
      </c>
      <c r="FE3" s="44" t="str">
        <f t="shared" si="72"/>
        <v/>
      </c>
      <c r="FF3" s="44" t="str">
        <f t="shared" si="73"/>
        <v>"NO_WHI",</v>
      </c>
      <c r="FG3" s="44" t="str">
        <f t="shared" si="74"/>
        <v>"NO_RED",</v>
      </c>
      <c r="FH3" s="44" t="str">
        <f t="shared" si="75"/>
        <v>"NO_GRE",</v>
      </c>
      <c r="FI3" s="44" t="str">
        <f t="shared" si="76"/>
        <v/>
      </c>
      <c r="FJ3" s="44" t="str">
        <f t="shared" si="77"/>
        <v>"NO_BLA",</v>
      </c>
      <c r="FK3" s="44" t="str">
        <f t="shared" si="78"/>
        <v>"WHGRNO",</v>
      </c>
      <c r="FL3" s="44" t="str">
        <f t="shared" si="79"/>
        <v/>
      </c>
      <c r="FM3" s="44" t="str">
        <f t="shared" si="80"/>
        <v>"BAWHNO",</v>
      </c>
      <c r="FN3" s="44" t="str">
        <f t="shared" si="81"/>
        <v/>
      </c>
      <c r="FO3" s="44" t="str">
        <f t="shared" si="82"/>
        <v/>
      </c>
      <c r="FP3" s="44" t="str">
        <f t="shared" si="83"/>
        <v>"WHRENO",</v>
      </c>
      <c r="FQ3" s="44" t="str">
        <f t="shared" si="84"/>
        <v/>
      </c>
      <c r="FR3" s="44" t="str">
        <f t="shared" si="85"/>
        <v/>
      </c>
      <c r="FS3" s="44" t="str">
        <f t="shared" si="86"/>
        <v/>
      </c>
      <c r="FT3" s="44" t="str">
        <f t="shared" si="87"/>
        <v>"myrBLU",</v>
      </c>
      <c r="FU3" s="44" t="str">
        <f t="shared" si="88"/>
        <v/>
      </c>
      <c r="FV3" s="44" t="str">
        <f t="shared" si="89"/>
        <v/>
      </c>
      <c r="FW3" s="44" t="str">
        <f t="shared" si="90"/>
        <v/>
      </c>
      <c r="FY3" s="44" t="str">
        <f t="shared" si="91"/>
        <v/>
      </c>
      <c r="FZ3" s="44" t="str">
        <f t="shared" si="92"/>
        <v/>
      </c>
      <c r="GA3" s="44" t="str">
        <f t="shared" si="93"/>
        <v/>
      </c>
      <c r="GB3" s="44" t="str">
        <f t="shared" si="94"/>
        <v/>
      </c>
      <c r="GE3" s="44" t="str">
        <f t="shared" si="95"/>
        <v/>
      </c>
      <c r="GF3" s="44" t="str">
        <f t="shared" ref="GF3:GF15" si="136">IFERROR(IF(SEARCH("Historical",AU3)&gt;0,CHAR(34)&amp;"histor"&amp;CHAR(34)&amp;",",""),"")</f>
        <v/>
      </c>
      <c r="GG3" s="44" t="str">
        <f t="shared" si="96"/>
        <v/>
      </c>
      <c r="GH3" s="44" t="str">
        <f t="shared" si="97"/>
        <v/>
      </c>
      <c r="GI3" s="44" t="str">
        <f t="shared" si="98"/>
        <v/>
      </c>
      <c r="GJ3" s="44" t="str">
        <f t="shared" si="99"/>
        <v/>
      </c>
      <c r="GK3" s="44" t="str">
        <f t="shared" si="100"/>
        <v>"HasSta",</v>
      </c>
      <c r="GL3" s="44" t="str">
        <f t="shared" si="101"/>
        <v>"1Stars",</v>
      </c>
      <c r="GM3" s="44" t="str">
        <f t="shared" si="102"/>
        <v/>
      </c>
      <c r="GN3" s="44" t="str">
        <f t="shared" si="103"/>
        <v/>
      </c>
      <c r="GP3" s="44" t="str">
        <f t="shared" si="104"/>
        <v>"Region"</v>
      </c>
      <c r="GS3" s="44" t="str">
        <f t="shared" si="105"/>
        <v>["2Color","words2","lets13","startA","BLUYEL","year00","NoBand","Center","staYEL","NO_WHI","NO_RED","NO_GRE","NO_BLA","WHGRNO","BAWHNO","WHRENO","myrBLU","HasSta","1Stars"]</v>
      </c>
      <c r="GT3" s="44" t="str">
        <f t="shared" si="106"/>
        <v/>
      </c>
      <c r="GU3" s="44" t="str">
        <f t="shared" si="107"/>
        <v>"cl_BLU",</v>
      </c>
      <c r="GV3" s="44" t="str">
        <f t="shared" si="108"/>
        <v/>
      </c>
      <c r="GW3" s="44" t="str">
        <f t="shared" si="109"/>
        <v/>
      </c>
      <c r="GX3" s="44" t="str">
        <f t="shared" si="110"/>
        <v>"cl_YEL",</v>
      </c>
      <c r="GY3" s="44" t="str">
        <f t="shared" si="111"/>
        <v/>
      </c>
      <c r="GZ3" s="44" t="str">
        <f t="shared" si="112"/>
        <v/>
      </c>
      <c r="HA3" s="44" t="str">
        <f t="shared" si="113"/>
        <v/>
      </c>
      <c r="HB3" s="44" t="str">
        <f t="shared" si="114"/>
        <v/>
      </c>
      <c r="HC3" s="44" t="str">
        <f t="shared" si="115"/>
        <v>["cl_BLU","cl_YEL"]</v>
      </c>
      <c r="HE3" s="64"/>
      <c r="HF3" s="65" t="str">
        <f t="shared" si="116"/>
        <v>{couname:"[CHL] Atacama Region",year:"2005",region:"rgn_South America",Colors:["cl_BLU","cl_YEL"],Items:["2Color","words2","lets13","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links: "https://www.crwflags.com/fotw/flags/cl-03.html#about "},</v>
      </c>
      <c r="HG3" s="66" t="str">
        <f t="shared" si="117"/>
        <v>{couname:"[CHL] Atacama Region",year:"2005",region:"rgn_South America",Colors:["cl_BLU","cl_YEL"],Items:["2Color","words2","lets13","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links: "https://www.crwflags.com/fotw/flags/cl-03.html#about "},</v>
      </c>
      <c r="HH3" s="44" t="str">
        <f t="shared" si="118"/>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I3" s="44" t="str">
        <f t="shared" si="119"/>
        <v>"\nAccording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v>
      </c>
      <c r="HJ3" s="44" t="str">
        <f t="shared" si="120"/>
        <v>"2005"</v>
      </c>
      <c r="HL3" s="44" t="str">
        <f t="shared" si="121"/>
        <v>"https://www.crwflags.com/fotw/flags/cl-03.html#about "</v>
      </c>
      <c r="HM3" s="65" t="str">
        <f t="shared" si="122"/>
        <v>{"couname":"[CHL] Atacama Region","year":"2005","region":"rgn_South America","Colors":["cl_BLU","cl_YEL"],"Items":["2Color","words2","lets13","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N3" s="67" t="str">
        <f t="shared" si="123"/>
        <v>{"couname":"[CHL] Atacama Region","year":"2005","region":"rgn_South America","Colors":["cl_BLU","cl_YEL"],"Items":["2Color","words2","lets13","startA","BLUYEL","year00","NoBand","Center","staYEL","NO_WHI","NO_RED","NO_GRE","NO_BLA","WHGRNO","BAWHNO","WHRENO","myrBLU","HasSta","1Stars"],"Flag":"https://upload.wikimedia.org/wikipedia/commons/thumb/3/38/Flag_of_Atacama%2C_Chile.svg/640px-Flag_of_Atacama%2C_Chile.svg.png","HDFlag":"https://upload.wikimedia.org/wikipedia/commons/thumb/3/38/Flag_of_Atacama%2C_Chile.svg/2560px-Flag_of_Atacama%2C_Chile.svg.png","type":"Region", "describe": "\nAccording to information at es.wikipedia.org/wiki/Bandera_de_la_III_Región_de_Atacama, the flag of 3rd Region was created during a revolution in 1859. The colors blue and yellow and the star they represent the liberal ideas that motivated the revolution. It was re-adopted as the respective Regional Government in 2005.", "isnew": ".", "links": "https://www.crwflags.com/fotw/flags/cl-03.html#about "},</v>
      </c>
      <c r="HO3" s="71">
        <v>45618</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 t="shared" si="124"/>
        <v>-2</v>
      </c>
      <c r="IN3" s="69" t="str">
        <f t="shared" si="125"/>
        <v>http://mkweb.bcgsc.ca/color-summarizer/?url=https://upload.wikimedia.org/wikipedia/commons/thumb/3/38/Flag_of_Atacama%2C_Chile.svg/640px-Flag_of_Atacama%2C_Chile.svg.png&amp;precision=low&amp;num_clusters=2&amp;text=1</v>
      </c>
      <c r="IO3" s="44" t="str">
        <f t="shared" si="126"/>
        <v/>
      </c>
      <c r="IP3" s="44" t="str">
        <f t="shared" si="127"/>
        <v>"blue"</v>
      </c>
      <c r="IQ3" s="44" t="str">
        <f t="shared" si="128"/>
        <v/>
      </c>
      <c r="IR3" s="44" t="str">
        <f t="shared" si="129"/>
        <v/>
      </c>
      <c r="IS3" s="44" t="str">
        <f t="shared" si="130"/>
        <v>"yellow"</v>
      </c>
      <c r="IT3" s="44" t="str">
        <f t="shared" si="131"/>
        <v/>
      </c>
      <c r="IU3" s="44" t="str">
        <f t="shared" si="132"/>
        <v/>
      </c>
      <c r="IV3" s="44" t="str">
        <f t="shared" si="133"/>
        <v/>
      </c>
      <c r="IW3" s="44" t="str">
        <f t="shared" si="134"/>
        <v/>
      </c>
      <c r="IX3" s="44" t="str">
        <f t="shared" si="135"/>
        <v>{"url":"http://mkweb.bcgsc.ca/color-summarizer/?url=https://upload.wikimedia.org/wikipedia/commons/thumb/3/38/Flag_of_Atacama%2C_Chile.svg/640px-Flag_of_Atacama%2C_Chile.svg.png&amp;precision=low&amp;num_clusters=2&amp;text=1","name":"[CHL] Atacama Region"},</v>
      </c>
      <c r="IY3" s="44">
        <v>959</v>
      </c>
    </row>
    <row r="4" spans="1:259" s="44" customFormat="1" ht="38.4" customHeight="1" thickBot="1" x14ac:dyDescent="0.35">
      <c r="A4" s="84" t="s">
        <v>556</v>
      </c>
      <c r="B4" s="83" t="e" vm="58">
        <v>#VALUE!</v>
      </c>
      <c r="C4" s="39">
        <v>2</v>
      </c>
      <c r="D4" s="70" t="s">
        <v>557</v>
      </c>
      <c r="E4" s="40" t="s">
        <v>557</v>
      </c>
      <c r="F4" s="41" t="s">
        <v>163</v>
      </c>
      <c r="G4" s="42">
        <f t="shared" si="0"/>
        <v>1</v>
      </c>
      <c r="H4" s="43"/>
      <c r="I4" s="59" t="s">
        <v>558</v>
      </c>
      <c r="J4" s="44" t="str">
        <f>""</f>
        <v/>
      </c>
      <c r="K4" s="45"/>
      <c r="L4" s="46"/>
      <c r="M4" s="46"/>
      <c r="N4" s="47" t="s">
        <v>177</v>
      </c>
      <c r="O4" s="74" t="s">
        <v>233</v>
      </c>
      <c r="P4" s="48" t="s">
        <v>559</v>
      </c>
      <c r="Q4" s="73">
        <v>2</v>
      </c>
      <c r="R4" s="49" t="s">
        <v>177</v>
      </c>
      <c r="S4" s="50">
        <v>0</v>
      </c>
      <c r="T4" s="51" t="s">
        <v>164</v>
      </c>
      <c r="U4" s="52" t="s">
        <v>164</v>
      </c>
      <c r="V4" s="52" t="s">
        <v>165</v>
      </c>
      <c r="W4" s="52" t="s">
        <v>165</v>
      </c>
      <c r="X4" s="52" t="s">
        <v>164</v>
      </c>
      <c r="Y4" s="52" t="s">
        <v>165</v>
      </c>
      <c r="Z4" s="52" t="s">
        <v>164</v>
      </c>
      <c r="AA4" s="52" t="s">
        <v>165</v>
      </c>
      <c r="AB4" s="52" t="s">
        <v>165</v>
      </c>
      <c r="AC4" s="52" t="s">
        <v>164</v>
      </c>
      <c r="AD4" s="52" t="s">
        <v>164</v>
      </c>
      <c r="AE4" s="52" t="s">
        <v>164</v>
      </c>
      <c r="AF4" s="53" t="s">
        <v>164</v>
      </c>
      <c r="AG4" s="53" t="s">
        <v>164</v>
      </c>
      <c r="AH4" s="53" t="s">
        <v>165</v>
      </c>
      <c r="AI4" s="53" t="s">
        <v>164</v>
      </c>
      <c r="AJ4" s="53" t="s">
        <v>164</v>
      </c>
      <c r="AK4" s="53" t="s">
        <v>164</v>
      </c>
      <c r="AL4" s="53" t="s">
        <v>164</v>
      </c>
      <c r="AM4" s="53" t="s">
        <v>165</v>
      </c>
      <c r="AN4" s="53" t="s">
        <v>165</v>
      </c>
      <c r="AO4" s="53" t="s">
        <v>164</v>
      </c>
      <c r="AP4" s="53" t="s">
        <v>164</v>
      </c>
      <c r="AQ4" s="53" t="s">
        <v>164</v>
      </c>
      <c r="AR4" s="53" t="s">
        <v>164</v>
      </c>
      <c r="AS4" s="53" t="s">
        <v>164</v>
      </c>
      <c r="AT4" s="54">
        <v>17</v>
      </c>
      <c r="AU4" s="53" t="s">
        <v>309</v>
      </c>
      <c r="AV4" s="53" t="str">
        <f t="shared" si="1"/>
        <v>[CHL]Region[CHL] Aysén Region</v>
      </c>
      <c r="AW4" s="53" t="str">
        <f t="shared" si="2"/>
        <v>2[CHL] Aysén Region</v>
      </c>
      <c r="AX4" s="55"/>
      <c r="AY4" s="55"/>
      <c r="AZ4" s="56" t="s">
        <v>151</v>
      </c>
      <c r="BA4" s="56" t="s">
        <v>151</v>
      </c>
      <c r="BB4" s="56"/>
      <c r="BC4" s="57"/>
      <c r="BD4" s="58" t="s">
        <v>151</v>
      </c>
      <c r="BE4" s="59"/>
      <c r="BF4" s="58" t="s">
        <v>234</v>
      </c>
      <c r="BG4" s="58" t="s">
        <v>234</v>
      </c>
      <c r="BH4" s="58" t="s">
        <v>234</v>
      </c>
      <c r="BI4" s="58"/>
      <c r="BJ4" s="58"/>
      <c r="BK4" s="59"/>
      <c r="BL4" s="58" t="s">
        <v>151</v>
      </c>
      <c r="BM4" s="58" t="s">
        <v>152</v>
      </c>
      <c r="BN4" s="58" t="s">
        <v>153</v>
      </c>
      <c r="BO4" s="58" t="s">
        <v>234</v>
      </c>
      <c r="BP4" s="58" t="s">
        <v>155</v>
      </c>
      <c r="BQ4" s="58" t="s">
        <v>156</v>
      </c>
      <c r="BR4" s="58" t="s">
        <v>157</v>
      </c>
      <c r="BS4" s="58" t="s">
        <v>158</v>
      </c>
      <c r="BT4" s="58" t="s">
        <v>159</v>
      </c>
      <c r="BU4" s="60"/>
      <c r="BV4" s="61"/>
      <c r="BW4" s="61">
        <v>0</v>
      </c>
      <c r="BX4" s="59"/>
      <c r="CB4" s="5"/>
      <c r="CC4" s="5"/>
      <c r="CD4" s="62">
        <v>0</v>
      </c>
      <c r="CE4" s="62">
        <v>0</v>
      </c>
      <c r="CF4" s="62" t="e">
        <v>#REF!</v>
      </c>
      <c r="CG4" s="75" cm="1">
        <f t="array" ref="CG4">SUMPRODUCT(--(LEN(TRIM(BL4:BT4))&gt;0))</f>
        <v>8</v>
      </c>
      <c r="CH4" s="53" t="str">
        <f t="shared" si="3"/>
        <v>n</v>
      </c>
      <c r="CI4" s="53" t="str">
        <f t="shared" si="4"/>
        <v>n</v>
      </c>
      <c r="CJ4" s="53" t="str">
        <f t="shared" si="5"/>
        <v>n</v>
      </c>
      <c r="CK4" s="53" t="str">
        <f t="shared" si="6"/>
        <v>y</v>
      </c>
      <c r="CL4" s="53" t="str">
        <f t="shared" si="7"/>
        <v>y</v>
      </c>
      <c r="CM4" s="53" t="str">
        <f t="shared" si="8"/>
        <v>n</v>
      </c>
      <c r="CN4" s="53" t="str">
        <f t="shared" si="9"/>
        <v>n</v>
      </c>
      <c r="CO4" s="53" t="str">
        <f t="shared" si="10"/>
        <v>n</v>
      </c>
      <c r="CP4" s="53" t="str">
        <f t="shared" si="11"/>
        <v>n</v>
      </c>
      <c r="CQ4" s="53" t="str">
        <f t="shared" si="12"/>
        <v>n</v>
      </c>
      <c r="CR4" s="53" t="str">
        <f t="shared" si="13"/>
        <v>n</v>
      </c>
      <c r="CS4" s="53" t="str">
        <f t="shared" si="14"/>
        <v>y</v>
      </c>
      <c r="CT4" s="38" t="str">
        <f t="shared" si="15"/>
        <v>"[CHL] Aysén Region"</v>
      </c>
      <c r="CU4" s="63" t="str">
        <f t="shared" si="16"/>
        <v>"rgn_South America"</v>
      </c>
      <c r="CV4" s="44" t="str">
        <f t="shared" si="17"/>
        <v>"https://www.crwflags.com/fotw/images/c/cl-11.gif"</v>
      </c>
      <c r="CW4" s="44" t="str">
        <f t="shared" si="18"/>
        <v/>
      </c>
      <c r="CX4" s="44" t="str">
        <f t="shared" si="19"/>
        <v/>
      </c>
      <c r="CY4" s="44" t="str">
        <f t="shared" si="20"/>
        <v/>
      </c>
      <c r="CZ4" s="44" t="str">
        <f t="shared" si="21"/>
        <v>"5+Colo",</v>
      </c>
      <c r="DA4" s="44" t="str">
        <f t="shared" si="22"/>
        <v>"words2",</v>
      </c>
      <c r="DB4" s="44" t="str">
        <f t="shared" si="23"/>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"lets11",</v>
      </c>
      <c r="DE4" s="44" t="str">
        <f>CHAR(34)&amp;"start"&amp;IFERROR(LEFT(SUBSTITUTE(A4,"["&amp;MID(A4,FIND("[",A4)+1,FIND("]",A4)-FIND("[",A4)-1)&amp;"] ",""),1),LEFT(A4,1))&amp;CHAR(34)&amp;","</f>
        <v>"startA",</v>
      </c>
      <c r="DF4" s="44" t="str">
        <f t="shared" si="24"/>
        <v/>
      </c>
      <c r="DG4" s="44" t="str">
        <f t="shared" si="25"/>
        <v/>
      </c>
      <c r="DH4" s="44" t="str">
        <f t="shared" si="26"/>
        <v/>
      </c>
      <c r="DI4" s="44" t="str">
        <f t="shared" si="27"/>
        <v/>
      </c>
      <c r="DJ4" s="44" t="str">
        <f t="shared" si="28"/>
        <v>"with_y",</v>
      </c>
      <c r="DK4" s="44" t="str">
        <f t="shared" si="29"/>
        <v/>
      </c>
      <c r="DL4" s="44" t="str">
        <f t="shared" si="30"/>
        <v/>
      </c>
      <c r="DM4" s="44" t="str" cm="1">
        <f t="array" ref="DM4">IF(CG4=3,CHAR(34) &amp; _xlfn.TEXTJOIN("", TRUE, RIGHT(HP4:HX4, 2)) &amp; CHAR(34) &amp; ",", "")</f>
        <v/>
      </c>
      <c r="DN4" s="44" t="str">
        <f t="shared" si="31"/>
        <v/>
      </c>
      <c r="DO4" s="44" t="str">
        <f t="shared" si="32"/>
        <v/>
      </c>
      <c r="DP4" s="5" t="str">
        <f t="shared" si="33"/>
        <v/>
      </c>
      <c r="DQ4" s="5" t="str">
        <f t="shared" si="34"/>
        <v/>
      </c>
      <c r="DR4" s="5" t="str">
        <f t="shared" si="35"/>
        <v/>
      </c>
      <c r="DS4" s="5" t="str">
        <f t="shared" si="36"/>
        <v/>
      </c>
      <c r="DT4" s="5" t="str">
        <f t="shared" si="37"/>
        <v/>
      </c>
      <c r="DU4" s="5" t="str">
        <f t="shared" si="38"/>
        <v/>
      </c>
      <c r="DW4" s="44" t="str">
        <f t="shared" si="39"/>
        <v>"NoBand",</v>
      </c>
      <c r="DX4" s="44" t="str">
        <f t="shared" si="40"/>
        <v/>
      </c>
      <c r="DY4" s="44" t="str">
        <f t="shared" si="41"/>
        <v/>
      </c>
      <c r="DZ4" s="44" t="str">
        <f t="shared" si="42"/>
        <v/>
      </c>
      <c r="EA4" s="44" t="str">
        <f t="shared" si="43"/>
        <v/>
      </c>
      <c r="EB4" s="44" t="str">
        <f t="shared" si="44"/>
        <v/>
      </c>
      <c r="EC4" s="44" t="str">
        <f t="shared" si="45"/>
        <v>"Horizo",</v>
      </c>
      <c r="ED4" s="44" t="str">
        <f t="shared" si="46"/>
        <v>"Vertic",</v>
      </c>
      <c r="EE4" s="44" t="str">
        <f t="shared" si="47"/>
        <v/>
      </c>
      <c r="EF4" s="44" t="str">
        <f t="shared" si="48"/>
        <v>"Animal",</v>
      </c>
      <c r="EG4" s="44" t="str">
        <f t="shared" si="49"/>
        <v/>
      </c>
      <c r="EH4" s="44" t="str">
        <f t="shared" si="50"/>
        <v>"Plants",</v>
      </c>
      <c r="EI4" s="44" t="str">
        <f t="shared" si="51"/>
        <v>"Texted",</v>
      </c>
      <c r="EJ4" s="44" t="str">
        <f t="shared" si="52"/>
        <v/>
      </c>
      <c r="EK4" s="44" t="str">
        <f t="shared" si="53"/>
        <v/>
      </c>
      <c r="EL4" s="44" t="str">
        <f t="shared" si="54"/>
        <v/>
      </c>
      <c r="EM4" s="44" t="str">
        <f t="shared" si="55"/>
        <v/>
      </c>
      <c r="EN4" s="44" t="str">
        <f t="shared" si="56"/>
        <v/>
      </c>
      <c r="EO4" s="44" t="str">
        <f t="shared" si="57"/>
        <v>"Center",</v>
      </c>
      <c r="EP4" s="44" t="str">
        <f t="shared" si="58"/>
        <v/>
      </c>
      <c r="EQ4" s="44" t="str">
        <f t="shared" si="59"/>
        <v/>
      </c>
      <c r="ER4" s="44" t="str">
        <f t="shared" si="60"/>
        <v/>
      </c>
      <c r="ES4" s="44" t="str">
        <f t="shared" si="61"/>
        <v/>
      </c>
      <c r="ET4" s="44" t="str">
        <f t="shared" si="62"/>
        <v>"Geogrh",</v>
      </c>
      <c r="EU4" s="44" t="str">
        <f t="shared" si="63"/>
        <v>"Humans",</v>
      </c>
      <c r="EV4" s="44" t="str">
        <f t="shared" si="64"/>
        <v/>
      </c>
      <c r="EW4" s="44" t="str">
        <f t="shared" si="65"/>
        <v/>
      </c>
      <c r="EX4" s="44" t="str">
        <f t="shared" si="66"/>
        <v/>
      </c>
      <c r="EY4" s="44" t="str">
        <f t="shared" si="67"/>
        <v/>
      </c>
      <c r="EZ4" s="44" t="str">
        <f t="shared" si="68"/>
        <v/>
      </c>
      <c r="FA4" s="44" t="str">
        <f t="shared" si="69"/>
        <v>"staBLA",</v>
      </c>
      <c r="FB4" s="44" t="str">
        <f t="shared" si="70"/>
        <v>"staBLA",</v>
      </c>
      <c r="FD4" s="44" t="str">
        <f t="shared" si="71"/>
        <v/>
      </c>
      <c r="FE4" s="44" t="str">
        <f t="shared" si="72"/>
        <v/>
      </c>
      <c r="FF4" s="44" t="str">
        <f t="shared" si="73"/>
        <v/>
      </c>
      <c r="FG4" s="44" t="str">
        <f t="shared" si="74"/>
        <v>"NO_RED",</v>
      </c>
      <c r="FH4" s="44" t="str">
        <f t="shared" si="75"/>
        <v/>
      </c>
      <c r="FI4" s="44" t="str">
        <f t="shared" si="76"/>
        <v/>
      </c>
      <c r="FJ4" s="44" t="str">
        <f t="shared" si="77"/>
        <v/>
      </c>
      <c r="FK4" s="44" t="str">
        <f t="shared" si="78"/>
        <v/>
      </c>
      <c r="FL4" s="44" t="str">
        <f t="shared" si="79"/>
        <v/>
      </c>
      <c r="FM4" s="44" t="str">
        <f t="shared" si="80"/>
        <v/>
      </c>
      <c r="FN4" s="44" t="str">
        <f t="shared" si="81"/>
        <v/>
      </c>
      <c r="FO4" s="44" t="str">
        <f t="shared" si="82"/>
        <v/>
      </c>
      <c r="FP4" s="44" t="str">
        <f t="shared" si="83"/>
        <v/>
      </c>
      <c r="FQ4" s="44" t="str">
        <f t="shared" si="84"/>
        <v/>
      </c>
      <c r="FR4" s="44" t="str">
        <f t="shared" si="85"/>
        <v/>
      </c>
      <c r="FS4" s="44" t="str">
        <f t="shared" si="86"/>
        <v/>
      </c>
      <c r="FT4" s="44" t="str">
        <f t="shared" si="87"/>
        <v>"myrBLA",</v>
      </c>
      <c r="FU4" s="44" t="str">
        <f t="shared" si="88"/>
        <v/>
      </c>
      <c r="FV4" s="44" t="str">
        <f t="shared" si="89"/>
        <v/>
      </c>
      <c r="FW4" s="44" t="str">
        <f t="shared" si="90"/>
        <v/>
      </c>
      <c r="FY4" s="44" t="str">
        <f t="shared" si="91"/>
        <v/>
      </c>
      <c r="FZ4" s="44" t="str">
        <f t="shared" si="92"/>
        <v/>
      </c>
      <c r="GA4" s="44" t="str">
        <f t="shared" si="93"/>
        <v/>
      </c>
      <c r="GB4" s="44" t="str">
        <f t="shared" si="94"/>
        <v/>
      </c>
      <c r="GE4" s="44" t="str">
        <f t="shared" si="95"/>
        <v/>
      </c>
      <c r="GF4" s="44" t="str">
        <f t="shared" si="136"/>
        <v/>
      </c>
      <c r="GG4" s="44" t="str">
        <f t="shared" si="96"/>
        <v/>
      </c>
      <c r="GH4" s="44" t="str">
        <f t="shared" si="97"/>
        <v/>
      </c>
      <c r="GI4" s="44" t="str">
        <f t="shared" si="98"/>
        <v/>
      </c>
      <c r="GJ4" s="44" t="str">
        <f t="shared" si="99"/>
        <v/>
      </c>
      <c r="GK4" s="44" t="str">
        <f t="shared" si="100"/>
        <v>"HasSta",</v>
      </c>
      <c r="GL4" s="44" t="str">
        <f t="shared" si="101"/>
        <v/>
      </c>
      <c r="GM4" s="44" t="str">
        <f t="shared" si="102"/>
        <v/>
      </c>
      <c r="GN4" s="44" t="str">
        <f t="shared" si="103"/>
        <v>"3+Star",</v>
      </c>
      <c r="GP4" s="44" t="str">
        <f t="shared" si="104"/>
        <v>"Region"</v>
      </c>
      <c r="GS4" s="44" t="str">
        <f t="shared" si="105"/>
        <v>["5+Colo","words2","lets11","startA","with_y","NoBand","Horizo","Vertic","Animal","Plants","Texted","Center","Geogrh","Humans","staBLA","staBLA","NO_RED","myrBLA","HasSta","3+Star"]</v>
      </c>
      <c r="GT4" s="44" t="str">
        <f t="shared" si="106"/>
        <v>"cl_BLA",</v>
      </c>
      <c r="GU4" s="44" t="str">
        <f t="shared" si="107"/>
        <v>"cl_BLU",</v>
      </c>
      <c r="GV4" s="44" t="str">
        <f t="shared" si="108"/>
        <v>"cl_GRE",</v>
      </c>
      <c r="GW4" s="44" t="str">
        <f t="shared" si="109"/>
        <v/>
      </c>
      <c r="GX4" s="44" t="str">
        <f t="shared" si="110"/>
        <v>"cl_YEL",</v>
      </c>
      <c r="GY4" s="44" t="str">
        <f t="shared" si="111"/>
        <v>"cl_ORA",</v>
      </c>
      <c r="GZ4" s="44" t="str">
        <f t="shared" si="112"/>
        <v>"cl_BRO",</v>
      </c>
      <c r="HA4" s="44" t="str">
        <f t="shared" si="113"/>
        <v>"cl_PUR",</v>
      </c>
      <c r="HB4" s="44" t="str">
        <f t="shared" si="114"/>
        <v>"cl_WHI",</v>
      </c>
      <c r="HC4" s="44" t="str">
        <f t="shared" si="115"/>
        <v>["cl_BLA","cl_BLU","cl_GRE","cl_YEL","cl_ORA","cl_BRO","cl_PUR","cl_WHI"]</v>
      </c>
      <c r="HE4" s="64"/>
      <c r="HF4" s="65" t="str">
        <f t="shared" si="116"/>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links: "https://www.crwflags.com/fotw/flags/cl-11.html "},</v>
      </c>
      <c r="HG4" s="66" t="str">
        <f t="shared" si="117"/>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links: "https://www.crwflags.com/fotw/flags/cl-11.html "},</v>
      </c>
      <c r="HH4" s="44" t="str">
        <f t="shared" si="118"/>
        <v>"\nXI Region Aysén does not appear to have an official flag. The de facto flag consists of the regional coat of arms on a white field. It is similar to the previous flag, which was also unofficial."</v>
      </c>
      <c r="HI4" s="44" t="str">
        <f t="shared" si="119"/>
        <v>"\nXI Region Aysén does not appear to have an official flag. The de facto flag consists of the regional coat of arms on a white field. It is similar to the previous flag, which was also unofficial."</v>
      </c>
      <c r="HJ4" s="44" t="str">
        <f t="shared" si="120"/>
        <v>"???"</v>
      </c>
      <c r="HL4" s="44" t="str">
        <f t="shared" si="121"/>
        <v>"https://www.crwflags.com/fotw/flags/cl-11.html "</v>
      </c>
      <c r="HM4" s="65" t="str">
        <f t="shared" si="122"/>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N4" s="67" t="str">
        <f t="shared" si="123"/>
        <v>{"couname":"[CHL] Aysén Region","year":"???","region":"rgn_South America","Colors":["cl_BLA","cl_BLU","cl_GRE","cl_YEL","cl_ORA","cl_BRO","cl_PUR","cl_WHI"],"Items":["5+Colo","words2","lets11","startA","with_y","NoBand","Horizo","Vertic","Animal","Plants","Texted","Center","Geogrh","Humans","staBLA","staBLA","NO_RED","myrBLA","HasSta","3+Star"],"Flag":"https://www.crwflags.com/fotw/images/c/cl-11.gif","HDFlag":"https://www.crwflags.com/fotw/images/c/cl-11.gif","type":"Region", "describe": "\nXI Region Aysén does not appear to have an official flag. The de facto flag consists of the regional coat of arms on a white field. It is similar to the previous flag, which was also unofficial.", "isnew": ".", "links": "https://www.crwflags.com/fotw/flags/cl-11.html "},</v>
      </c>
      <c r="HO4" s="71">
        <v>45618</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
      </c>
      <c r="HT4" s="44" t="str" cm="1">
        <f t="array" ref="HT4">IF(_xlfn.TEXTJOIN(", ", TRUE, IF(ISNUMBER(SEARCH("YEL", BL4:BT4)), COLUMN(BL4:BT4) - COLUMN(BL4) + 1, ""))&lt;&gt;"","YEL","")</f>
        <v>YEL</v>
      </c>
      <c r="HU4" s="44" t="str" cm="1">
        <f t="array" ref="HU4">IF(_xlfn.TEXTJOIN(", ", TRUE, IF(ISNUMBER(SEARCH("ORA", BL4:BT4)), COLUMN(BL4:BT4) - COLUMN(BL4) + 1, ""))&lt;&gt;"","ORA","")</f>
        <v>ORA</v>
      </c>
      <c r="HV4" s="44" t="str" cm="1">
        <f t="array" ref="HV4">IF(_xlfn.TEXTJOIN(", ", TRUE, IF(ISNUMBER(SEARCH("BRO", BL4:BT4)), COLUMN(BL4:BT4) - COLUMN(BL4) + 1, ""))&lt;&gt;"","BRO","")</f>
        <v>BRO</v>
      </c>
      <c r="HW4" s="44" t="str" cm="1">
        <f t="array" ref="HW4">IF(_xlfn.TEXTJOIN(", ", TRUE, IF(ISNUMBER(SEARCH("PUR", BL4:BT4)), COLUMN(BL4:BT4) - COLUMN(BL4) + 1, ""))&lt;&gt;"","PUR","")</f>
        <v>PUR</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 t="shared" si="124"/>
        <v>-8</v>
      </c>
      <c r="IN4" s="69" t="str">
        <f t="shared" si="125"/>
        <v>http://mkweb.bcgsc.ca/color-summarizer/?url=https://www.crwflags.com/fotw/images/c/cl-11.gif&amp;precision=low&amp;num_clusters=8&amp;text=1</v>
      </c>
      <c r="IO4" s="44" t="str">
        <f t="shared" si="126"/>
        <v>"black"</v>
      </c>
      <c r="IP4" s="44" t="str">
        <f t="shared" si="127"/>
        <v>"blue"</v>
      </c>
      <c r="IQ4" s="44" t="str">
        <f t="shared" si="128"/>
        <v>"green"</v>
      </c>
      <c r="IR4" s="44" t="str">
        <f t="shared" si="129"/>
        <v/>
      </c>
      <c r="IS4" s="44" t="str">
        <f t="shared" si="130"/>
        <v>"yellow"</v>
      </c>
      <c r="IT4" s="44" t="str">
        <f t="shared" si="131"/>
        <v>"orange"</v>
      </c>
      <c r="IU4" s="44" t="str">
        <f t="shared" si="132"/>
        <v>"brown"</v>
      </c>
      <c r="IV4" s="44" t="str">
        <f t="shared" si="133"/>
        <v>"purple"</v>
      </c>
      <c r="IW4" s="44" t="str">
        <f t="shared" si="134"/>
        <v>"white"</v>
      </c>
      <c r="IX4" s="44" t="str">
        <f t="shared" si="135"/>
        <v>{"url":"http://mkweb.bcgsc.ca/color-summarizer/?url=https://www.crwflags.com/fotw/images/c/cl-11.gif&amp;precision=low&amp;num_clusters=8&amp;text=1","name":"[CHL] Aysén Region"},</v>
      </c>
      <c r="IY4" s="44">
        <v>961</v>
      </c>
    </row>
    <row r="5" spans="1:259" s="44" customFormat="1" ht="38.4" customHeight="1" thickBot="1" x14ac:dyDescent="0.35">
      <c r="A5" s="84" t="s">
        <v>560</v>
      </c>
      <c r="B5" s="83" t="e" vm="59">
        <v>#VALUE!</v>
      </c>
      <c r="C5" s="39">
        <v>2</v>
      </c>
      <c r="D5" s="70" t="s">
        <v>561</v>
      </c>
      <c r="E5" s="40" t="s">
        <v>561</v>
      </c>
      <c r="F5" s="41" t="s">
        <v>163</v>
      </c>
      <c r="G5" s="42">
        <f t="shared" si="0"/>
        <v>1</v>
      </c>
      <c r="H5" s="43"/>
      <c r="I5" s="59" t="s">
        <v>562</v>
      </c>
      <c r="J5" s="44" t="str">
        <f>""</f>
        <v/>
      </c>
      <c r="K5" s="45"/>
      <c r="L5" s="46"/>
      <c r="M5" s="46"/>
      <c r="N5" s="47" t="s">
        <v>177</v>
      </c>
      <c r="O5" s="74" t="s">
        <v>233</v>
      </c>
      <c r="P5" s="48" t="s">
        <v>563</v>
      </c>
      <c r="Q5" s="73">
        <v>2</v>
      </c>
      <c r="R5" s="49" t="s">
        <v>177</v>
      </c>
      <c r="S5" s="50">
        <v>0</v>
      </c>
      <c r="T5" s="51" t="s">
        <v>165</v>
      </c>
      <c r="U5" s="52" t="s">
        <v>165</v>
      </c>
      <c r="V5" s="52" t="s">
        <v>165</v>
      </c>
      <c r="W5" s="52" t="s">
        <v>164</v>
      </c>
      <c r="X5" s="52" t="s">
        <v>165</v>
      </c>
      <c r="Y5" s="52" t="s">
        <v>165</v>
      </c>
      <c r="Z5" s="52" t="s">
        <v>165</v>
      </c>
      <c r="AA5" s="52" t="s">
        <v>165</v>
      </c>
      <c r="AB5" s="52" t="s">
        <v>165</v>
      </c>
      <c r="AC5" s="52" t="s">
        <v>164</v>
      </c>
      <c r="AD5" s="52" t="s">
        <v>164</v>
      </c>
      <c r="AE5" s="52" t="s">
        <v>164</v>
      </c>
      <c r="AF5" s="53" t="s">
        <v>164</v>
      </c>
      <c r="AG5" s="53" t="s">
        <v>164</v>
      </c>
      <c r="AH5" s="53" t="s">
        <v>165</v>
      </c>
      <c r="AI5" s="53" t="s">
        <v>164</v>
      </c>
      <c r="AJ5" s="53" t="s">
        <v>164</v>
      </c>
      <c r="AK5" s="53" t="s">
        <v>164</v>
      </c>
      <c r="AL5" s="53" t="s">
        <v>164</v>
      </c>
      <c r="AM5" s="53" t="s">
        <v>164</v>
      </c>
      <c r="AN5" s="53" t="s">
        <v>164</v>
      </c>
      <c r="AO5" s="53" t="s">
        <v>165</v>
      </c>
      <c r="AP5" s="53" t="s">
        <v>164</v>
      </c>
      <c r="AQ5" s="53" t="s">
        <v>165</v>
      </c>
      <c r="AR5" s="53" t="s">
        <v>164</v>
      </c>
      <c r="AS5" s="53" t="s">
        <v>164</v>
      </c>
      <c r="AT5" s="54">
        <v>0</v>
      </c>
      <c r="AU5" s="53" t="s">
        <v>309</v>
      </c>
      <c r="AV5" s="53" t="str">
        <f t="shared" si="1"/>
        <v>[CHL]Region[CHL] Biobío Region</v>
      </c>
      <c r="AW5" s="53" t="str">
        <f t="shared" si="2"/>
        <v>2[CHL] Biobío Region</v>
      </c>
      <c r="AX5" s="55"/>
      <c r="AY5" s="55"/>
      <c r="AZ5" s="56" t="s">
        <v>234</v>
      </c>
      <c r="BA5" s="56" t="s">
        <v>234</v>
      </c>
      <c r="BB5" s="56"/>
      <c r="BC5" s="57"/>
      <c r="BD5" s="58" t="s">
        <v>159</v>
      </c>
      <c r="BE5" s="59"/>
      <c r="BF5" s="58" t="s">
        <v>234</v>
      </c>
      <c r="BG5" s="58" t="s">
        <v>234</v>
      </c>
      <c r="BH5" s="58" t="s">
        <v>234</v>
      </c>
      <c r="BI5" s="58"/>
      <c r="BJ5" s="58"/>
      <c r="BK5" s="59"/>
      <c r="BL5" s="58" t="s">
        <v>151</v>
      </c>
      <c r="BM5" s="58" t="s">
        <v>152</v>
      </c>
      <c r="BN5" s="58" t="s">
        <v>153</v>
      </c>
      <c r="BO5" s="58" t="s">
        <v>154</v>
      </c>
      <c r="BP5" s="58" t="s">
        <v>155</v>
      </c>
      <c r="BQ5" s="58" t="s">
        <v>234</v>
      </c>
      <c r="BR5" s="58" t="s">
        <v>234</v>
      </c>
      <c r="BS5" s="58" t="s">
        <v>234</v>
      </c>
      <c r="BT5" s="58" t="s">
        <v>159</v>
      </c>
      <c r="BU5" s="60"/>
      <c r="BV5" s="61"/>
      <c r="BW5" s="61">
        <v>0</v>
      </c>
      <c r="BX5" s="59"/>
      <c r="BY5" s="44" t="s">
        <v>164</v>
      </c>
      <c r="CB5" s="5"/>
      <c r="CC5" s="5"/>
      <c r="CD5" s="62">
        <v>0</v>
      </c>
      <c r="CE5" s="62">
        <v>0</v>
      </c>
      <c r="CF5" s="62" t="e">
        <v>#REF!</v>
      </c>
      <c r="CG5" s="75" cm="1">
        <f t="array" ref="CG5">SUMPRODUCT(--(LEN(TRIM(BL5:BT5))&gt;0))</f>
        <v>6</v>
      </c>
      <c r="CH5" s="53" t="str">
        <f t="shared" si="3"/>
        <v>n</v>
      </c>
      <c r="CI5" s="53" t="str">
        <f t="shared" si="4"/>
        <v>n</v>
      </c>
      <c r="CJ5" s="53" t="str">
        <f t="shared" si="5"/>
        <v>n</v>
      </c>
      <c r="CK5" s="53" t="str">
        <f t="shared" si="6"/>
        <v>y</v>
      </c>
      <c r="CL5" s="53" t="str">
        <f t="shared" si="7"/>
        <v>y</v>
      </c>
      <c r="CM5" s="53" t="str">
        <f t="shared" si="8"/>
        <v>n</v>
      </c>
      <c r="CN5" s="53" t="str">
        <f t="shared" si="9"/>
        <v>n</v>
      </c>
      <c r="CO5" s="53" t="str">
        <f t="shared" si="10"/>
        <v>n</v>
      </c>
      <c r="CP5" s="53" t="str">
        <f t="shared" si="11"/>
        <v>y</v>
      </c>
      <c r="CQ5" s="53" t="str">
        <f t="shared" si="12"/>
        <v>n</v>
      </c>
      <c r="CR5" s="53" t="str">
        <f t="shared" si="13"/>
        <v>n</v>
      </c>
      <c r="CS5" s="53" t="str">
        <f t="shared" si="14"/>
        <v>n</v>
      </c>
      <c r="CT5" s="38" t="str">
        <f t="shared" si="15"/>
        <v>"[CHL] Biobío Region"</v>
      </c>
      <c r="CU5" s="63" t="str">
        <f t="shared" si="16"/>
        <v>"rgn_South America"</v>
      </c>
      <c r="CV5" s="44" t="str">
        <f t="shared" si="17"/>
        <v>"https://www.crwflags.com/fotw/images/c/cl-08t.gif"</v>
      </c>
      <c r="CW5" s="44" t="str">
        <f t="shared" si="18"/>
        <v/>
      </c>
      <c r="CX5" s="44" t="str">
        <f t="shared" si="19"/>
        <v/>
      </c>
      <c r="CY5" s="44" t="str">
        <f t="shared" si="20"/>
        <v/>
      </c>
      <c r="CZ5" s="44" t="str">
        <f t="shared" si="21"/>
        <v>"5+Colo",</v>
      </c>
      <c r="DA5" s="44" t="str">
        <f t="shared" si="22"/>
        <v>"words2",</v>
      </c>
      <c r="DB5" s="44" t="str">
        <f t="shared" si="23"/>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"lets12",</v>
      </c>
      <c r="DE5" s="44" t="str">
        <f>CHAR(34)&amp;"start"&amp;IFERROR(LEFT(SUBSTITUTE(A5,"["&amp;MID(A5,FIND("[",A5)+1,FIND("]",A5)-FIND("[",A5)-1)&amp;"] ",""),1),LEFT(A5,1))&amp;CHAR(34)&amp;","</f>
        <v>"startB",</v>
      </c>
      <c r="DF5" s="44" t="str">
        <f t="shared" si="24"/>
        <v/>
      </c>
      <c r="DG5" s="44" t="str">
        <f t="shared" si="25"/>
        <v/>
      </c>
      <c r="DH5" s="44" t="str">
        <f t="shared" si="26"/>
        <v/>
      </c>
      <c r="DI5" s="44" t="str">
        <f t="shared" si="27"/>
        <v/>
      </c>
      <c r="DJ5" s="44" t="str">
        <f t="shared" si="28"/>
        <v/>
      </c>
      <c r="DK5" s="44" t="str">
        <f t="shared" si="29"/>
        <v/>
      </c>
      <c r="DL5" s="44" t="str">
        <f t="shared" si="30"/>
        <v/>
      </c>
      <c r="DM5" s="44" t="str" cm="1">
        <f t="array" ref="DM5">IF(CG5=3,CHAR(34) &amp; _xlfn.TEXTJOIN("", TRUE, RIGHT(HP5:HX5, 2)) &amp; CHAR(34) &amp; ",", "")</f>
        <v/>
      </c>
      <c r="DN5" s="44" t="str">
        <f t="shared" si="31"/>
        <v/>
      </c>
      <c r="DO5" s="44" t="str">
        <f t="shared" si="32"/>
        <v/>
      </c>
      <c r="DP5" s="5" t="str">
        <f t="shared" si="33"/>
        <v/>
      </c>
      <c r="DQ5" s="5" t="str">
        <f t="shared" si="34"/>
        <v/>
      </c>
      <c r="DR5" s="5" t="str">
        <f t="shared" si="35"/>
        <v/>
      </c>
      <c r="DS5" s="5" t="str">
        <f t="shared" si="36"/>
        <v/>
      </c>
      <c r="DT5" s="5" t="str">
        <f t="shared" si="37"/>
        <v>"allhor",</v>
      </c>
      <c r="DU5" s="5" t="str">
        <f t="shared" si="38"/>
        <v/>
      </c>
      <c r="DW5" s="44" t="str">
        <f t="shared" si="39"/>
        <v>"NoBand",</v>
      </c>
      <c r="DX5" s="44" t="str">
        <f t="shared" si="40"/>
        <v/>
      </c>
      <c r="DY5" s="44" t="str">
        <f t="shared" si="41"/>
        <v/>
      </c>
      <c r="DZ5" s="44" t="str">
        <f t="shared" si="42"/>
        <v/>
      </c>
      <c r="EA5" s="44" t="str">
        <f t="shared" si="43"/>
        <v>"Diagon",</v>
      </c>
      <c r="EB5" s="44" t="str">
        <f t="shared" si="44"/>
        <v>"Crosse",</v>
      </c>
      <c r="EC5" s="44" t="str">
        <f t="shared" si="45"/>
        <v>"Horizo",</v>
      </c>
      <c r="ED5" s="44" t="str">
        <f t="shared" si="46"/>
        <v/>
      </c>
      <c r="EE5" s="44" t="str">
        <f t="shared" si="47"/>
        <v>"Circle",</v>
      </c>
      <c r="EF5" s="44" t="str">
        <f t="shared" si="48"/>
        <v>"Animal",</v>
      </c>
      <c r="EG5" s="44" t="str">
        <f t="shared" si="49"/>
        <v>"Bird",</v>
      </c>
      <c r="EH5" s="44" t="str">
        <f t="shared" si="50"/>
        <v>"Plants",</v>
      </c>
      <c r="EI5" s="44" t="str">
        <f t="shared" si="51"/>
        <v>"Texted",</v>
      </c>
      <c r="EJ5" s="44" t="str">
        <f t="shared" si="52"/>
        <v/>
      </c>
      <c r="EK5" s="44" t="str">
        <f t="shared" si="53"/>
        <v/>
      </c>
      <c r="EL5" s="44" t="str">
        <f t="shared" si="54"/>
        <v/>
      </c>
      <c r="EM5" s="44" t="str">
        <f t="shared" si="55"/>
        <v/>
      </c>
      <c r="EN5" s="44" t="str">
        <f t="shared" si="56"/>
        <v/>
      </c>
      <c r="EO5" s="44" t="str">
        <f t="shared" si="57"/>
        <v>"Center",</v>
      </c>
      <c r="EP5" s="44" t="str">
        <f t="shared" si="58"/>
        <v/>
      </c>
      <c r="EQ5" s="44" t="str">
        <f t="shared" si="59"/>
        <v/>
      </c>
      <c r="ER5" s="44" t="str">
        <f t="shared" si="60"/>
        <v/>
      </c>
      <c r="ES5" s="44" t="str">
        <f t="shared" si="61"/>
        <v/>
      </c>
      <c r="ET5" s="44" t="str">
        <f t="shared" si="62"/>
        <v/>
      </c>
      <c r="EU5" s="44" t="str">
        <f t="shared" si="63"/>
        <v/>
      </c>
      <c r="EV5" s="44" t="str">
        <f t="shared" si="64"/>
        <v>"Builds",</v>
      </c>
      <c r="EW5" s="44" t="str">
        <f t="shared" si="65"/>
        <v/>
      </c>
      <c r="EX5" s="44" t="str">
        <f t="shared" si="66"/>
        <v>"Crowns",</v>
      </c>
      <c r="EY5" s="44" t="str">
        <f t="shared" si="67"/>
        <v/>
      </c>
      <c r="EZ5" s="44" t="str">
        <f t="shared" si="68"/>
        <v/>
      </c>
      <c r="FA5" s="44" t="str">
        <f t="shared" si="69"/>
        <v/>
      </c>
      <c r="FB5" s="44" t="str">
        <f t="shared" si="70"/>
        <v/>
      </c>
      <c r="FD5" s="44" t="str">
        <f t="shared" si="71"/>
        <v/>
      </c>
      <c r="FE5" s="44" t="str">
        <f t="shared" si="72"/>
        <v/>
      </c>
      <c r="FF5" s="44" t="str">
        <f t="shared" si="73"/>
        <v/>
      </c>
      <c r="FG5" s="44" t="str">
        <f t="shared" si="74"/>
        <v/>
      </c>
      <c r="FH5" s="44" t="str">
        <f t="shared" si="75"/>
        <v/>
      </c>
      <c r="FI5" s="44" t="str">
        <f t="shared" si="76"/>
        <v/>
      </c>
      <c r="FJ5" s="44" t="str">
        <f t="shared" si="77"/>
        <v/>
      </c>
      <c r="FK5" s="44" t="str">
        <f t="shared" si="78"/>
        <v/>
      </c>
      <c r="FL5" s="44" t="str">
        <f t="shared" si="79"/>
        <v/>
      </c>
      <c r="FM5" s="44" t="str">
        <f t="shared" si="80"/>
        <v/>
      </c>
      <c r="FN5" s="44" t="str">
        <f t="shared" si="81"/>
        <v/>
      </c>
      <c r="FO5" s="44" t="str">
        <f t="shared" si="82"/>
        <v/>
      </c>
      <c r="FP5" s="44" t="str">
        <f t="shared" si="83"/>
        <v/>
      </c>
      <c r="FQ5" s="44" t="str">
        <f t="shared" si="84"/>
        <v/>
      </c>
      <c r="FR5" s="44" t="str">
        <f t="shared" si="85"/>
        <v/>
      </c>
      <c r="FS5" s="44" t="str">
        <f t="shared" si="86"/>
        <v/>
      </c>
      <c r="FT5" s="44" t="str">
        <f t="shared" si="87"/>
        <v>"myrWHI",</v>
      </c>
      <c r="FU5" s="44" t="str">
        <f t="shared" si="88"/>
        <v/>
      </c>
      <c r="FV5" s="44" t="str">
        <f t="shared" si="89"/>
        <v/>
      </c>
      <c r="FW5" s="44" t="str">
        <f t="shared" si="90"/>
        <v/>
      </c>
      <c r="FY5" s="44" t="str">
        <f t="shared" si="91"/>
        <v/>
      </c>
      <c r="FZ5" s="44" t="str">
        <f t="shared" si="92"/>
        <v/>
      </c>
      <c r="GA5" s="44" t="str">
        <f t="shared" si="93"/>
        <v/>
      </c>
      <c r="GB5" s="44" t="str">
        <f t="shared" si="94"/>
        <v/>
      </c>
      <c r="GE5" s="44" t="str">
        <f t="shared" si="95"/>
        <v/>
      </c>
      <c r="GF5" s="44" t="str">
        <f t="shared" si="136"/>
        <v/>
      </c>
      <c r="GG5" s="44" t="str">
        <f t="shared" si="96"/>
        <v/>
      </c>
      <c r="GH5" s="44" t="str">
        <f t="shared" si="97"/>
        <v/>
      </c>
      <c r="GI5" s="44" t="str">
        <f t="shared" si="98"/>
        <v/>
      </c>
      <c r="GJ5" s="44" t="str">
        <f t="shared" si="99"/>
        <v>"NoStar",</v>
      </c>
      <c r="GK5" s="44" t="str">
        <f t="shared" si="100"/>
        <v/>
      </c>
      <c r="GL5" s="44" t="str">
        <f t="shared" si="101"/>
        <v/>
      </c>
      <c r="GM5" s="44" t="str">
        <f t="shared" si="102"/>
        <v/>
      </c>
      <c r="GN5" s="44" t="str">
        <f t="shared" si="103"/>
        <v/>
      </c>
      <c r="GP5" s="44" t="str">
        <f t="shared" si="104"/>
        <v>"Region"</v>
      </c>
      <c r="GS5" s="44" t="str">
        <f t="shared" si="105"/>
        <v>["5+Colo","words2","lets12","startB","allhor","NoBand","Diagon","Crosse","Horizo","Circle","Animal","Bird","Plants","Texted","Center","Builds","Crowns","myrWHI","NoStar"]</v>
      </c>
      <c r="GT5" s="44" t="str">
        <f t="shared" si="106"/>
        <v>"cl_BLA",</v>
      </c>
      <c r="GU5" s="44" t="str">
        <f t="shared" si="107"/>
        <v>"cl_BLU",</v>
      </c>
      <c r="GV5" s="44" t="str">
        <f t="shared" si="108"/>
        <v>"cl_GRE",</v>
      </c>
      <c r="GW5" s="44" t="str">
        <f t="shared" si="109"/>
        <v>"cl_RED",</v>
      </c>
      <c r="GX5" s="44" t="str">
        <f t="shared" si="110"/>
        <v>"cl_YEL",</v>
      </c>
      <c r="GY5" s="44" t="str">
        <f t="shared" si="111"/>
        <v/>
      </c>
      <c r="GZ5" s="44" t="str">
        <f t="shared" si="112"/>
        <v/>
      </c>
      <c r="HA5" s="44" t="str">
        <f t="shared" si="113"/>
        <v/>
      </c>
      <c r="HB5" s="44" t="str">
        <f t="shared" si="114"/>
        <v>"cl_WHI",</v>
      </c>
      <c r="HC5" s="44" t="str">
        <f t="shared" si="115"/>
        <v>["cl_BLA","cl_BLU","cl_GRE","cl_RED","cl_YEL","cl_WHI"]</v>
      </c>
      <c r="HE5" s="64"/>
      <c r="HF5" s="65" t="str">
        <f t="shared" si="116"/>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isnew:".", links: "https://www.crwflags.com/fotw/flags/cl-08.html"},</v>
      </c>
      <c r="HG5" s="66" t="str">
        <f t="shared" si="117"/>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links: "https://www.crwflags.com/fotw/flags/cl-08.html"},</v>
      </c>
      <c r="HH5" s="44" t="str">
        <f t="shared" si="118"/>
        <v>"\nIt is white with coat of arms.\n"</v>
      </c>
      <c r="HI5" s="44" t="str">
        <f t="shared" si="119"/>
        <v>"\nIt is white with coat of arms.\n"</v>
      </c>
      <c r="HJ5" s="44" t="str">
        <f t="shared" si="120"/>
        <v>"???"</v>
      </c>
      <c r="HL5" s="44" t="str">
        <f t="shared" si="121"/>
        <v>"https://www.crwflags.com/fotw/flags/cl-08.html"</v>
      </c>
      <c r="HM5" s="65" t="str">
        <f t="shared" si="122"/>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"isnew": ".", "links": "https://www.crwflags.com/fotw/flags/cl-08.html"},</v>
      </c>
      <c r="HN5" s="67" t="str">
        <f t="shared" si="123"/>
        <v>{"couname":"[CHL] Biobío Region","year":"???","region":"rgn_South America","Colors":["cl_BLA","cl_BLU","cl_GRE","cl_RED","cl_YEL","cl_WHI"],"Items":["5+Colo","words2","lets12","startB","allhor","NoBand","Diagon","Crosse","Horizo","Circle","Animal","Bird","Plants","Texted","Center","Builds","Crowns","myrWHI","NoStar"],"Flag":"https://www.crwflags.com/fotw/images/c/cl-08t.gif","HDFlag":"https://www.crwflags.com/fotw/images/c/cl-08t.gif","type":"Region", "describe": "\nIt is white with coat of arms.\n", "isnew": ".", "links": "https://www.crwflags.com/fotw/flags/cl-08.html"},</v>
      </c>
      <c r="HO5" s="71">
        <v>45618</v>
      </c>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 t="shared" si="124"/>
        <v>-6</v>
      </c>
      <c r="IN5" s="69" t="str">
        <f t="shared" si="125"/>
        <v>http://mkweb.bcgsc.ca/color-summarizer/?url=https://www.crwflags.com/fotw/images/c/cl-08t.gif&amp;precision=low&amp;num_clusters=6&amp;text=1</v>
      </c>
      <c r="IO5" s="44" t="str">
        <f t="shared" si="126"/>
        <v>"black"</v>
      </c>
      <c r="IP5" s="44" t="str">
        <f t="shared" si="127"/>
        <v>"blue"</v>
      </c>
      <c r="IQ5" s="44" t="str">
        <f t="shared" si="128"/>
        <v>"green"</v>
      </c>
      <c r="IR5" s="44" t="str">
        <f t="shared" si="129"/>
        <v>"red"</v>
      </c>
      <c r="IS5" s="44" t="str">
        <f t="shared" si="130"/>
        <v>"yellow"</v>
      </c>
      <c r="IT5" s="44" t="str">
        <f t="shared" si="131"/>
        <v/>
      </c>
      <c r="IU5" s="44" t="str">
        <f t="shared" si="132"/>
        <v/>
      </c>
      <c r="IV5" s="44" t="str">
        <f t="shared" si="133"/>
        <v/>
      </c>
      <c r="IW5" s="44" t="str">
        <f t="shared" si="134"/>
        <v>"white"</v>
      </c>
      <c r="IX5" s="44" t="str">
        <f t="shared" si="135"/>
        <v>{"url":"http://mkweb.bcgsc.ca/color-summarizer/?url=https://www.crwflags.com/fotw/images/c/cl-08t.gif&amp;precision=low&amp;num_clusters=6&amp;text=1","name":"[CHL] Biobío Region"},</v>
      </c>
      <c r="IY5" s="44">
        <v>962</v>
      </c>
    </row>
    <row r="6" spans="1:259" s="44" customFormat="1" ht="38.4" customHeight="1" thickBot="1" x14ac:dyDescent="0.35">
      <c r="A6" s="84" t="s">
        <v>564</v>
      </c>
      <c r="B6" s="83" t="e" vm="60">
        <v>#VALUE!</v>
      </c>
      <c r="C6" s="39">
        <v>2</v>
      </c>
      <c r="D6" s="70" t="s">
        <v>565</v>
      </c>
      <c r="E6" s="40" t="s">
        <v>565</v>
      </c>
      <c r="F6" s="41" t="s">
        <v>163</v>
      </c>
      <c r="G6" s="42">
        <f t="shared" si="0"/>
        <v>1</v>
      </c>
      <c r="H6" s="43"/>
      <c r="I6" s="59" t="s">
        <v>566</v>
      </c>
      <c r="J6" s="44" t="str">
        <f>""</f>
        <v/>
      </c>
      <c r="K6" s="45"/>
      <c r="L6" s="46"/>
      <c r="M6" s="46"/>
      <c r="N6" s="47" t="s">
        <v>177</v>
      </c>
      <c r="O6" s="74">
        <v>2000</v>
      </c>
      <c r="P6" s="48" t="s">
        <v>567</v>
      </c>
      <c r="Q6" s="73">
        <v>2</v>
      </c>
      <c r="R6" s="49" t="s">
        <v>177</v>
      </c>
      <c r="S6" s="50">
        <v>0</v>
      </c>
      <c r="T6" s="51" t="s">
        <v>165</v>
      </c>
      <c r="U6" s="52" t="s">
        <v>165</v>
      </c>
      <c r="V6" s="52" t="s">
        <v>165</v>
      </c>
      <c r="W6" s="52" t="s">
        <v>164</v>
      </c>
      <c r="X6" s="52" t="s">
        <v>165</v>
      </c>
      <c r="Y6" s="52" t="s">
        <v>164</v>
      </c>
      <c r="Z6" s="52" t="s">
        <v>164</v>
      </c>
      <c r="AA6" s="52" t="s">
        <v>164</v>
      </c>
      <c r="AB6" s="52" t="s">
        <v>164</v>
      </c>
      <c r="AC6" s="52" t="s">
        <v>164</v>
      </c>
      <c r="AD6" s="52" t="s">
        <v>165</v>
      </c>
      <c r="AE6" s="52" t="s">
        <v>164</v>
      </c>
      <c r="AF6" s="53" t="s">
        <v>164</v>
      </c>
      <c r="AG6" s="53" t="s">
        <v>164</v>
      </c>
      <c r="AH6" s="53" t="s">
        <v>164</v>
      </c>
      <c r="AI6" s="53" t="s">
        <v>164</v>
      </c>
      <c r="AJ6" s="53" t="s">
        <v>164</v>
      </c>
      <c r="AK6" s="53" t="s">
        <v>164</v>
      </c>
      <c r="AL6" s="53" t="s">
        <v>164</v>
      </c>
      <c r="AM6" s="53" t="s">
        <v>165</v>
      </c>
      <c r="AN6" s="53" t="s">
        <v>164</v>
      </c>
      <c r="AO6" s="53" t="s">
        <v>164</v>
      </c>
      <c r="AP6" s="53" t="s">
        <v>164</v>
      </c>
      <c r="AQ6" s="53" t="s">
        <v>164</v>
      </c>
      <c r="AR6" s="53" t="s">
        <v>164</v>
      </c>
      <c r="AS6" s="53" t="s">
        <v>164</v>
      </c>
      <c r="AT6" s="54">
        <v>6</v>
      </c>
      <c r="AU6" s="53" t="s">
        <v>309</v>
      </c>
      <c r="AV6" s="53" t="str">
        <f t="shared" si="1"/>
        <v>[CHL]Region[CHL] Coquimbo Region</v>
      </c>
      <c r="AW6" s="53" t="str">
        <f t="shared" si="2"/>
        <v>2[CHL] Coquimbo Region</v>
      </c>
      <c r="AX6" s="55"/>
      <c r="AY6" s="55"/>
      <c r="AZ6" s="56" t="s">
        <v>159</v>
      </c>
      <c r="BA6" s="56" t="s">
        <v>234</v>
      </c>
      <c r="BB6" s="56"/>
      <c r="BC6" s="57"/>
      <c r="BD6" s="58" t="s">
        <v>153</v>
      </c>
      <c r="BE6" s="59"/>
      <c r="BF6" s="58" t="s">
        <v>234</v>
      </c>
      <c r="BG6" s="58" t="s">
        <v>234</v>
      </c>
      <c r="BH6" s="58" t="s">
        <v>234</v>
      </c>
      <c r="BI6" s="58"/>
      <c r="BJ6" s="58"/>
      <c r="BK6" s="59"/>
      <c r="BL6" s="58" t="s">
        <v>234</v>
      </c>
      <c r="BM6" s="58" t="s">
        <v>152</v>
      </c>
      <c r="BN6" s="58" t="s">
        <v>153</v>
      </c>
      <c r="BO6" s="58" t="s">
        <v>234</v>
      </c>
      <c r="BP6" s="58" t="s">
        <v>155</v>
      </c>
      <c r="BQ6" s="58" t="s">
        <v>156</v>
      </c>
      <c r="BR6" s="58" t="s">
        <v>234</v>
      </c>
      <c r="BS6" s="58" t="s">
        <v>234</v>
      </c>
      <c r="BT6" s="58" t="s">
        <v>159</v>
      </c>
      <c r="BU6" s="60"/>
      <c r="BV6" s="61"/>
      <c r="BW6" s="61">
        <v>0</v>
      </c>
      <c r="BX6" s="59"/>
      <c r="BY6" s="44" t="s">
        <v>164</v>
      </c>
      <c r="CB6" s="5"/>
      <c r="CC6" s="5"/>
      <c r="CD6" s="62">
        <v>1</v>
      </c>
      <c r="CE6" s="62">
        <v>0</v>
      </c>
      <c r="CF6" s="62" t="e">
        <v>#REF!</v>
      </c>
      <c r="CG6" s="75" cm="1">
        <f t="array" ref="CG6">SUMPRODUCT(--(LEN(TRIM(BL6:BT6))&gt;0))</f>
        <v>5</v>
      </c>
      <c r="CH6" s="53" t="str">
        <f t="shared" si="3"/>
        <v>n</v>
      </c>
      <c r="CI6" s="53" t="str">
        <f t="shared" si="4"/>
        <v>n</v>
      </c>
      <c r="CJ6" s="53" t="str">
        <f t="shared" si="5"/>
        <v>n</v>
      </c>
      <c r="CK6" s="53" t="str">
        <f t="shared" si="6"/>
        <v>y</v>
      </c>
      <c r="CL6" s="53" t="str">
        <f t="shared" si="7"/>
        <v>y</v>
      </c>
      <c r="CM6" s="53" t="str">
        <f t="shared" si="8"/>
        <v>n</v>
      </c>
      <c r="CN6" s="53" t="str">
        <f t="shared" si="9"/>
        <v>n</v>
      </c>
      <c r="CO6" s="53" t="str">
        <f t="shared" si="10"/>
        <v>n</v>
      </c>
      <c r="CP6" s="53" t="str">
        <f t="shared" si="11"/>
        <v>n</v>
      </c>
      <c r="CQ6" s="53" t="str">
        <f t="shared" si="12"/>
        <v>n</v>
      </c>
      <c r="CR6" s="53" t="str">
        <f t="shared" si="13"/>
        <v>n</v>
      </c>
      <c r="CS6" s="53" t="str">
        <f t="shared" si="14"/>
        <v>y</v>
      </c>
      <c r="CT6" s="38" t="str">
        <f t="shared" si="15"/>
        <v>"[CHL] Coquimbo Region"</v>
      </c>
      <c r="CU6" s="63" t="str">
        <f t="shared" si="16"/>
        <v>"rgn_South America"</v>
      </c>
      <c r="CV6" s="44" t="str">
        <f t="shared" si="17"/>
        <v>"https://www.crwflags.com/fotw/images/c/cl-04.gif"</v>
      </c>
      <c r="CW6" s="44" t="str">
        <f t="shared" si="18"/>
        <v/>
      </c>
      <c r="CX6" s="44" t="str">
        <f t="shared" si="19"/>
        <v/>
      </c>
      <c r="CY6" s="44" t="str">
        <f t="shared" si="20"/>
        <v/>
      </c>
      <c r="CZ6" s="44" t="str">
        <f t="shared" si="21"/>
        <v>"5+Colo",</v>
      </c>
      <c r="DA6" s="44" t="str">
        <f t="shared" si="22"/>
        <v>"words2",</v>
      </c>
      <c r="DB6" s="44" t="str">
        <f t="shared" si="23"/>
        <v/>
      </c>
      <c r="DD6" s="44"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"lets14",</v>
      </c>
      <c r="DE6" s="44" t="str">
        <f>CHAR(34)&amp;"start"&amp;IFERROR(LEFT(SUBSTITUTE(A6,"["&amp;MID(A6,FIND("[",A6)+1,FIND("]",A6)-FIND("[",A6)-1)&amp;"] ",""),1),LEFT(A6,1))&amp;CHAR(34)&amp;","</f>
        <v>"startC",</v>
      </c>
      <c r="DF6" s="44" t="str">
        <f t="shared" si="24"/>
        <v/>
      </c>
      <c r="DG6" s="44" t="str">
        <f t="shared" si="25"/>
        <v>"with_q",</v>
      </c>
      <c r="DH6" s="44" t="str">
        <f t="shared" si="26"/>
        <v/>
      </c>
      <c r="DI6" s="44" t="str">
        <f t="shared" si="27"/>
        <v/>
      </c>
      <c r="DJ6" s="44" t="str">
        <f t="shared" si="28"/>
        <v/>
      </c>
      <c r="DK6" s="44" t="str">
        <f t="shared" si="29"/>
        <v/>
      </c>
      <c r="DL6" s="44" t="str">
        <f t="shared" si="30"/>
        <v/>
      </c>
      <c r="DM6" s="44" t="str" cm="1">
        <f t="array" ref="DM6">IF(CG6=3,CHAR(34) &amp; _xlfn.TEXTJOIN("", TRUE, RIGHT(HP6:HX6, 2)) &amp; CHAR(34) &amp; ",", "")</f>
        <v/>
      </c>
      <c r="DN6" s="44" t="str">
        <f t="shared" si="31"/>
        <v/>
      </c>
      <c r="DO6" s="44" t="str">
        <f t="shared" si="32"/>
        <v/>
      </c>
      <c r="DP6" s="5" t="str">
        <f t="shared" si="33"/>
        <v>"year00",</v>
      </c>
      <c r="DQ6" s="5" t="str">
        <f t="shared" si="34"/>
        <v/>
      </c>
      <c r="DR6" s="5" t="str">
        <f t="shared" si="35"/>
        <v/>
      </c>
      <c r="DS6" s="5" t="str">
        <f t="shared" si="36"/>
        <v/>
      </c>
      <c r="DT6" s="5" t="str">
        <f t="shared" si="37"/>
        <v>"allhor",</v>
      </c>
      <c r="DU6" s="5" t="str">
        <f t="shared" si="38"/>
        <v/>
      </c>
      <c r="DW6" s="44" t="str">
        <f t="shared" si="39"/>
        <v>"NoBand",</v>
      </c>
      <c r="DX6" s="44" t="str">
        <f t="shared" si="40"/>
        <v/>
      </c>
      <c r="DY6" s="44" t="str">
        <f t="shared" si="41"/>
        <v/>
      </c>
      <c r="DZ6" s="44" t="str">
        <f t="shared" si="42"/>
        <v/>
      </c>
      <c r="EA6" s="44" t="str">
        <f t="shared" si="43"/>
        <v>"Diagon",</v>
      </c>
      <c r="EB6" s="44" t="str">
        <f t="shared" si="44"/>
        <v>"Crosse",</v>
      </c>
      <c r="EC6" s="44" t="str">
        <f t="shared" si="45"/>
        <v>"Horizo",</v>
      </c>
      <c r="ED6" s="44" t="str">
        <f t="shared" si="46"/>
        <v/>
      </c>
      <c r="EE6" s="44" t="str">
        <f t="shared" si="47"/>
        <v>"Circle",</v>
      </c>
      <c r="EF6" s="44" t="str">
        <f t="shared" si="48"/>
        <v/>
      </c>
      <c r="EG6" s="44" t="str">
        <f t="shared" si="49"/>
        <v/>
      </c>
      <c r="EH6" s="44" t="str">
        <f t="shared" si="50"/>
        <v/>
      </c>
      <c r="EI6" s="44" t="str">
        <f t="shared" si="51"/>
        <v/>
      </c>
      <c r="EJ6" s="44" t="str">
        <f t="shared" si="52"/>
        <v/>
      </c>
      <c r="EK6" s="44" t="str">
        <f t="shared" si="53"/>
        <v>"HasSun",</v>
      </c>
      <c r="EL6" s="44" t="str">
        <f t="shared" si="54"/>
        <v/>
      </c>
      <c r="EM6" s="44" t="str">
        <f t="shared" si="55"/>
        <v/>
      </c>
      <c r="EN6" s="44" t="str">
        <f t="shared" si="56"/>
        <v/>
      </c>
      <c r="EO6" s="44" t="str">
        <f t="shared" si="57"/>
        <v/>
      </c>
      <c r="EP6" s="44" t="str">
        <f t="shared" si="58"/>
        <v/>
      </c>
      <c r="EQ6" s="44" t="str">
        <f t="shared" si="59"/>
        <v/>
      </c>
      <c r="ER6" s="44" t="str">
        <f t="shared" si="60"/>
        <v/>
      </c>
      <c r="ES6" s="44" t="str">
        <f t="shared" si="61"/>
        <v/>
      </c>
      <c r="ET6" s="44" t="str">
        <f t="shared" si="62"/>
        <v>"Geogrh",</v>
      </c>
      <c r="EU6" s="44" t="str">
        <f t="shared" si="63"/>
        <v/>
      </c>
      <c r="EV6" s="44" t="str">
        <f t="shared" si="64"/>
        <v/>
      </c>
      <c r="EW6" s="44" t="str">
        <f t="shared" si="65"/>
        <v/>
      </c>
      <c r="EX6" s="44" t="str">
        <f t="shared" si="66"/>
        <v/>
      </c>
      <c r="EY6" s="44" t="str">
        <f t="shared" si="67"/>
        <v/>
      </c>
      <c r="EZ6" s="44" t="str">
        <f t="shared" si="68"/>
        <v/>
      </c>
      <c r="FA6" s="44" t="str">
        <f t="shared" si="69"/>
        <v>"staWHI",</v>
      </c>
      <c r="FB6" s="44" t="str">
        <f t="shared" si="70"/>
        <v/>
      </c>
      <c r="FD6" s="44" t="str">
        <f t="shared" si="71"/>
        <v/>
      </c>
      <c r="FE6" s="44" t="str">
        <f t="shared" si="72"/>
        <v/>
      </c>
      <c r="FF6" s="44" t="str">
        <f t="shared" si="73"/>
        <v/>
      </c>
      <c r="FG6" s="44" t="str">
        <f t="shared" si="74"/>
        <v>"NO_RED",</v>
      </c>
      <c r="FH6" s="44" t="str">
        <f t="shared" si="75"/>
        <v/>
      </c>
      <c r="FI6" s="44" t="str">
        <f t="shared" si="76"/>
        <v/>
      </c>
      <c r="FJ6" s="44" t="str">
        <f t="shared" si="77"/>
        <v>"NO_BLA",</v>
      </c>
      <c r="FK6" s="44" t="str">
        <f t="shared" si="78"/>
        <v/>
      </c>
      <c r="FL6" s="44" t="str">
        <f t="shared" si="79"/>
        <v/>
      </c>
      <c r="FM6" s="44" t="str">
        <f t="shared" si="80"/>
        <v/>
      </c>
      <c r="FN6" s="44" t="str">
        <f t="shared" si="81"/>
        <v/>
      </c>
      <c r="FO6" s="44" t="str">
        <f t="shared" si="82"/>
        <v/>
      </c>
      <c r="FP6" s="44" t="str">
        <f t="shared" si="83"/>
        <v/>
      </c>
      <c r="FQ6" s="44" t="str">
        <f t="shared" si="84"/>
        <v/>
      </c>
      <c r="FR6" s="44" t="str">
        <f t="shared" si="85"/>
        <v/>
      </c>
      <c r="FS6" s="44" t="str">
        <f t="shared" si="86"/>
        <v/>
      </c>
      <c r="FT6" s="44" t="str">
        <f t="shared" si="87"/>
        <v>"myrGRE",</v>
      </c>
      <c r="FU6" s="44" t="str">
        <f t="shared" si="88"/>
        <v/>
      </c>
      <c r="FV6" s="44" t="str">
        <f t="shared" si="89"/>
        <v/>
      </c>
      <c r="FW6" s="44" t="str">
        <f t="shared" si="90"/>
        <v/>
      </c>
      <c r="FY6" s="44" t="str">
        <f t="shared" si="91"/>
        <v/>
      </c>
      <c r="FZ6" s="44" t="str">
        <f t="shared" si="92"/>
        <v/>
      </c>
      <c r="GA6" s="44" t="str">
        <f t="shared" si="93"/>
        <v/>
      </c>
      <c r="GB6" s="44" t="str">
        <f t="shared" si="94"/>
        <v/>
      </c>
      <c r="GE6" s="44" t="str">
        <f t="shared" si="95"/>
        <v/>
      </c>
      <c r="GF6" s="44" t="str">
        <f t="shared" si="136"/>
        <v/>
      </c>
      <c r="GG6" s="44" t="str">
        <f t="shared" si="96"/>
        <v/>
      </c>
      <c r="GH6" s="44" t="str">
        <f t="shared" si="97"/>
        <v>"southc",</v>
      </c>
      <c r="GI6" s="44" t="str">
        <f t="shared" si="98"/>
        <v/>
      </c>
      <c r="GJ6" s="44" t="str">
        <f t="shared" si="99"/>
        <v/>
      </c>
      <c r="GK6" s="44" t="str">
        <f t="shared" si="100"/>
        <v>"HasSta",</v>
      </c>
      <c r="GL6" s="44" t="str">
        <f t="shared" si="101"/>
        <v/>
      </c>
      <c r="GM6" s="44" t="str">
        <f t="shared" si="102"/>
        <v/>
      </c>
      <c r="GN6" s="44" t="str">
        <f t="shared" si="103"/>
        <v>"3+Star",</v>
      </c>
      <c r="GP6" s="44" t="str">
        <f t="shared" si="104"/>
        <v>"Region"</v>
      </c>
      <c r="GS6" s="44" t="str">
        <f t="shared" si="105"/>
        <v>["5+Colo","words2","lets14","startC","with_q","year00","allhor","NoBand","Diagon","Crosse","Horizo","Circle","HasSun","Geogrh","staWHI","NO_RED","NO_BLA","myrGRE","southc","HasSta","3+Star"]</v>
      </c>
      <c r="GT6" s="44" t="str">
        <f t="shared" si="106"/>
        <v/>
      </c>
      <c r="GU6" s="44" t="str">
        <f t="shared" si="107"/>
        <v>"cl_BLU",</v>
      </c>
      <c r="GV6" s="44" t="str">
        <f t="shared" si="108"/>
        <v>"cl_GRE",</v>
      </c>
      <c r="GW6" s="44" t="str">
        <f t="shared" si="109"/>
        <v/>
      </c>
      <c r="GX6" s="44" t="str">
        <f t="shared" si="110"/>
        <v>"cl_YEL",</v>
      </c>
      <c r="GY6" s="44" t="str">
        <f t="shared" si="111"/>
        <v>"cl_ORA",</v>
      </c>
      <c r="GZ6" s="44" t="str">
        <f t="shared" si="112"/>
        <v/>
      </c>
      <c r="HA6" s="44" t="str">
        <f t="shared" si="113"/>
        <v/>
      </c>
      <c r="HB6" s="44" t="str">
        <f t="shared" si="114"/>
        <v>"cl_WHI",</v>
      </c>
      <c r="HC6" s="44" t="str">
        <f t="shared" si="115"/>
        <v>["cl_BLU","cl_GRE","cl_YEL","cl_ORA","cl_WHI"]</v>
      </c>
      <c r="HE6" s="64"/>
      <c r="HF6" s="65" t="str">
        <f t="shared" si="116"/>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links: "https://www.crwflags.com/fotw/flags/cl-04.html"},</v>
      </c>
      <c r="HG6" s="66" t="str">
        <f t="shared" si="117"/>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links: "https://www.crwflags.com/fotw/flags/cl-04.html"},</v>
      </c>
      <c r="HH6" s="44" t="str">
        <f t="shared" si="118"/>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I6" s="44" t="str">
        <f t="shared" si="119"/>
        <v>"\nThe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v>
      </c>
      <c r="HJ6" s="44" t="str">
        <f t="shared" si="120"/>
        <v>"2000"</v>
      </c>
      <c r="HL6" s="44" t="str">
        <f t="shared" si="121"/>
        <v>"https://www.crwflags.com/fotw/flags/cl-04.html"</v>
      </c>
      <c r="HM6" s="65" t="str">
        <f t="shared" si="122"/>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N6" s="67" t="str">
        <f t="shared" si="123"/>
        <v>{"couname":"[CHL] Coquimbo Region","year":"2000","region":"rgn_South America","Colors":["cl_BLU","cl_GRE","cl_YEL","cl_ORA","cl_WHI"],"Items":["5+Colo","words2","lets14","startC","with_q","year00","allhor","NoBand","Diagon","Crosse","Horizo","Circle","HasSun","Geogrh","staWHI","NO_RED","NO_BLA","myrGRE","southc","HasSta","3+Star"],"Flag":"https://www.crwflags.com/fotw/images/c/cl-04.gif","HDFlag":"https://www.crwflags.com/fotw/images/c/cl-04.gif","type":"Region", "describe": "\nThe raising of the first flag is a regional landmark decentralization and is performed in the 20th anniversary of the regional governments in Chile.\n\nIt is a milestone in the country's decentralization. And it is done to mark the twentieth anniversary of the regional governments.\n\nFor this reason, the ceremony of hoisting the flag of the Coquimbo region, was chaired by the Regional Council, mayors of 15 municipalities, elected parliamentarians and official and local figures of all political colors, such as former mayors Renan Fuentealba Mario and Sergio Burlé Gahona.\n\nAnd this because the action had no political colors. This was emphasized bye the regional mayor, José Manuel Fuenzalida. 'Today is an important milestone, we have a milestone that represents us, it is important to identify with this symbol, be proud. It is a topic that cuts across lines, that is beyond political colors. Regionalization.'\n\nDuring the event delivery was made, by the Regional Directors, of a flag for each mayor of the region, so they are hoisted in every commune and that can start generating regional identity through this symbol.\n\nAfter that we proceeded to the first official hoisting of the regional emblem, which precedes the creation of the anthem of the region, whose composition will be called a national competition.\n\nOn the regional flag\nThe regional flag was born after the adoption of the graphics manual by rulers of the regional government, which organizes the corporate image of Gore. The image was developed by the company 'Associated Concepts Ltd.' and approved by resolution 729 on May 10, 2000.\n\nAgreement 4715 regulated the graphic standards and the text of the existence of the regional flag.\n\nThis summarizes the spatial, geographical and climatic characteristics of the area, being embodied in the image that highlights the three transverse valleys, rounded hills, the contrast between the valleys, water through the channels of rivers, reservoirs and the sea.", "isnew": ".", "links": "https://www.crwflags.com/fotw/flags/cl-04.html"},</v>
      </c>
      <c r="HO6" s="71">
        <v>45618</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GRE</v>
      </c>
      <c r="HS6" s="44" t="str" cm="1">
        <f t="array" ref="HS6">IF(_xlfn.TEXTJOIN(", ", TRUE, IF(ISNUMBER(SEARCH("RED", BL6:BT6)), COLUMN(BL6:BT6) - COLUMN(BL6) + 1, ""))&lt;&gt;"","RED","")</f>
        <v/>
      </c>
      <c r="HT6" s="44" t="str" cm="1">
        <f t="array" ref="HT6">IF(_xlfn.TEXTJOIN(", ", TRUE, IF(ISNUMBER(SEARCH("YEL", BL6:BT6)), COLUMN(BL6:BT6) - COLUMN(BL6) + 1, ""))&lt;&gt;"","YEL","")</f>
        <v>YEL</v>
      </c>
      <c r="HU6" s="44" t="str" cm="1">
        <f t="array" ref="HU6">IF(_xlfn.TEXTJOIN(", ", TRUE, IF(ISNUMBER(SEARCH("ORA", BL6:BT6)), COLUMN(BL6:BT6) - COLUMN(BL6) + 1, ""))&lt;&gt;"","ORA","")</f>
        <v>ORA</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 t="shared" si="124"/>
        <v>-5</v>
      </c>
      <c r="IN6" s="69" t="str">
        <f t="shared" si="125"/>
        <v>http://mkweb.bcgsc.ca/color-summarizer/?url=https://www.crwflags.com/fotw/images/c/cl-04.gif&amp;precision=low&amp;num_clusters=5&amp;text=1</v>
      </c>
      <c r="IO6" s="44" t="str">
        <f t="shared" si="126"/>
        <v/>
      </c>
      <c r="IP6" s="44" t="str">
        <f t="shared" si="127"/>
        <v>"blue"</v>
      </c>
      <c r="IQ6" s="44" t="str">
        <f t="shared" si="128"/>
        <v>"green"</v>
      </c>
      <c r="IR6" s="44" t="str">
        <f t="shared" si="129"/>
        <v/>
      </c>
      <c r="IS6" s="44" t="str">
        <f t="shared" si="130"/>
        <v>"yellow"</v>
      </c>
      <c r="IT6" s="44" t="str">
        <f t="shared" si="131"/>
        <v>"orange"</v>
      </c>
      <c r="IU6" s="44" t="str">
        <f t="shared" si="132"/>
        <v/>
      </c>
      <c r="IV6" s="44" t="str">
        <f t="shared" si="133"/>
        <v/>
      </c>
      <c r="IW6" s="44" t="str">
        <f t="shared" si="134"/>
        <v>"white"</v>
      </c>
      <c r="IX6" s="44" t="str">
        <f t="shared" si="135"/>
        <v>{"url":"http://mkweb.bcgsc.ca/color-summarizer/?url=https://www.crwflags.com/fotw/images/c/cl-04.gif&amp;precision=low&amp;num_clusters=5&amp;text=1","name":"[CHL] Coquimbo Region"},</v>
      </c>
      <c r="IY6" s="44">
        <v>963</v>
      </c>
    </row>
    <row r="7" spans="1:259" s="44" customFormat="1" ht="38.4" customHeight="1" thickBot="1" x14ac:dyDescent="0.35">
      <c r="A7" s="84" t="s">
        <v>464</v>
      </c>
      <c r="B7" s="83" t="e" vm="61">
        <v>#VALUE!</v>
      </c>
      <c r="C7" s="39">
        <v>2</v>
      </c>
      <c r="D7" s="70" t="s">
        <v>465</v>
      </c>
      <c r="E7" s="40" t="s">
        <v>466</v>
      </c>
      <c r="F7" s="41" t="s">
        <v>163</v>
      </c>
      <c r="G7" s="42">
        <f t="shared" si="0"/>
        <v>1</v>
      </c>
      <c r="H7" s="43"/>
      <c r="I7" s="59" t="s">
        <v>467</v>
      </c>
      <c r="J7" s="44" t="str">
        <f>""</f>
        <v/>
      </c>
      <c r="K7" s="45"/>
      <c r="L7" s="46"/>
      <c r="M7" s="46"/>
      <c r="N7" s="47" t="s">
        <v>177</v>
      </c>
      <c r="O7" s="74" t="s">
        <v>211</v>
      </c>
      <c r="P7" s="48" t="s">
        <v>468</v>
      </c>
      <c r="Q7" s="73">
        <v>2</v>
      </c>
      <c r="R7" s="49" t="s">
        <v>469</v>
      </c>
      <c r="S7" s="50">
        <v>0</v>
      </c>
      <c r="T7" s="51" t="s">
        <v>164</v>
      </c>
      <c r="U7" s="52" t="s">
        <v>164</v>
      </c>
      <c r="V7" s="52" t="s">
        <v>164</v>
      </c>
      <c r="W7" s="52" t="s">
        <v>164</v>
      </c>
      <c r="X7" s="52" t="s">
        <v>164</v>
      </c>
      <c r="Y7" s="52" t="s">
        <v>164</v>
      </c>
      <c r="Z7" s="52" t="s">
        <v>164</v>
      </c>
      <c r="AA7" s="52" t="s">
        <v>164</v>
      </c>
      <c r="AB7" s="52" t="s">
        <v>164</v>
      </c>
      <c r="AC7" s="52" t="s">
        <v>164</v>
      </c>
      <c r="AD7" s="52" t="s">
        <v>164</v>
      </c>
      <c r="AE7" s="52" t="s">
        <v>165</v>
      </c>
      <c r="AF7" s="53" t="s">
        <v>164</v>
      </c>
      <c r="AG7" s="53" t="s">
        <v>164</v>
      </c>
      <c r="AH7" s="53" t="s">
        <v>165</v>
      </c>
      <c r="AI7" s="53" t="s">
        <v>164</v>
      </c>
      <c r="AJ7" s="53" t="s">
        <v>164</v>
      </c>
      <c r="AK7" s="53" t="s">
        <v>164</v>
      </c>
      <c r="AL7" s="53" t="s">
        <v>165</v>
      </c>
      <c r="AM7" s="53" t="s">
        <v>164</v>
      </c>
      <c r="AN7" s="53" t="s">
        <v>165</v>
      </c>
      <c r="AO7" s="53" t="s">
        <v>164</v>
      </c>
      <c r="AP7" s="53" t="s">
        <v>164</v>
      </c>
      <c r="AQ7" s="53" t="s">
        <v>164</v>
      </c>
      <c r="AR7" s="53" t="s">
        <v>164</v>
      </c>
      <c r="AS7" s="53" t="s">
        <v>164</v>
      </c>
      <c r="AT7" s="54">
        <v>0</v>
      </c>
      <c r="AU7" s="53" t="s">
        <v>470</v>
      </c>
      <c r="AV7" s="53" t="str">
        <f t="shared" si="1"/>
        <v>[CHL]Special Territory[CHL] Easter Island</v>
      </c>
      <c r="AW7" s="53" t="str">
        <f t="shared" si="2"/>
        <v>2[CHL] Easter Island</v>
      </c>
      <c r="AX7" s="55" t="str">
        <f>_xlfn.TEXTJOIN(";",TRUE,AU7:AW7)</f>
        <v>Special Territory;[CHL]Special Territory[CHL] Easter Island;2[CHL] Easter Island</v>
      </c>
      <c r="AY7" s="55"/>
      <c r="AZ7" s="56"/>
      <c r="BA7" s="56"/>
      <c r="BB7" s="56"/>
      <c r="BC7" s="57"/>
      <c r="BD7" s="58" t="s">
        <v>159</v>
      </c>
      <c r="BE7" s="59"/>
      <c r="BF7" s="58"/>
      <c r="BG7" s="58"/>
      <c r="BH7" s="58"/>
      <c r="BI7" s="58"/>
      <c r="BJ7" s="58"/>
      <c r="BK7" s="59"/>
      <c r="BL7" s="58" t="s">
        <v>154</v>
      </c>
      <c r="BM7" s="58" t="s">
        <v>159</v>
      </c>
      <c r="BN7" s="58"/>
      <c r="BO7" s="58"/>
      <c r="BP7" s="58"/>
      <c r="BQ7" s="58"/>
      <c r="BR7" s="58"/>
      <c r="BS7" s="58"/>
      <c r="BT7" s="58"/>
      <c r="BU7" s="60"/>
      <c r="BV7" s="61"/>
      <c r="BW7" s="61">
        <v>0</v>
      </c>
      <c r="BX7" s="59"/>
      <c r="CB7" s="5"/>
      <c r="CC7" s="5"/>
      <c r="CD7" s="62">
        <v>0</v>
      </c>
      <c r="CE7" s="62">
        <v>0</v>
      </c>
      <c r="CF7" s="62" t="e">
        <v>#REF!</v>
      </c>
      <c r="CG7" s="75" cm="1">
        <f t="array" ref="CG7">SUMPRODUCT(--(LEN(TRIM(BL7:BT7))&gt;0))</f>
        <v>2</v>
      </c>
      <c r="CH7" s="53" t="str">
        <f t="shared" si="3"/>
        <v>y</v>
      </c>
      <c r="CI7" s="53" t="str">
        <f t="shared" si="4"/>
        <v>n</v>
      </c>
      <c r="CJ7" s="53" t="str">
        <f t="shared" si="5"/>
        <v>n</v>
      </c>
      <c r="CK7" s="53" t="str">
        <f t="shared" si="6"/>
        <v>n</v>
      </c>
      <c r="CL7" s="53" t="str">
        <f t="shared" si="7"/>
        <v>y</v>
      </c>
      <c r="CM7" s="53" t="str">
        <f t="shared" si="8"/>
        <v>n</v>
      </c>
      <c r="CN7" s="53" t="str">
        <f t="shared" si="9"/>
        <v>n</v>
      </c>
      <c r="CO7" s="53" t="str">
        <f t="shared" si="10"/>
        <v>n</v>
      </c>
      <c r="CP7" s="53" t="str">
        <f t="shared" si="11"/>
        <v>y</v>
      </c>
      <c r="CQ7" s="53" t="str">
        <f t="shared" si="12"/>
        <v>n</v>
      </c>
      <c r="CR7" s="53" t="str">
        <f t="shared" si="13"/>
        <v>n</v>
      </c>
      <c r="CS7" s="53" t="str">
        <f t="shared" si="14"/>
        <v>n</v>
      </c>
      <c r="CT7" s="38" t="str">
        <f t="shared" si="15"/>
        <v>"[CHL] Easter Island"</v>
      </c>
      <c r="CU7" s="63" t="str">
        <f t="shared" si="16"/>
        <v>"rgn_South America, rgn_Oceania"</v>
      </c>
      <c r="CV7" s="44" t="str">
        <f t="shared" si="17"/>
        <v>"https://upload.wikimedia.org/wikipedia/commons/thumb/d/d8/Flag_of_Rapa_Nui%2C_Chile.svg/383px-Flag_of_Rapa_Nui%2C_Chile.svg.png"</v>
      </c>
      <c r="CW7" s="44" t="str">
        <f t="shared" si="18"/>
        <v>"2Color",</v>
      </c>
      <c r="CX7" s="44" t="str">
        <f t="shared" si="19"/>
        <v/>
      </c>
      <c r="CY7" s="44" t="str">
        <f t="shared" si="20"/>
        <v/>
      </c>
      <c r="CZ7" s="44" t="str">
        <f t="shared" si="21"/>
        <v/>
      </c>
      <c r="DA7" s="44" t="str">
        <f t="shared" si="22"/>
        <v>"words2",</v>
      </c>
      <c r="DB7" s="44" t="str">
        <f t="shared" si="23"/>
        <v/>
      </c>
      <c r="DC7" s="44" t="str">
        <f>IF(Q7=2,CHAR(34)&amp;"exact2"&amp;CHAR(34)&amp;",","")</f>
        <v>"exact2",</v>
      </c>
      <c r="DD7" s="44"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"lets12",</v>
      </c>
      <c r="DE7" s="44"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"startE",</v>
      </c>
      <c r="DF7" s="44" t="str">
        <f t="shared" si="24"/>
        <v/>
      </c>
      <c r="DG7" s="44" t="str">
        <f t="shared" si="25"/>
        <v/>
      </c>
      <c r="DH7" s="44" t="str">
        <f t="shared" si="26"/>
        <v/>
      </c>
      <c r="DI7" s="44" t="str">
        <f t="shared" si="27"/>
        <v/>
      </c>
      <c r="DJ7" s="44" t="str">
        <f t="shared" si="28"/>
        <v/>
      </c>
      <c r="DK7" s="44" t="str">
        <f t="shared" si="29"/>
        <v/>
      </c>
      <c r="DL7" s="44" t="str">
        <f t="shared" si="30"/>
        <v>"REDWHI",</v>
      </c>
      <c r="DM7" s="44" t="str" cm="1">
        <f t="array" ref="DM7">IF(CG7=3,CHAR(34) &amp; _xlfn.TEXTJOIN("", TRUE, RIGHT(HP7:HX7, 2)) &amp; CHAR(34) &amp; ",", "")</f>
        <v/>
      </c>
      <c r="DN7" s="44" t="str">
        <f t="shared" si="31"/>
        <v/>
      </c>
      <c r="DO7" s="44" t="str">
        <f t="shared" si="32"/>
        <v/>
      </c>
      <c r="DP7" s="5" t="str">
        <f t="shared" si="33"/>
        <v>"year00",</v>
      </c>
      <c r="DQ7" s="5" t="str">
        <f t="shared" si="34"/>
        <v/>
      </c>
      <c r="DR7" s="5" t="str">
        <f t="shared" si="35"/>
        <v/>
      </c>
      <c r="DS7" s="5" t="str">
        <f t="shared" si="36"/>
        <v/>
      </c>
      <c r="DT7" s="5" t="str">
        <f t="shared" si="37"/>
        <v/>
      </c>
      <c r="DU7" s="5" t="str">
        <f t="shared" si="38"/>
        <v/>
      </c>
      <c r="DV7" s="44" t="str">
        <f>IF(IA7&lt;&gt;"",(IF(IA7="y",CHAR(34)&amp;"largec"&amp;CHAR(34)&amp;",",CHAR(34)&amp;"smallc"&amp;CHAR(34)&amp;",")),"")</f>
        <v/>
      </c>
      <c r="DW7" s="44" t="str">
        <f t="shared" si="39"/>
        <v>"NoBand",</v>
      </c>
      <c r="DX7" s="44" t="str">
        <f t="shared" si="40"/>
        <v/>
      </c>
      <c r="DY7" s="44" t="str">
        <f t="shared" si="41"/>
        <v/>
      </c>
      <c r="DZ7" s="44" t="str">
        <f t="shared" si="42"/>
        <v/>
      </c>
      <c r="EA7" s="44" t="str">
        <f t="shared" si="43"/>
        <v/>
      </c>
      <c r="EB7" s="44" t="str">
        <f t="shared" si="44"/>
        <v/>
      </c>
      <c r="EC7" s="44" t="str">
        <f t="shared" si="45"/>
        <v/>
      </c>
      <c r="ED7" s="44" t="str">
        <f t="shared" si="46"/>
        <v/>
      </c>
      <c r="EE7" s="44" t="str">
        <f t="shared" si="47"/>
        <v/>
      </c>
      <c r="EF7" s="44" t="str">
        <f t="shared" si="48"/>
        <v/>
      </c>
      <c r="EG7" s="44" t="str">
        <f t="shared" si="49"/>
        <v/>
      </c>
      <c r="EH7" s="44" t="str">
        <f t="shared" si="50"/>
        <v/>
      </c>
      <c r="EI7" s="44" t="str">
        <f t="shared" si="51"/>
        <v/>
      </c>
      <c r="EJ7" s="44" t="str">
        <f t="shared" si="52"/>
        <v/>
      </c>
      <c r="EK7" s="44" t="str">
        <f t="shared" si="53"/>
        <v/>
      </c>
      <c r="EL7" s="44" t="str">
        <f t="shared" si="54"/>
        <v>"IsMoon",</v>
      </c>
      <c r="EM7" s="44" t="str">
        <f t="shared" si="55"/>
        <v/>
      </c>
      <c r="EN7" s="44" t="str">
        <f t="shared" si="56"/>
        <v/>
      </c>
      <c r="EO7" s="44" t="str">
        <f t="shared" si="57"/>
        <v>"Center",</v>
      </c>
      <c r="EP7" s="44" t="str">
        <f t="shared" si="58"/>
        <v/>
      </c>
      <c r="EQ7" s="44" t="str">
        <f t="shared" si="59"/>
        <v/>
      </c>
      <c r="ER7" s="44" t="str">
        <f t="shared" si="60"/>
        <v/>
      </c>
      <c r="ES7" s="44" t="str">
        <f t="shared" si="61"/>
        <v>"Wavess",</v>
      </c>
      <c r="ET7" s="44" t="str">
        <f t="shared" si="62"/>
        <v/>
      </c>
      <c r="EU7" s="44" t="str">
        <f t="shared" si="63"/>
        <v>"Humans",</v>
      </c>
      <c r="EV7" s="44" t="str">
        <f t="shared" si="64"/>
        <v/>
      </c>
      <c r="EW7" s="44" t="str">
        <f t="shared" si="65"/>
        <v/>
      </c>
      <c r="EX7" s="44" t="str">
        <f t="shared" si="66"/>
        <v/>
      </c>
      <c r="EY7" s="44" t="str">
        <f t="shared" si="67"/>
        <v/>
      </c>
      <c r="EZ7" s="44" t="str">
        <f t="shared" si="68"/>
        <v/>
      </c>
      <c r="FA7" s="44" t="str">
        <f t="shared" si="69"/>
        <v/>
      </c>
      <c r="FB7" s="44" t="str">
        <f t="shared" si="70"/>
        <v/>
      </c>
      <c r="FC7" s="44" t="str">
        <f>IF(AND(AT7&gt;0,BB7&lt;&gt;""),CHAR(34)&amp;"sta"&amp;BB7&amp;CHAR(34)&amp;",","")</f>
        <v/>
      </c>
      <c r="FD7" s="44" t="str">
        <f t="shared" si="71"/>
        <v/>
      </c>
      <c r="FE7" s="44" t="str">
        <f t="shared" si="72"/>
        <v>"NO_BLU",</v>
      </c>
      <c r="FF7" s="44" t="str">
        <f t="shared" si="73"/>
        <v/>
      </c>
      <c r="FG7" s="44" t="str">
        <f t="shared" si="74"/>
        <v/>
      </c>
      <c r="FH7" s="44" t="str">
        <f t="shared" si="75"/>
        <v>"NO_GRE",</v>
      </c>
      <c r="FI7" s="44" t="str">
        <f t="shared" si="76"/>
        <v>"NO_YEL",</v>
      </c>
      <c r="FJ7" s="44" t="str">
        <f t="shared" si="77"/>
        <v>"NO_BLA",</v>
      </c>
      <c r="FK7" s="44" t="str">
        <f t="shared" si="78"/>
        <v/>
      </c>
      <c r="FL7" s="44" t="str">
        <f t="shared" si="79"/>
        <v/>
      </c>
      <c r="FM7" s="44" t="str">
        <f t="shared" si="80"/>
        <v/>
      </c>
      <c r="FN7" s="44" t="str">
        <f t="shared" si="81"/>
        <v/>
      </c>
      <c r="FO7" s="44" t="str">
        <f t="shared" si="82"/>
        <v/>
      </c>
      <c r="FP7" s="44" t="str">
        <f t="shared" si="83"/>
        <v/>
      </c>
      <c r="FQ7" s="44" t="str">
        <f t="shared" si="84"/>
        <v/>
      </c>
      <c r="FR7" s="44" t="str">
        <f t="shared" si="85"/>
        <v/>
      </c>
      <c r="FS7" s="44" t="str">
        <f t="shared" si="86"/>
        <v/>
      </c>
      <c r="FT7" s="44" t="str">
        <f t="shared" si="87"/>
        <v>"myrWHI",</v>
      </c>
      <c r="FU7" s="44" t="str">
        <f t="shared" si="88"/>
        <v/>
      </c>
      <c r="FV7" s="44" t="str">
        <f t="shared" si="89"/>
        <v/>
      </c>
      <c r="FW7" s="44" t="str">
        <f t="shared" si="90"/>
        <v/>
      </c>
      <c r="FX7" s="44" t="str">
        <f>SUBSTITUTE(IFERROR(SEARCH("[",A7),IFERROR(IF(AND(CA7&lt;&gt;"y",SEARCH("Europe",R7)&gt;0),CHAR(34)&amp;"noeuni"&amp;CHAR(34)&amp;",",""),"")),"1","")</f>
        <v/>
      </c>
      <c r="FY7" s="44" t="str">
        <f t="shared" si="91"/>
        <v/>
      </c>
      <c r="FZ7" s="44" t="str">
        <f t="shared" si="92"/>
        <v/>
      </c>
      <c r="GA7" s="44" t="str">
        <f t="shared" si="93"/>
        <v/>
      </c>
      <c r="GB7" s="44" t="str">
        <f t="shared" si="94"/>
        <v/>
      </c>
      <c r="GC7" s="44" t="str">
        <f>IFERROR(IF(SEARCH("Portuguese",CB7)&gt;0,CHAR(34)&amp;"portug"&amp;CHAR(34)&amp;",",""),"")</f>
        <v/>
      </c>
      <c r="GD7" s="44" t="str">
        <f>IFERROR(IF(SEARCH("German",CB7)&gt;0,CHAR(34)&amp;"german"&amp;CHAR(34)&amp;",",""),"")</f>
        <v/>
      </c>
      <c r="GE7" s="44" t="str">
        <f t="shared" si="95"/>
        <v/>
      </c>
      <c r="GF7" s="44" t="str">
        <f t="shared" si="136"/>
        <v/>
      </c>
      <c r="GG7" s="44" t="str">
        <f t="shared" si="96"/>
        <v/>
      </c>
      <c r="GH7" s="44" t="str">
        <f t="shared" si="97"/>
        <v/>
      </c>
      <c r="GI7" s="44" t="str">
        <f t="shared" si="98"/>
        <v/>
      </c>
      <c r="GJ7" s="44" t="str">
        <f t="shared" si="99"/>
        <v>"NoStar",</v>
      </c>
      <c r="GK7" s="44" t="str">
        <f t="shared" si="100"/>
        <v/>
      </c>
      <c r="GL7" s="44" t="str">
        <f t="shared" si="101"/>
        <v/>
      </c>
      <c r="GM7" s="44" t="str">
        <f t="shared" si="102"/>
        <v/>
      </c>
      <c r="GN7" s="44" t="str">
        <f t="shared" si="103"/>
        <v/>
      </c>
      <c r="GP7" s="44" t="str">
        <f t="shared" si="104"/>
        <v>"Special Territory"</v>
      </c>
      <c r="GS7" s="44" t="str">
        <f t="shared" si="105"/>
        <v>["2Color","words2","exact2","lets12","startE","REDWHI","year00","NoBand","IsMoon","Center","Wavess","Humans","NO_BLU","NO_GRE","NO_YEL","NO_BLA","myrWHI","NoStar"]</v>
      </c>
      <c r="GT7" s="44" t="str">
        <f t="shared" si="106"/>
        <v>"cl_RED",</v>
      </c>
      <c r="GU7" s="44" t="str">
        <f t="shared" si="107"/>
        <v>"cl_WHI",</v>
      </c>
      <c r="GV7" s="44" t="str">
        <f t="shared" si="108"/>
        <v/>
      </c>
      <c r="GW7" s="44" t="str">
        <f t="shared" si="109"/>
        <v/>
      </c>
      <c r="GX7" s="44" t="str">
        <f t="shared" si="110"/>
        <v/>
      </c>
      <c r="GY7" s="44" t="str">
        <f t="shared" si="111"/>
        <v/>
      </c>
      <c r="GZ7" s="44" t="str">
        <f t="shared" si="112"/>
        <v/>
      </c>
      <c r="HA7" s="44" t="str">
        <f t="shared" si="113"/>
        <v/>
      </c>
      <c r="HB7" s="44" t="str">
        <f t="shared" si="114"/>
        <v/>
      </c>
      <c r="HC7" s="44" t="str">
        <f t="shared" si="115"/>
        <v>["cl_RED","cl_WHI"]</v>
      </c>
      <c r="HE7" s="64"/>
      <c r="HF7" s="65" t="str">
        <f t="shared" si="116"/>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links: "https://en.wikipedia.org/wiki/Flag_of_Easter_Island"},</v>
      </c>
      <c r="HG7" s="66" t="str">
        <f t="shared" si="117"/>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links: "https://en.wikipedia.org/wiki/Flag_of_Easter_Island"},</v>
      </c>
      <c r="HH7" s="44" t="str">
        <f t="shared" si="118"/>
        <v>"\nIt is a white flag featuring in center a reimiro (a wooden pectoral ornament once worn by the people of Rapa Nui) painted in red (mana), a symbol of power, with two anthropomorphic figures at its edges, representing the Ariki ('chiefs, nobles')"</v>
      </c>
      <c r="HI7" s="44" t="str">
        <f t="shared" si="119"/>
        <v>"\nIt is a white flag featuring in center a reimiro (a wooden pectoral ornament once worn by the people of Rapa Nui) painted in red (mana), a symbol of power, with two anthropomorphic figures at its edges, representing the Ariki ('chiefs, nobles')"</v>
      </c>
      <c r="HJ7" s="44" t="str">
        <f t="shared" si="120"/>
        <v>"2006 "</v>
      </c>
      <c r="HL7" s="44" t="str">
        <f t="shared" si="121"/>
        <v>"https://en.wikipedia.org/wiki/Flag_of_Easter_Island"</v>
      </c>
      <c r="HM7" s="65" t="str">
        <f t="shared" si="122"/>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N7" s="67" t="str">
        <f t="shared" si="123"/>
        <v>{"couname":"[CHL] Easter Island","year":"2006 ","region":"rgn_South America, rgn_Oceania","Colors":["cl_RED","cl_WHI"],"Items":["2Color","words2","exact2","lets12","startE","REDWHI","year00","NoBand","IsMoon","Center","Wavess","Humans","NO_BLU","NO_GRE","NO_YEL","NO_BLA","myrWHI","NoStar"],"Flag":"https://upload.wikimedia.org/wikipedia/commons/thumb/d/d8/Flag_of_Rapa_Nui%2C_Chile.svg/383px-Flag_of_Rapa_Nui%2C_Chile.svg.png","HDFlag":"https://upload.wikimedia.org/wikipedia/commons/thumb/d/d8/Flag_of_Rapa_Nui%2C_Chile.svg/2560px-Flag_of_Rapa_Nui%2C_Chile.svg.png","type":"Special Territory", "describe": "\nIt is a white flag featuring in center a reimiro (a wooden pectoral ornament once worn by the people of Rapa Nui) painted in red (mana), a symbol of power, with two anthropomorphic figures at its edges, representing the Ariki ('chiefs, nobles')", "isnew": ".", "links": "https://en.wikipedia.org/wiki/Flag_of_Easter_Island"},</v>
      </c>
      <c r="HO7" s="71"/>
      <c r="HP7" s="44" t="str" cm="1">
        <f t="array" ref="HP7">IF(_xlfn.TEXTJOIN(", ", TRUE, IF(ISNUMBER(SEARCH("BLA", BL7:BT7)), COLUMN(BL7:BT7) - COLUMN(BL7) + 1, ""))&lt;&gt;"","BLA","")</f>
        <v/>
      </c>
      <c r="HQ7" s="44" t="str" cm="1">
        <f t="array" ref="HQ7">IF(_xlfn.TEXTJOIN(", ", TRUE, IF(ISNUMBER(SEARCH("BLU", BL7:BT7)), COLUMN(BL7:BT7) - COLUMN(BL7) + 1, ""))&lt;&gt;"","BLU","")</f>
        <v/>
      </c>
      <c r="HR7" s="44" t="str" cm="1">
        <f t="array" ref="HR7">IF(_xlfn.TEXTJOIN(", ", TRUE, IF(ISNUMBER(SEARCH("GRE", BL7:BT7)), COLUMN(BL7:BT7) - COLUMN(BL7) + 1, ""))&lt;&gt;"","GRE","")</f>
        <v/>
      </c>
      <c r="HS7" s="44" t="str" cm="1">
        <f t="array" ref="HS7">IF(_xlfn.TEXTJOIN(", ", TRUE, IF(ISNUMBER(SEARCH("RED", BL7:BT7)), COLUMN(BL7:BT7) - COLUMN(BL7) + 1, ""))&lt;&gt;"","RED","")</f>
        <v>RED</v>
      </c>
      <c r="HT7" s="44" t="str" cm="1">
        <f t="array" ref="HT7">IF(_xlfn.TEXTJOIN(", ", TRUE, IF(ISNUMBER(SEARCH("YEL", BL7:BT7)), COLUMN(BL7:BT7) - COLUMN(BL7) + 1, ""))&lt;&gt;"","YEL","")</f>
        <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SUM(IC7:IK7)</f>
        <v>0</v>
      </c>
      <c r="IM7" s="42">
        <f t="shared" si="124"/>
        <v>-2</v>
      </c>
      <c r="IN7" s="69" t="str">
        <f t="shared" si="125"/>
        <v>http://mkweb.bcgsc.ca/color-summarizer/?url=https://upload.wikimedia.org/wikipedia/commons/thumb/d/d8/Flag_of_Rapa_Nui%2C_Chile.svg/383px-Flag_of_Rapa_Nui%2C_Chile.svg.png&amp;precision=low&amp;num_clusters=2&amp;text=1</v>
      </c>
      <c r="IO7" s="44" t="str">
        <f t="shared" si="126"/>
        <v/>
      </c>
      <c r="IP7" s="44" t="str">
        <f t="shared" si="127"/>
        <v/>
      </c>
      <c r="IQ7" s="44" t="str">
        <f t="shared" si="128"/>
        <v/>
      </c>
      <c r="IR7" s="44" t="str">
        <f t="shared" si="129"/>
        <v>"red"</v>
      </c>
      <c r="IS7" s="44" t="str">
        <f t="shared" si="130"/>
        <v/>
      </c>
      <c r="IT7" s="44" t="str">
        <f t="shared" si="131"/>
        <v/>
      </c>
      <c r="IU7" s="44" t="str">
        <f t="shared" si="132"/>
        <v/>
      </c>
      <c r="IV7" s="44" t="str">
        <f t="shared" si="133"/>
        <v/>
      </c>
      <c r="IW7" s="44" t="str">
        <f t="shared" si="134"/>
        <v>"white"</v>
      </c>
      <c r="IX7" s="44" t="str">
        <f t="shared" si="135"/>
        <v>{"url":"http://mkweb.bcgsc.ca/color-summarizer/?url=https://upload.wikimedia.org/wikipedia/commons/thumb/d/d8/Flag_of_Rapa_Nui%2C_Chile.svg/383px-Flag_of_Rapa_Nui%2C_Chile.svg.png&amp;precision=low&amp;num_clusters=2&amp;text=1","name":"[CHL] Easter Island"},</v>
      </c>
      <c r="IY7" s="44">
        <v>375</v>
      </c>
    </row>
    <row r="8" spans="1:259" s="44" customFormat="1" ht="38.4" customHeight="1" thickBot="1" x14ac:dyDescent="0.35">
      <c r="A8" s="84" t="s">
        <v>568</v>
      </c>
      <c r="B8" s="83" t="e" vm="62">
        <v>#VALUE!</v>
      </c>
      <c r="C8" s="39">
        <v>2</v>
      </c>
      <c r="D8" s="70" t="s">
        <v>569</v>
      </c>
      <c r="E8" s="40" t="s">
        <v>569</v>
      </c>
      <c r="F8" s="41" t="s">
        <v>163</v>
      </c>
      <c r="G8" s="42">
        <f t="shared" si="0"/>
        <v>1</v>
      </c>
      <c r="H8" s="43"/>
      <c r="I8" s="59" t="s">
        <v>570</v>
      </c>
      <c r="J8" s="44" t="str">
        <f>""</f>
        <v/>
      </c>
      <c r="K8" s="45"/>
      <c r="L8" s="46"/>
      <c r="M8" s="46"/>
      <c r="N8" s="47" t="s">
        <v>177</v>
      </c>
      <c r="O8" s="74" t="s">
        <v>233</v>
      </c>
      <c r="P8" s="48" t="s">
        <v>571</v>
      </c>
      <c r="Q8" s="73">
        <v>5</v>
      </c>
      <c r="R8" s="49" t="s">
        <v>177</v>
      </c>
      <c r="S8" s="50">
        <v>0</v>
      </c>
      <c r="T8" s="51" t="s">
        <v>165</v>
      </c>
      <c r="U8" s="52" t="s">
        <v>164</v>
      </c>
      <c r="V8" s="52" t="s">
        <v>165</v>
      </c>
      <c r="W8" s="52" t="s">
        <v>165</v>
      </c>
      <c r="X8" s="52" t="s">
        <v>165</v>
      </c>
      <c r="Y8" s="52" t="s">
        <v>164</v>
      </c>
      <c r="Z8" s="52" t="s">
        <v>164</v>
      </c>
      <c r="AA8" s="52" t="s">
        <v>164</v>
      </c>
      <c r="AB8" s="52" t="s">
        <v>165</v>
      </c>
      <c r="AC8" s="52" t="s">
        <v>165</v>
      </c>
      <c r="AD8" s="52" t="s">
        <v>165</v>
      </c>
      <c r="AE8" s="52" t="s">
        <v>164</v>
      </c>
      <c r="AF8" s="53" t="s">
        <v>164</v>
      </c>
      <c r="AG8" s="53" t="s">
        <v>164</v>
      </c>
      <c r="AH8" s="53" t="s">
        <v>165</v>
      </c>
      <c r="AI8" s="53" t="s">
        <v>164</v>
      </c>
      <c r="AJ8" s="53" t="s">
        <v>164</v>
      </c>
      <c r="AK8" s="53" t="s">
        <v>164</v>
      </c>
      <c r="AL8" s="53" t="s">
        <v>164</v>
      </c>
      <c r="AM8" s="53" t="s">
        <v>164</v>
      </c>
      <c r="AN8" s="53" t="s">
        <v>164</v>
      </c>
      <c r="AO8" s="53" t="s">
        <v>164</v>
      </c>
      <c r="AP8" s="53" t="s">
        <v>164</v>
      </c>
      <c r="AQ8" s="53" t="s">
        <v>164</v>
      </c>
      <c r="AR8" s="53" t="s">
        <v>164</v>
      </c>
      <c r="AS8" s="53" t="s">
        <v>164</v>
      </c>
      <c r="AT8" s="54">
        <v>1</v>
      </c>
      <c r="AU8" s="53" t="s">
        <v>309</v>
      </c>
      <c r="AV8" s="53" t="str">
        <f t="shared" si="1"/>
        <v>[CHL]Region[CHL] Libertador General Bernardo O'Higgins Region</v>
      </c>
      <c r="AW8" s="53" t="str">
        <f t="shared" si="2"/>
        <v>2[CHL] Libertador General Bernardo O'Higgins Region</v>
      </c>
      <c r="AX8" s="55"/>
      <c r="AY8" s="55"/>
      <c r="AZ8" s="56" t="s">
        <v>159</v>
      </c>
      <c r="BA8" s="56" t="s">
        <v>234</v>
      </c>
      <c r="BB8" s="56"/>
      <c r="BC8" s="57"/>
      <c r="BD8" s="58" t="s">
        <v>159</v>
      </c>
      <c r="BE8" s="59"/>
      <c r="BF8" s="58" t="s">
        <v>234</v>
      </c>
      <c r="BG8" s="58" t="s">
        <v>234</v>
      </c>
      <c r="BH8" s="58" t="s">
        <v>234</v>
      </c>
      <c r="BI8" s="58"/>
      <c r="BJ8" s="58"/>
      <c r="BK8" s="59"/>
      <c r="BL8" s="58" t="s">
        <v>151</v>
      </c>
      <c r="BM8" s="58" t="s">
        <v>234</v>
      </c>
      <c r="BN8" s="58" t="s">
        <v>153</v>
      </c>
      <c r="BO8" s="58" t="s">
        <v>154</v>
      </c>
      <c r="BP8" s="58" t="s">
        <v>155</v>
      </c>
      <c r="BQ8" s="58" t="s">
        <v>234</v>
      </c>
      <c r="BR8" s="58" t="s">
        <v>234</v>
      </c>
      <c r="BS8" s="58" t="s">
        <v>158</v>
      </c>
      <c r="BT8" s="58" t="s">
        <v>159</v>
      </c>
      <c r="BU8" s="60"/>
      <c r="BV8" s="61"/>
      <c r="BW8" s="61">
        <v>0</v>
      </c>
      <c r="BX8" s="59"/>
      <c r="BY8" s="44" t="s">
        <v>164</v>
      </c>
      <c r="CB8" s="5"/>
      <c r="CC8" s="5"/>
      <c r="CD8" s="62">
        <v>0</v>
      </c>
      <c r="CE8" s="62">
        <v>0</v>
      </c>
      <c r="CF8" s="62" t="e">
        <v>#REF!</v>
      </c>
      <c r="CG8" s="75" cm="1">
        <f t="array" ref="CG8">SUMPRODUCT(--(LEN(TRIM(BL8:BT8))&gt;0))</f>
        <v>6</v>
      </c>
      <c r="CH8" s="53" t="str">
        <f t="shared" si="3"/>
        <v>n</v>
      </c>
      <c r="CI8" s="53" t="str">
        <f t="shared" si="4"/>
        <v>n</v>
      </c>
      <c r="CJ8" s="53" t="str">
        <f t="shared" si="5"/>
        <v>n</v>
      </c>
      <c r="CK8" s="53" t="str">
        <f t="shared" si="6"/>
        <v>y</v>
      </c>
      <c r="CL8" s="53" t="str">
        <f t="shared" si="7"/>
        <v>y</v>
      </c>
      <c r="CM8" s="53" t="str">
        <f t="shared" si="8"/>
        <v>n</v>
      </c>
      <c r="CN8" s="53" t="str">
        <f t="shared" si="9"/>
        <v>n</v>
      </c>
      <c r="CO8" s="53" t="str">
        <f t="shared" si="10"/>
        <v>n</v>
      </c>
      <c r="CP8" s="53" t="str">
        <f t="shared" si="11"/>
        <v>n</v>
      </c>
      <c r="CQ8" s="53" t="str">
        <f t="shared" si="12"/>
        <v>y</v>
      </c>
      <c r="CR8" s="53" t="str">
        <f t="shared" si="13"/>
        <v>n</v>
      </c>
      <c r="CS8" s="53" t="str">
        <f t="shared" si="14"/>
        <v>n</v>
      </c>
      <c r="CT8" s="38" t="str">
        <f t="shared" si="15"/>
        <v>"[CHL] Libertador General Bernardo O'Higgins Region"</v>
      </c>
      <c r="CU8" s="63" t="str">
        <f t="shared" si="16"/>
        <v>"rgn_South America"</v>
      </c>
      <c r="CV8" s="44" t="str">
        <f t="shared" si="17"/>
        <v>"https://www.crwflags.com/fotw/images/c/cl-06.gif"</v>
      </c>
      <c r="CW8" s="44" t="str">
        <f t="shared" si="18"/>
        <v/>
      </c>
      <c r="CX8" s="44" t="str">
        <f t="shared" si="19"/>
        <v/>
      </c>
      <c r="CY8" s="44" t="str">
        <f t="shared" si="20"/>
        <v/>
      </c>
      <c r="CZ8" s="44" t="str">
        <f t="shared" si="21"/>
        <v>"5+Colo",</v>
      </c>
      <c r="DA8" s="44" t="str">
        <f t="shared" si="22"/>
        <v>"words2",</v>
      </c>
      <c r="DB8" s="44" t="str">
        <f t="shared" si="23"/>
        <v>"words3",</v>
      </c>
      <c r="DD8" s="44" t="str">
        <f t="shared" ref="DD8:DD14" si="137">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"lets40",</v>
      </c>
      <c r="DE8" s="44" t="str">
        <f t="shared" ref="DE8:DE14" si="138">CHAR(34)&amp;"start"&amp;IFERROR(LEFT(SUBSTITUTE(A8,"["&amp;MID(A8,FIND("[",A8)+1,FIND("]",A8)-FIND("[",A8)-1)&amp;"] ",""),1),LEFT(A8,1))&amp;CHAR(34)&amp;","</f>
        <v>"startL",</v>
      </c>
      <c r="DF8" s="44" t="str">
        <f t="shared" si="24"/>
        <v/>
      </c>
      <c r="DG8" s="44" t="str">
        <f t="shared" si="25"/>
        <v/>
      </c>
      <c r="DH8" s="44" t="str">
        <f t="shared" si="26"/>
        <v/>
      </c>
      <c r="DI8" s="44" t="str">
        <f t="shared" si="27"/>
        <v/>
      </c>
      <c r="DJ8" s="44" t="str">
        <f t="shared" si="28"/>
        <v/>
      </c>
      <c r="DK8" s="44" t="str">
        <f t="shared" si="29"/>
        <v/>
      </c>
      <c r="DL8" s="44" t="str">
        <f t="shared" si="30"/>
        <v/>
      </c>
      <c r="DM8" s="44" t="str" cm="1">
        <f t="array" ref="DM8">IF(CG8=3,CHAR(34) &amp; _xlfn.TEXTJOIN("", TRUE, RIGHT(HP8:HX8, 2)) &amp; CHAR(34) &amp; ",", "")</f>
        <v/>
      </c>
      <c r="DN8" s="44" t="str">
        <f t="shared" si="31"/>
        <v/>
      </c>
      <c r="DO8" s="44" t="str">
        <f t="shared" si="32"/>
        <v/>
      </c>
      <c r="DP8" s="5" t="str">
        <f t="shared" si="33"/>
        <v/>
      </c>
      <c r="DQ8" s="5" t="str">
        <f t="shared" si="34"/>
        <v/>
      </c>
      <c r="DR8" s="5" t="str">
        <f t="shared" si="35"/>
        <v/>
      </c>
      <c r="DS8" s="5" t="str">
        <f t="shared" si="36"/>
        <v/>
      </c>
      <c r="DT8" s="5" t="str">
        <f t="shared" si="37"/>
        <v/>
      </c>
      <c r="DU8" s="5" t="str">
        <f t="shared" si="38"/>
        <v/>
      </c>
      <c r="DW8" s="44" t="str">
        <f t="shared" si="39"/>
        <v>"NoBand",</v>
      </c>
      <c r="DX8" s="44" t="str">
        <f t="shared" si="40"/>
        <v/>
      </c>
      <c r="DY8" s="44" t="str">
        <f t="shared" si="41"/>
        <v/>
      </c>
      <c r="DZ8" s="44" t="str">
        <f t="shared" si="42"/>
        <v/>
      </c>
      <c r="EA8" s="44" t="str">
        <f t="shared" si="43"/>
        <v>"Diagon",</v>
      </c>
      <c r="EB8" s="44" t="str">
        <f t="shared" si="44"/>
        <v/>
      </c>
      <c r="EC8" s="44" t="str">
        <f t="shared" si="45"/>
        <v>"Horizo",</v>
      </c>
      <c r="ED8" s="44" t="str">
        <f t="shared" si="46"/>
        <v>"Vertic",</v>
      </c>
      <c r="EE8" s="44" t="str">
        <f t="shared" si="47"/>
        <v>"Circle",</v>
      </c>
      <c r="EF8" s="44" t="str">
        <f t="shared" si="48"/>
        <v/>
      </c>
      <c r="EG8" s="44" t="str">
        <f t="shared" si="49"/>
        <v/>
      </c>
      <c r="EH8" s="44" t="str">
        <f t="shared" si="50"/>
        <v/>
      </c>
      <c r="EI8" s="44" t="str">
        <f t="shared" si="51"/>
        <v>"Texted",</v>
      </c>
      <c r="EJ8" s="44" t="str">
        <f t="shared" si="52"/>
        <v>"Weapon",</v>
      </c>
      <c r="EK8" s="44" t="str">
        <f t="shared" si="53"/>
        <v>"HasSun",</v>
      </c>
      <c r="EL8" s="44" t="str">
        <f t="shared" si="54"/>
        <v/>
      </c>
      <c r="EM8" s="44" t="str">
        <f t="shared" si="55"/>
        <v/>
      </c>
      <c r="EN8" s="44" t="str">
        <f t="shared" si="56"/>
        <v/>
      </c>
      <c r="EO8" s="44" t="str">
        <f t="shared" si="57"/>
        <v>"Center",</v>
      </c>
      <c r="EP8" s="44" t="str">
        <f t="shared" si="58"/>
        <v/>
      </c>
      <c r="EQ8" s="44" t="str">
        <f t="shared" si="59"/>
        <v/>
      </c>
      <c r="ER8" s="44" t="str">
        <f t="shared" si="60"/>
        <v/>
      </c>
      <c r="ES8" s="44" t="str">
        <f t="shared" si="61"/>
        <v/>
      </c>
      <c r="ET8" s="44" t="str">
        <f t="shared" si="62"/>
        <v/>
      </c>
      <c r="EU8" s="44" t="str">
        <f t="shared" si="63"/>
        <v/>
      </c>
      <c r="EV8" s="44" t="str">
        <f t="shared" si="64"/>
        <v/>
      </c>
      <c r="EW8" s="44" t="str">
        <f t="shared" si="65"/>
        <v/>
      </c>
      <c r="EX8" s="44" t="str">
        <f t="shared" si="66"/>
        <v/>
      </c>
      <c r="EY8" s="44" t="str">
        <f t="shared" si="67"/>
        <v/>
      </c>
      <c r="EZ8" s="44" t="str">
        <f t="shared" si="68"/>
        <v/>
      </c>
      <c r="FA8" s="44" t="str">
        <f t="shared" si="69"/>
        <v>"staWHI",</v>
      </c>
      <c r="FB8" s="44" t="str">
        <f t="shared" si="70"/>
        <v/>
      </c>
      <c r="FD8" s="44" t="str">
        <f t="shared" si="71"/>
        <v/>
      </c>
      <c r="FE8" s="44" t="str">
        <f t="shared" si="72"/>
        <v>"NO_BLU",</v>
      </c>
      <c r="FF8" s="44" t="str">
        <f t="shared" si="73"/>
        <v/>
      </c>
      <c r="FG8" s="44" t="str">
        <f t="shared" si="74"/>
        <v/>
      </c>
      <c r="FH8" s="44" t="str">
        <f t="shared" si="75"/>
        <v/>
      </c>
      <c r="FI8" s="44" t="str">
        <f t="shared" si="76"/>
        <v/>
      </c>
      <c r="FJ8" s="44" t="str">
        <f t="shared" si="77"/>
        <v/>
      </c>
      <c r="FK8" s="44" t="str">
        <f t="shared" si="78"/>
        <v/>
      </c>
      <c r="FL8" s="44" t="str">
        <f t="shared" si="79"/>
        <v/>
      </c>
      <c r="FM8" s="44" t="str">
        <f t="shared" si="80"/>
        <v/>
      </c>
      <c r="FN8" s="44" t="str">
        <f t="shared" si="81"/>
        <v/>
      </c>
      <c r="FO8" s="44" t="str">
        <f t="shared" si="82"/>
        <v/>
      </c>
      <c r="FP8" s="44" t="str">
        <f t="shared" si="83"/>
        <v/>
      </c>
      <c r="FQ8" s="44" t="str">
        <f t="shared" si="84"/>
        <v/>
      </c>
      <c r="FR8" s="44" t="str">
        <f t="shared" si="85"/>
        <v/>
      </c>
      <c r="FS8" s="44" t="str">
        <f t="shared" si="86"/>
        <v/>
      </c>
      <c r="FT8" s="44" t="str">
        <f t="shared" si="87"/>
        <v>"myrWHI",</v>
      </c>
      <c r="FU8" s="44" t="str">
        <f t="shared" si="88"/>
        <v/>
      </c>
      <c r="FV8" s="44" t="str">
        <f t="shared" si="89"/>
        <v/>
      </c>
      <c r="FW8" s="44" t="str">
        <f t="shared" si="90"/>
        <v/>
      </c>
      <c r="FY8" s="44" t="str">
        <f t="shared" si="91"/>
        <v/>
      </c>
      <c r="FZ8" s="44" t="str">
        <f t="shared" si="92"/>
        <v/>
      </c>
      <c r="GA8" s="44" t="str">
        <f t="shared" si="93"/>
        <v/>
      </c>
      <c r="GB8" s="44" t="str">
        <f t="shared" si="94"/>
        <v/>
      </c>
      <c r="GE8" s="44" t="str">
        <f t="shared" si="95"/>
        <v/>
      </c>
      <c r="GF8" s="44" t="str">
        <f t="shared" si="136"/>
        <v/>
      </c>
      <c r="GG8" s="44" t="str">
        <f t="shared" si="96"/>
        <v/>
      </c>
      <c r="GH8" s="44" t="str">
        <f t="shared" si="97"/>
        <v/>
      </c>
      <c r="GI8" s="44" t="str">
        <f t="shared" si="98"/>
        <v/>
      </c>
      <c r="GJ8" s="44" t="str">
        <f t="shared" si="99"/>
        <v/>
      </c>
      <c r="GK8" s="44" t="str">
        <f t="shared" si="100"/>
        <v>"HasSta",</v>
      </c>
      <c r="GL8" s="44" t="str">
        <f t="shared" si="101"/>
        <v>"1Stars",</v>
      </c>
      <c r="GM8" s="44" t="str">
        <f t="shared" si="102"/>
        <v/>
      </c>
      <c r="GN8" s="44" t="str">
        <f t="shared" si="103"/>
        <v/>
      </c>
      <c r="GP8" s="44" t="str">
        <f t="shared" si="104"/>
        <v>"Region"</v>
      </c>
      <c r="GS8" s="44" t="str">
        <f t="shared" si="105"/>
        <v>["5+Colo","words2","words3","lets40","startL","NoBand","Diagon","Horizo","Vertic","Circle","Texted","Weapon","HasSun","Center","staWHI","NO_BLU","myrWHI","HasSta","1Stars"]</v>
      </c>
      <c r="GT8" s="44" t="str">
        <f t="shared" si="106"/>
        <v>"cl_BLA",</v>
      </c>
      <c r="GU8" s="44" t="str">
        <f t="shared" si="107"/>
        <v/>
      </c>
      <c r="GV8" s="44" t="str">
        <f t="shared" si="108"/>
        <v>"cl_GRE",</v>
      </c>
      <c r="GW8" s="44" t="str">
        <f t="shared" si="109"/>
        <v>"cl_RED",</v>
      </c>
      <c r="GX8" s="44" t="str">
        <f t="shared" si="110"/>
        <v>"cl_YEL",</v>
      </c>
      <c r="GY8" s="44" t="str">
        <f t="shared" si="111"/>
        <v/>
      </c>
      <c r="GZ8" s="44" t="str">
        <f t="shared" si="112"/>
        <v/>
      </c>
      <c r="HA8" s="44" t="str">
        <f t="shared" si="113"/>
        <v>"cl_PUR",</v>
      </c>
      <c r="HB8" s="44" t="str">
        <f t="shared" si="114"/>
        <v>"cl_WHI",</v>
      </c>
      <c r="HC8" s="44" t="str">
        <f t="shared" si="115"/>
        <v>["cl_BLA","cl_GRE","cl_RED","cl_YEL","cl_PUR","cl_WHI"]</v>
      </c>
      <c r="HE8" s="64"/>
      <c r="HF8" s="65" t="str">
        <f t="shared" si="116"/>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links: "https://www.crwflags.com/fotw/flags/cl-06.html#about"},</v>
      </c>
      <c r="HG8" s="66" t="str">
        <f t="shared" si="117"/>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links: "https://www.crwflags.com/fotw/flags/cl-06.html#about"},</v>
      </c>
      <c r="HH8" s="44" t="str">
        <f t="shared" si="118"/>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I8" s="44" t="str">
        <f t="shared" si="119"/>
        <v>"\nThis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v>
      </c>
      <c r="HJ8" s="44" t="str">
        <f t="shared" si="120"/>
        <v>"???"</v>
      </c>
      <c r="HL8" s="44" t="str">
        <f t="shared" si="121"/>
        <v>"https://www.crwflags.com/fotw/flags/cl-06.html#about"</v>
      </c>
      <c r="HM8" s="65" t="str">
        <f t="shared" si="122"/>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N8" s="67" t="str">
        <f t="shared" si="123"/>
        <v>{"couname":"[CHL] Libertador General Bernardo O'Higgins Region","year":"???","region":"rgn_South America","Colors":["cl_BLA","cl_GRE","cl_RED","cl_YEL","cl_PUR","cl_WHI"],"Items":["5+Colo","words2","words3","lets40","startL","NoBand","Diagon","Horizo","Vertic","Circle","Texted","Weapon","HasSun","Center","staWHI","NO_BLU","myrWHI","HasSta","1Stars"],"Flag":"https://www.crwflags.com/fotw/images/c/cl-06.gif","HDFlag":"https://www.crwflags.com/fotw/images/c/cl-06.gif","type":"Region", "describe": "\nThis photo [http://commons.wikimedia.org/wiki/File:Regional_flags_of_Chile_in_the_National_Congress.jpg], showing a display of all 13 regional flags in use in 2008, at the very official setting of the National Congress of Chile building, shows that the the lettering of this flag is not black, but purple, and the typeface used is serifless.\n", "isnew": ".", "links": "https://www.crwflags.com/fotw/flags/cl-06.html#about"},</v>
      </c>
      <c r="HO8" s="71">
        <v>45618</v>
      </c>
      <c r="HP8" s="44" t="str" cm="1">
        <f t="array" ref="HP8">IF(_xlfn.TEXTJOIN(", ", TRUE, IF(ISNUMBER(SEARCH("BLA", BL8:BT8)), COLUMN(BL8:BT8) - COLUMN(BL8) + 1, ""))&lt;&gt;"","BLA","")</f>
        <v>BLA</v>
      </c>
      <c r="HQ8" s="44" t="str" cm="1">
        <f t="array" ref="HQ8">IF(_xlfn.TEXTJOIN(", ", TRUE, IF(ISNUMBER(SEARCH("BLU", BL8:BT8)), COLUMN(BL8:BT8) - COLUMN(BL8) + 1, ""))&lt;&gt;"","BLU","")</f>
        <v/>
      </c>
      <c r="HR8" s="44" t="str" cm="1">
        <f t="array" ref="HR8">IF(_xlfn.TEXTJOIN(", ", TRUE, IF(ISNUMBER(SEARCH("GRE", BL8:BT8)), COLUMN(BL8:BT8) - COLUMN(BL8) + 1, ""))&lt;&gt;"","GRE","")</f>
        <v>GRE</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PUR</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 t="shared" si="124"/>
        <v>-6</v>
      </c>
      <c r="IN8" s="69" t="str">
        <f t="shared" si="125"/>
        <v>http://mkweb.bcgsc.ca/color-summarizer/?url=https://www.crwflags.com/fotw/images/c/cl-06.gif&amp;precision=low&amp;num_clusters=6&amp;text=1</v>
      </c>
      <c r="IO8" s="44" t="str">
        <f t="shared" si="126"/>
        <v>"black"</v>
      </c>
      <c r="IP8" s="44" t="str">
        <f t="shared" si="127"/>
        <v/>
      </c>
      <c r="IQ8" s="44" t="str">
        <f t="shared" si="128"/>
        <v>"green"</v>
      </c>
      <c r="IR8" s="44" t="str">
        <f t="shared" si="129"/>
        <v>"red"</v>
      </c>
      <c r="IS8" s="44" t="str">
        <f t="shared" si="130"/>
        <v>"yellow"</v>
      </c>
      <c r="IT8" s="44" t="str">
        <f t="shared" si="131"/>
        <v/>
      </c>
      <c r="IU8" s="44" t="str">
        <f t="shared" si="132"/>
        <v/>
      </c>
      <c r="IV8" s="44" t="str">
        <f t="shared" si="133"/>
        <v>"purple"</v>
      </c>
      <c r="IW8" s="44" t="str">
        <f t="shared" si="134"/>
        <v>"white"</v>
      </c>
      <c r="IX8" s="44" t="str">
        <f t="shared" si="135"/>
        <v>{"url":"http://mkweb.bcgsc.ca/color-summarizer/?url=https://www.crwflags.com/fotw/images/c/cl-06.gif&amp;precision=low&amp;num_clusters=6&amp;text=1","name":"[CHL] Libertador General Bernardo O'Higgins Region"},</v>
      </c>
      <c r="IY8" s="44">
        <v>964</v>
      </c>
    </row>
    <row r="9" spans="1:259" s="44" customFormat="1" ht="38.4" customHeight="1" thickBot="1" x14ac:dyDescent="0.35">
      <c r="A9" s="84" t="s">
        <v>678</v>
      </c>
      <c r="B9" s="83" t="e" vm="63">
        <v>#VALUE!</v>
      </c>
      <c r="C9" s="39">
        <v>2</v>
      </c>
      <c r="D9" s="70" t="s">
        <v>679</v>
      </c>
      <c r="E9" s="40" t="s">
        <v>680</v>
      </c>
      <c r="F9" s="41" t="s">
        <v>163</v>
      </c>
      <c r="G9" s="42">
        <f t="shared" si="0"/>
        <v>1</v>
      </c>
      <c r="H9" s="43"/>
      <c r="I9" s="59" t="s">
        <v>681</v>
      </c>
      <c r="J9" s="44" t="str">
        <f>""</f>
        <v/>
      </c>
      <c r="K9" s="45"/>
      <c r="L9" s="46"/>
      <c r="M9" s="46"/>
      <c r="N9" s="47" t="s">
        <v>177</v>
      </c>
      <c r="O9" s="74">
        <v>2013</v>
      </c>
      <c r="P9" s="48" t="s">
        <v>682</v>
      </c>
      <c r="Q9" s="73">
        <v>3</v>
      </c>
      <c r="R9" s="49" t="s">
        <v>177</v>
      </c>
      <c r="S9" s="50">
        <v>2</v>
      </c>
      <c r="T9" s="51" t="s">
        <v>164</v>
      </c>
      <c r="U9" s="52" t="s">
        <v>164</v>
      </c>
      <c r="V9" s="52" t="s">
        <v>165</v>
      </c>
      <c r="W9" s="52" t="s">
        <v>164</v>
      </c>
      <c r="X9" s="52" t="s">
        <v>164</v>
      </c>
      <c r="Y9" s="52" t="s">
        <v>164</v>
      </c>
      <c r="Z9" s="52" t="s">
        <v>164</v>
      </c>
      <c r="AA9" s="52" t="s">
        <v>164</v>
      </c>
      <c r="AB9" s="52" t="s">
        <v>164</v>
      </c>
      <c r="AC9" s="52" t="s">
        <v>164</v>
      </c>
      <c r="AD9" s="52" t="s">
        <v>164</v>
      </c>
      <c r="AE9" s="52" t="s">
        <v>164</v>
      </c>
      <c r="AF9" s="53" t="s">
        <v>164</v>
      </c>
      <c r="AG9" s="53" t="s">
        <v>165</v>
      </c>
      <c r="AH9" s="53" t="s">
        <v>164</v>
      </c>
      <c r="AI9" s="53" t="s">
        <v>165</v>
      </c>
      <c r="AJ9" s="53" t="s">
        <v>164</v>
      </c>
      <c r="AK9" s="53" t="s">
        <v>164</v>
      </c>
      <c r="AL9" s="53" t="s">
        <v>164</v>
      </c>
      <c r="AM9" s="53" t="s">
        <v>164</v>
      </c>
      <c r="AN9" s="53" t="s">
        <v>164</v>
      </c>
      <c r="AO9" s="53" t="s">
        <v>164</v>
      </c>
      <c r="AP9" s="53" t="s">
        <v>164</v>
      </c>
      <c r="AQ9" s="53" t="s">
        <v>164</v>
      </c>
      <c r="AR9" s="53" t="s">
        <v>164</v>
      </c>
      <c r="AS9" s="53" t="s">
        <v>164</v>
      </c>
      <c r="AT9" s="54">
        <v>4</v>
      </c>
      <c r="AU9" s="53" t="s">
        <v>309</v>
      </c>
      <c r="AV9" s="53" t="str">
        <f t="shared" si="1"/>
        <v xml:space="preserve">[CHL]Region[CHL] Los Lagos Region </v>
      </c>
      <c r="AW9" s="53" t="str">
        <f t="shared" si="2"/>
        <v xml:space="preserve">2[CHL] Los Lagos Region </v>
      </c>
      <c r="AX9" s="55"/>
      <c r="AY9" s="55"/>
      <c r="AZ9" s="56" t="s">
        <v>159</v>
      </c>
      <c r="BA9" s="56" t="s">
        <v>234</v>
      </c>
      <c r="BB9" s="56"/>
      <c r="BC9" s="57"/>
      <c r="BD9" s="58" t="s">
        <v>152</v>
      </c>
      <c r="BE9" s="59"/>
      <c r="BF9" s="58" t="s">
        <v>153</v>
      </c>
      <c r="BG9" s="58" t="s">
        <v>234</v>
      </c>
      <c r="BH9" s="58" t="s">
        <v>152</v>
      </c>
      <c r="BI9" s="58"/>
      <c r="BJ9" s="58"/>
      <c r="BK9" s="59"/>
      <c r="BL9" s="58" t="s">
        <v>234</v>
      </c>
      <c r="BM9" s="58" t="s">
        <v>152</v>
      </c>
      <c r="BN9" s="58" t="s">
        <v>153</v>
      </c>
      <c r="BO9" s="58" t="s">
        <v>234</v>
      </c>
      <c r="BP9" s="58" t="s">
        <v>234</v>
      </c>
      <c r="BQ9" s="58" t="s">
        <v>234</v>
      </c>
      <c r="BR9" s="58" t="s">
        <v>234</v>
      </c>
      <c r="BS9" s="58" t="s">
        <v>234</v>
      </c>
      <c r="BT9" s="58" t="s">
        <v>159</v>
      </c>
      <c r="BU9" s="60" t="s">
        <v>164</v>
      </c>
      <c r="BV9" s="61"/>
      <c r="BW9" s="61">
        <v>0</v>
      </c>
      <c r="BX9" s="59"/>
      <c r="CB9" s="5"/>
      <c r="CC9" s="5"/>
      <c r="CD9" s="62">
        <v>0</v>
      </c>
      <c r="CE9" s="62">
        <v>0</v>
      </c>
      <c r="CF9" s="62" t="e">
        <v>#REF!</v>
      </c>
      <c r="CG9" s="75" cm="1">
        <f t="array" ref="CG9">SUMPRODUCT(--(LEN(TRIM(BL9:BT9))&gt;0))</f>
        <v>3</v>
      </c>
      <c r="CH9" s="53" t="str">
        <f t="shared" si="3"/>
        <v>n</v>
      </c>
      <c r="CI9" s="53" t="str">
        <f t="shared" si="4"/>
        <v>y</v>
      </c>
      <c r="CJ9" s="53" t="str">
        <f t="shared" si="5"/>
        <v>n</v>
      </c>
      <c r="CK9" s="53" t="str">
        <f t="shared" si="6"/>
        <v>n</v>
      </c>
      <c r="CL9" s="53" t="str">
        <f t="shared" si="7"/>
        <v>n</v>
      </c>
      <c r="CM9" s="53" t="str">
        <f t="shared" si="8"/>
        <v>y</v>
      </c>
      <c r="CN9" s="53" t="str">
        <f t="shared" si="9"/>
        <v>n</v>
      </c>
      <c r="CO9" s="53" t="str">
        <f t="shared" si="10"/>
        <v>n</v>
      </c>
      <c r="CP9" s="53" t="str">
        <f t="shared" si="11"/>
        <v>n</v>
      </c>
      <c r="CQ9" s="53" t="str">
        <f t="shared" si="12"/>
        <v>n</v>
      </c>
      <c r="CR9" s="53" t="str">
        <f t="shared" si="13"/>
        <v>n</v>
      </c>
      <c r="CS9" s="53" t="str">
        <f t="shared" si="14"/>
        <v>y</v>
      </c>
      <c r="CT9" s="38" t="str">
        <f t="shared" si="15"/>
        <v>"[CHL] Los Lagos Region "</v>
      </c>
      <c r="CU9" s="63" t="str">
        <f t="shared" si="16"/>
        <v>"rgn_South America"</v>
      </c>
      <c r="CV9" s="44" t="str">
        <f t="shared" si="17"/>
        <v>"https://upload.wikimedia.org/wikipedia/commons/thumb/1/16/Flag_of_Los_Lagos_Region%2C_Chile.svg/640px-Flag_of_Los_Lagos_Region%2C_Chile.svg.png"</v>
      </c>
      <c r="CW9" s="44" t="str">
        <f t="shared" si="18"/>
        <v/>
      </c>
      <c r="CX9" s="44" t="str">
        <f t="shared" si="19"/>
        <v>"3Color",</v>
      </c>
      <c r="CY9" s="44" t="str">
        <f t="shared" si="20"/>
        <v/>
      </c>
      <c r="CZ9" s="44" t="str">
        <f t="shared" si="21"/>
        <v/>
      </c>
      <c r="DA9" s="44" t="str">
        <f t="shared" si="22"/>
        <v>"words2",</v>
      </c>
      <c r="DB9" s="44" t="str">
        <f t="shared" si="23"/>
        <v>"words3",</v>
      </c>
      <c r="DD9" s="44" t="str">
        <f t="shared" si="137"/>
        <v>"lets14",</v>
      </c>
      <c r="DE9" s="44" t="str">
        <f t="shared" si="138"/>
        <v>"startL",</v>
      </c>
      <c r="DF9" s="44" t="str">
        <f t="shared" si="24"/>
        <v/>
      </c>
      <c r="DG9" s="44" t="str">
        <f t="shared" si="25"/>
        <v/>
      </c>
      <c r="DH9" s="44" t="str">
        <f t="shared" si="26"/>
        <v/>
      </c>
      <c r="DI9" s="44" t="str">
        <f t="shared" si="27"/>
        <v/>
      </c>
      <c r="DJ9" s="44" t="str">
        <f t="shared" si="28"/>
        <v/>
      </c>
      <c r="DK9" s="44" t="str">
        <f t="shared" si="29"/>
        <v/>
      </c>
      <c r="DL9" s="44" t="str">
        <f t="shared" si="30"/>
        <v/>
      </c>
      <c r="DM9" s="44" t="str" cm="1">
        <f t="array" ref="DM9">IF(CG9=3,CHAR(34) &amp; _xlfn.TEXTJOIN("", TRUE, RIGHT(HP9:HX9, 2)) &amp; CHAR(34) &amp; ",", "")</f>
        <v>"LUREHI",</v>
      </c>
      <c r="DN9" s="44" t="str">
        <f t="shared" si="31"/>
        <v/>
      </c>
      <c r="DO9" s="44" t="str">
        <f t="shared" si="32"/>
        <v/>
      </c>
      <c r="DP9" s="5" t="str">
        <f t="shared" si="33"/>
        <v>"year00",</v>
      </c>
      <c r="DQ9" s="5" t="str">
        <f t="shared" si="34"/>
        <v/>
      </c>
      <c r="DR9" s="5" t="str">
        <f t="shared" si="35"/>
        <v/>
      </c>
      <c r="DS9" s="5" t="str">
        <f t="shared" si="36"/>
        <v/>
      </c>
      <c r="DT9" s="5" t="str">
        <f t="shared" si="37"/>
        <v>"allhor",</v>
      </c>
      <c r="DU9" s="5" t="str">
        <f t="shared" si="38"/>
        <v/>
      </c>
      <c r="DW9" s="44" t="str">
        <f t="shared" si="39"/>
        <v/>
      </c>
      <c r="DX9" s="44" t="str">
        <f t="shared" si="40"/>
        <v>"2Bands",</v>
      </c>
      <c r="DY9" s="44" t="str">
        <f t="shared" si="41"/>
        <v/>
      </c>
      <c r="DZ9" s="44" t="str">
        <f t="shared" si="42"/>
        <v/>
      </c>
      <c r="EA9" s="44" t="str">
        <f t="shared" si="43"/>
        <v/>
      </c>
      <c r="EB9" s="44" t="str">
        <f t="shared" si="44"/>
        <v/>
      </c>
      <c r="EC9" s="44" t="str">
        <f t="shared" si="45"/>
        <v>"Horizo",</v>
      </c>
      <c r="ED9" s="44" t="str">
        <f t="shared" si="46"/>
        <v/>
      </c>
      <c r="EE9" s="44" t="str">
        <f t="shared" si="47"/>
        <v/>
      </c>
      <c r="EF9" s="44" t="str">
        <f t="shared" si="48"/>
        <v/>
      </c>
      <c r="EG9" s="44" t="str">
        <f t="shared" si="49"/>
        <v/>
      </c>
      <c r="EH9" s="44" t="str">
        <f t="shared" si="50"/>
        <v/>
      </c>
      <c r="EI9" s="44" t="str">
        <f t="shared" si="51"/>
        <v/>
      </c>
      <c r="EJ9" s="44" t="str">
        <f t="shared" si="52"/>
        <v/>
      </c>
      <c r="EK9" s="44" t="str">
        <f t="shared" si="53"/>
        <v/>
      </c>
      <c r="EL9" s="44" t="str">
        <f t="shared" si="54"/>
        <v/>
      </c>
      <c r="EM9" s="44" t="str">
        <f t="shared" si="55"/>
        <v/>
      </c>
      <c r="EN9" s="44" t="str">
        <f t="shared" si="56"/>
        <v>"Unequa",</v>
      </c>
      <c r="EO9" s="44" t="str">
        <f t="shared" si="57"/>
        <v/>
      </c>
      <c r="EP9" s="44" t="str">
        <f t="shared" si="58"/>
        <v>"Canton",</v>
      </c>
      <c r="EQ9" s="44" t="str">
        <f t="shared" si="59"/>
        <v/>
      </c>
      <c r="ER9" s="44" t="str">
        <f t="shared" si="60"/>
        <v/>
      </c>
      <c r="ES9" s="44" t="str">
        <f t="shared" si="61"/>
        <v/>
      </c>
      <c r="ET9" s="44" t="str">
        <f t="shared" si="62"/>
        <v/>
      </c>
      <c r="EU9" s="44" t="str">
        <f t="shared" si="63"/>
        <v/>
      </c>
      <c r="EV9" s="44" t="str">
        <f t="shared" si="64"/>
        <v/>
      </c>
      <c r="EW9" s="44" t="str">
        <f t="shared" si="65"/>
        <v/>
      </c>
      <c r="EX9" s="44" t="str">
        <f t="shared" si="66"/>
        <v/>
      </c>
      <c r="EY9" s="44" t="str">
        <f t="shared" si="67"/>
        <v/>
      </c>
      <c r="EZ9" s="44" t="str">
        <f t="shared" si="68"/>
        <v/>
      </c>
      <c r="FA9" s="44" t="str">
        <f t="shared" si="69"/>
        <v>"staWHI",</v>
      </c>
      <c r="FB9" s="44" t="str">
        <f t="shared" si="70"/>
        <v/>
      </c>
      <c r="FD9" s="44" t="str">
        <f t="shared" si="71"/>
        <v/>
      </c>
      <c r="FE9" s="44" t="str">
        <f t="shared" si="72"/>
        <v/>
      </c>
      <c r="FF9" s="44" t="str">
        <f t="shared" si="73"/>
        <v/>
      </c>
      <c r="FG9" s="44" t="str">
        <f t="shared" si="74"/>
        <v>"NO_RED",</v>
      </c>
      <c r="FH9" s="44" t="str">
        <f t="shared" si="75"/>
        <v/>
      </c>
      <c r="FI9" s="44" t="str">
        <f t="shared" si="76"/>
        <v>"NO_YEL",</v>
      </c>
      <c r="FJ9" s="44" t="str">
        <f t="shared" si="77"/>
        <v>"NO_BLA",</v>
      </c>
      <c r="FK9" s="44" t="str">
        <f t="shared" si="78"/>
        <v/>
      </c>
      <c r="FL9" s="44" t="str">
        <f t="shared" si="79"/>
        <v/>
      </c>
      <c r="FM9" s="44" t="str">
        <f t="shared" si="80"/>
        <v/>
      </c>
      <c r="FN9" s="44" t="str">
        <f t="shared" si="81"/>
        <v/>
      </c>
      <c r="FO9" s="44" t="str">
        <f t="shared" si="82"/>
        <v/>
      </c>
      <c r="FP9" s="44" t="str">
        <f t="shared" si="83"/>
        <v/>
      </c>
      <c r="FQ9" s="44" t="str">
        <f t="shared" si="84"/>
        <v>"001GRE",</v>
      </c>
      <c r="FR9" s="44" t="str">
        <f t="shared" si="85"/>
        <v/>
      </c>
      <c r="FS9" s="44" t="str">
        <f t="shared" si="86"/>
        <v>"003BLU",</v>
      </c>
      <c r="FT9" s="44" t="str">
        <f t="shared" si="87"/>
        <v>"myrBLU",</v>
      </c>
      <c r="FU9" s="44" t="str">
        <f t="shared" si="88"/>
        <v/>
      </c>
      <c r="FV9" s="44" t="str">
        <f t="shared" si="89"/>
        <v/>
      </c>
      <c r="FW9" s="44" t="str">
        <f t="shared" si="90"/>
        <v/>
      </c>
      <c r="FY9" s="44" t="str">
        <f t="shared" si="91"/>
        <v/>
      </c>
      <c r="FZ9" s="44" t="str">
        <f t="shared" si="92"/>
        <v/>
      </c>
      <c r="GA9" s="44" t="str">
        <f t="shared" si="93"/>
        <v/>
      </c>
      <c r="GB9" s="44" t="str">
        <f t="shared" si="94"/>
        <v/>
      </c>
      <c r="GE9" s="44" t="str">
        <f t="shared" si="95"/>
        <v/>
      </c>
      <c r="GF9" s="44" t="str">
        <f t="shared" si="136"/>
        <v/>
      </c>
      <c r="GG9" s="44" t="str">
        <f t="shared" si="96"/>
        <v/>
      </c>
      <c r="GH9" s="44" t="str">
        <f t="shared" si="97"/>
        <v/>
      </c>
      <c r="GI9" s="44" t="str">
        <f t="shared" si="98"/>
        <v/>
      </c>
      <c r="GJ9" s="44" t="str">
        <f t="shared" si="99"/>
        <v/>
      </c>
      <c r="GK9" s="44" t="str">
        <f t="shared" si="100"/>
        <v>"HasSta",</v>
      </c>
      <c r="GL9" s="44" t="str">
        <f t="shared" si="101"/>
        <v/>
      </c>
      <c r="GM9" s="44" t="str">
        <f t="shared" si="102"/>
        <v/>
      </c>
      <c r="GN9" s="44" t="str">
        <f t="shared" si="103"/>
        <v>"3+Star",</v>
      </c>
      <c r="GP9" s="44" t="str">
        <f t="shared" si="104"/>
        <v>"Region"</v>
      </c>
      <c r="GS9" s="44" t="str">
        <f t="shared" si="105"/>
        <v>["3Color","words2","words3","lets14","startL","LUREHI","year00","allhor","2Bands","Horizo","Unequa","Canton","staWHI","NO_RED","NO_YEL","NO_BLA","001GRE","003BLU","myrBLU","HasSta","3+Star"]</v>
      </c>
      <c r="GT9" s="44" t="str">
        <f t="shared" si="106"/>
        <v/>
      </c>
      <c r="GU9" s="44" t="str">
        <f t="shared" si="107"/>
        <v>"cl_BLU",</v>
      </c>
      <c r="GV9" s="44" t="str">
        <f t="shared" si="108"/>
        <v>"cl_GRE",</v>
      </c>
      <c r="GW9" s="44" t="str">
        <f t="shared" si="109"/>
        <v/>
      </c>
      <c r="GX9" s="44" t="str">
        <f t="shared" si="110"/>
        <v/>
      </c>
      <c r="GY9" s="44" t="str">
        <f t="shared" si="111"/>
        <v/>
      </c>
      <c r="GZ9" s="44" t="str">
        <f t="shared" si="112"/>
        <v/>
      </c>
      <c r="HA9" s="44" t="str">
        <f t="shared" si="113"/>
        <v/>
      </c>
      <c r="HB9" s="44" t="str">
        <f t="shared" si="114"/>
        <v>"cl_WHI",</v>
      </c>
      <c r="HC9" s="44" t="str">
        <f t="shared" si="115"/>
        <v>["cl_BLU","cl_GRE","cl_WHI"]</v>
      </c>
      <c r="HE9" s="64"/>
      <c r="HF9" s="65" t="str">
        <f t="shared" si="116"/>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links: "https://www.crwflags.com/fotw/flags/cl-10.html"},</v>
      </c>
      <c r="HG9" s="66" t="str">
        <f t="shared" si="117"/>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links: "https://www.crwflags.com/fotw/flags/cl-10.html"},</v>
      </c>
      <c r="HH9" s="44" t="str">
        <f t="shared" si="118"/>
        <v>"\nThe flag is divided per fess (two horizontal stripes) of green over blue; in canton are four stars representing the Southern Cross constellation. The new flag was adopted on 23 October 2013 to coincide with the anniversary of the regional government system in Chile."</v>
      </c>
      <c r="HI9" s="44" t="str">
        <f t="shared" si="119"/>
        <v>"\nThe flag is divided per fess (two horizontal stripes) of green over blue; in canton are four stars representing the Southern Cross constellation. The new flag was adopted on 23 October 2013 to coincide with the anniversary of the regional government system in Chile."</v>
      </c>
      <c r="HJ9" s="44" t="str">
        <f t="shared" si="120"/>
        <v>"2013"</v>
      </c>
      <c r="HL9" s="44" t="str">
        <f t="shared" si="121"/>
        <v>"https://www.crwflags.com/fotw/flags/cl-10.html"</v>
      </c>
      <c r="HM9" s="65" t="str">
        <f t="shared" si="122"/>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N9" s="67" t="str">
        <f t="shared" si="123"/>
        <v>{"couname":"[CHL] Los Lagos Region ","year":"2013","region":"rgn_South America","Colors":["cl_BLU","cl_GRE","cl_WHI"],"Items":["3Color","words2","words3","lets14","startL","LUREHI","year00","allhor","2Bands","Horizo","Unequa","Canton","staWHI","NO_RED","NO_YEL","NO_BLA","001GRE","003BLU","myrBLU","HasSta","3+Star"],"Flag":"https://upload.wikimedia.org/wikipedia/commons/thumb/1/16/Flag_of_Los_Lagos_Region%2C_Chile.svg/640px-Flag_of_Los_Lagos_Region%2C_Chile.svg.png","HDFlag":"https://upload.wikimedia.org/wikipedia/commons/thumb/1/16/Flag_of_Los_Lagos_Region%2C_Chile.svg/2560px-Flag_of_Los_Lagos_Region%2C_Chile.svg.png","type":"Region", "describe": "\nThe flag is divided per fess (two horizontal stripes) of green over blue; in canton are four stars representing the Southern Cross constellation. The new flag was adopted on 23 October 2013 to coincide with the anniversary of the regional government system in Chile.", "isnew": ".", "links": "https://www.crwflags.com/fotw/flags/cl-10.html"},</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GRE</v>
      </c>
      <c r="HS9" s="44" t="str" cm="1">
        <f t="array" ref="HS9">IF(_xlfn.TEXTJOIN(", ", TRUE, IF(ISNUMBER(SEARCH("RED", BL9:BT9)), COLUMN(BL9:BT9) - COLUMN(BL9) + 1, ""))&lt;&gt;"","RED","")</f>
        <v/>
      </c>
      <c r="HT9" s="44" t="str" cm="1">
        <f t="array" ref="HT9">IF(_xlfn.TEXTJOIN(", ", TRUE, IF(ISNUMBER(SEARCH("YEL", BL9:BT9)), COLUMN(BL9:BT9) - COLUMN(BL9) + 1, ""))&lt;&gt;"","YEL","")</f>
        <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 t="shared" si="124"/>
        <v>-3</v>
      </c>
      <c r="IN9" s="69" t="str">
        <f t="shared" si="125"/>
        <v>http://mkweb.bcgsc.ca/color-summarizer/?url=https://upload.wikimedia.org/wikipedia/commons/thumb/1/16/Flag_of_Los_Lagos_Region%2C_Chile.svg/640px-Flag_of_Los_Lagos_Region%2C_Chile.svg.png&amp;precision=low&amp;num_clusters=3&amp;text=1</v>
      </c>
      <c r="IO9" s="44" t="str">
        <f t="shared" si="126"/>
        <v/>
      </c>
      <c r="IP9" s="44" t="str">
        <f t="shared" si="127"/>
        <v>"blue"</v>
      </c>
      <c r="IQ9" s="44" t="str">
        <f t="shared" si="128"/>
        <v>"green"</v>
      </c>
      <c r="IR9" s="44" t="str">
        <f t="shared" si="129"/>
        <v/>
      </c>
      <c r="IS9" s="44" t="str">
        <f t="shared" si="130"/>
        <v/>
      </c>
      <c r="IT9" s="44" t="str">
        <f t="shared" si="131"/>
        <v/>
      </c>
      <c r="IU9" s="44" t="str">
        <f t="shared" si="132"/>
        <v/>
      </c>
      <c r="IV9" s="44" t="str">
        <f t="shared" si="133"/>
        <v/>
      </c>
      <c r="IW9" s="44" t="str">
        <f t="shared" si="134"/>
        <v>"white"</v>
      </c>
      <c r="IX9" s="44" t="str">
        <f t="shared" si="135"/>
        <v>{"url":"http://mkweb.bcgsc.ca/color-summarizer/?url=https://upload.wikimedia.org/wikipedia/commons/thumb/1/16/Flag_of_Los_Lagos_Region%2C_Chile.svg/640px-Flag_of_Los_Lagos_Region%2C_Chile.svg.png&amp;precision=low&amp;num_clusters=3&amp;text=1","name":"[CHL] Los Lagos Region "},</v>
      </c>
      <c r="IY9" s="44">
        <v>1266</v>
      </c>
    </row>
    <row r="10" spans="1:259" s="44" customFormat="1" ht="38.4" customHeight="1" thickBot="1" x14ac:dyDescent="0.35">
      <c r="A10" s="84" t="s">
        <v>572</v>
      </c>
      <c r="B10" s="83" t="e" vm="64">
        <v>#VALUE!</v>
      </c>
      <c r="C10" s="39">
        <v>2</v>
      </c>
      <c r="D10" s="70" t="s">
        <v>573</v>
      </c>
      <c r="E10" s="40" t="s">
        <v>573</v>
      </c>
      <c r="F10" s="41" t="s">
        <v>163</v>
      </c>
      <c r="G10" s="42">
        <f t="shared" si="0"/>
        <v>1</v>
      </c>
      <c r="H10" s="43"/>
      <c r="I10" s="59" t="s">
        <v>574</v>
      </c>
      <c r="J10" s="44" t="str">
        <f>""</f>
        <v/>
      </c>
      <c r="K10" s="45"/>
      <c r="L10" s="46"/>
      <c r="M10" s="46"/>
      <c r="N10" s="47" t="s">
        <v>177</v>
      </c>
      <c r="O10" s="74" t="s">
        <v>233</v>
      </c>
      <c r="P10" s="48" t="s">
        <v>575</v>
      </c>
      <c r="Q10" s="73">
        <v>2</v>
      </c>
      <c r="R10" s="49" t="s">
        <v>177</v>
      </c>
      <c r="S10" s="50">
        <v>0</v>
      </c>
      <c r="T10" s="51" t="s">
        <v>165</v>
      </c>
      <c r="U10" s="52" t="s">
        <v>165</v>
      </c>
      <c r="V10" s="52" t="s">
        <v>165</v>
      </c>
      <c r="W10" s="52" t="s">
        <v>165</v>
      </c>
      <c r="X10" s="52" t="s">
        <v>164</v>
      </c>
      <c r="Y10" s="52" t="s">
        <v>164</v>
      </c>
      <c r="Z10" s="52" t="s">
        <v>164</v>
      </c>
      <c r="AA10" s="52" t="s">
        <v>165</v>
      </c>
      <c r="AB10" s="52" t="s">
        <v>165</v>
      </c>
      <c r="AC10" s="52" t="s">
        <v>164</v>
      </c>
      <c r="AD10" s="52" t="s">
        <v>164</v>
      </c>
      <c r="AE10" s="52" t="s">
        <v>164</v>
      </c>
      <c r="AF10" s="53" t="s">
        <v>164</v>
      </c>
      <c r="AG10" s="53" t="s">
        <v>164</v>
      </c>
      <c r="AH10" s="53" t="s">
        <v>165</v>
      </c>
      <c r="AI10" s="53" t="s">
        <v>164</v>
      </c>
      <c r="AJ10" s="53" t="s">
        <v>164</v>
      </c>
      <c r="AK10" s="53" t="s">
        <v>164</v>
      </c>
      <c r="AL10" s="53" t="s">
        <v>164</v>
      </c>
      <c r="AM10" s="53" t="s">
        <v>164</v>
      </c>
      <c r="AN10" s="53" t="s">
        <v>164</v>
      </c>
      <c r="AO10" s="53" t="s">
        <v>164</v>
      </c>
      <c r="AP10" s="53" t="s">
        <v>164</v>
      </c>
      <c r="AQ10" s="53" t="s">
        <v>164</v>
      </c>
      <c r="AR10" s="53" t="s">
        <v>164</v>
      </c>
      <c r="AS10" s="53" t="s">
        <v>164</v>
      </c>
      <c r="AT10" s="54">
        <v>0</v>
      </c>
      <c r="AU10" s="53" t="s">
        <v>309</v>
      </c>
      <c r="AV10" s="53" t="str">
        <f t="shared" si="1"/>
        <v>[CHL]Region[CHL] Maule Region</v>
      </c>
      <c r="AW10" s="53" t="str">
        <f t="shared" si="2"/>
        <v>2[CHL] Maule Region</v>
      </c>
      <c r="AX10" s="55"/>
      <c r="AY10" s="55"/>
      <c r="AZ10" s="56" t="s">
        <v>234</v>
      </c>
      <c r="BA10" s="56" t="s">
        <v>234</v>
      </c>
      <c r="BB10" s="56"/>
      <c r="BC10" s="57"/>
      <c r="BD10" s="58" t="s">
        <v>159</v>
      </c>
      <c r="BE10" s="59"/>
      <c r="BF10" s="58" t="s">
        <v>234</v>
      </c>
      <c r="BG10" s="58" t="s">
        <v>234</v>
      </c>
      <c r="BH10" s="58" t="s">
        <v>234</v>
      </c>
      <c r="BI10" s="58"/>
      <c r="BJ10" s="58"/>
      <c r="BK10" s="59"/>
      <c r="BL10" s="58" t="s">
        <v>151</v>
      </c>
      <c r="BM10" s="58" t="s">
        <v>152</v>
      </c>
      <c r="BN10" s="58" t="s">
        <v>153</v>
      </c>
      <c r="BO10" s="58" t="s">
        <v>154</v>
      </c>
      <c r="BP10" s="58" t="s">
        <v>155</v>
      </c>
      <c r="BQ10" s="58" t="s">
        <v>156</v>
      </c>
      <c r="BR10" s="58" t="s">
        <v>157</v>
      </c>
      <c r="BS10" s="58" t="s">
        <v>234</v>
      </c>
      <c r="BT10" s="58" t="s">
        <v>159</v>
      </c>
      <c r="BU10" s="60"/>
      <c r="BV10" s="61"/>
      <c r="BW10" s="61">
        <v>0</v>
      </c>
      <c r="BX10" s="59"/>
      <c r="BY10" s="44" t="s">
        <v>164</v>
      </c>
      <c r="CB10" s="5"/>
      <c r="CC10" s="5"/>
      <c r="CD10" s="62">
        <v>0</v>
      </c>
      <c r="CE10" s="62">
        <v>0</v>
      </c>
      <c r="CF10" s="62" t="e">
        <v>#REF!</v>
      </c>
      <c r="CG10" s="75" cm="1">
        <f t="array" ref="CG10">SUMPRODUCT(--(LEN(TRIM(BL10:BT10))&gt;0))</f>
        <v>8</v>
      </c>
      <c r="CH10" s="53" t="str">
        <f t="shared" si="3"/>
        <v>n</v>
      </c>
      <c r="CI10" s="53" t="str">
        <f t="shared" si="4"/>
        <v>n</v>
      </c>
      <c r="CJ10" s="53" t="str">
        <f t="shared" si="5"/>
        <v>n</v>
      </c>
      <c r="CK10" s="53" t="str">
        <f t="shared" si="6"/>
        <v>y</v>
      </c>
      <c r="CL10" s="53" t="str">
        <f t="shared" si="7"/>
        <v>y</v>
      </c>
      <c r="CM10" s="53" t="str">
        <f t="shared" si="8"/>
        <v>n</v>
      </c>
      <c r="CN10" s="53" t="str">
        <f t="shared" si="9"/>
        <v>n</v>
      </c>
      <c r="CO10" s="53" t="str">
        <f t="shared" si="10"/>
        <v>n</v>
      </c>
      <c r="CP10" s="53" t="str">
        <f t="shared" si="11"/>
        <v>y</v>
      </c>
      <c r="CQ10" s="53" t="str">
        <f t="shared" si="12"/>
        <v>n</v>
      </c>
      <c r="CR10" s="53" t="str">
        <f t="shared" si="13"/>
        <v>n</v>
      </c>
      <c r="CS10" s="53" t="str">
        <f t="shared" si="14"/>
        <v>n</v>
      </c>
      <c r="CT10" s="38" t="str">
        <f t="shared" si="15"/>
        <v>"[CHL] Maule Region"</v>
      </c>
      <c r="CU10" s="63" t="str">
        <f t="shared" si="16"/>
        <v>"rgn_South America"</v>
      </c>
      <c r="CV10" s="44" t="str">
        <f t="shared" si="17"/>
        <v>"https://www.crwflags.com/fotw/images/c/cl-07a.gif"</v>
      </c>
      <c r="CW10" s="44" t="str">
        <f t="shared" si="18"/>
        <v/>
      </c>
      <c r="CX10" s="44" t="str">
        <f t="shared" si="19"/>
        <v/>
      </c>
      <c r="CY10" s="44" t="str">
        <f t="shared" si="20"/>
        <v/>
      </c>
      <c r="CZ10" s="44" t="str">
        <f t="shared" si="21"/>
        <v>"5+Colo",</v>
      </c>
      <c r="DA10" s="44" t="str">
        <f t="shared" si="22"/>
        <v>"words2",</v>
      </c>
      <c r="DB10" s="44" t="str">
        <f t="shared" si="23"/>
        <v/>
      </c>
      <c r="DD10" s="44" t="str">
        <f t="shared" si="137"/>
        <v>"lets11",</v>
      </c>
      <c r="DE10" s="44" t="str">
        <f t="shared" si="138"/>
        <v>"startM",</v>
      </c>
      <c r="DF10" s="44" t="str">
        <f t="shared" si="24"/>
        <v/>
      </c>
      <c r="DG10" s="44" t="str">
        <f t="shared" si="25"/>
        <v/>
      </c>
      <c r="DH10" s="44" t="str">
        <f t="shared" si="26"/>
        <v/>
      </c>
      <c r="DI10" s="44" t="str">
        <f t="shared" si="27"/>
        <v/>
      </c>
      <c r="DJ10" s="44" t="str">
        <f t="shared" si="28"/>
        <v/>
      </c>
      <c r="DK10" s="44" t="str">
        <f t="shared" si="29"/>
        <v/>
      </c>
      <c r="DL10" s="44" t="str">
        <f t="shared" si="30"/>
        <v/>
      </c>
      <c r="DM10" s="44" t="str" cm="1">
        <f t="array" ref="DM10">IF(CG10=3,CHAR(34) &amp; _xlfn.TEXTJOIN("", TRUE, RIGHT(HP10:HX10, 2)) &amp; CHAR(34) &amp; ",", "")</f>
        <v/>
      </c>
      <c r="DN10" s="44" t="str">
        <f t="shared" si="31"/>
        <v/>
      </c>
      <c r="DO10" s="44" t="str">
        <f t="shared" si="32"/>
        <v/>
      </c>
      <c r="DP10" s="5" t="str">
        <f t="shared" si="33"/>
        <v/>
      </c>
      <c r="DQ10" s="5" t="str">
        <f t="shared" si="34"/>
        <v/>
      </c>
      <c r="DR10" s="5" t="str">
        <f t="shared" si="35"/>
        <v/>
      </c>
      <c r="DS10" s="5" t="str">
        <f t="shared" si="36"/>
        <v/>
      </c>
      <c r="DT10" s="5" t="str">
        <f t="shared" si="37"/>
        <v/>
      </c>
      <c r="DU10" s="5" t="str">
        <f t="shared" si="38"/>
        <v/>
      </c>
      <c r="DW10" s="44" t="str">
        <f t="shared" si="39"/>
        <v>"NoBand",</v>
      </c>
      <c r="DX10" s="44" t="str">
        <f t="shared" si="40"/>
        <v/>
      </c>
      <c r="DY10" s="44" t="str">
        <f t="shared" si="41"/>
        <v/>
      </c>
      <c r="DZ10" s="44" t="str">
        <f t="shared" si="42"/>
        <v/>
      </c>
      <c r="EA10" s="44" t="str">
        <f t="shared" si="43"/>
        <v>"Diagon",</v>
      </c>
      <c r="EB10" s="44" t="str">
        <f t="shared" si="44"/>
        <v>"Crosse",</v>
      </c>
      <c r="EC10" s="44" t="str">
        <f t="shared" si="45"/>
        <v>"Horizo",</v>
      </c>
      <c r="ED10" s="44" t="str">
        <f t="shared" si="46"/>
        <v>"Vertic",</v>
      </c>
      <c r="EE10" s="44" t="str">
        <f t="shared" si="47"/>
        <v/>
      </c>
      <c r="EF10" s="44" t="str">
        <f t="shared" si="48"/>
        <v/>
      </c>
      <c r="EG10" s="44" t="str">
        <f t="shared" si="49"/>
        <v/>
      </c>
      <c r="EH10" s="44" t="str">
        <f t="shared" si="50"/>
        <v>"Plants",</v>
      </c>
      <c r="EI10" s="44" t="str">
        <f t="shared" si="51"/>
        <v>"Texted",</v>
      </c>
      <c r="EJ10" s="44" t="str">
        <f t="shared" si="52"/>
        <v/>
      </c>
      <c r="EK10" s="44" t="str">
        <f t="shared" si="53"/>
        <v/>
      </c>
      <c r="EL10" s="44" t="str">
        <f t="shared" si="54"/>
        <v/>
      </c>
      <c r="EM10" s="44" t="str">
        <f t="shared" si="55"/>
        <v/>
      </c>
      <c r="EN10" s="44" t="str">
        <f t="shared" si="56"/>
        <v/>
      </c>
      <c r="EO10" s="44" t="str">
        <f t="shared" si="57"/>
        <v>"Center",</v>
      </c>
      <c r="EP10" s="44" t="str">
        <f t="shared" si="58"/>
        <v/>
      </c>
      <c r="EQ10" s="44" t="str">
        <f t="shared" si="59"/>
        <v/>
      </c>
      <c r="ER10" s="44" t="str">
        <f t="shared" si="60"/>
        <v/>
      </c>
      <c r="ES10" s="44" t="str">
        <f t="shared" si="61"/>
        <v/>
      </c>
      <c r="ET10" s="44" t="str">
        <f t="shared" si="62"/>
        <v/>
      </c>
      <c r="EU10" s="44" t="str">
        <f t="shared" si="63"/>
        <v/>
      </c>
      <c r="EV10" s="44" t="str">
        <f t="shared" si="64"/>
        <v/>
      </c>
      <c r="EW10" s="44" t="str">
        <f t="shared" si="65"/>
        <v/>
      </c>
      <c r="EX10" s="44" t="str">
        <f t="shared" si="66"/>
        <v/>
      </c>
      <c r="EY10" s="44" t="str">
        <f t="shared" si="67"/>
        <v/>
      </c>
      <c r="EZ10" s="44" t="str">
        <f t="shared" si="68"/>
        <v/>
      </c>
      <c r="FA10" s="44" t="str">
        <f t="shared" si="69"/>
        <v/>
      </c>
      <c r="FB10" s="44" t="str">
        <f t="shared" si="70"/>
        <v/>
      </c>
      <c r="FD10" s="44" t="str">
        <f t="shared" si="71"/>
        <v/>
      </c>
      <c r="FE10" s="44" t="str">
        <f t="shared" si="72"/>
        <v/>
      </c>
      <c r="FF10" s="44" t="str">
        <f t="shared" si="73"/>
        <v/>
      </c>
      <c r="FG10" s="44" t="str">
        <f t="shared" si="74"/>
        <v/>
      </c>
      <c r="FH10" s="44" t="str">
        <f t="shared" si="75"/>
        <v/>
      </c>
      <c r="FI10" s="44" t="str">
        <f t="shared" si="76"/>
        <v/>
      </c>
      <c r="FJ10" s="44" t="str">
        <f t="shared" si="77"/>
        <v/>
      </c>
      <c r="FK10" s="44" t="str">
        <f t="shared" si="78"/>
        <v/>
      </c>
      <c r="FL10" s="44" t="str">
        <f t="shared" si="79"/>
        <v/>
      </c>
      <c r="FM10" s="44" t="str">
        <f t="shared" si="80"/>
        <v/>
      </c>
      <c r="FN10" s="44" t="str">
        <f t="shared" si="81"/>
        <v/>
      </c>
      <c r="FO10" s="44" t="str">
        <f t="shared" si="82"/>
        <v/>
      </c>
      <c r="FP10" s="44" t="str">
        <f t="shared" si="83"/>
        <v/>
      </c>
      <c r="FQ10" s="44" t="str">
        <f t="shared" si="84"/>
        <v/>
      </c>
      <c r="FR10" s="44" t="str">
        <f t="shared" si="85"/>
        <v/>
      </c>
      <c r="FS10" s="44" t="str">
        <f t="shared" si="86"/>
        <v/>
      </c>
      <c r="FT10" s="44" t="str">
        <f t="shared" si="87"/>
        <v>"myrWHI",</v>
      </c>
      <c r="FU10" s="44" t="str">
        <f t="shared" si="88"/>
        <v/>
      </c>
      <c r="FV10" s="44" t="str">
        <f t="shared" si="89"/>
        <v/>
      </c>
      <c r="FW10" s="44" t="str">
        <f t="shared" si="90"/>
        <v/>
      </c>
      <c r="FY10" s="44" t="str">
        <f t="shared" si="91"/>
        <v/>
      </c>
      <c r="FZ10" s="44" t="str">
        <f t="shared" si="92"/>
        <v/>
      </c>
      <c r="GA10" s="44" t="str">
        <f t="shared" si="93"/>
        <v/>
      </c>
      <c r="GB10" s="44" t="str">
        <f t="shared" si="94"/>
        <v/>
      </c>
      <c r="GE10" s="44" t="str">
        <f t="shared" si="95"/>
        <v/>
      </c>
      <c r="GF10" s="44" t="str">
        <f t="shared" si="136"/>
        <v/>
      </c>
      <c r="GG10" s="44" t="str">
        <f t="shared" si="96"/>
        <v/>
      </c>
      <c r="GH10" s="44" t="str">
        <f t="shared" si="97"/>
        <v/>
      </c>
      <c r="GI10" s="44" t="str">
        <f t="shared" si="98"/>
        <v/>
      </c>
      <c r="GJ10" s="44" t="str">
        <f t="shared" si="99"/>
        <v>"NoStar",</v>
      </c>
      <c r="GK10" s="44" t="str">
        <f t="shared" si="100"/>
        <v/>
      </c>
      <c r="GL10" s="44" t="str">
        <f t="shared" si="101"/>
        <v/>
      </c>
      <c r="GM10" s="44" t="str">
        <f t="shared" si="102"/>
        <v/>
      </c>
      <c r="GN10" s="44" t="str">
        <f t="shared" si="103"/>
        <v/>
      </c>
      <c r="GP10" s="44" t="str">
        <f t="shared" si="104"/>
        <v>"Region"</v>
      </c>
      <c r="GS10" s="44" t="str">
        <f t="shared" si="105"/>
        <v>["5+Colo","words2","lets11","startM","NoBand","Diagon","Crosse","Horizo","Vertic","Plants","Texted","Center","myrWHI","NoStar"]</v>
      </c>
      <c r="GT10" s="44" t="str">
        <f t="shared" si="106"/>
        <v>"cl_BLA",</v>
      </c>
      <c r="GU10" s="44" t="str">
        <f t="shared" si="107"/>
        <v>"cl_BLU",</v>
      </c>
      <c r="GV10" s="44" t="str">
        <f t="shared" si="108"/>
        <v>"cl_GRE",</v>
      </c>
      <c r="GW10" s="44" t="str">
        <f t="shared" si="109"/>
        <v>"cl_RED",</v>
      </c>
      <c r="GX10" s="44" t="str">
        <f t="shared" si="110"/>
        <v>"cl_YEL",</v>
      </c>
      <c r="GY10" s="44" t="str">
        <f t="shared" si="111"/>
        <v>"cl_ORA",</v>
      </c>
      <c r="GZ10" s="44" t="str">
        <f t="shared" si="112"/>
        <v>"cl_BRO",</v>
      </c>
      <c r="HA10" s="44" t="str">
        <f t="shared" si="113"/>
        <v/>
      </c>
      <c r="HB10" s="44" t="str">
        <f t="shared" si="114"/>
        <v>"cl_WHI",</v>
      </c>
      <c r="HC10" s="44" t="str">
        <f t="shared" si="115"/>
        <v>["cl_BLA","cl_BLU","cl_GRE","cl_RED","cl_YEL","cl_ORA","cl_BRO","cl_WHI"]</v>
      </c>
      <c r="HE10" s="64"/>
      <c r="HF10" s="65" t="str">
        <f t="shared" si="116"/>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links: "https://www.crwflags.com/fotw/flags/cl-07.html"},</v>
      </c>
      <c r="HG10" s="66" t="str">
        <f t="shared" si="117"/>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links: "https://www.crwflags.com/fotw/flags/cl-07.html"},</v>
      </c>
      <c r="HH10" s="44" t="str">
        <f t="shared" si="118"/>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I10" s="44" t="str">
        <f t="shared" si="119"/>
        <v>"\nRegion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v>
      </c>
      <c r="HJ10" s="44" t="str">
        <f t="shared" si="120"/>
        <v>"???"</v>
      </c>
      <c r="HL10" s="44" t="str">
        <f t="shared" si="121"/>
        <v>"https://www.crwflags.com/fotw/flags/cl-07.html"</v>
      </c>
      <c r="HM10" s="65" t="str">
        <f t="shared" si="122"/>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N10" s="67" t="str">
        <f t="shared" si="123"/>
        <v>{"couname":"[CHL] Maule Region","year":"???","region":"rgn_South America","Colors":["cl_BLA","cl_BLU","cl_GRE","cl_RED","cl_YEL","cl_ORA","cl_BRO","cl_WHI"],"Items":["5+Colo","words2","lets11","startM","NoBand","Diagon","Crosse","Horizo","Vertic","Plants","Texted","Center","myrWHI","NoStar"],"Flag":"https://www.crwflags.com/fotw/images/c/cl-07a.gif","HDFlag":"https://www.crwflags.com/fotw/images/c/cl-07a.gif","type":"Region", "describe": "\nRegion Maule uses now a white flag with the region's logo, which is composed of the region's coat of arms, without scroll, and the writing 'GOBIERNO / REGIONAL / DEL MAULE', in gray, at the shield's right. A thin horizontal line, blue beneath the shield and red beneath the writing, completes the design. [1,2,3,4,5,6,7]\n\nThe logo is prescribed by Resolution No. 5,332 issued on 30 December 2014 by the regional government, which includes the Graphic Charter of the logo.\n\nThe coat of arms of Region Maule highlights the most relevant aspects of the regional identity. It is structured in four fields. The first, upper left field feature two green trees representing a species endemic of the region, called ruil, and accordingly, the region's forest resources. The second, upper right field, features a quill over a book, representing the inhabitants' resplendent wisdom, knowledge and historic and cultural heritage. The third, lower left quarter, features four mountains representing the region's four provinces; red is a symbol of fire, fertility, courage, force and power of the construction of future. The last, lower right field, is horizontally crossed by undulating water, symbolizing the fertility of the soil and the power of the rivers.\n\nThe institutional font is gobCL in its Light, Regular, Bold and Heavy variants. [8]\n\nRuil (Nothofagus alessandrli Espinosa) is an endangered species of southern beech. This species is endemic to Chile. It has a very restricted and fragmented distribution along 100 km of the Coastal Cordillera of Region VII (Provinces Talca, 35 05 S to Cauquenes, 35 50 S) where it has an altitudinal range of between 100 and 450 meters above sea level. Planting of pines has reduced the species area of occupation by 19% from 2016 2017 and the species has an estimated area of occupation of 116 km². The species extent of occurrence has declined by 16% for the same reasons and now estimated extent of occurrence is only 755 km². [9]\n\nThe flag with the coat of arms and scroll appears to be used only during official sessions of the regional government. [10,11]", "isnew": ".", "links": "https://www.crwflags.com/fotw/flags/cl-07.html"},</v>
      </c>
      <c r="HO10" s="71">
        <v>45618</v>
      </c>
      <c r="HP10" s="44" t="str" cm="1">
        <f t="array" ref="HP10">IF(_xlfn.TEXTJOIN(", ", TRUE, IF(ISNUMBER(SEARCH("BLA", BL10:BT10)), COLUMN(BL10:BT10) - COLUMN(BL10) + 1, ""))&lt;&gt;"","BLA","")</f>
        <v>BLA</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ORA</v>
      </c>
      <c r="HV10" s="44" t="str" cm="1">
        <f t="array" ref="HV10">IF(_xlfn.TEXTJOIN(", ", TRUE, IF(ISNUMBER(SEARCH("BRO", BL10:BT10)), COLUMN(BL10:BT10) - COLUMN(BL10) + 1, ""))&lt;&gt;"","BRO","")</f>
        <v>BRO</v>
      </c>
      <c r="HW10" s="44" t="str" cm="1">
        <f t="array" ref="HW10">IF(_xlfn.TEXTJOIN(", ", TRUE, IF(ISNUMBER(SEARCH("PUR", BL10:BT10)), COLUMN(BL10:BT10) - COLUMN(BL10) + 1, ""))&lt;&gt;"","PUR","")</f>
        <v/>
      </c>
      <c r="HX10" s="44" t="str" cm="1">
        <f t="array" ref="HX10">IF(_xlfn.TEXTJOIN(", ", TRUE, IF(ISNUMBER(SEARCH("WHI", BL10:BT10)), COLUMN(BL10:BT10) - COLUMN(BL10) + 1, ""))&lt;&gt;"","WHI","")</f>
        <v>WHI</v>
      </c>
      <c r="HY10" s="72"/>
      <c r="HZ10" s="72"/>
      <c r="IA10" s="5"/>
      <c r="IB10" s="5"/>
      <c r="IC10" s="68"/>
      <c r="ID10" s="68"/>
      <c r="IE10" s="68"/>
      <c r="IF10" s="68"/>
      <c r="IG10" s="68"/>
      <c r="IH10" s="68"/>
      <c r="II10" s="68"/>
      <c r="IJ10" s="68"/>
      <c r="IK10" s="68"/>
      <c r="IM10" s="42">
        <f t="shared" si="124"/>
        <v>-8</v>
      </c>
      <c r="IN10" s="69" t="str">
        <f t="shared" si="125"/>
        <v>http://mkweb.bcgsc.ca/color-summarizer/?url=https://www.crwflags.com/fotw/images/c/cl-07a.gif&amp;precision=low&amp;num_clusters=8&amp;text=1</v>
      </c>
      <c r="IO10" s="44" t="str">
        <f t="shared" si="126"/>
        <v>"black"</v>
      </c>
      <c r="IP10" s="44" t="str">
        <f t="shared" si="127"/>
        <v>"blue"</v>
      </c>
      <c r="IQ10" s="44" t="str">
        <f t="shared" si="128"/>
        <v>"green"</v>
      </c>
      <c r="IR10" s="44" t="str">
        <f t="shared" si="129"/>
        <v>"red"</v>
      </c>
      <c r="IS10" s="44" t="str">
        <f t="shared" si="130"/>
        <v>"yellow"</v>
      </c>
      <c r="IT10" s="44" t="str">
        <f t="shared" si="131"/>
        <v>"orange"</v>
      </c>
      <c r="IU10" s="44" t="str">
        <f t="shared" si="132"/>
        <v>"brown"</v>
      </c>
      <c r="IV10" s="44" t="str">
        <f t="shared" si="133"/>
        <v/>
      </c>
      <c r="IW10" s="44" t="str">
        <f t="shared" si="134"/>
        <v>"white"</v>
      </c>
      <c r="IX10" s="44" t="str">
        <f t="shared" si="135"/>
        <v>{"url":"http://mkweb.bcgsc.ca/color-summarizer/?url=https://www.crwflags.com/fotw/images/c/cl-07a.gif&amp;precision=low&amp;num_clusters=8&amp;text=1","name":"[CHL] Maule Region"},</v>
      </c>
      <c r="IY10" s="44">
        <v>965</v>
      </c>
    </row>
    <row r="11" spans="1:259" s="44" customFormat="1" ht="38.4" customHeight="1" thickBot="1" x14ac:dyDescent="0.35">
      <c r="A11" s="84" t="s">
        <v>673</v>
      </c>
      <c r="B11" s="83" t="e" vm="65">
        <v>#VALUE!</v>
      </c>
      <c r="C11" s="39">
        <v>2</v>
      </c>
      <c r="D11" s="70" t="s">
        <v>674</v>
      </c>
      <c r="E11" s="40" t="s">
        <v>675</v>
      </c>
      <c r="F11" s="41" t="s">
        <v>163</v>
      </c>
      <c r="G11" s="42">
        <f t="shared" si="0"/>
        <v>1</v>
      </c>
      <c r="H11" s="43"/>
      <c r="I11" s="59" t="s">
        <v>676</v>
      </c>
      <c r="J11" s="44" t="str">
        <f>""</f>
        <v/>
      </c>
      <c r="K11" s="45"/>
      <c r="L11" s="46"/>
      <c r="M11" s="46"/>
      <c r="N11" s="47" t="s">
        <v>177</v>
      </c>
      <c r="O11" s="74" t="s">
        <v>233</v>
      </c>
      <c r="P11" s="48" t="s">
        <v>677</v>
      </c>
      <c r="Q11" s="73">
        <v>3</v>
      </c>
      <c r="R11" s="49" t="s">
        <v>177</v>
      </c>
      <c r="S11" s="50">
        <v>0</v>
      </c>
      <c r="T11" s="51" t="s">
        <v>165</v>
      </c>
      <c r="U11" s="52" t="s">
        <v>164</v>
      </c>
      <c r="V11" s="52" t="s">
        <v>165</v>
      </c>
      <c r="W11" s="52" t="s">
        <v>165</v>
      </c>
      <c r="X11" s="52" t="s">
        <v>165</v>
      </c>
      <c r="Y11" s="52" t="s">
        <v>164</v>
      </c>
      <c r="Z11" s="52" t="s">
        <v>164</v>
      </c>
      <c r="AA11" s="52" t="s">
        <v>164</v>
      </c>
      <c r="AB11" s="52" t="s">
        <v>165</v>
      </c>
      <c r="AC11" s="52" t="s">
        <v>164</v>
      </c>
      <c r="AD11" s="52" t="s">
        <v>164</v>
      </c>
      <c r="AE11" s="52" t="s">
        <v>164</v>
      </c>
      <c r="AF11" s="53" t="s">
        <v>164</v>
      </c>
      <c r="AG11" s="53" t="s">
        <v>164</v>
      </c>
      <c r="AH11" s="53" t="s">
        <v>165</v>
      </c>
      <c r="AI11" s="53" t="s">
        <v>164</v>
      </c>
      <c r="AJ11" s="53" t="s">
        <v>164</v>
      </c>
      <c r="AK11" s="53" t="s">
        <v>164</v>
      </c>
      <c r="AL11" s="53" t="s">
        <v>164</v>
      </c>
      <c r="AM11" s="53" t="s">
        <v>165</v>
      </c>
      <c r="AN11" s="53" t="s">
        <v>164</v>
      </c>
      <c r="AO11" s="53" t="s">
        <v>165</v>
      </c>
      <c r="AP11" s="53" t="s">
        <v>164</v>
      </c>
      <c r="AQ11" s="53" t="s">
        <v>164</v>
      </c>
      <c r="AR11" s="53" t="s">
        <v>164</v>
      </c>
      <c r="AS11" s="53" t="s">
        <v>164</v>
      </c>
      <c r="AT11" s="54">
        <v>0</v>
      </c>
      <c r="AU11" s="53" t="s">
        <v>309</v>
      </c>
      <c r="AV11" s="53" t="str">
        <f t="shared" si="1"/>
        <v>[CHL]Region[CHL] Santiago Metropolitan Region</v>
      </c>
      <c r="AW11" s="53" t="str">
        <f t="shared" si="2"/>
        <v>2[CHL] Santiago Metropolitan Region</v>
      </c>
      <c r="AX11" s="55"/>
      <c r="AY11" s="55"/>
      <c r="AZ11" s="56" t="s">
        <v>234</v>
      </c>
      <c r="BA11" s="56" t="s">
        <v>234</v>
      </c>
      <c r="BB11" s="56"/>
      <c r="BC11" s="57"/>
      <c r="BD11" s="58" t="s">
        <v>151</v>
      </c>
      <c r="BE11" s="59"/>
      <c r="BF11" s="58" t="s">
        <v>234</v>
      </c>
      <c r="BG11" s="58" t="s">
        <v>234</v>
      </c>
      <c r="BH11" s="58" t="s">
        <v>234</v>
      </c>
      <c r="BI11" s="58"/>
      <c r="BJ11" s="58"/>
      <c r="BK11" s="59"/>
      <c r="BL11" s="58" t="s">
        <v>151</v>
      </c>
      <c r="BM11" s="58" t="s">
        <v>152</v>
      </c>
      <c r="BN11" s="58" t="s">
        <v>234</v>
      </c>
      <c r="BO11" s="58" t="s">
        <v>154</v>
      </c>
      <c r="BP11" s="58" t="s">
        <v>155</v>
      </c>
      <c r="BQ11" s="58" t="s">
        <v>234</v>
      </c>
      <c r="BR11" s="58" t="s">
        <v>234</v>
      </c>
      <c r="BS11" s="58" t="s">
        <v>234</v>
      </c>
      <c r="BT11" s="58" t="s">
        <v>159</v>
      </c>
      <c r="BU11" s="60"/>
      <c r="BV11" s="61"/>
      <c r="BW11" s="61">
        <v>0</v>
      </c>
      <c r="BX11" s="59"/>
      <c r="BY11" s="44" t="s">
        <v>164</v>
      </c>
      <c r="CB11" s="5"/>
      <c r="CC11" s="5"/>
      <c r="CD11" s="62">
        <v>0</v>
      </c>
      <c r="CE11" s="62">
        <v>1</v>
      </c>
      <c r="CF11" s="62" t="e">
        <v>#REF!</v>
      </c>
      <c r="CG11" s="75" cm="1">
        <f t="array" ref="CG11">SUMPRODUCT(--(LEN(TRIM(BL11:BT11))&gt;0))</f>
        <v>5</v>
      </c>
      <c r="CH11" s="53" t="str">
        <f t="shared" si="3"/>
        <v>n</v>
      </c>
      <c r="CI11" s="53" t="str">
        <f t="shared" si="4"/>
        <v>n</v>
      </c>
      <c r="CJ11" s="53" t="str">
        <f t="shared" si="5"/>
        <v>n</v>
      </c>
      <c r="CK11" s="53" t="str">
        <f t="shared" si="6"/>
        <v>y</v>
      </c>
      <c r="CL11" s="53" t="str">
        <f t="shared" si="7"/>
        <v>y</v>
      </c>
      <c r="CM11" s="53" t="str">
        <f t="shared" si="8"/>
        <v>n</v>
      </c>
      <c r="CN11" s="53" t="str">
        <f t="shared" si="9"/>
        <v>n</v>
      </c>
      <c r="CO11" s="53" t="str">
        <f t="shared" si="10"/>
        <v>n</v>
      </c>
      <c r="CP11" s="53" t="str">
        <f t="shared" si="11"/>
        <v>y</v>
      </c>
      <c r="CQ11" s="53" t="str">
        <f t="shared" si="12"/>
        <v>n</v>
      </c>
      <c r="CR11" s="53" t="str">
        <f t="shared" si="13"/>
        <v>n</v>
      </c>
      <c r="CS11" s="53" t="str">
        <f t="shared" si="14"/>
        <v>n</v>
      </c>
      <c r="CT11" s="38" t="str">
        <f t="shared" si="15"/>
        <v>"[CHL] Santiago Metropolitan Region"</v>
      </c>
      <c r="CU11" s="63" t="str">
        <f t="shared" si="16"/>
        <v>"rgn_South America"</v>
      </c>
      <c r="CV11" s="44" t="str">
        <f t="shared" si="17"/>
        <v>"https://upload.wikimedia.org/wikipedia/commons/thumb/8/8d/Flag_of_the_Metropolitan_Region%2C_Chile.svg/640px-Flag_of_the_Metropolitan_Region%2C_Chile.svg.png"</v>
      </c>
      <c r="CW11" s="44" t="str">
        <f t="shared" si="18"/>
        <v/>
      </c>
      <c r="CX11" s="44" t="str">
        <f t="shared" si="19"/>
        <v/>
      </c>
      <c r="CY11" s="44" t="str">
        <f t="shared" si="20"/>
        <v/>
      </c>
      <c r="CZ11" s="44" t="str">
        <f t="shared" si="21"/>
        <v>"5+Colo",</v>
      </c>
      <c r="DA11" s="44" t="str">
        <f t="shared" si="22"/>
        <v>"words2",</v>
      </c>
      <c r="DB11" s="44" t="str">
        <f t="shared" si="23"/>
        <v>"words3",</v>
      </c>
      <c r="DD11" s="44" t="str">
        <f t="shared" si="137"/>
        <v>"lets26",</v>
      </c>
      <c r="DE11" s="44" t="str">
        <f t="shared" si="138"/>
        <v>"startS",</v>
      </c>
      <c r="DF11" s="44" t="str">
        <f t="shared" si="24"/>
        <v>"withtn",</v>
      </c>
      <c r="DG11" s="44" t="str">
        <f t="shared" si="25"/>
        <v/>
      </c>
      <c r="DH11" s="44" t="str">
        <f t="shared" si="26"/>
        <v/>
      </c>
      <c r="DI11" s="44" t="str">
        <f t="shared" si="27"/>
        <v/>
      </c>
      <c r="DJ11" s="44" t="str">
        <f t="shared" si="28"/>
        <v/>
      </c>
      <c r="DK11" s="44" t="str">
        <f t="shared" si="29"/>
        <v/>
      </c>
      <c r="DL11" s="44" t="str">
        <f t="shared" si="30"/>
        <v/>
      </c>
      <c r="DM11" s="44" t="str" cm="1">
        <f t="array" ref="DM11">IF(CG11=3,CHAR(34) &amp; _xlfn.TEXTJOIN("", TRUE, RIGHT(HP11:HX11, 2)) &amp; CHAR(34) &amp; ",", "")</f>
        <v/>
      </c>
      <c r="DN11" s="44" t="str">
        <f t="shared" si="31"/>
        <v/>
      </c>
      <c r="DO11" s="44" t="str">
        <f t="shared" si="32"/>
        <v/>
      </c>
      <c r="DP11" s="5" t="str">
        <f t="shared" si="33"/>
        <v/>
      </c>
      <c r="DQ11" s="5" t="str">
        <f t="shared" si="34"/>
        <v/>
      </c>
      <c r="DR11" s="5" t="str">
        <f t="shared" si="35"/>
        <v/>
      </c>
      <c r="DS11" s="5" t="str">
        <f t="shared" si="36"/>
        <v/>
      </c>
      <c r="DT11" s="5" t="str">
        <f t="shared" si="37"/>
        <v/>
      </c>
      <c r="DU11" s="5" t="str">
        <f t="shared" si="38"/>
        <v/>
      </c>
      <c r="DW11" s="44" t="str">
        <f t="shared" si="39"/>
        <v>"NoBand",</v>
      </c>
      <c r="DX11" s="44" t="str">
        <f t="shared" si="40"/>
        <v/>
      </c>
      <c r="DY11" s="44" t="str">
        <f t="shared" si="41"/>
        <v/>
      </c>
      <c r="DZ11" s="44" t="str">
        <f t="shared" si="42"/>
        <v/>
      </c>
      <c r="EA11" s="44" t="str">
        <f t="shared" si="43"/>
        <v>"Diagon",</v>
      </c>
      <c r="EB11" s="44" t="str">
        <f t="shared" si="44"/>
        <v/>
      </c>
      <c r="EC11" s="44" t="str">
        <f t="shared" si="45"/>
        <v>"Horizo",</v>
      </c>
      <c r="ED11" s="44" t="str">
        <f t="shared" si="46"/>
        <v>"Vertic",</v>
      </c>
      <c r="EE11" s="44" t="str">
        <f t="shared" si="47"/>
        <v>"Circle",</v>
      </c>
      <c r="EF11" s="44" t="str">
        <f t="shared" si="48"/>
        <v/>
      </c>
      <c r="EG11" s="44" t="str">
        <f t="shared" si="49"/>
        <v/>
      </c>
      <c r="EH11" s="44" t="str">
        <f t="shared" si="50"/>
        <v/>
      </c>
      <c r="EI11" s="44" t="str">
        <f t="shared" si="51"/>
        <v>"Texted",</v>
      </c>
      <c r="EJ11" s="44" t="str">
        <f t="shared" si="52"/>
        <v/>
      </c>
      <c r="EK11" s="44" t="str">
        <f t="shared" si="53"/>
        <v/>
      </c>
      <c r="EL11" s="44" t="str">
        <f t="shared" si="54"/>
        <v/>
      </c>
      <c r="EM11" s="44" t="str">
        <f t="shared" si="55"/>
        <v/>
      </c>
      <c r="EN11" s="44" t="str">
        <f t="shared" si="56"/>
        <v/>
      </c>
      <c r="EO11" s="44" t="str">
        <f t="shared" si="57"/>
        <v>"Center",</v>
      </c>
      <c r="EP11" s="44" t="str">
        <f t="shared" si="58"/>
        <v/>
      </c>
      <c r="EQ11" s="44" t="str">
        <f t="shared" si="59"/>
        <v/>
      </c>
      <c r="ER11" s="44" t="str">
        <f t="shared" si="60"/>
        <v/>
      </c>
      <c r="ES11" s="44" t="str">
        <f t="shared" si="61"/>
        <v/>
      </c>
      <c r="ET11" s="44" t="str">
        <f t="shared" si="62"/>
        <v>"Geogrh",</v>
      </c>
      <c r="EU11" s="44" t="str">
        <f t="shared" si="63"/>
        <v/>
      </c>
      <c r="EV11" s="44" t="str">
        <f t="shared" si="64"/>
        <v>"Builds",</v>
      </c>
      <c r="EW11" s="44" t="str">
        <f t="shared" si="65"/>
        <v/>
      </c>
      <c r="EX11" s="44" t="str">
        <f t="shared" si="66"/>
        <v/>
      </c>
      <c r="EY11" s="44" t="str">
        <f t="shared" si="67"/>
        <v/>
      </c>
      <c r="EZ11" s="44" t="str">
        <f t="shared" si="68"/>
        <v/>
      </c>
      <c r="FA11" s="44" t="str">
        <f t="shared" si="69"/>
        <v/>
      </c>
      <c r="FB11" s="44" t="str">
        <f t="shared" si="70"/>
        <v/>
      </c>
      <c r="FD11" s="44" t="str">
        <f t="shared" si="71"/>
        <v/>
      </c>
      <c r="FE11" s="44" t="str">
        <f t="shared" si="72"/>
        <v/>
      </c>
      <c r="FF11" s="44" t="str">
        <f t="shared" si="73"/>
        <v/>
      </c>
      <c r="FG11" s="44" t="str">
        <f t="shared" si="74"/>
        <v/>
      </c>
      <c r="FH11" s="44" t="str">
        <f t="shared" si="75"/>
        <v>"NO_GRE",</v>
      </c>
      <c r="FI11" s="44" t="str">
        <f t="shared" si="76"/>
        <v/>
      </c>
      <c r="FJ11" s="44" t="str">
        <f t="shared" si="77"/>
        <v/>
      </c>
      <c r="FK11" s="44" t="str">
        <f t="shared" si="78"/>
        <v/>
      </c>
      <c r="FL11" s="44" t="str">
        <f t="shared" si="79"/>
        <v/>
      </c>
      <c r="FM11" s="44" t="str">
        <f t="shared" si="80"/>
        <v/>
      </c>
      <c r="FN11" s="44" t="str">
        <f t="shared" si="81"/>
        <v/>
      </c>
      <c r="FO11" s="44" t="str">
        <f t="shared" si="82"/>
        <v/>
      </c>
      <c r="FP11" s="44" t="str">
        <f t="shared" si="83"/>
        <v/>
      </c>
      <c r="FQ11" s="44" t="str">
        <f t="shared" si="84"/>
        <v/>
      </c>
      <c r="FR11" s="44" t="str">
        <f t="shared" si="85"/>
        <v/>
      </c>
      <c r="FS11" s="44" t="str">
        <f t="shared" si="86"/>
        <v/>
      </c>
      <c r="FT11" s="44" t="str">
        <f t="shared" si="87"/>
        <v>"myrBLA",</v>
      </c>
      <c r="FU11" s="44" t="str">
        <f t="shared" si="88"/>
        <v/>
      </c>
      <c r="FV11" s="44" t="str">
        <f t="shared" si="89"/>
        <v/>
      </c>
      <c r="FW11" s="44" t="str">
        <f t="shared" si="90"/>
        <v/>
      </c>
      <c r="FY11" s="44" t="str">
        <f t="shared" si="91"/>
        <v/>
      </c>
      <c r="FZ11" s="44" t="str">
        <f t="shared" si="92"/>
        <v/>
      </c>
      <c r="GA11" s="44" t="str">
        <f t="shared" si="93"/>
        <v/>
      </c>
      <c r="GB11" s="44" t="str">
        <f t="shared" si="94"/>
        <v/>
      </c>
      <c r="GE11" s="44" t="str">
        <f t="shared" si="95"/>
        <v/>
      </c>
      <c r="GF11" s="44" t="str">
        <f t="shared" si="136"/>
        <v/>
      </c>
      <c r="GG11" s="44" t="str">
        <f t="shared" si="96"/>
        <v/>
      </c>
      <c r="GH11" s="44" t="str">
        <f t="shared" si="97"/>
        <v/>
      </c>
      <c r="GI11" s="44" t="str">
        <f t="shared" si="98"/>
        <v>"hasmap",</v>
      </c>
      <c r="GJ11" s="44" t="str">
        <f t="shared" si="99"/>
        <v>"NoStar",</v>
      </c>
      <c r="GK11" s="44" t="str">
        <f t="shared" si="100"/>
        <v/>
      </c>
      <c r="GL11" s="44" t="str">
        <f t="shared" si="101"/>
        <v/>
      </c>
      <c r="GM11" s="44" t="str">
        <f t="shared" si="102"/>
        <v/>
      </c>
      <c r="GN11" s="44" t="str">
        <f t="shared" si="103"/>
        <v/>
      </c>
      <c r="GP11" s="44" t="str">
        <f t="shared" si="104"/>
        <v>"Region"</v>
      </c>
      <c r="GS11" s="44" t="str">
        <f t="shared" si="105"/>
        <v>["5+Colo","words2","words3","lets26","startS","withtn","NoBand","Diagon","Horizo","Vertic","Circle","Texted","Center","Geogrh","Builds","NO_GRE","myrBLA","hasmap","NoStar"]</v>
      </c>
      <c r="GT11" s="44" t="str">
        <f t="shared" si="106"/>
        <v>"cl_BLA",</v>
      </c>
      <c r="GU11" s="44" t="str">
        <f t="shared" si="107"/>
        <v>"cl_BLU",</v>
      </c>
      <c r="GV11" s="44" t="str">
        <f t="shared" si="108"/>
        <v/>
      </c>
      <c r="GW11" s="44" t="str">
        <f t="shared" si="109"/>
        <v>"cl_RED",</v>
      </c>
      <c r="GX11" s="44" t="str">
        <f t="shared" si="110"/>
        <v>"cl_YEL",</v>
      </c>
      <c r="GY11" s="44" t="str">
        <f t="shared" si="111"/>
        <v/>
      </c>
      <c r="GZ11" s="44" t="str">
        <f t="shared" si="112"/>
        <v/>
      </c>
      <c r="HA11" s="44" t="str">
        <f t="shared" si="113"/>
        <v/>
      </c>
      <c r="HB11" s="44" t="str">
        <f t="shared" si="114"/>
        <v>"cl_WHI",</v>
      </c>
      <c r="HC11" s="44" t="str">
        <f t="shared" si="115"/>
        <v>["cl_BLA","cl_BLU","cl_RED","cl_YEL","cl_WHI"]</v>
      </c>
      <c r="HE11" s="64"/>
      <c r="HF11" s="65" t="str">
        <f t="shared" si="116"/>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links: "https://www.crwflags.com/fotw/flags/cl-13.html"},</v>
      </c>
      <c r="HG11" s="66" t="str">
        <f t="shared" si="117"/>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links: "https://www.crwflags.com/fotw/flags/cl-13.html"},</v>
      </c>
      <c r="HH11" s="44" t="str">
        <f t="shared" si="118"/>
        <v>"\nThe flag appears to feature the logo of the Santiago Metropolitan Regional Government on a dark grey field.\nRandy Young, 23 August 2018"</v>
      </c>
      <c r="HI11" s="44" t="str">
        <f t="shared" si="119"/>
        <v>"\nThe flag appears to feature the logo of the Santiago Metropolitan Regional Government on a dark grey field.\nRandy Young, 23 August 2018"</v>
      </c>
      <c r="HJ11" s="44" t="str">
        <f t="shared" si="120"/>
        <v>"???"</v>
      </c>
      <c r="HL11" s="44" t="str">
        <f t="shared" si="121"/>
        <v>"https://www.crwflags.com/fotw/flags/cl-13.html"</v>
      </c>
      <c r="HM11" s="65" t="str">
        <f t="shared" si="122"/>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 "links": "https://www.crwflags.com/fotw/flags/cl-13.html"},</v>
      </c>
      <c r="HN11" s="67" t="str">
        <f t="shared" si="123"/>
        <v>{"couname":"[CHL] Santiago Metropolitan Region","year":"???","region":"rgn_South America","Colors":["cl_BLA","cl_BLU","cl_RED","cl_YEL","cl_WHI"],"Items":["5+Colo","words2","words3","lets26","startS","withtn","NoBand","Diagon","Horizo","Vertic","Circle","Texted","Center","Geogrh","Builds","NO_GRE","myrBLA","hasmap","NoStar"],"Flag":"https://upload.wikimedia.org/wikipedia/commons/thumb/8/8d/Flag_of_the_Metropolitan_Region%2C_Chile.svg/640px-Flag_of_the_Metropolitan_Region%2C_Chile.svg.png","HDFlag":"https://upload.wikimedia.org/wikipedia/commons/thumb/8/8d/Flag_of_the_Metropolitan_Region%2C_Chile.svg/2560px-Flag_of_the_Metropolitan_Region%2C_Chile.svg.png","type":"Region", "describe": "\nThe flag appears to feature the logo of the Santiago Metropolitan Regional Government on a dark grey field.\nRandy Young, 23 August 2018", "isnew": ".", "links": "https://www.crwflags.com/fotw/flags/cl-13.html"},</v>
      </c>
      <c r="HO11" s="71">
        <v>45610</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
      </c>
      <c r="HS11" s="44" t="str" cm="1">
        <f t="array" ref="HS11">IF(_xlfn.TEXTJOIN(", ", TRUE, IF(ISNUMBER(SEARCH("RED", BL11:BT11)), COLUMN(BL11:BT11) - COLUMN(BL11) + 1, ""))&lt;&gt;"","RED","")</f>
        <v>RED</v>
      </c>
      <c r="HT11" s="44" t="str" cm="1">
        <f t="array" ref="HT11">IF(_xlfn.TEXTJOIN(", ", TRUE, IF(ISNUMBER(SEARCH("YEL", BL11:BT11)), COLUMN(BL11:BT11) - COLUMN(BL11) + 1, ""))&lt;&gt;"","YEL","")</f>
        <v>YEL</v>
      </c>
      <c r="HU11" s="44" t="str" cm="1">
        <f t="array" ref="HU11">IF(_xlfn.TEXTJOIN(", ", TRUE, IF(ISNUMBER(SEARCH("ORA", BL11:BT11)), COLUMN(BL11:BT11) - COLUMN(BL11) + 1, ""))&lt;&gt;"","ORA","")</f>
        <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WHI</v>
      </c>
      <c r="HY11" s="72"/>
      <c r="HZ11" s="72"/>
      <c r="IA11" s="5"/>
      <c r="IB11" s="5"/>
      <c r="IC11" s="68"/>
      <c r="ID11" s="68"/>
      <c r="IE11" s="68"/>
      <c r="IF11" s="68"/>
      <c r="IG11" s="68"/>
      <c r="IH11" s="68"/>
      <c r="II11" s="68"/>
      <c r="IJ11" s="68"/>
      <c r="IK11" s="68"/>
      <c r="IM11" s="42">
        <f t="shared" si="124"/>
        <v>-5</v>
      </c>
      <c r="IN11" s="69" t="str">
        <f t="shared" si="125"/>
        <v>http://mkweb.bcgsc.ca/color-summarizer/?url=https://upload.wikimedia.org/wikipedia/commons/thumb/8/8d/Flag_of_the_Metropolitan_Region%2C_Chile.svg/640px-Flag_of_the_Metropolitan_Region%2C_Chile.svg.png&amp;precision=low&amp;num_clusters=5&amp;text=1</v>
      </c>
      <c r="IO11" s="44" t="str">
        <f t="shared" si="126"/>
        <v>"black"</v>
      </c>
      <c r="IP11" s="44" t="str">
        <f t="shared" si="127"/>
        <v>"blue"</v>
      </c>
      <c r="IQ11" s="44" t="str">
        <f t="shared" si="128"/>
        <v/>
      </c>
      <c r="IR11" s="44" t="str">
        <f t="shared" si="129"/>
        <v>"red"</v>
      </c>
      <c r="IS11" s="44" t="str">
        <f t="shared" si="130"/>
        <v>"yellow"</v>
      </c>
      <c r="IT11" s="44" t="str">
        <f t="shared" si="131"/>
        <v/>
      </c>
      <c r="IU11" s="44" t="str">
        <f t="shared" si="132"/>
        <v/>
      </c>
      <c r="IV11" s="44" t="str">
        <f t="shared" si="133"/>
        <v/>
      </c>
      <c r="IW11" s="44" t="str">
        <f t="shared" si="134"/>
        <v>"white"</v>
      </c>
      <c r="IX11" s="44" t="str">
        <f t="shared" si="135"/>
        <v>{"url":"http://mkweb.bcgsc.ca/color-summarizer/?url=https://upload.wikimedia.org/wikipedia/commons/thumb/8/8d/Flag_of_the_Metropolitan_Region%2C_Chile.svg/640px-Flag_of_the_Metropolitan_Region%2C_Chile.svg.png&amp;precision=low&amp;num_clusters=5&amp;text=1","name":"[CHL] Santiago Metropolitan Region"},</v>
      </c>
      <c r="IY11" s="44">
        <v>1265</v>
      </c>
    </row>
    <row r="12" spans="1:259" s="44" customFormat="1" ht="38.4" customHeight="1" thickBot="1" x14ac:dyDescent="0.35">
      <c r="A12" s="84" t="s">
        <v>576</v>
      </c>
      <c r="B12" s="83" t="e" vm="66">
        <v>#VALUE!</v>
      </c>
      <c r="C12" s="39">
        <v>2</v>
      </c>
      <c r="D12" s="70" t="s">
        <v>577</v>
      </c>
      <c r="E12" s="40" t="s">
        <v>577</v>
      </c>
      <c r="F12" s="41" t="s">
        <v>163</v>
      </c>
      <c r="G12" s="42">
        <f t="shared" si="0"/>
        <v>1</v>
      </c>
      <c r="H12" s="43"/>
      <c r="I12" s="59" t="s">
        <v>578</v>
      </c>
      <c r="J12" s="44" t="str">
        <f>""</f>
        <v/>
      </c>
      <c r="K12" s="45"/>
      <c r="L12" s="46"/>
      <c r="M12" s="46"/>
      <c r="N12" s="47" t="s">
        <v>177</v>
      </c>
      <c r="O12" s="74" t="s">
        <v>233</v>
      </c>
      <c r="P12" s="48" t="s">
        <v>579</v>
      </c>
      <c r="Q12" s="73">
        <v>2</v>
      </c>
      <c r="R12" s="49" t="s">
        <v>177</v>
      </c>
      <c r="S12" s="50">
        <v>0</v>
      </c>
      <c r="T12" s="51" t="s">
        <v>164</v>
      </c>
      <c r="U12" s="52" t="s">
        <v>164</v>
      </c>
      <c r="V12" s="52" t="s">
        <v>165</v>
      </c>
      <c r="W12" s="52" t="s">
        <v>165</v>
      </c>
      <c r="X12" s="52" t="s">
        <v>165</v>
      </c>
      <c r="Y12" s="52" t="s">
        <v>165</v>
      </c>
      <c r="Z12" s="52" t="s">
        <v>164</v>
      </c>
      <c r="AA12" s="52" t="s">
        <v>165</v>
      </c>
      <c r="AB12" s="52" t="s">
        <v>165</v>
      </c>
      <c r="AC12" s="52" t="s">
        <v>164</v>
      </c>
      <c r="AD12" s="52" t="s">
        <v>164</v>
      </c>
      <c r="AE12" s="52" t="s">
        <v>164</v>
      </c>
      <c r="AF12" s="53" t="s">
        <v>164</v>
      </c>
      <c r="AG12" s="53" t="s">
        <v>164</v>
      </c>
      <c r="AH12" s="53" t="s">
        <v>165</v>
      </c>
      <c r="AI12" s="53" t="s">
        <v>164</v>
      </c>
      <c r="AJ12" s="53" t="s">
        <v>164</v>
      </c>
      <c r="AK12" s="53" t="s">
        <v>164</v>
      </c>
      <c r="AL12" s="53" t="s">
        <v>164</v>
      </c>
      <c r="AM12" s="53" t="s">
        <v>165</v>
      </c>
      <c r="AN12" s="53" t="s">
        <v>165</v>
      </c>
      <c r="AO12" s="53" t="s">
        <v>165</v>
      </c>
      <c r="AP12" s="53" t="s">
        <v>164</v>
      </c>
      <c r="AQ12" s="53" t="s">
        <v>164</v>
      </c>
      <c r="AR12" s="53" t="s">
        <v>164</v>
      </c>
      <c r="AS12" s="53" t="s">
        <v>164</v>
      </c>
      <c r="AT12" s="54">
        <v>2</v>
      </c>
      <c r="AU12" s="53" t="s">
        <v>309</v>
      </c>
      <c r="AV12" s="53" t="str">
        <f t="shared" si="1"/>
        <v>[CHL]Region[CHL] Tarapacá Region</v>
      </c>
      <c r="AW12" s="53" t="str">
        <f t="shared" si="2"/>
        <v>2[CHL] Tarapacá Region</v>
      </c>
      <c r="AX12" s="55"/>
      <c r="AY12" s="55"/>
      <c r="AZ12" s="56" t="s">
        <v>156</v>
      </c>
      <c r="BA12" s="56" t="s">
        <v>156</v>
      </c>
      <c r="BB12" s="56"/>
      <c r="BC12" s="57"/>
      <c r="BD12" s="58" t="s">
        <v>159</v>
      </c>
      <c r="BE12" s="59"/>
      <c r="BF12" s="58" t="s">
        <v>234</v>
      </c>
      <c r="BG12" s="58" t="s">
        <v>234</v>
      </c>
      <c r="BH12" s="58" t="s">
        <v>234</v>
      </c>
      <c r="BI12" s="58"/>
      <c r="BJ12" s="58"/>
      <c r="BK12" s="59"/>
      <c r="BL12" s="58" t="s">
        <v>151</v>
      </c>
      <c r="BM12" s="58" t="s">
        <v>152</v>
      </c>
      <c r="BN12" s="58" t="s">
        <v>153</v>
      </c>
      <c r="BO12" s="58" t="s">
        <v>154</v>
      </c>
      <c r="BP12" s="58" t="s">
        <v>155</v>
      </c>
      <c r="BQ12" s="58" t="s">
        <v>156</v>
      </c>
      <c r="BR12" s="58" t="s">
        <v>157</v>
      </c>
      <c r="BS12" s="58" t="s">
        <v>234</v>
      </c>
      <c r="BT12" s="58" t="s">
        <v>159</v>
      </c>
      <c r="BU12" s="60"/>
      <c r="BV12" s="61"/>
      <c r="BW12" s="61">
        <v>0</v>
      </c>
      <c r="BX12" s="59"/>
      <c r="CB12" s="5"/>
      <c r="CC12" s="5"/>
      <c r="CD12" s="62">
        <v>0</v>
      </c>
      <c r="CE12" s="62">
        <v>0</v>
      </c>
      <c r="CF12" s="62" t="e">
        <v>#REF!</v>
      </c>
      <c r="CG12" s="75" cm="1">
        <f t="array" ref="CG12">SUMPRODUCT(--(LEN(TRIM(BL12:BT12))&gt;0))</f>
        <v>8</v>
      </c>
      <c r="CH12" s="53" t="str">
        <f t="shared" si="3"/>
        <v>n</v>
      </c>
      <c r="CI12" s="53" t="str">
        <f t="shared" si="4"/>
        <v>n</v>
      </c>
      <c r="CJ12" s="53" t="str">
        <f t="shared" si="5"/>
        <v>n</v>
      </c>
      <c r="CK12" s="53" t="str">
        <f t="shared" si="6"/>
        <v>y</v>
      </c>
      <c r="CL12" s="53" t="str">
        <f t="shared" si="7"/>
        <v>y</v>
      </c>
      <c r="CM12" s="53" t="str">
        <f t="shared" si="8"/>
        <v>n</v>
      </c>
      <c r="CN12" s="53" t="str">
        <f t="shared" si="9"/>
        <v>n</v>
      </c>
      <c r="CO12" s="53" t="str">
        <f t="shared" si="10"/>
        <v>n</v>
      </c>
      <c r="CP12" s="53" t="str">
        <f t="shared" si="11"/>
        <v>n</v>
      </c>
      <c r="CQ12" s="53" t="str">
        <f t="shared" si="12"/>
        <v>n</v>
      </c>
      <c r="CR12" s="53" t="str">
        <f t="shared" si="13"/>
        <v>y</v>
      </c>
      <c r="CS12" s="53" t="str">
        <f t="shared" si="14"/>
        <v>n</v>
      </c>
      <c r="CT12" s="38" t="str">
        <f t="shared" si="15"/>
        <v>"[CHL] Tarapacá Region"</v>
      </c>
      <c r="CU12" s="63" t="str">
        <f t="shared" si="16"/>
        <v>"rgn_South America"</v>
      </c>
      <c r="CV12" s="44" t="str">
        <f t="shared" si="17"/>
        <v>"https://www.crwflags.com/fotw/images/c/cl-01.gif"</v>
      </c>
      <c r="CW12" s="44" t="str">
        <f t="shared" si="18"/>
        <v/>
      </c>
      <c r="CX12" s="44" t="str">
        <f t="shared" si="19"/>
        <v/>
      </c>
      <c r="CY12" s="44" t="str">
        <f t="shared" si="20"/>
        <v/>
      </c>
      <c r="CZ12" s="44" t="str">
        <f t="shared" si="21"/>
        <v>"5+Colo",</v>
      </c>
      <c r="DA12" s="44" t="str">
        <f t="shared" si="22"/>
        <v>"words2",</v>
      </c>
      <c r="DB12" s="44" t="str">
        <f t="shared" si="23"/>
        <v/>
      </c>
      <c r="DD12" s="44" t="str">
        <f t="shared" si="137"/>
        <v>"lets14",</v>
      </c>
      <c r="DE12" s="44" t="str">
        <f t="shared" si="138"/>
        <v>"startT",</v>
      </c>
      <c r="DF12" s="44" t="str">
        <f t="shared" si="24"/>
        <v/>
      </c>
      <c r="DG12" s="44" t="str">
        <f t="shared" si="25"/>
        <v/>
      </c>
      <c r="DH12" s="44" t="str">
        <f t="shared" si="26"/>
        <v/>
      </c>
      <c r="DI12" s="44" t="str">
        <f t="shared" si="27"/>
        <v/>
      </c>
      <c r="DJ12" s="44" t="str">
        <f t="shared" si="28"/>
        <v/>
      </c>
      <c r="DK12" s="44" t="str">
        <f t="shared" si="29"/>
        <v/>
      </c>
      <c r="DL12" s="44" t="str">
        <f t="shared" si="30"/>
        <v/>
      </c>
      <c r="DM12" s="44" t="str" cm="1">
        <f t="array" ref="DM12">IF(CG12=3,CHAR(34) &amp; _xlfn.TEXTJOIN("", TRUE, RIGHT(HP12:HX12, 2)) &amp; CHAR(34) &amp; ",", "")</f>
        <v/>
      </c>
      <c r="DN12" s="44" t="str">
        <f t="shared" si="31"/>
        <v/>
      </c>
      <c r="DO12" s="44" t="str">
        <f t="shared" si="32"/>
        <v/>
      </c>
      <c r="DP12" s="5" t="str">
        <f t="shared" si="33"/>
        <v/>
      </c>
      <c r="DQ12" s="5" t="str">
        <f t="shared" si="34"/>
        <v/>
      </c>
      <c r="DR12" s="5" t="str">
        <f t="shared" si="35"/>
        <v/>
      </c>
      <c r="DS12" s="5" t="str">
        <f t="shared" si="36"/>
        <v/>
      </c>
      <c r="DT12" s="5" t="str">
        <f t="shared" si="37"/>
        <v/>
      </c>
      <c r="DU12" s="5" t="str">
        <f t="shared" si="38"/>
        <v/>
      </c>
      <c r="DW12" s="44" t="str">
        <f t="shared" si="39"/>
        <v>"NoBand",</v>
      </c>
      <c r="DX12" s="44" t="str">
        <f t="shared" si="40"/>
        <v/>
      </c>
      <c r="DY12" s="44" t="str">
        <f t="shared" si="41"/>
        <v/>
      </c>
      <c r="DZ12" s="44" t="str">
        <f t="shared" si="42"/>
        <v/>
      </c>
      <c r="EA12" s="44" t="str">
        <f t="shared" si="43"/>
        <v/>
      </c>
      <c r="EB12" s="44" t="str">
        <f t="shared" si="44"/>
        <v/>
      </c>
      <c r="EC12" s="44" t="str">
        <f t="shared" si="45"/>
        <v>"Horizo",</v>
      </c>
      <c r="ED12" s="44" t="str">
        <f t="shared" si="46"/>
        <v>"Vertic",</v>
      </c>
      <c r="EE12" s="44" t="str">
        <f t="shared" si="47"/>
        <v>"Circle",</v>
      </c>
      <c r="EF12" s="44" t="str">
        <f t="shared" si="48"/>
        <v>"Animal",</v>
      </c>
      <c r="EG12" s="44" t="str">
        <f t="shared" si="49"/>
        <v/>
      </c>
      <c r="EH12" s="44" t="str">
        <f t="shared" si="50"/>
        <v>"Plants",</v>
      </c>
      <c r="EI12" s="44" t="str">
        <f t="shared" si="51"/>
        <v>"Texted",</v>
      </c>
      <c r="EJ12" s="44" t="str">
        <f t="shared" si="52"/>
        <v/>
      </c>
      <c r="EK12" s="44" t="str">
        <f t="shared" si="53"/>
        <v/>
      </c>
      <c r="EL12" s="44" t="str">
        <f t="shared" si="54"/>
        <v/>
      </c>
      <c r="EM12" s="44" t="str">
        <f t="shared" si="55"/>
        <v/>
      </c>
      <c r="EN12" s="44" t="str">
        <f t="shared" si="56"/>
        <v/>
      </c>
      <c r="EO12" s="44" t="str">
        <f t="shared" si="57"/>
        <v>"Center",</v>
      </c>
      <c r="EP12" s="44" t="str">
        <f t="shared" si="58"/>
        <v/>
      </c>
      <c r="EQ12" s="44" t="str">
        <f t="shared" si="59"/>
        <v/>
      </c>
      <c r="ER12" s="44" t="str">
        <f t="shared" si="60"/>
        <v/>
      </c>
      <c r="ES12" s="44" t="str">
        <f t="shared" si="61"/>
        <v/>
      </c>
      <c r="ET12" s="44" t="str">
        <f t="shared" si="62"/>
        <v>"Geogrh",</v>
      </c>
      <c r="EU12" s="44" t="str">
        <f t="shared" si="63"/>
        <v>"Humans",</v>
      </c>
      <c r="EV12" s="44" t="str">
        <f t="shared" si="64"/>
        <v>"Builds",</v>
      </c>
      <c r="EW12" s="44" t="str">
        <f t="shared" si="65"/>
        <v/>
      </c>
      <c r="EX12" s="44" t="str">
        <f t="shared" si="66"/>
        <v/>
      </c>
      <c r="EY12" s="44" t="str">
        <f t="shared" si="67"/>
        <v/>
      </c>
      <c r="EZ12" s="44" t="str">
        <f t="shared" si="68"/>
        <v/>
      </c>
      <c r="FA12" s="44" t="str">
        <f t="shared" si="69"/>
        <v>"staORA",</v>
      </c>
      <c r="FB12" s="44" t="str">
        <f t="shared" si="70"/>
        <v>"staORA",</v>
      </c>
      <c r="FD12" s="44" t="str">
        <f t="shared" si="71"/>
        <v/>
      </c>
      <c r="FE12" s="44" t="str">
        <f t="shared" si="72"/>
        <v/>
      </c>
      <c r="FF12" s="44" t="str">
        <f t="shared" si="73"/>
        <v/>
      </c>
      <c r="FG12" s="44" t="str">
        <f t="shared" si="74"/>
        <v/>
      </c>
      <c r="FH12" s="44" t="str">
        <f t="shared" si="75"/>
        <v/>
      </c>
      <c r="FI12" s="44" t="str">
        <f t="shared" si="76"/>
        <v/>
      </c>
      <c r="FJ12" s="44" t="str">
        <f t="shared" si="77"/>
        <v/>
      </c>
      <c r="FK12" s="44" t="str">
        <f t="shared" si="78"/>
        <v/>
      </c>
      <c r="FL12" s="44" t="str">
        <f t="shared" si="79"/>
        <v/>
      </c>
      <c r="FM12" s="44" t="str">
        <f t="shared" si="80"/>
        <v/>
      </c>
      <c r="FN12" s="44" t="str">
        <f t="shared" si="81"/>
        <v/>
      </c>
      <c r="FO12" s="44" t="str">
        <f t="shared" si="82"/>
        <v/>
      </c>
      <c r="FP12" s="44" t="str">
        <f t="shared" si="83"/>
        <v/>
      </c>
      <c r="FQ12" s="44" t="str">
        <f t="shared" si="84"/>
        <v/>
      </c>
      <c r="FR12" s="44" t="str">
        <f t="shared" si="85"/>
        <v/>
      </c>
      <c r="FS12" s="44" t="str">
        <f t="shared" si="86"/>
        <v/>
      </c>
      <c r="FT12" s="44" t="str">
        <f t="shared" si="87"/>
        <v>"myrWHI",</v>
      </c>
      <c r="FU12" s="44" t="str">
        <f t="shared" si="88"/>
        <v/>
      </c>
      <c r="FV12" s="44" t="str">
        <f t="shared" si="89"/>
        <v/>
      </c>
      <c r="FW12" s="44" t="str">
        <f t="shared" si="90"/>
        <v/>
      </c>
      <c r="FY12" s="44" t="str">
        <f t="shared" si="91"/>
        <v/>
      </c>
      <c r="FZ12" s="44" t="str">
        <f t="shared" si="92"/>
        <v/>
      </c>
      <c r="GA12" s="44" t="str">
        <f t="shared" si="93"/>
        <v/>
      </c>
      <c r="GB12" s="44" t="str">
        <f t="shared" si="94"/>
        <v/>
      </c>
      <c r="GE12" s="44" t="str">
        <f t="shared" si="95"/>
        <v/>
      </c>
      <c r="GF12" s="44" t="str">
        <f t="shared" si="136"/>
        <v/>
      </c>
      <c r="GG12" s="44" t="str">
        <f t="shared" si="96"/>
        <v/>
      </c>
      <c r="GH12" s="44" t="str">
        <f t="shared" si="97"/>
        <v/>
      </c>
      <c r="GI12" s="44" t="str">
        <f t="shared" si="98"/>
        <v/>
      </c>
      <c r="GJ12" s="44" t="str">
        <f t="shared" si="99"/>
        <v/>
      </c>
      <c r="GK12" s="44" t="str">
        <f t="shared" si="100"/>
        <v>"HasSta",</v>
      </c>
      <c r="GL12" s="44" t="str">
        <f t="shared" si="101"/>
        <v/>
      </c>
      <c r="GM12" s="44" t="str">
        <f t="shared" si="102"/>
        <v>"2Stars",</v>
      </c>
      <c r="GN12" s="44" t="str">
        <f t="shared" si="103"/>
        <v/>
      </c>
      <c r="GP12" s="44" t="str">
        <f t="shared" si="104"/>
        <v>"Region"</v>
      </c>
      <c r="GS12" s="44" t="str">
        <f t="shared" si="105"/>
        <v>["5+Colo","words2","lets14","startT","NoBand","Horizo","Vertic","Circle","Animal","Plants","Texted","Center","Geogrh","Humans","Builds","staORA","staORA","myrWHI","HasSta","2Stars"]</v>
      </c>
      <c r="GT12" s="44" t="str">
        <f t="shared" si="106"/>
        <v>"cl_BLA",</v>
      </c>
      <c r="GU12" s="44" t="str">
        <f t="shared" si="107"/>
        <v>"cl_BLU",</v>
      </c>
      <c r="GV12" s="44" t="str">
        <f t="shared" si="108"/>
        <v>"cl_GRE",</v>
      </c>
      <c r="GW12" s="44" t="str">
        <f t="shared" si="109"/>
        <v>"cl_RED",</v>
      </c>
      <c r="GX12" s="44" t="str">
        <f t="shared" si="110"/>
        <v>"cl_YEL",</v>
      </c>
      <c r="GY12" s="44" t="str">
        <f t="shared" si="111"/>
        <v>"cl_ORA",</v>
      </c>
      <c r="GZ12" s="44" t="str">
        <f t="shared" si="112"/>
        <v>"cl_BRO",</v>
      </c>
      <c r="HA12" s="44" t="str">
        <f t="shared" si="113"/>
        <v/>
      </c>
      <c r="HB12" s="44" t="str">
        <f t="shared" si="114"/>
        <v>"cl_WHI",</v>
      </c>
      <c r="HC12" s="44" t="str">
        <f t="shared" si="115"/>
        <v>["cl_BLA","cl_BLU","cl_GRE","cl_RED","cl_YEL","cl_ORA","cl_BRO","cl_WHI"]</v>
      </c>
      <c r="HE12" s="64"/>
      <c r="HF12" s="65" t="str">
        <f t="shared" si="116"/>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isnew:".", links: "https://www.crwflags.com/fotw/flags/cl-01.html "},</v>
      </c>
      <c r="HG12" s="66" t="str">
        <f t="shared" si="117"/>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links: "https://www.crwflags.com/fotw/flags/cl-01.html "},</v>
      </c>
      <c r="HH12" s="44" t="str">
        <f t="shared" si="118"/>
        <v>"\nThe flag of Tarapacá region is the coat of arms on a white field."</v>
      </c>
      <c r="HI12" s="44" t="str">
        <f t="shared" si="119"/>
        <v>"\nThe flag of Tarapacá region is the coat of arms on a white field."</v>
      </c>
      <c r="HJ12" s="44" t="str">
        <f t="shared" si="120"/>
        <v>"???"</v>
      </c>
      <c r="HL12" s="44" t="str">
        <f t="shared" si="121"/>
        <v>"https://www.crwflags.com/fotw/flags/cl-01.html "</v>
      </c>
      <c r="HM12" s="65" t="str">
        <f t="shared" si="122"/>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"isnew": ".", "links": "https://www.crwflags.com/fotw/flags/cl-01.html "},</v>
      </c>
      <c r="HN12" s="67" t="str">
        <f t="shared" si="123"/>
        <v>{"couname":"[CHL] Tarapacá Region","year":"???","region":"rgn_South America","Colors":["cl_BLA","cl_BLU","cl_GRE","cl_RED","cl_YEL","cl_ORA","cl_BRO","cl_WHI"],"Items":["5+Colo","words2","lets14","startT","NoBand","Horizo","Vertic","Circle","Animal","Plants","Texted","Center","Geogrh","Humans","Builds","staORA","staORA","myrWHI","HasSta","2Stars"],"Flag":"https://www.crwflags.com/fotw/images/c/cl-01.gif","HDFlag":"https://www.crwflags.com/fotw/images/c/cl-01.gif","type":"Region", "describe": "\nThe flag of Tarapacá region is the coat of arms on a white field.", "isnew": ".", "links": "https://www.crwflags.com/fotw/flags/cl-01.html "},</v>
      </c>
      <c r="HO12" s="71">
        <v>45618</v>
      </c>
      <c r="HP12" s="44" t="str" cm="1">
        <f t="array" ref="HP12">IF(_xlfn.TEXTJOIN(", ", TRUE, IF(ISNUMBER(SEARCH("BLA", BL12:BT12)), COLUMN(BL12:BT12) - COLUMN(BL12) + 1, ""))&lt;&gt;"","BLA","")</f>
        <v>BLA</v>
      </c>
      <c r="HQ12" s="44" t="str" cm="1">
        <f t="array" ref="HQ12">IF(_xlfn.TEXTJOIN(", ", TRUE, IF(ISNUMBER(SEARCH("BLU", BL12:BT12)), COLUMN(BL12:BT12) - COLUMN(BL12) + 1, ""))&lt;&gt;"","BLU","")</f>
        <v>BLU</v>
      </c>
      <c r="HR12" s="44" t="str" cm="1">
        <f t="array" ref="HR12">IF(_xlfn.TEXTJOIN(", ", TRUE, IF(ISNUMBER(SEARCH("GRE", BL12:BT12)), COLUMN(BL12:BT12) - COLUMN(BL12) + 1, ""))&lt;&gt;"","GRE","")</f>
        <v>GRE</v>
      </c>
      <c r="HS12" s="44" t="str" cm="1">
        <f t="array" ref="HS12">IF(_xlfn.TEXTJOIN(", ", TRUE, IF(ISNUMBER(SEARCH("RED", BL12:BT12)), COLUMN(BL12:BT12) - COLUMN(BL12) + 1, ""))&lt;&gt;"","RED","")</f>
        <v>RED</v>
      </c>
      <c r="HT12" s="44" t="str" cm="1">
        <f t="array" ref="HT12">IF(_xlfn.TEXTJOIN(", ", TRUE, IF(ISNUMBER(SEARCH("YEL", BL12:BT12)), COLUMN(BL12:BT12) - COLUMN(BL12) + 1, ""))&lt;&gt;"","YEL","")</f>
        <v>YEL</v>
      </c>
      <c r="HU12" s="44" t="str" cm="1">
        <f t="array" ref="HU12">IF(_xlfn.TEXTJOIN(", ", TRUE, IF(ISNUMBER(SEARCH("ORA", BL12:BT12)), COLUMN(BL12:BT12) - COLUMN(BL12) + 1, ""))&lt;&gt;"","ORA","")</f>
        <v>ORA</v>
      </c>
      <c r="HV12" s="44" t="str" cm="1">
        <f t="array" ref="HV12">IF(_xlfn.TEXTJOIN(", ", TRUE, IF(ISNUMBER(SEARCH("BRO", BL12:BT12)), COLUMN(BL12:BT12) - COLUMN(BL12) + 1, ""))&lt;&gt;"","BRO","")</f>
        <v>BRO</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M12" s="42">
        <f t="shared" si="124"/>
        <v>-8</v>
      </c>
      <c r="IN12" s="69" t="str">
        <f t="shared" si="125"/>
        <v>http://mkweb.bcgsc.ca/color-summarizer/?url=https://www.crwflags.com/fotw/images/c/cl-01.gif&amp;precision=low&amp;num_clusters=8&amp;text=1</v>
      </c>
      <c r="IO12" s="44" t="str">
        <f t="shared" si="126"/>
        <v>"black"</v>
      </c>
      <c r="IP12" s="44" t="str">
        <f t="shared" si="127"/>
        <v>"blue"</v>
      </c>
      <c r="IQ12" s="44" t="str">
        <f t="shared" si="128"/>
        <v>"green"</v>
      </c>
      <c r="IR12" s="44" t="str">
        <f t="shared" si="129"/>
        <v>"red"</v>
      </c>
      <c r="IS12" s="44" t="str">
        <f t="shared" si="130"/>
        <v>"yellow"</v>
      </c>
      <c r="IT12" s="44" t="str">
        <f t="shared" si="131"/>
        <v>"orange"</v>
      </c>
      <c r="IU12" s="44" t="str">
        <f t="shared" si="132"/>
        <v>"brown"</v>
      </c>
      <c r="IV12" s="44" t="str">
        <f t="shared" si="133"/>
        <v/>
      </c>
      <c r="IW12" s="44" t="str">
        <f t="shared" si="134"/>
        <v>"white"</v>
      </c>
      <c r="IX12" s="44" t="str">
        <f t="shared" si="135"/>
        <v>{"url":"http://mkweb.bcgsc.ca/color-summarizer/?url=https://www.crwflags.com/fotw/images/c/cl-01.gif&amp;precision=low&amp;num_clusters=8&amp;text=1","name":"[CHL] Tarapacá Region"},</v>
      </c>
      <c r="IY12" s="44">
        <v>966</v>
      </c>
    </row>
    <row r="13" spans="1:259" s="44" customFormat="1" ht="38.4" customHeight="1" thickBot="1" x14ac:dyDescent="0.35">
      <c r="A13" s="84" t="s">
        <v>580</v>
      </c>
      <c r="B13" s="83" t="e" vm="67">
        <v>#VALUE!</v>
      </c>
      <c r="C13" s="39">
        <v>2</v>
      </c>
      <c r="D13" s="70" t="s">
        <v>581</v>
      </c>
      <c r="E13" s="40" t="s">
        <v>581</v>
      </c>
      <c r="F13" s="41" t="s">
        <v>163</v>
      </c>
      <c r="G13" s="42">
        <f t="shared" si="0"/>
        <v>1</v>
      </c>
      <c r="H13" s="43"/>
      <c r="I13" s="59" t="s">
        <v>582</v>
      </c>
      <c r="J13" s="44" t="str">
        <f>""</f>
        <v/>
      </c>
      <c r="K13" s="45"/>
      <c r="L13" s="46"/>
      <c r="M13" s="46"/>
      <c r="N13" s="47" t="s">
        <v>177</v>
      </c>
      <c r="O13" s="74" t="s">
        <v>233</v>
      </c>
      <c r="P13" s="48" t="s">
        <v>583</v>
      </c>
      <c r="Q13" s="73">
        <v>2</v>
      </c>
      <c r="R13" s="49" t="s">
        <v>177</v>
      </c>
      <c r="S13" s="50">
        <v>0</v>
      </c>
      <c r="T13" s="51" t="s">
        <v>165</v>
      </c>
      <c r="U13" s="52" t="s">
        <v>164</v>
      </c>
      <c r="V13" s="52" t="s">
        <v>165</v>
      </c>
      <c r="W13" s="52" t="s">
        <v>165</v>
      </c>
      <c r="X13" s="52" t="s">
        <v>164</v>
      </c>
      <c r="Y13" s="52" t="s">
        <v>164</v>
      </c>
      <c r="Z13" s="52" t="s">
        <v>165</v>
      </c>
      <c r="AA13" s="52" t="s">
        <v>164</v>
      </c>
      <c r="AB13" s="52" t="s">
        <v>165</v>
      </c>
      <c r="AC13" s="52" t="s">
        <v>164</v>
      </c>
      <c r="AD13" s="52" t="s">
        <v>164</v>
      </c>
      <c r="AE13" s="52" t="s">
        <v>164</v>
      </c>
      <c r="AF13" s="53" t="s">
        <v>164</v>
      </c>
      <c r="AG13" s="53" t="s">
        <v>164</v>
      </c>
      <c r="AH13" s="53" t="s">
        <v>165</v>
      </c>
      <c r="AI13" s="53" t="s">
        <v>164</v>
      </c>
      <c r="AJ13" s="53" t="s">
        <v>164</v>
      </c>
      <c r="AK13" s="53" t="s">
        <v>164</v>
      </c>
      <c r="AL13" s="53" t="s">
        <v>164</v>
      </c>
      <c r="AM13" s="53" t="s">
        <v>165</v>
      </c>
      <c r="AN13" s="53" t="s">
        <v>164</v>
      </c>
      <c r="AO13" s="53" t="s">
        <v>165</v>
      </c>
      <c r="AP13" s="53" t="s">
        <v>165</v>
      </c>
      <c r="AQ13" s="53" t="s">
        <v>165</v>
      </c>
      <c r="AR13" s="53" t="s">
        <v>164</v>
      </c>
      <c r="AS13" s="53" t="s">
        <v>164</v>
      </c>
      <c r="AT13" s="54">
        <v>7</v>
      </c>
      <c r="AU13" s="53" t="s">
        <v>309</v>
      </c>
      <c r="AV13" s="53" t="str">
        <f t="shared" si="1"/>
        <v>[CHL]Region[CHL] Valparaíso Region</v>
      </c>
      <c r="AW13" s="53" t="str">
        <f t="shared" si="2"/>
        <v>2[CHL] Valparaíso Region</v>
      </c>
      <c r="AX13" s="55"/>
      <c r="AY13" s="55"/>
      <c r="AZ13" s="56" t="s">
        <v>152</v>
      </c>
      <c r="BA13" s="56" t="s">
        <v>234</v>
      </c>
      <c r="BB13" s="56"/>
      <c r="BC13" s="57"/>
      <c r="BD13" s="58" t="s">
        <v>152</v>
      </c>
      <c r="BE13" s="59"/>
      <c r="BF13" s="58" t="s">
        <v>234</v>
      </c>
      <c r="BG13" s="58" t="s">
        <v>234</v>
      </c>
      <c r="BH13" s="58" t="s">
        <v>234</v>
      </c>
      <c r="BI13" s="58"/>
      <c r="BJ13" s="58"/>
      <c r="BK13" s="59"/>
      <c r="BL13" s="58" t="s">
        <v>151</v>
      </c>
      <c r="BM13" s="58" t="s">
        <v>152</v>
      </c>
      <c r="BN13" s="58" t="s">
        <v>153</v>
      </c>
      <c r="BO13" s="58" t="s">
        <v>154</v>
      </c>
      <c r="BP13" s="58" t="s">
        <v>155</v>
      </c>
      <c r="BQ13" s="58" t="s">
        <v>234</v>
      </c>
      <c r="BR13" s="58" t="s">
        <v>157</v>
      </c>
      <c r="BS13" s="58" t="s">
        <v>234</v>
      </c>
      <c r="BT13" s="58" t="s">
        <v>159</v>
      </c>
      <c r="BU13" s="60"/>
      <c r="BV13" s="61"/>
      <c r="BW13" s="61">
        <v>0</v>
      </c>
      <c r="BX13" s="59"/>
      <c r="BY13" s="44" t="s">
        <v>164</v>
      </c>
      <c r="CB13" s="5"/>
      <c r="CC13" s="5"/>
      <c r="CD13" s="62">
        <v>0</v>
      </c>
      <c r="CE13" s="62">
        <v>0</v>
      </c>
      <c r="CF13" s="62" t="e">
        <v>#REF!</v>
      </c>
      <c r="CG13" s="75" cm="1">
        <f t="array" ref="CG13">SUMPRODUCT(--(LEN(TRIM(BL13:BT13))&gt;0))</f>
        <v>7</v>
      </c>
      <c r="CH13" s="53" t="str">
        <f t="shared" si="3"/>
        <v>n</v>
      </c>
      <c r="CI13" s="53" t="str">
        <f t="shared" si="4"/>
        <v>n</v>
      </c>
      <c r="CJ13" s="53" t="str">
        <f t="shared" si="5"/>
        <v>n</v>
      </c>
      <c r="CK13" s="53" t="str">
        <f t="shared" si="6"/>
        <v>y</v>
      </c>
      <c r="CL13" s="53" t="str">
        <f t="shared" si="7"/>
        <v>y</v>
      </c>
      <c r="CM13" s="53" t="str">
        <f t="shared" si="8"/>
        <v>n</v>
      </c>
      <c r="CN13" s="53" t="str">
        <f t="shared" si="9"/>
        <v>n</v>
      </c>
      <c r="CO13" s="53" t="str">
        <f t="shared" si="10"/>
        <v>n</v>
      </c>
      <c r="CP13" s="53" t="str">
        <f t="shared" si="11"/>
        <v>n</v>
      </c>
      <c r="CQ13" s="53" t="str">
        <f t="shared" si="12"/>
        <v>n</v>
      </c>
      <c r="CR13" s="53" t="str">
        <f t="shared" si="13"/>
        <v>n</v>
      </c>
      <c r="CS13" s="53" t="str">
        <f t="shared" si="14"/>
        <v>y</v>
      </c>
      <c r="CT13" s="38" t="str">
        <f t="shared" si="15"/>
        <v>"[CHL] Valparaíso Region"</v>
      </c>
      <c r="CU13" s="63" t="str">
        <f t="shared" si="16"/>
        <v>"rgn_South America"</v>
      </c>
      <c r="CV13" s="44" t="str">
        <f t="shared" si="17"/>
        <v>"https://www.crwflags.com/fotw/images/c/cl-05.gif"</v>
      </c>
      <c r="CW13" s="44" t="str">
        <f t="shared" si="18"/>
        <v/>
      </c>
      <c r="CX13" s="44" t="str">
        <f t="shared" si="19"/>
        <v/>
      </c>
      <c r="CY13" s="44" t="str">
        <f t="shared" si="20"/>
        <v/>
      </c>
      <c r="CZ13" s="44" t="str">
        <f t="shared" si="21"/>
        <v>"5+Colo",</v>
      </c>
      <c r="DA13" s="44" t="str">
        <f t="shared" si="22"/>
        <v>"words2",</v>
      </c>
      <c r="DB13" s="44" t="str">
        <f t="shared" si="23"/>
        <v/>
      </c>
      <c r="DD13" s="44" t="str">
        <f t="shared" si="137"/>
        <v>"lets16",</v>
      </c>
      <c r="DE13" s="44" t="str">
        <f t="shared" si="138"/>
        <v>"startV",</v>
      </c>
      <c r="DF13" s="44" t="str">
        <f t="shared" si="24"/>
        <v/>
      </c>
      <c r="DG13" s="44" t="str">
        <f t="shared" si="25"/>
        <v/>
      </c>
      <c r="DH13" s="44" t="str">
        <f t="shared" si="26"/>
        <v>"with_v",</v>
      </c>
      <c r="DI13" s="44" t="str">
        <f t="shared" si="27"/>
        <v/>
      </c>
      <c r="DJ13" s="44" t="str">
        <f t="shared" si="28"/>
        <v/>
      </c>
      <c r="DK13" s="44" t="str">
        <f t="shared" si="29"/>
        <v/>
      </c>
      <c r="DL13" s="44" t="str">
        <f t="shared" si="30"/>
        <v/>
      </c>
      <c r="DM13" s="44" t="str" cm="1">
        <f t="array" ref="DM13">IF(CG13=3,CHAR(34) &amp; _xlfn.TEXTJOIN("", TRUE, RIGHT(HP13:HX13, 2)) &amp; CHAR(34) &amp; ",", "")</f>
        <v/>
      </c>
      <c r="DN13" s="44" t="str">
        <f t="shared" si="31"/>
        <v/>
      </c>
      <c r="DO13" s="44" t="str">
        <f t="shared" si="32"/>
        <v/>
      </c>
      <c r="DP13" s="5" t="str">
        <f t="shared" si="33"/>
        <v/>
      </c>
      <c r="DQ13" s="5" t="str">
        <f t="shared" si="34"/>
        <v/>
      </c>
      <c r="DR13" s="5" t="str">
        <f t="shared" si="35"/>
        <v/>
      </c>
      <c r="DS13" s="5" t="str">
        <f t="shared" si="36"/>
        <v/>
      </c>
      <c r="DT13" s="5" t="str">
        <f t="shared" si="37"/>
        <v/>
      </c>
      <c r="DU13" s="5" t="str">
        <f t="shared" si="38"/>
        <v/>
      </c>
      <c r="DW13" s="44" t="str">
        <f t="shared" si="39"/>
        <v>"NoBand",</v>
      </c>
      <c r="DX13" s="44" t="str">
        <f t="shared" si="40"/>
        <v/>
      </c>
      <c r="DY13" s="44" t="str">
        <f t="shared" si="41"/>
        <v/>
      </c>
      <c r="DZ13" s="44" t="str">
        <f t="shared" si="42"/>
        <v/>
      </c>
      <c r="EA13" s="44" t="str">
        <f t="shared" si="43"/>
        <v>"Diagon",</v>
      </c>
      <c r="EB13" s="44" t="str">
        <f t="shared" si="44"/>
        <v/>
      </c>
      <c r="EC13" s="44" t="str">
        <f t="shared" si="45"/>
        <v>"Horizo",</v>
      </c>
      <c r="ED13" s="44" t="str">
        <f t="shared" si="46"/>
        <v>"Vertic",</v>
      </c>
      <c r="EE13" s="44" t="str">
        <f t="shared" si="47"/>
        <v/>
      </c>
      <c r="EF13" s="44" t="str">
        <f t="shared" si="48"/>
        <v/>
      </c>
      <c r="EG13" s="44" t="str">
        <f t="shared" si="49"/>
        <v>"Bird",</v>
      </c>
      <c r="EH13" s="44" t="str">
        <f t="shared" si="50"/>
        <v/>
      </c>
      <c r="EI13" s="44" t="str">
        <f t="shared" si="51"/>
        <v>"Texted",</v>
      </c>
      <c r="EJ13" s="44" t="str">
        <f t="shared" si="52"/>
        <v/>
      </c>
      <c r="EK13" s="44" t="str">
        <f t="shared" si="53"/>
        <v/>
      </c>
      <c r="EL13" s="44" t="str">
        <f t="shared" si="54"/>
        <v/>
      </c>
      <c r="EM13" s="44" t="str">
        <f t="shared" si="55"/>
        <v/>
      </c>
      <c r="EN13" s="44" t="str">
        <f t="shared" si="56"/>
        <v/>
      </c>
      <c r="EO13" s="44" t="str">
        <f t="shared" si="57"/>
        <v>"Center",</v>
      </c>
      <c r="EP13" s="44" t="str">
        <f t="shared" si="58"/>
        <v/>
      </c>
      <c r="EQ13" s="44" t="str">
        <f t="shared" si="59"/>
        <v/>
      </c>
      <c r="ER13" s="44" t="str">
        <f t="shared" si="60"/>
        <v/>
      </c>
      <c r="ES13" s="44" t="str">
        <f t="shared" si="61"/>
        <v/>
      </c>
      <c r="ET13" s="44" t="str">
        <f t="shared" si="62"/>
        <v>"Geogrh",</v>
      </c>
      <c r="EU13" s="44" t="str">
        <f t="shared" si="63"/>
        <v/>
      </c>
      <c r="EV13" s="44" t="str">
        <f t="shared" si="64"/>
        <v>"Builds",</v>
      </c>
      <c r="EW13" s="44" t="str">
        <f t="shared" si="65"/>
        <v>"Ships!",</v>
      </c>
      <c r="EX13" s="44" t="str">
        <f t="shared" si="66"/>
        <v>"Crowns",</v>
      </c>
      <c r="EY13" s="44" t="str">
        <f t="shared" si="67"/>
        <v/>
      </c>
      <c r="EZ13" s="44" t="str">
        <f t="shared" si="68"/>
        <v/>
      </c>
      <c r="FA13" s="44" t="str">
        <f t="shared" si="69"/>
        <v>"staBLU",</v>
      </c>
      <c r="FB13" s="44" t="str">
        <f t="shared" si="70"/>
        <v/>
      </c>
      <c r="FD13" s="44" t="str">
        <f t="shared" si="71"/>
        <v/>
      </c>
      <c r="FE13" s="44" t="str">
        <f t="shared" si="72"/>
        <v/>
      </c>
      <c r="FF13" s="44" t="str">
        <f t="shared" si="73"/>
        <v/>
      </c>
      <c r="FG13" s="44" t="str">
        <f t="shared" si="74"/>
        <v/>
      </c>
      <c r="FH13" s="44" t="str">
        <f t="shared" si="75"/>
        <v/>
      </c>
      <c r="FI13" s="44" t="str">
        <f t="shared" si="76"/>
        <v/>
      </c>
      <c r="FJ13" s="44" t="str">
        <f t="shared" si="77"/>
        <v/>
      </c>
      <c r="FK13" s="44" t="str">
        <f t="shared" si="78"/>
        <v/>
      </c>
      <c r="FL13" s="44" t="str">
        <f t="shared" si="79"/>
        <v/>
      </c>
      <c r="FM13" s="44" t="str">
        <f t="shared" si="80"/>
        <v/>
      </c>
      <c r="FN13" s="44" t="str">
        <f t="shared" si="81"/>
        <v/>
      </c>
      <c r="FO13" s="44" t="str">
        <f t="shared" si="82"/>
        <v/>
      </c>
      <c r="FP13" s="44" t="str">
        <f t="shared" si="83"/>
        <v/>
      </c>
      <c r="FQ13" s="44" t="str">
        <f t="shared" si="84"/>
        <v/>
      </c>
      <c r="FR13" s="44" t="str">
        <f t="shared" si="85"/>
        <v/>
      </c>
      <c r="FS13" s="44" t="str">
        <f t="shared" si="86"/>
        <v/>
      </c>
      <c r="FT13" s="44" t="str">
        <f t="shared" si="87"/>
        <v>"myrBLU",</v>
      </c>
      <c r="FU13" s="44" t="str">
        <f t="shared" si="88"/>
        <v/>
      </c>
      <c r="FV13" s="44" t="str">
        <f t="shared" si="89"/>
        <v/>
      </c>
      <c r="FW13" s="44" t="str">
        <f t="shared" si="90"/>
        <v/>
      </c>
      <c r="FY13" s="44" t="str">
        <f t="shared" si="91"/>
        <v/>
      </c>
      <c r="FZ13" s="44" t="str">
        <f t="shared" si="92"/>
        <v/>
      </c>
      <c r="GA13" s="44" t="str">
        <f t="shared" si="93"/>
        <v/>
      </c>
      <c r="GB13" s="44" t="str">
        <f t="shared" si="94"/>
        <v/>
      </c>
      <c r="GE13" s="44" t="str">
        <f t="shared" si="95"/>
        <v/>
      </c>
      <c r="GF13" s="44" t="str">
        <f t="shared" si="136"/>
        <v/>
      </c>
      <c r="GG13" s="44" t="str">
        <f t="shared" si="96"/>
        <v/>
      </c>
      <c r="GH13" s="44" t="str">
        <f t="shared" si="97"/>
        <v/>
      </c>
      <c r="GI13" s="44" t="str">
        <f t="shared" si="98"/>
        <v/>
      </c>
      <c r="GJ13" s="44" t="str">
        <f t="shared" si="99"/>
        <v/>
      </c>
      <c r="GK13" s="44" t="str">
        <f t="shared" si="100"/>
        <v>"HasSta",</v>
      </c>
      <c r="GL13" s="44" t="str">
        <f t="shared" si="101"/>
        <v/>
      </c>
      <c r="GM13" s="44" t="str">
        <f t="shared" si="102"/>
        <v/>
      </c>
      <c r="GN13" s="44" t="str">
        <f t="shared" si="103"/>
        <v>"3+Star",</v>
      </c>
      <c r="GP13" s="44" t="str">
        <f t="shared" si="104"/>
        <v>"Region"</v>
      </c>
      <c r="GS13" s="44" t="str">
        <f t="shared" si="105"/>
        <v>["5+Colo","words2","lets16","startV","with_v","NoBand","Diagon","Horizo","Vertic","Bird","Texted","Center","Geogrh","Builds","Ships!","Crowns","staBLU","myrBLU","HasSta","3+Star"]</v>
      </c>
      <c r="GT13" s="44" t="str">
        <f t="shared" si="106"/>
        <v>"cl_BLA",</v>
      </c>
      <c r="GU13" s="44" t="str">
        <f t="shared" si="107"/>
        <v>"cl_BLU",</v>
      </c>
      <c r="GV13" s="44" t="str">
        <f t="shared" si="108"/>
        <v>"cl_GRE",</v>
      </c>
      <c r="GW13" s="44" t="str">
        <f t="shared" si="109"/>
        <v>"cl_RED",</v>
      </c>
      <c r="GX13" s="44" t="str">
        <f t="shared" si="110"/>
        <v>"cl_YEL",</v>
      </c>
      <c r="GY13" s="44" t="str">
        <f t="shared" si="111"/>
        <v/>
      </c>
      <c r="GZ13" s="44" t="str">
        <f t="shared" si="112"/>
        <v>"cl_BRO",</v>
      </c>
      <c r="HA13" s="44" t="str">
        <f t="shared" si="113"/>
        <v/>
      </c>
      <c r="HB13" s="44" t="str">
        <f t="shared" si="114"/>
        <v>"cl_WHI",</v>
      </c>
      <c r="HC13" s="44" t="str">
        <f t="shared" si="115"/>
        <v>["cl_BLA","cl_BLU","cl_GRE","cl_RED","cl_YEL","cl_BRO","cl_WHI"]</v>
      </c>
      <c r="HE13" s="64"/>
      <c r="HF13" s="65" t="str">
        <f t="shared" si="116"/>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links: "https://www.crwflags.com/fotw/flags/cl-05.html"},</v>
      </c>
      <c r="HG13" s="66" t="str">
        <f t="shared" si="117"/>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links: "https://www.crwflags.com/fotw/flags/cl-05.html"},</v>
      </c>
      <c r="HH13" s="44" t="str">
        <f t="shared" si="118"/>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I13" s="44" t="str">
        <f t="shared" si="119"/>
        <v>"\nThe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v>
      </c>
      <c r="HJ13" s="44" t="str">
        <f t="shared" si="120"/>
        <v>"???"</v>
      </c>
      <c r="HL13" s="44" t="str">
        <f t="shared" si="121"/>
        <v>"https://www.crwflags.com/fotw/flags/cl-05.html"</v>
      </c>
      <c r="HM13" s="65" t="str">
        <f t="shared" si="122"/>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N13" s="67" t="str">
        <f t="shared" si="123"/>
        <v>{"couname":"[CHL] Valparaíso Region","year":"???","region":"rgn_South America","Colors":["cl_BLA","cl_BLU","cl_GRE","cl_RED","cl_YEL","cl_BRO","cl_WHI"],"Items":["5+Colo","words2","lets16","startV","with_v","NoBand","Diagon","Horizo","Vertic","Bird","Texted","Center","Geogrh","Builds","Ships!","Crowns","staBLU","myrBLU","HasSta","3+Star"],"Flag":"https://www.crwflags.com/fotw/images/c/cl-05.gif","HDFlag":"https://www.crwflags.com/fotw/images/c/cl-05.gif","type":"Region", "describe": "\nThe 2008 photo of all regional flags in an official setting [http://commons.wikimedia.org/wiki/File:Regional_flags_of_Chile_in_the_National_Congress.jpg] shows instead for this region a dark grey flag (the same color as the flag of Santiago Metropolitan Region) with the same heraldic emblem along with some text in golden serifed bold capitals; from the visible portions ('BIERNO D' above and ' ' below)conjectured it to be two arcs, above and below, reading, respectively, 'Gobierno Regional' and 'Regi n V de Valpara so.' The blue flag may be a post-2008 version but also may be a mistake.\n", "isnew": ".", "links": "https://www.crwflags.com/fotw/flags/cl-05.html"},</v>
      </c>
      <c r="HO13" s="71">
        <v>45618</v>
      </c>
      <c r="HP13" s="44" t="str" cm="1">
        <f t="array" ref="HP13">IF(_xlfn.TEXTJOIN(", ", TRUE, IF(ISNUMBER(SEARCH("BLA", BL13:BT13)), COLUMN(BL13:BT13) - COLUMN(BL13) + 1, ""))&lt;&gt;"","BLA","")</f>
        <v>BLA</v>
      </c>
      <c r="HQ13" s="44" t="str" cm="1">
        <f t="array" ref="HQ13">IF(_xlfn.TEXTJOIN(", ", TRUE, IF(ISNUMBER(SEARCH("BLU", BL13:BT13)), COLUMN(BL13:BT13) - COLUMN(BL13) + 1, ""))&lt;&gt;"","BLU","")</f>
        <v>BLU</v>
      </c>
      <c r="HR13" s="44" t="str" cm="1">
        <f t="array" ref="HR13">IF(_xlfn.TEXTJOIN(", ", TRUE, IF(ISNUMBER(SEARCH("GRE", BL13:BT13)), COLUMN(BL13:BT13) - COLUMN(BL13) + 1, ""))&lt;&gt;"","GRE","")</f>
        <v>GRE</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BRO</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M13" s="42">
        <f t="shared" si="124"/>
        <v>-7</v>
      </c>
      <c r="IN13" s="69" t="str">
        <f t="shared" si="125"/>
        <v>http://mkweb.bcgsc.ca/color-summarizer/?url=https://www.crwflags.com/fotw/images/c/cl-05.gif&amp;precision=low&amp;num_clusters=7&amp;text=1</v>
      </c>
      <c r="IO13" s="44" t="str">
        <f t="shared" si="126"/>
        <v>"black"</v>
      </c>
      <c r="IP13" s="44" t="str">
        <f t="shared" si="127"/>
        <v>"blue"</v>
      </c>
      <c r="IQ13" s="44" t="str">
        <f t="shared" si="128"/>
        <v>"green"</v>
      </c>
      <c r="IR13" s="44" t="str">
        <f t="shared" si="129"/>
        <v>"red"</v>
      </c>
      <c r="IS13" s="44" t="str">
        <f t="shared" si="130"/>
        <v>"yellow"</v>
      </c>
      <c r="IT13" s="44" t="str">
        <f t="shared" si="131"/>
        <v/>
      </c>
      <c r="IU13" s="44" t="str">
        <f t="shared" si="132"/>
        <v>"brown"</v>
      </c>
      <c r="IV13" s="44" t="str">
        <f t="shared" si="133"/>
        <v/>
      </c>
      <c r="IW13" s="44" t="str">
        <f t="shared" si="134"/>
        <v>"white"</v>
      </c>
      <c r="IX13" s="44" t="str">
        <f t="shared" si="135"/>
        <v>{"url":"http://mkweb.bcgsc.ca/color-summarizer/?url=https://www.crwflags.com/fotw/images/c/cl-05.gif&amp;precision=low&amp;num_clusters=7&amp;text=1","name":"[CHL] Valparaíso Region"},</v>
      </c>
      <c r="IY13" s="44">
        <v>967</v>
      </c>
    </row>
    <row r="14" spans="1:259" s="44" customFormat="1" ht="38.4" customHeight="1" thickBot="1" x14ac:dyDescent="0.35">
      <c r="A14" s="85" t="s">
        <v>552</v>
      </c>
      <c r="B14" s="83" t="e" vm="68">
        <v>#VALUE!</v>
      </c>
      <c r="C14" s="39">
        <v>3</v>
      </c>
      <c r="D14" s="70" t="s">
        <v>553</v>
      </c>
      <c r="E14" s="40" t="s">
        <v>553</v>
      </c>
      <c r="F14" s="41" t="s">
        <v>163</v>
      </c>
      <c r="G14" s="42">
        <f t="shared" si="0"/>
        <v>1</v>
      </c>
      <c r="H14" s="43" t="s">
        <v>1758</v>
      </c>
      <c r="I14" s="59" t="s">
        <v>554</v>
      </c>
      <c r="J14" s="44" t="str">
        <f>""</f>
        <v/>
      </c>
      <c r="K14" s="45"/>
      <c r="L14" s="46"/>
      <c r="M14" s="46"/>
      <c r="N14" s="47" t="s">
        <v>177</v>
      </c>
      <c r="O14" s="74">
        <v>1812</v>
      </c>
      <c r="P14" s="48" t="s">
        <v>555</v>
      </c>
      <c r="Q14" s="73">
        <v>2</v>
      </c>
      <c r="R14" s="49" t="s">
        <v>177</v>
      </c>
      <c r="S14" s="50">
        <v>3</v>
      </c>
      <c r="T14" s="51" t="s">
        <v>164</v>
      </c>
      <c r="U14" s="52" t="s">
        <v>164</v>
      </c>
      <c r="V14" s="52" t="s">
        <v>165</v>
      </c>
      <c r="W14" s="52" t="s">
        <v>164</v>
      </c>
      <c r="X14" s="52" t="s">
        <v>164</v>
      </c>
      <c r="Y14" s="52" t="s">
        <v>164</v>
      </c>
      <c r="Z14" s="52" t="s">
        <v>164</v>
      </c>
      <c r="AA14" s="52" t="s">
        <v>164</v>
      </c>
      <c r="AB14" s="52" t="s">
        <v>164</v>
      </c>
      <c r="AC14" s="52" t="s">
        <v>164</v>
      </c>
      <c r="AD14" s="52" t="s">
        <v>164</v>
      </c>
      <c r="AE14" s="52" t="s">
        <v>164</v>
      </c>
      <c r="AF14" s="53" t="s">
        <v>164</v>
      </c>
      <c r="AG14" s="53" t="s">
        <v>165</v>
      </c>
      <c r="AH14" s="53" t="s">
        <v>164</v>
      </c>
      <c r="AI14" s="53" t="s">
        <v>164</v>
      </c>
      <c r="AJ14" s="53" t="s">
        <v>164</v>
      </c>
      <c r="AK14" s="53" t="s">
        <v>165</v>
      </c>
      <c r="AL14" s="53" t="s">
        <v>164</v>
      </c>
      <c r="AM14" s="53" t="s">
        <v>164</v>
      </c>
      <c r="AN14" s="53" t="s">
        <v>164</v>
      </c>
      <c r="AO14" s="53" t="s">
        <v>164</v>
      </c>
      <c r="AP14" s="53" t="s">
        <v>164</v>
      </c>
      <c r="AQ14" s="53" t="s">
        <v>164</v>
      </c>
      <c r="AR14" s="53" t="s">
        <v>164</v>
      </c>
      <c r="AS14" s="53" t="s">
        <v>164</v>
      </c>
      <c r="AT14" s="54">
        <v>0</v>
      </c>
      <c r="AU14" s="53" t="s">
        <v>275</v>
      </c>
      <c r="AV14" s="53" t="str">
        <f t="shared" si="1"/>
        <v>[CHL]Historical[CHL] Chile (1812-1814)</v>
      </c>
      <c r="AW14" s="53" t="str">
        <f t="shared" si="2"/>
        <v>3[CHL] Chile (1812-1814)</v>
      </c>
      <c r="AX14" s="55"/>
      <c r="AY14" s="55"/>
      <c r="AZ14" s="56" t="s">
        <v>234</v>
      </c>
      <c r="BA14" s="56" t="s">
        <v>234</v>
      </c>
      <c r="BB14" s="56"/>
      <c r="BC14" s="57"/>
      <c r="BD14" s="58" t="s">
        <v>167</v>
      </c>
      <c r="BE14" s="59"/>
      <c r="BF14" s="58" t="s">
        <v>152</v>
      </c>
      <c r="BG14" s="58" t="s">
        <v>159</v>
      </c>
      <c r="BH14" s="58" t="s">
        <v>155</v>
      </c>
      <c r="BI14" s="58"/>
      <c r="BJ14" s="58"/>
      <c r="BK14" s="59"/>
      <c r="BL14" s="58" t="s">
        <v>234</v>
      </c>
      <c r="BM14" s="58" t="s">
        <v>152</v>
      </c>
      <c r="BN14" s="58" t="s">
        <v>234</v>
      </c>
      <c r="BO14" s="58" t="s">
        <v>234</v>
      </c>
      <c r="BP14" s="58" t="s">
        <v>155</v>
      </c>
      <c r="BQ14" s="58" t="s">
        <v>234</v>
      </c>
      <c r="BR14" s="58" t="s">
        <v>234</v>
      </c>
      <c r="BS14" s="58" t="s">
        <v>234</v>
      </c>
      <c r="BT14" s="58" t="s">
        <v>159</v>
      </c>
      <c r="BU14" s="60"/>
      <c r="BV14" s="61"/>
      <c r="BW14" s="61">
        <v>0</v>
      </c>
      <c r="BX14" s="59"/>
      <c r="CB14" s="5"/>
      <c r="CC14" s="5"/>
      <c r="CD14" s="62">
        <v>0</v>
      </c>
      <c r="CE14" s="62">
        <v>0</v>
      </c>
      <c r="CF14" s="62" t="e">
        <v>#REF!</v>
      </c>
      <c r="CG14" s="75" cm="1">
        <f t="array" ref="CG14">SUMPRODUCT(--(LEN(TRIM(BL14:BT14))&gt;0))</f>
        <v>3</v>
      </c>
      <c r="CH14" s="53" t="str">
        <f t="shared" si="3"/>
        <v>n</v>
      </c>
      <c r="CI14" s="53" t="str">
        <f t="shared" si="4"/>
        <v>y</v>
      </c>
      <c r="CJ14" s="53" t="str">
        <f t="shared" si="5"/>
        <v>n</v>
      </c>
      <c r="CK14" s="53" t="str">
        <f t="shared" si="6"/>
        <v>n</v>
      </c>
      <c r="CL14" s="53" t="str">
        <f t="shared" si="7"/>
        <v>n</v>
      </c>
      <c r="CM14" s="53" t="str">
        <f t="shared" si="8"/>
        <v>n</v>
      </c>
      <c r="CN14" s="53" t="str">
        <f t="shared" si="9"/>
        <v>y</v>
      </c>
      <c r="CO14" s="53" t="str">
        <f t="shared" si="10"/>
        <v>n</v>
      </c>
      <c r="CP14" s="53" t="str">
        <f t="shared" si="11"/>
        <v>y</v>
      </c>
      <c r="CQ14" s="53" t="str">
        <f t="shared" si="12"/>
        <v>n</v>
      </c>
      <c r="CR14" s="53" t="str">
        <f t="shared" si="13"/>
        <v>n</v>
      </c>
      <c r="CS14" s="53" t="str">
        <f t="shared" si="14"/>
        <v>n</v>
      </c>
      <c r="CT14" s="38" t="str">
        <f t="shared" si="15"/>
        <v>"[CHL] Chile (1812-1814)"</v>
      </c>
      <c r="CU14" s="63" t="str">
        <f t="shared" si="16"/>
        <v>"rgn_South America"</v>
      </c>
      <c r="CV14" s="44" t="str">
        <f t="shared" si="17"/>
        <v>"https://upload.wikimedia.org/wikipedia/commons/thumb/3/35/Flag_of_Chile_%281812-1814%29.svg/1024px-Flag_of_Chile_%281812-1814%29.svg.png"</v>
      </c>
      <c r="CW14" s="44" t="str">
        <f t="shared" si="18"/>
        <v/>
      </c>
      <c r="CX14" s="44" t="str">
        <f t="shared" si="19"/>
        <v>"3Color",</v>
      </c>
      <c r="CY14" s="44" t="str">
        <f t="shared" si="20"/>
        <v/>
      </c>
      <c r="CZ14" s="44" t="str">
        <f t="shared" si="21"/>
        <v/>
      </c>
      <c r="DA14" s="44" t="str">
        <f t="shared" si="22"/>
        <v>"words2",</v>
      </c>
      <c r="DB14" s="44" t="str">
        <f t="shared" si="23"/>
        <v/>
      </c>
      <c r="DD14" s="44" t="str">
        <f t="shared" si="137"/>
        <v>"lets15",</v>
      </c>
      <c r="DE14" s="44" t="str">
        <f t="shared" si="138"/>
        <v>"startC",</v>
      </c>
      <c r="DF14" s="44" t="str">
        <f t="shared" si="24"/>
        <v/>
      </c>
      <c r="DG14" s="44" t="str">
        <f t="shared" si="25"/>
        <v/>
      </c>
      <c r="DH14" s="44" t="str">
        <f t="shared" si="26"/>
        <v/>
      </c>
      <c r="DI14" s="44" t="str">
        <f t="shared" si="27"/>
        <v/>
      </c>
      <c r="DJ14" s="44" t="str">
        <f t="shared" si="28"/>
        <v/>
      </c>
      <c r="DK14" s="44" t="str">
        <f t="shared" si="29"/>
        <v/>
      </c>
      <c r="DL14" s="44" t="str">
        <f t="shared" si="30"/>
        <v/>
      </c>
      <c r="DM14" s="44" t="str" cm="1">
        <f t="array" ref="DM14">IF(CG14=3,CHAR(34) &amp; _xlfn.TEXTJOIN("", TRUE, RIGHT(HP14:HX14, 2)) &amp; CHAR(34) &amp; ",", "")</f>
        <v>"LUELHI",</v>
      </c>
      <c r="DN14" s="44" t="str">
        <f t="shared" si="31"/>
        <v>"year18",</v>
      </c>
      <c r="DO14" s="44" t="str">
        <f t="shared" si="32"/>
        <v/>
      </c>
      <c r="DP14" s="5" t="str">
        <f t="shared" si="33"/>
        <v/>
      </c>
      <c r="DQ14" s="5" t="str">
        <f t="shared" si="34"/>
        <v/>
      </c>
      <c r="DR14" s="5" t="str">
        <f t="shared" si="35"/>
        <v/>
      </c>
      <c r="DS14" s="5" t="str">
        <f t="shared" si="36"/>
        <v/>
      </c>
      <c r="DT14" s="5" t="str">
        <f t="shared" si="37"/>
        <v>"allhor",</v>
      </c>
      <c r="DU14" s="5" t="str">
        <f t="shared" si="38"/>
        <v/>
      </c>
      <c r="DW14" s="44" t="str">
        <f t="shared" si="39"/>
        <v/>
      </c>
      <c r="DX14" s="44" t="str">
        <f t="shared" si="40"/>
        <v/>
      </c>
      <c r="DY14" s="44" t="str">
        <f t="shared" si="41"/>
        <v>"3Bands",</v>
      </c>
      <c r="DZ14" s="44" t="str">
        <f t="shared" si="42"/>
        <v/>
      </c>
      <c r="EA14" s="44" t="str">
        <f t="shared" si="43"/>
        <v/>
      </c>
      <c r="EB14" s="44" t="str">
        <f t="shared" si="44"/>
        <v/>
      </c>
      <c r="EC14" s="44" t="str">
        <f t="shared" si="45"/>
        <v>"Horizo",</v>
      </c>
      <c r="ED14" s="44" t="str">
        <f t="shared" si="46"/>
        <v/>
      </c>
      <c r="EE14" s="44" t="str">
        <f t="shared" si="47"/>
        <v/>
      </c>
      <c r="EF14" s="44" t="str">
        <f t="shared" si="48"/>
        <v/>
      </c>
      <c r="EG14" s="44" t="str">
        <f t="shared" si="49"/>
        <v/>
      </c>
      <c r="EH14" s="44" t="str">
        <f t="shared" si="50"/>
        <v/>
      </c>
      <c r="EI14" s="44" t="str">
        <f t="shared" si="51"/>
        <v/>
      </c>
      <c r="EJ14" s="44" t="str">
        <f t="shared" si="52"/>
        <v/>
      </c>
      <c r="EK14" s="44" t="str">
        <f t="shared" si="53"/>
        <v/>
      </c>
      <c r="EL14" s="44" t="str">
        <f t="shared" si="54"/>
        <v/>
      </c>
      <c r="EM14" s="44" t="str">
        <f t="shared" si="55"/>
        <v/>
      </c>
      <c r="EN14" s="44" t="str">
        <f t="shared" si="56"/>
        <v>"Unequa",</v>
      </c>
      <c r="EO14" s="44" t="str">
        <f t="shared" si="57"/>
        <v/>
      </c>
      <c r="EP14" s="44" t="str">
        <f t="shared" si="58"/>
        <v/>
      </c>
      <c r="EQ14" s="44" t="str">
        <f t="shared" si="59"/>
        <v/>
      </c>
      <c r="ER14" s="44" t="str">
        <f t="shared" si="60"/>
        <v>"OnlyBa",</v>
      </c>
      <c r="ES14" s="44" t="str">
        <f t="shared" si="61"/>
        <v/>
      </c>
      <c r="ET14" s="44" t="str">
        <f t="shared" si="62"/>
        <v/>
      </c>
      <c r="EU14" s="44" t="str">
        <f t="shared" si="63"/>
        <v/>
      </c>
      <c r="EV14" s="44" t="str">
        <f t="shared" si="64"/>
        <v/>
      </c>
      <c r="EW14" s="44" t="str">
        <f t="shared" si="65"/>
        <v/>
      </c>
      <c r="EX14" s="44" t="str">
        <f t="shared" si="66"/>
        <v/>
      </c>
      <c r="EY14" s="44" t="str">
        <f t="shared" si="67"/>
        <v/>
      </c>
      <c r="EZ14" s="44" t="str">
        <f t="shared" si="68"/>
        <v/>
      </c>
      <c r="FA14" s="44" t="str">
        <f t="shared" si="69"/>
        <v/>
      </c>
      <c r="FB14" s="44" t="str">
        <f t="shared" si="70"/>
        <v/>
      </c>
      <c r="FD14" s="44" t="str">
        <f t="shared" si="71"/>
        <v/>
      </c>
      <c r="FE14" s="44" t="str">
        <f t="shared" si="72"/>
        <v/>
      </c>
      <c r="FF14" s="44" t="str">
        <f t="shared" si="73"/>
        <v/>
      </c>
      <c r="FG14" s="44" t="str">
        <f t="shared" si="74"/>
        <v>"NO_RED",</v>
      </c>
      <c r="FH14" s="44" t="str">
        <f t="shared" si="75"/>
        <v>"NO_GRE",</v>
      </c>
      <c r="FI14" s="44" t="str">
        <f t="shared" si="76"/>
        <v/>
      </c>
      <c r="FJ14" s="44" t="str">
        <f t="shared" si="77"/>
        <v>"NO_BLA",</v>
      </c>
      <c r="FK14" s="44" t="str">
        <f t="shared" si="78"/>
        <v/>
      </c>
      <c r="FL14" s="44" t="str">
        <f t="shared" si="79"/>
        <v/>
      </c>
      <c r="FM14" s="44" t="str">
        <f t="shared" si="80"/>
        <v/>
      </c>
      <c r="FN14" s="44" t="str">
        <f t="shared" si="81"/>
        <v/>
      </c>
      <c r="FO14" s="44" t="str">
        <f t="shared" si="82"/>
        <v/>
      </c>
      <c r="FP14" s="44" t="str">
        <f t="shared" si="83"/>
        <v/>
      </c>
      <c r="FQ14" s="44" t="str">
        <f t="shared" si="84"/>
        <v>"001BLU",</v>
      </c>
      <c r="FR14" s="44" t="str">
        <f t="shared" si="85"/>
        <v>"002WHI",</v>
      </c>
      <c r="FS14" s="44" t="str">
        <f t="shared" si="86"/>
        <v>"003YEL",</v>
      </c>
      <c r="FT14" s="44" t="str">
        <f t="shared" si="87"/>
        <v>"myrEQ",</v>
      </c>
      <c r="FU14" s="44" t="str">
        <f t="shared" si="88"/>
        <v/>
      </c>
      <c r="FV14" s="44" t="str">
        <f t="shared" si="89"/>
        <v/>
      </c>
      <c r="FW14" s="44" t="str">
        <f t="shared" si="90"/>
        <v/>
      </c>
      <c r="FY14" s="44" t="str">
        <f t="shared" si="91"/>
        <v/>
      </c>
      <c r="FZ14" s="44" t="str">
        <f t="shared" si="92"/>
        <v/>
      </c>
      <c r="GA14" s="44" t="str">
        <f t="shared" si="93"/>
        <v/>
      </c>
      <c r="GB14" s="44" t="str">
        <f t="shared" si="94"/>
        <v/>
      </c>
      <c r="GE14" s="44" t="str">
        <f t="shared" si="95"/>
        <v/>
      </c>
      <c r="GF14" s="44" t="str">
        <f t="shared" si="136"/>
        <v>"histor",</v>
      </c>
      <c r="GG14" s="44" t="str">
        <f t="shared" si="96"/>
        <v/>
      </c>
      <c r="GH14" s="44" t="str">
        <f t="shared" si="97"/>
        <v/>
      </c>
      <c r="GI14" s="44" t="str">
        <f t="shared" si="98"/>
        <v/>
      </c>
      <c r="GJ14" s="44" t="str">
        <f t="shared" si="99"/>
        <v>"NoStar",</v>
      </c>
      <c r="GK14" s="44" t="str">
        <f t="shared" si="100"/>
        <v/>
      </c>
      <c r="GL14" s="44" t="str">
        <f t="shared" si="101"/>
        <v/>
      </c>
      <c r="GM14" s="44" t="str">
        <f t="shared" si="102"/>
        <v/>
      </c>
      <c r="GN14" s="44" t="str">
        <f t="shared" si="103"/>
        <v/>
      </c>
      <c r="GP14" s="44" t="str">
        <f t="shared" si="104"/>
        <v>"Historical"</v>
      </c>
      <c r="GS14" s="44" t="str">
        <f t="shared" si="105"/>
        <v>["3Color","words2","lets15","startC","LUELHI","year18","allhor","3Bands","Horizo","Unequa","OnlyBa","NO_RED","NO_GRE","NO_BLA","001BLU","002WHI","003YEL","myrEQ","histor","NoStar"]</v>
      </c>
      <c r="GT14" s="44" t="str">
        <f t="shared" si="106"/>
        <v/>
      </c>
      <c r="GU14" s="44" t="str">
        <f t="shared" si="107"/>
        <v>"cl_BLU",</v>
      </c>
      <c r="GV14" s="44" t="str">
        <f t="shared" si="108"/>
        <v/>
      </c>
      <c r="GW14" s="44" t="str">
        <f t="shared" si="109"/>
        <v/>
      </c>
      <c r="GX14" s="44" t="str">
        <f t="shared" si="110"/>
        <v>"cl_YEL",</v>
      </c>
      <c r="GY14" s="44" t="str">
        <f t="shared" si="111"/>
        <v/>
      </c>
      <c r="GZ14" s="44" t="str">
        <f t="shared" si="112"/>
        <v/>
      </c>
      <c r="HA14" s="44" t="str">
        <f t="shared" si="113"/>
        <v/>
      </c>
      <c r="HB14" s="44" t="str">
        <f t="shared" si="114"/>
        <v>"cl_WHI",</v>
      </c>
      <c r="HC14" s="44" t="str">
        <f t="shared" si="115"/>
        <v>["cl_BLU","cl_YEL","cl_WHI"]</v>
      </c>
      <c r="HE14" s="64"/>
      <c r="HF14" s="65" t="str">
        <f t="shared" si="116"/>
        <v>{couname:"[CHL] Chile (1812-1814)",year:"1812",region:"rgn_South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links: "https://www.crwflags.com/fotw/flags/cl_hist.html"},</v>
      </c>
      <c r="HG14" s="66" t="str">
        <f t="shared" si="117"/>
        <v>{couname:"[CHL] Chile (1812-1814)",year:"1812",region:"rgn_South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links: "https://www.crwflags.com/fotw/flags/cl_hist.html"},</v>
      </c>
      <c r="HH14" s="44" t="str">
        <f t="shared" si="118"/>
        <v>"\nChile’s first national flag was a tricolor of blue, white and yellow. According to Camilo Henríquez, who is considered the founding father of the Republic of Chile, the flag “represented the three values of the State: majesty, law and force.'"</v>
      </c>
      <c r="HI14" s="44" t="str">
        <f t="shared" si="119"/>
        <v>"\nChile’s first national flag was a tricolor of blue, white and yellow. According to Camilo Henríquez, who is considered the founding father of the Republic of Chile, the flag “represented the three values of the State: majesty, law and force.'"</v>
      </c>
      <c r="HJ14" s="44" t="str">
        <f t="shared" si="120"/>
        <v>"1812"</v>
      </c>
      <c r="HL14" s="44" t="str">
        <f t="shared" si="121"/>
        <v>"https://www.crwflags.com/fotw/flags/cl_hist.html"</v>
      </c>
      <c r="HM14" s="65" t="str">
        <f t="shared" si="122"/>
        <v>{"couname":"[CHL] Chile (1812-1814)","subtype":"[CHL] Other","year":"1812","region":"rgn_South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N14" s="67" t="str">
        <f t="shared" si="123"/>
        <v>{"couname":"[CHL] Chile (1812-1814)","subtype":"[CHL] Other","year":"1812","region":"rgn_South America","Colors":["cl_BLU","cl_YEL","cl_WHI"],"Items":["3Color","words2","lets15","startC","LUELHI","year18","allhor","3Bands","Horizo","Unequa","OnlyBa","NO_RED","NO_GRE","NO_BLA","001BLU","002WHI","003YEL","myrEQ","histor","NoStar"],"Flag":"https://upload.wikimedia.org/wikipedia/commons/thumb/3/35/Flag_of_Chile_%281812-1814%29.svg/1024px-Flag_of_Chile_%281812-1814%29.svg.png","HDFlag":"https://upload.wikimedia.org/wikipedia/commons/thumb/3/35/Flag_of_Chile_%281812-1814%29.svg/1024px-Flag_of_Chile_%281812-1814%29.svg.png","type":"Historical", "describe": "\nChile’s first national flag was a tricolor of blue, white and yellow. According to Camilo Henríquez, who is considered the founding father of the Republic of Chile, the flag “represented the three values of the State: majesty, law and force.'", "isnew": ".", "links": "https://www.crwflags.com/fotw/flags/cl_hist.html"},</v>
      </c>
      <c r="HO14" s="71">
        <v>45618</v>
      </c>
      <c r="HP14" s="44" t="str" cm="1">
        <f t="array" ref="HP14">IF(_xlfn.TEXTJOIN(", ", TRUE, IF(ISNUMBER(SEARCH("BLA", BL14:BT14)), COLUMN(BL14:BT14) - COLUMN(BL14) + 1, ""))&lt;&gt;"","BLA","")</f>
        <v/>
      </c>
      <c r="HQ14" s="44" t="str" cm="1">
        <f t="array" ref="HQ14">IF(_xlfn.TEXTJOIN(", ", TRUE, IF(ISNUMBER(SEARCH("BLU", BL14:BT14)), COLUMN(BL14:BT14) - COLUMN(BL14) + 1, ""))&lt;&gt;"","BLU","")</f>
        <v>BLU</v>
      </c>
      <c r="HR14" s="44" t="str" cm="1">
        <f t="array" ref="HR14">IF(_xlfn.TEXTJOIN(", ", TRUE, IF(ISNUMBER(SEARCH("GRE", BL14:BT14)), COLUMN(BL14:BT14) - COLUMN(BL14) + 1, ""))&lt;&gt;"","GRE","")</f>
        <v/>
      </c>
      <c r="HS14" s="44" t="str" cm="1">
        <f t="array" ref="HS14">IF(_xlfn.TEXTJOIN(", ", TRUE, IF(ISNUMBER(SEARCH("RED", BL14:BT14)), COLUMN(BL14:BT14) - COLUMN(BL14) + 1, ""))&lt;&gt;"","RED","")</f>
        <v/>
      </c>
      <c r="HT14" s="44" t="str" cm="1">
        <f t="array" ref="HT14">IF(_xlfn.TEXTJOIN(", ", TRUE, IF(ISNUMBER(SEARCH("YEL", BL14:BT14)), COLUMN(BL14:BT14) - COLUMN(BL14) + 1, ""))&lt;&gt;"","YEL","")</f>
        <v>YEL</v>
      </c>
      <c r="HU14" s="44" t="str" cm="1">
        <f t="array" ref="HU14">IF(_xlfn.TEXTJOIN(", ", TRUE, IF(ISNUMBER(SEARCH("ORA", BL14:BT14)), COLUMN(BL14:BT14) - COLUMN(BL14) + 1, ""))&lt;&gt;"","ORA","")</f>
        <v/>
      </c>
      <c r="HV14" s="44" t="str" cm="1">
        <f t="array" ref="HV14">IF(_xlfn.TEXTJOIN(", ", TRUE, IF(ISNUMBER(SEARCH("BRO", BL14:BT14)), COLUMN(BL14:BT14) - COLUMN(BL14) + 1, ""))&lt;&gt;"","BRO","")</f>
        <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M14" s="42">
        <f t="shared" si="124"/>
        <v>-3</v>
      </c>
      <c r="IN14" s="69" t="str">
        <f t="shared" si="125"/>
        <v>http://mkweb.bcgsc.ca/color-summarizer/?url=https://upload.wikimedia.org/wikipedia/commons/thumb/3/35/Flag_of_Chile_%281812-1814%29.svg/1024px-Flag_of_Chile_%281812-1814%29.svg.png&amp;precision=low&amp;num_clusters=3&amp;text=1</v>
      </c>
      <c r="IO14" s="44" t="str">
        <f t="shared" si="126"/>
        <v/>
      </c>
      <c r="IP14" s="44" t="str">
        <f t="shared" si="127"/>
        <v>"blue"</v>
      </c>
      <c r="IQ14" s="44" t="str">
        <f t="shared" si="128"/>
        <v/>
      </c>
      <c r="IR14" s="44" t="str">
        <f t="shared" si="129"/>
        <v/>
      </c>
      <c r="IS14" s="44" t="str">
        <f t="shared" si="130"/>
        <v>"yellow"</v>
      </c>
      <c r="IT14" s="44" t="str">
        <f t="shared" si="131"/>
        <v/>
      </c>
      <c r="IU14" s="44" t="str">
        <f t="shared" si="132"/>
        <v/>
      </c>
      <c r="IV14" s="44" t="str">
        <f t="shared" si="133"/>
        <v/>
      </c>
      <c r="IW14" s="44" t="str">
        <f t="shared" si="134"/>
        <v>"white"</v>
      </c>
      <c r="IX14" s="44" t="str">
        <f t="shared" si="135"/>
        <v>{"url":"http://mkweb.bcgsc.ca/color-summarizer/?url=https://upload.wikimedia.org/wikipedia/commons/thumb/3/35/Flag_of_Chile_%281812-1814%29.svg/1024px-Flag_of_Chile_%281812-1814%29.svg.png&amp;precision=low&amp;num_clusters=3&amp;text=1","name":"[CHL] Chile (1812-1814)"},</v>
      </c>
      <c r="IY14" s="44">
        <v>960</v>
      </c>
    </row>
    <row r="15" spans="1:259" s="44" customFormat="1" ht="38.4" customHeight="1" thickBot="1" x14ac:dyDescent="0.35">
      <c r="A15" s="85" t="s">
        <v>459</v>
      </c>
      <c r="B15" s="83" t="e" vm="69">
        <v>#VALUE!</v>
      </c>
      <c r="C15" s="39">
        <v>3</v>
      </c>
      <c r="D15" s="70" t="s">
        <v>460</v>
      </c>
      <c r="E15" s="40" t="s">
        <v>461</v>
      </c>
      <c r="F15" s="41" t="s">
        <v>163</v>
      </c>
      <c r="G15" s="42">
        <f t="shared" si="0"/>
        <v>1</v>
      </c>
      <c r="H15" s="43" t="s">
        <v>1758</v>
      </c>
      <c r="I15" s="59" t="s">
        <v>462</v>
      </c>
      <c r="J15" s="44" t="str">
        <f>""</f>
        <v/>
      </c>
      <c r="K15" s="45"/>
      <c r="L15" s="46"/>
      <c r="M15" s="46"/>
      <c r="N15" s="47" t="s">
        <v>177</v>
      </c>
      <c r="O15" s="74">
        <v>1991</v>
      </c>
      <c r="P15" s="48" t="s">
        <v>463</v>
      </c>
      <c r="Q15" s="73">
        <v>1</v>
      </c>
      <c r="R15" s="49" t="s">
        <v>177</v>
      </c>
      <c r="S15" s="50">
        <v>5</v>
      </c>
      <c r="T15" s="51" t="s">
        <v>165</v>
      </c>
      <c r="U15" s="52" t="s">
        <v>165</v>
      </c>
      <c r="V15" s="52" t="s">
        <v>165</v>
      </c>
      <c r="W15" s="52" t="s">
        <v>165</v>
      </c>
      <c r="X15" s="52" t="s">
        <v>165</v>
      </c>
      <c r="Y15" s="52" t="s">
        <v>164</v>
      </c>
      <c r="Z15" s="52" t="s">
        <v>164</v>
      </c>
      <c r="AA15" s="52" t="s">
        <v>164</v>
      </c>
      <c r="AB15" s="52" t="s">
        <v>164</v>
      </c>
      <c r="AC15" s="52" t="s">
        <v>164</v>
      </c>
      <c r="AD15" s="52" t="s">
        <v>165</v>
      </c>
      <c r="AE15" s="52" t="s">
        <v>165</v>
      </c>
      <c r="AF15" s="53" t="s">
        <v>164</v>
      </c>
      <c r="AG15" s="53" t="s">
        <v>164</v>
      </c>
      <c r="AH15" s="53" t="s">
        <v>165</v>
      </c>
      <c r="AI15" s="53" t="s">
        <v>164</v>
      </c>
      <c r="AJ15" s="53" t="s">
        <v>164</v>
      </c>
      <c r="AK15" s="53" t="s">
        <v>164</v>
      </c>
      <c r="AL15" s="53" t="s">
        <v>164</v>
      </c>
      <c r="AM15" s="53" t="s">
        <v>164</v>
      </c>
      <c r="AN15" s="53" t="s">
        <v>164</v>
      </c>
      <c r="AO15" s="53" t="s">
        <v>164</v>
      </c>
      <c r="AP15" s="53" t="s">
        <v>164</v>
      </c>
      <c r="AQ15" s="53" t="s">
        <v>164</v>
      </c>
      <c r="AR15" s="53" t="s">
        <v>164</v>
      </c>
      <c r="AS15" s="53" t="s">
        <v>164</v>
      </c>
      <c r="AT15" s="54">
        <v>1</v>
      </c>
      <c r="AU15" s="53" t="s">
        <v>276</v>
      </c>
      <c r="AV15" s="53" t="str">
        <f t="shared" si="1"/>
        <v>[CHL]People[CHL] Wenufoye</v>
      </c>
      <c r="AW15" s="53" t="str">
        <f t="shared" si="2"/>
        <v>3[CHL] Wenufoye</v>
      </c>
      <c r="AX15" s="55"/>
      <c r="AY15" s="55"/>
      <c r="AZ15" s="56" t="s">
        <v>154</v>
      </c>
      <c r="BA15" s="56"/>
      <c r="BB15" s="56"/>
      <c r="BC15" s="57"/>
      <c r="BD15" s="58" t="s">
        <v>167</v>
      </c>
      <c r="BE15" s="59"/>
      <c r="BF15" s="58" t="s">
        <v>151</v>
      </c>
      <c r="BG15" s="58" t="s">
        <v>153</v>
      </c>
      <c r="BH15" s="58" t="s">
        <v>151</v>
      </c>
      <c r="BI15" s="58"/>
      <c r="BJ15" s="58"/>
      <c r="BK15" s="59"/>
      <c r="BL15" s="58" t="s">
        <v>151</v>
      </c>
      <c r="BM15" s="58" t="s">
        <v>152</v>
      </c>
      <c r="BN15" s="58" t="s">
        <v>153</v>
      </c>
      <c r="BO15" s="58" t="s">
        <v>154</v>
      </c>
      <c r="BP15" s="58" t="s">
        <v>155</v>
      </c>
      <c r="BQ15" s="58" t="s">
        <v>234</v>
      </c>
      <c r="BR15" s="58" t="s">
        <v>234</v>
      </c>
      <c r="BS15" s="58" t="s">
        <v>234</v>
      </c>
      <c r="BT15" s="58" t="s">
        <v>159</v>
      </c>
      <c r="BU15" s="60"/>
      <c r="BV15" s="61"/>
      <c r="BW15" s="61">
        <v>0</v>
      </c>
      <c r="BX15" s="59"/>
      <c r="BY15" s="44" t="s">
        <v>164</v>
      </c>
      <c r="CB15" s="5"/>
      <c r="CC15" s="5"/>
      <c r="CD15" s="62">
        <v>0</v>
      </c>
      <c r="CE15" s="62">
        <v>0</v>
      </c>
      <c r="CF15" s="62" t="e">
        <v>#REF!</v>
      </c>
      <c r="CG15" s="75" cm="1">
        <f t="array" ref="CG15">SUMPRODUCT(--(LEN(TRIM(BL15:BT15))&gt;0))</f>
        <v>6</v>
      </c>
      <c r="CH15" s="53" t="str">
        <f t="shared" si="3"/>
        <v>n</v>
      </c>
      <c r="CI15" s="53" t="str">
        <f t="shared" si="4"/>
        <v>n</v>
      </c>
      <c r="CJ15" s="53" t="str">
        <f t="shared" si="5"/>
        <v>n</v>
      </c>
      <c r="CK15" s="53" t="str">
        <f t="shared" si="6"/>
        <v>y</v>
      </c>
      <c r="CL15" s="53" t="str">
        <f t="shared" si="7"/>
        <v>n</v>
      </c>
      <c r="CM15" s="53" t="str">
        <f t="shared" si="8"/>
        <v>n</v>
      </c>
      <c r="CN15" s="53" t="str">
        <f t="shared" si="9"/>
        <v>n</v>
      </c>
      <c r="CO15" s="53" t="str">
        <f t="shared" si="10"/>
        <v>y</v>
      </c>
      <c r="CP15" s="53" t="str">
        <f t="shared" si="11"/>
        <v>n</v>
      </c>
      <c r="CQ15" s="53" t="str">
        <f t="shared" si="12"/>
        <v>y</v>
      </c>
      <c r="CR15" s="53" t="str">
        <f t="shared" si="13"/>
        <v>n</v>
      </c>
      <c r="CS15" s="53" t="str">
        <f t="shared" si="14"/>
        <v>n</v>
      </c>
      <c r="CT15" s="38" t="str">
        <f t="shared" si="15"/>
        <v>"[CHL] Wenufoye"</v>
      </c>
      <c r="CU15" s="63" t="str">
        <f t="shared" si="16"/>
        <v>"rgn_South America"</v>
      </c>
      <c r="CV15" s="44" t="str">
        <f t="shared" si="17"/>
        <v>"https://upload.wikimedia.org/wikipedia/commons/thumb/2/20/Flag_of_the_Mapuches_%281992%29.svg/320px-Flag_of_the_Mapuches_%281992%29.svg.png"</v>
      </c>
      <c r="CW15" s="44" t="str">
        <f t="shared" si="18"/>
        <v/>
      </c>
      <c r="CX15" s="44" t="str">
        <f t="shared" si="19"/>
        <v/>
      </c>
      <c r="CY15" s="44" t="str">
        <f t="shared" si="20"/>
        <v/>
      </c>
      <c r="CZ15" s="44" t="str">
        <f t="shared" si="21"/>
        <v>"5+Colo",</v>
      </c>
      <c r="DA15" s="44" t="str">
        <f t="shared" si="22"/>
        <v/>
      </c>
      <c r="DB15" s="44" t="str">
        <f t="shared" si="23"/>
        <v/>
      </c>
      <c r="DC15" s="44" t="str">
        <f>IF(Q15=2,CHAR(34)&amp;"exact2"&amp;CHAR(34)&amp;",","")</f>
        <v/>
      </c>
      <c r="DD15" s="44" t="str">
        <f>IF(LEN(CHAR(34)&amp;"lets"&amp;LEN(SUBSTITUTE(SUBSTITUTE(IFERROR(TRIM(SUBSTITUTE(SUBSTITUTE(SUBSTITUTE(IFERROR(TRIM(SUBSTITUTE(A15,MID(A15,FIND("(",A15),FIND(")",A15)-FIND("(",A15)+1),"")),A15),"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",""),"-",""))&amp;CHAR(34)&amp;",")=9,CHAR(34)&amp;"lets"&amp;LEN(SUBSTITUTE(SUBSTITUTE(IFERROR(TRIM(SUBSTITUTE(SUBSTITUTE(SUBSTITUTE(IFERROR(TRIM(SUBSTITUTE(A15,MID(A15,FIND("(",A15),FIND(")",A15)-FIND("(",A15)+1),"")),A15),"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",""),"-",""))&amp;CHAR(34)&amp;",",CHAR(34)&amp;"lets0"&amp;LEN(SUBSTITUTE(SUBSTITUTE(IFERROR(TRIM(SUBSTITUTE(SUBSTITUTE(SUBSTITUTE(IFERROR(TRIM(SUBSTITUTE(A15,MID(A15,FIND("(",A15),FIND(")",A15)-FIND("(",A15)+1),"")),A15)," ",""),"-",""),MID(SUBSTITUTE(SUBSTITUTE(IFERROR(TRIM(SUBSTITUTE(A15,MID(A15,FIND("(",A15),FIND(")",A15)-FIND("(",A15)+1),"")),A15)," ",""),"-",""),FIND("[",SUBSTITUTE(SUBSTITUTE(IFERROR(TRIM(SUBSTITUTE(A15,MID(A15,FIND("(",A15),FIND(")",A15)-FIND("(",A15)+1),"")),A15)," ",""),"-","")),FIND("]",SUBSTITUTE(SUBSTITUTE(IFERROR(TRIM(SUBSTITUTE(A15,MID(A15,FIND("(",A15),FIND(")",A15)-FIND("(",A15)+1),"")),A15)," ",""),"-",""))-FIND("[",SUBSTITUTE(SUBSTITUTE(IFERROR(TRIM(SUBSTITUTE(A15,MID(A15,FIND("(",A15),FIND(")",A15)-FIND("(",A15)+1),"")),A15)," ",""),"-",""))+1),"")),SUBSTITUTE(SUBSTITUTE(IFERROR(TRIM(SUBSTITUTE(A15,MID(A15,FIND("(",A15),FIND(")",A15)-FIND("(",A15)+1),"")),A15)," ",""),"-",""))," ",""),"-",""))&amp;CHAR(34)&amp;",")</f>
        <v>"lets08",</v>
      </c>
      <c r="DE15" s="44" t="str">
        <f>IFERROR(CHAR(34)&amp;"start"&amp;LEFT(TRIM(SUBSTITUTE(SUBSTITUTE(TRIM(SUBSTITUTE(SUBSTITUTE(A15, MID(A15, FIND("[", A15), FIND("]", A15) - FIND("[", A15) + 1), ""), "  ", " ")), MID(TRIM(SUBSTITUTE(SUBSTITUTE(A15, MID(A15, FIND("[", A15), FIND("]", A15) - FIND("[", A15) + 1), ""), "  ", " ")), FIND("[", TRIM(SUBSTITUTE(SUBSTITUTE(A15, MID(A15, FIND("[", A15), FIND("]", A15) - FIND("[", A15) + 1), ""), "  ", " "))), FIND("]", TRIM(SUBSTITUTE(SUBSTITUTE(A15, MID(A15, FIND("[", A15), FIND("]", A15) - FIND("[", A15) + 1), ""), "  ", " "))) - FIND("[", TRIM(SUBSTITUTE(SUBSTITUTE(A15, MID(A15, FIND("[", A15), FIND("]", A15) - FIND("[", A15) + 1), ""), "  ", " "))) + 1), ""), "  ", " ")),1)&amp;CHAR(34)&amp;",",CHAR(34)&amp;"start"&amp;IFERROR(LEFT(SUBSTITUTE(A15,"["&amp;MID(A15,FIND("[",A15)+1,FIND("]",A15)-FIND("[",A15)-1)&amp;"] ",""),1),LEFT(A15,1))&amp;CHAR(34)&amp;",")</f>
        <v>"startW",</v>
      </c>
      <c r="DF15" s="44" t="str">
        <f t="shared" si="24"/>
        <v/>
      </c>
      <c r="DG15" s="44" t="str">
        <f t="shared" si="25"/>
        <v/>
      </c>
      <c r="DH15" s="44" t="str">
        <f t="shared" si="26"/>
        <v/>
      </c>
      <c r="DI15" s="44" t="str">
        <f t="shared" si="27"/>
        <v>"with_w",</v>
      </c>
      <c r="DJ15" s="44" t="str">
        <f t="shared" si="28"/>
        <v>"with_y",</v>
      </c>
      <c r="DK15" s="44" t="str">
        <f t="shared" si="29"/>
        <v/>
      </c>
      <c r="DL15" s="44" t="str">
        <f t="shared" si="30"/>
        <v/>
      </c>
      <c r="DM15" s="44" t="str" cm="1">
        <f t="array" ref="DM15">IF(CG15=3,CHAR(34) &amp; _xlfn.TEXTJOIN("", TRUE, RIGHT(HP15:HX15, 2)) &amp; CHAR(34) &amp; ",", "")</f>
        <v/>
      </c>
      <c r="DN15" s="44" t="str">
        <f t="shared" si="31"/>
        <v/>
      </c>
      <c r="DO15" s="44" t="str">
        <f t="shared" si="32"/>
        <v>"year19",</v>
      </c>
      <c r="DP15" s="5" t="str">
        <f t="shared" si="33"/>
        <v/>
      </c>
      <c r="DQ15" s="5" t="str">
        <f t="shared" si="34"/>
        <v/>
      </c>
      <c r="DR15" s="5" t="str">
        <f t="shared" si="35"/>
        <v/>
      </c>
      <c r="DS15" s="5" t="str">
        <f t="shared" si="36"/>
        <v/>
      </c>
      <c r="DT15" s="5" t="str">
        <f t="shared" si="37"/>
        <v/>
      </c>
      <c r="DU15" s="5" t="str">
        <f t="shared" si="38"/>
        <v/>
      </c>
      <c r="DV15" s="44" t="str">
        <f>IF(IA15&lt;&gt;"",(IF(IA15="y",CHAR(34)&amp;"largec"&amp;CHAR(34)&amp;",",CHAR(34)&amp;"smallc"&amp;CHAR(34)&amp;",")),"")</f>
        <v>"smallc",</v>
      </c>
      <c r="DW15" s="44" t="str">
        <f t="shared" si="39"/>
        <v/>
      </c>
      <c r="DX15" s="44" t="str">
        <f t="shared" si="40"/>
        <v/>
      </c>
      <c r="DY15" s="44" t="str">
        <f t="shared" si="41"/>
        <v/>
      </c>
      <c r="DZ15" s="44" t="str">
        <f t="shared" si="42"/>
        <v>"4+Band",</v>
      </c>
      <c r="EA15" s="44" t="str">
        <f t="shared" si="43"/>
        <v>"Diagon",</v>
      </c>
      <c r="EB15" s="44" t="str">
        <f t="shared" si="44"/>
        <v>"Crosse",</v>
      </c>
      <c r="EC15" s="44" t="str">
        <f t="shared" si="45"/>
        <v>"Horizo",</v>
      </c>
      <c r="ED15" s="44" t="str">
        <f t="shared" si="46"/>
        <v>"Vertic",</v>
      </c>
      <c r="EE15" s="44" t="str">
        <f t="shared" si="47"/>
        <v>"Circle",</v>
      </c>
      <c r="EF15" s="44" t="str">
        <f t="shared" si="48"/>
        <v/>
      </c>
      <c r="EG15" s="44" t="str">
        <f t="shared" si="49"/>
        <v/>
      </c>
      <c r="EH15" s="44" t="str">
        <f t="shared" si="50"/>
        <v/>
      </c>
      <c r="EI15" s="44" t="str">
        <f t="shared" si="51"/>
        <v/>
      </c>
      <c r="EJ15" s="44" t="str">
        <f t="shared" si="52"/>
        <v/>
      </c>
      <c r="EK15" s="44" t="str">
        <f t="shared" si="53"/>
        <v>"HasSun",</v>
      </c>
      <c r="EL15" s="44" t="str">
        <f t="shared" si="54"/>
        <v>"IsMoon",</v>
      </c>
      <c r="EM15" s="44" t="str">
        <f t="shared" si="55"/>
        <v/>
      </c>
      <c r="EN15" s="44" t="str">
        <f t="shared" si="56"/>
        <v/>
      </c>
      <c r="EO15" s="44" t="str">
        <f t="shared" si="57"/>
        <v>"Center",</v>
      </c>
      <c r="EP15" s="44" t="str">
        <f t="shared" si="58"/>
        <v/>
      </c>
      <c r="EQ15" s="44" t="str">
        <f t="shared" si="59"/>
        <v/>
      </c>
      <c r="ER15" s="44" t="str">
        <f t="shared" si="60"/>
        <v/>
      </c>
      <c r="ES15" s="44" t="str">
        <f t="shared" si="61"/>
        <v/>
      </c>
      <c r="ET15" s="44" t="str">
        <f t="shared" si="62"/>
        <v/>
      </c>
      <c r="EU15" s="44" t="str">
        <f t="shared" si="63"/>
        <v/>
      </c>
      <c r="EV15" s="44" t="str">
        <f t="shared" si="64"/>
        <v/>
      </c>
      <c r="EW15" s="44" t="str">
        <f t="shared" si="65"/>
        <v/>
      </c>
      <c r="EX15" s="44" t="str">
        <f t="shared" si="66"/>
        <v/>
      </c>
      <c r="EY15" s="44" t="str">
        <f t="shared" si="67"/>
        <v/>
      </c>
      <c r="EZ15" s="44" t="str">
        <f t="shared" si="68"/>
        <v/>
      </c>
      <c r="FA15" s="44" t="str">
        <f t="shared" si="69"/>
        <v>"staRED",</v>
      </c>
      <c r="FB15" s="44" t="str">
        <f t="shared" si="70"/>
        <v/>
      </c>
      <c r="FC15" s="44" t="str">
        <f>IF(AND(AT15&gt;0,BB15&lt;&gt;""),CHAR(34)&amp;"sta"&amp;BB15&amp;CHAR(34)&amp;",","")</f>
        <v/>
      </c>
      <c r="FD15" s="44" t="str">
        <f t="shared" si="71"/>
        <v/>
      </c>
      <c r="FE15" s="44" t="str">
        <f t="shared" si="72"/>
        <v/>
      </c>
      <c r="FF15" s="44" t="str">
        <f t="shared" si="73"/>
        <v/>
      </c>
      <c r="FG15" s="44" t="str">
        <f t="shared" si="74"/>
        <v/>
      </c>
      <c r="FH15" s="44" t="str">
        <f t="shared" si="75"/>
        <v/>
      </c>
      <c r="FI15" s="44" t="str">
        <f t="shared" si="76"/>
        <v/>
      </c>
      <c r="FJ15" s="44" t="str">
        <f t="shared" si="77"/>
        <v/>
      </c>
      <c r="FK15" s="44" t="str">
        <f t="shared" si="78"/>
        <v/>
      </c>
      <c r="FL15" s="44" t="str">
        <f t="shared" si="79"/>
        <v/>
      </c>
      <c r="FM15" s="44" t="str">
        <f t="shared" si="80"/>
        <v/>
      </c>
      <c r="FN15" s="44" t="str">
        <f t="shared" si="81"/>
        <v/>
      </c>
      <c r="FO15" s="44" t="str">
        <f t="shared" si="82"/>
        <v/>
      </c>
      <c r="FP15" s="44" t="str">
        <f t="shared" si="83"/>
        <v/>
      </c>
      <c r="FQ15" s="44" t="str">
        <f t="shared" si="84"/>
        <v>"001BLA",</v>
      </c>
      <c r="FR15" s="44" t="str">
        <f t="shared" si="85"/>
        <v>"002GRE",</v>
      </c>
      <c r="FS15" s="44" t="str">
        <f t="shared" si="86"/>
        <v>"003BLA",</v>
      </c>
      <c r="FT15" s="44" t="str">
        <f t="shared" si="87"/>
        <v>"myrEQ",</v>
      </c>
      <c r="FU15" s="44" t="str">
        <f t="shared" si="88"/>
        <v/>
      </c>
      <c r="FV15" s="44" t="str">
        <f t="shared" si="89"/>
        <v/>
      </c>
      <c r="FW15" s="44" t="str">
        <f t="shared" si="90"/>
        <v/>
      </c>
      <c r="FX15" s="44" t="str">
        <f>SUBSTITUTE(IFERROR(SEARCH("[",A15),IFERROR(IF(AND(CA15&lt;&gt;"y",SEARCH("Europe",R15)&gt;0),CHAR(34)&amp;"noeuni"&amp;CHAR(34)&amp;",",""),"")),"1","")</f>
        <v/>
      </c>
      <c r="FY15" s="44" t="str">
        <f t="shared" si="91"/>
        <v/>
      </c>
      <c r="FZ15" s="44" t="str">
        <f t="shared" si="92"/>
        <v/>
      </c>
      <c r="GA15" s="44" t="str">
        <f t="shared" si="93"/>
        <v/>
      </c>
      <c r="GB15" s="44" t="str">
        <f t="shared" si="94"/>
        <v/>
      </c>
      <c r="GC15" s="44" t="str">
        <f>IFERROR(IF(SEARCH("Portuguese",CB15)&gt;0,CHAR(34)&amp;"portug"&amp;CHAR(34)&amp;",",""),"")</f>
        <v/>
      </c>
      <c r="GD15" s="44" t="str">
        <f>IFERROR(IF(SEARCH("German",CB15)&gt;0,CHAR(34)&amp;"german"&amp;CHAR(34)&amp;",",""),"")</f>
        <v/>
      </c>
      <c r="GE15" s="44" t="str">
        <f t="shared" si="95"/>
        <v/>
      </c>
      <c r="GF15" s="44" t="str">
        <f t="shared" si="136"/>
        <v/>
      </c>
      <c r="GG15" s="44" t="str">
        <f t="shared" si="96"/>
        <v/>
      </c>
      <c r="GH15" s="44" t="str">
        <f t="shared" si="97"/>
        <v/>
      </c>
      <c r="GI15" s="44" t="str">
        <f t="shared" si="98"/>
        <v/>
      </c>
      <c r="GJ15" s="44" t="str">
        <f t="shared" si="99"/>
        <v/>
      </c>
      <c r="GK15" s="44" t="str">
        <f t="shared" si="100"/>
        <v>"HasSta",</v>
      </c>
      <c r="GL15" s="44" t="str">
        <f t="shared" si="101"/>
        <v>"1Stars",</v>
      </c>
      <c r="GM15" s="44" t="str">
        <f t="shared" si="102"/>
        <v/>
      </c>
      <c r="GN15" s="44" t="str">
        <f t="shared" si="103"/>
        <v/>
      </c>
      <c r="GP15" s="44" t="str">
        <f t="shared" si="104"/>
        <v>"People"</v>
      </c>
      <c r="GS15" s="44" t="str">
        <f t="shared" si="105"/>
        <v>["5+Colo","lets08","startW","with_w","with_y","year19","smallc","4+Band","Diagon","Crosse","Horizo","Vertic","Circle","HasSun","IsMoon","Center","staRED","001BLA","002GRE","003BLA","myrEQ","HasSta","1Stars"]</v>
      </c>
      <c r="GT15" s="44" t="str">
        <f t="shared" si="106"/>
        <v>"cl_BLA",</v>
      </c>
      <c r="GU15" s="44" t="str">
        <f t="shared" si="107"/>
        <v>"cl_BLU",</v>
      </c>
      <c r="GV15" s="44" t="str">
        <f t="shared" si="108"/>
        <v>"cl_GRE",</v>
      </c>
      <c r="GW15" s="44" t="str">
        <f t="shared" si="109"/>
        <v>"cl_RED",</v>
      </c>
      <c r="GX15" s="44" t="str">
        <f t="shared" si="110"/>
        <v>"cl_YEL",</v>
      </c>
      <c r="GY15" s="44" t="str">
        <f t="shared" si="111"/>
        <v/>
      </c>
      <c r="GZ15" s="44" t="str">
        <f t="shared" si="112"/>
        <v/>
      </c>
      <c r="HA15" s="44" t="str">
        <f t="shared" si="113"/>
        <v/>
      </c>
      <c r="HB15" s="44" t="str">
        <f t="shared" si="114"/>
        <v>"cl_WHI",</v>
      </c>
      <c r="HC15" s="44" t="str">
        <f t="shared" si="115"/>
        <v>["cl_BLA","cl_BLU","cl_GRE","cl_RED","cl_YEL","cl_WHI"]</v>
      </c>
      <c r="HE15" s="64"/>
      <c r="HF15" s="65" t="str">
        <f t="shared" si="116"/>
        <v>{couname:"[CHL] Wenufoye",year:"1991",region:"rgn_South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links: "https://en.wikipedia.org/wiki/Flag_of_the_Mapuches"},</v>
      </c>
      <c r="HG15" s="66" t="str">
        <f t="shared" si="117"/>
        <v>{couname:"[CHL] Wenufoye",year:"1991",region:"rgn_South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links: "https://en.wikipedia.org/wiki/Flag_of_the_Mapuches"},</v>
      </c>
      <c r="HH15" s="44" t="str">
        <f t="shared" si="118"/>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I15" s="44" t="str">
        <f t="shared" si="119"/>
        <v>"\nThe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v>
      </c>
      <c r="HJ15" s="44" t="str">
        <f t="shared" si="120"/>
        <v>"1991"</v>
      </c>
      <c r="HL15" s="44" t="str">
        <f t="shared" si="121"/>
        <v>"https://en.wikipedia.org/wiki/Flag_of_the_Mapuches"</v>
      </c>
      <c r="HM15" s="65" t="str">
        <f t="shared" si="122"/>
        <v>{"couname":"[CHL] Wenufoye","subtype":"[CHL] Other","year":"1991","region":"rgn_South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N15" s="67" t="str">
        <f t="shared" si="123"/>
        <v>{"couname":"[CHL] Wenufoye","subtype":"[CHL] Other","year":"1991","region":"rgn_South America","Colors":["cl_BLA","cl_BLU","cl_GRE","cl_RED","cl_YEL","cl_WHI"],"Items":["5+Colo","lets08","startW","with_w","with_y","year19","smallc","4+Band","Diagon","Crosse","Horizo","Vertic","Circle","HasSun","IsMoon","Center","staRED","001BLA","002GRE","003BLA","myrEQ","HasSta","1Stars"],"Flag":"https://upload.wikimedia.org/wikipedia/commons/thumb/2/20/Flag_of_the_Mapuches_%281992%29.svg/320px-Flag_of_the_Mapuches_%281992%29.svg.png","HDFlag":"https://upload.wikimedia.org/wikipedia/commons/thumb/2/20/Flag_of_the_Mapuches_%281992%29.svg/800px-Flag_of_the_Mapuches_%281992%29.svg.png","type":"People", "describe": "\nThe colors and forms of this Mapuche flag represents: \nYellow: renewal, symbol of the sun.\nBlue: life, order, wealth and the universe. In Mapudungun, is also an adjective that could be translated as 'sacred' or 'spiritual'.\nWhite: the cleansing, healing and longevity.\nRed: strength and power, symbol of history.\nGreen: the earth or nature, wisdom, fertility and healing power, symbol of the machi.\nCultrun: This is a percussion instrument for ceremonial and social use. It has a flat surface in which is represented the Earth's surface.\nThere is drawn the circular design of the mapuche cosmovision: the Meli Witran Mapu, and also the sun, the moon, and the stars. This is a symbol of the knowledge of the world.\nGemil: represents the art of the handcrafting, the science and knowledge; symbol of the writing system.", "isnew": ".", "links": "https://en.wikipedia.org/wiki/Flag_of_the_Mapuches"},</v>
      </c>
      <c r="HO15" s="71">
        <v>45583</v>
      </c>
      <c r="HP15" s="44" t="str" cm="1">
        <f t="array" ref="HP15">IF(_xlfn.TEXTJOIN(", ", TRUE, IF(ISNUMBER(SEARCH("BLA", BL15:BT15)), COLUMN(BL15:BT15) - COLUMN(BL15) + 1, ""))&lt;&gt;"","BLA","")</f>
        <v>BLA</v>
      </c>
      <c r="HQ15" s="44" t="str" cm="1">
        <f t="array" ref="HQ15">IF(_xlfn.TEXTJOIN(", ", TRUE, IF(ISNUMBER(SEARCH("BLU", BL15:BT15)), COLUMN(BL15:BT15) - COLUMN(BL15) + 1, ""))&lt;&gt;"","BLU","")</f>
        <v>BLU</v>
      </c>
      <c r="HR15" s="44" t="str" cm="1">
        <f t="array" ref="HR15">IF(_xlfn.TEXTJOIN(", ", TRUE, IF(ISNUMBER(SEARCH("GRE", BL15:BT15)), COLUMN(BL15:BT15) - COLUMN(BL15) + 1, ""))&lt;&gt;"","GRE","")</f>
        <v>GRE</v>
      </c>
      <c r="HS15" s="44" t="str" cm="1">
        <f t="array" ref="HS15">IF(_xlfn.TEXTJOIN(", ", TRUE, IF(ISNUMBER(SEARCH("RED", BL15:BT15)), COLUMN(BL15:BT15) - COLUMN(BL15) + 1, ""))&lt;&gt;"","RED","")</f>
        <v>RED</v>
      </c>
      <c r="HT15" s="44" t="str" cm="1">
        <f t="array" ref="HT15">IF(_xlfn.TEXTJOIN(", ", TRUE, IF(ISNUMBER(SEARCH("YEL", BL15:BT15)), COLUMN(BL15:BT15) - COLUMN(BL15) + 1, ""))&lt;&gt;"","YEL","")</f>
        <v>YEL</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t="s">
        <v>164</v>
      </c>
      <c r="IB15" s="5"/>
      <c r="IC15" s="68"/>
      <c r="ID15" s="68"/>
      <c r="IE15" s="68"/>
      <c r="IF15" s="68"/>
      <c r="IG15" s="68"/>
      <c r="IH15" s="68"/>
      <c r="II15" s="68"/>
      <c r="IJ15" s="68"/>
      <c r="IK15" s="68"/>
      <c r="IL15" s="44">
        <f>SUM(IC15:IK15)</f>
        <v>0</v>
      </c>
      <c r="IM15" s="42">
        <f t="shared" si="124"/>
        <v>-6</v>
      </c>
      <c r="IN15" s="69" t="str">
        <f t="shared" si="125"/>
        <v>http://mkweb.bcgsc.ca/color-summarizer/?url=https://upload.wikimedia.org/wikipedia/commons/thumb/2/20/Flag_of_the_Mapuches_%281992%29.svg/320px-Flag_of_the_Mapuches_%281992%29.svg.png&amp;precision=low&amp;num_clusters=6&amp;text=1</v>
      </c>
      <c r="IO15" s="44" t="str">
        <f t="shared" si="126"/>
        <v>"black"</v>
      </c>
      <c r="IP15" s="44" t="str">
        <f t="shared" si="127"/>
        <v>"blue"</v>
      </c>
      <c r="IQ15" s="44" t="str">
        <f t="shared" si="128"/>
        <v>"green"</v>
      </c>
      <c r="IR15" s="44" t="str">
        <f t="shared" si="129"/>
        <v>"red"</v>
      </c>
      <c r="IS15" s="44" t="str">
        <f t="shared" si="130"/>
        <v>"yellow"</v>
      </c>
      <c r="IT15" s="44" t="str">
        <f t="shared" si="131"/>
        <v/>
      </c>
      <c r="IU15" s="44" t="str">
        <f t="shared" si="132"/>
        <v/>
      </c>
      <c r="IV15" s="44" t="str">
        <f t="shared" si="133"/>
        <v/>
      </c>
      <c r="IW15" s="44" t="str">
        <f t="shared" si="134"/>
        <v>"white"</v>
      </c>
      <c r="IX15" s="44" t="str">
        <f t="shared" si="135"/>
        <v>{"url":"http://mkweb.bcgsc.ca/color-summarizer/?url=https://upload.wikimedia.org/wikipedia/commons/thumb/2/20/Flag_of_the_Mapuches_%281992%29.svg/320px-Flag_of_the_Mapuches_%281992%29.svg.png&amp;precision=low&amp;num_clusters=6&amp;text=1","name":"[CHL] Wenufoye"},</v>
      </c>
      <c r="IY15" s="44">
        <v>374</v>
      </c>
    </row>
  </sheetData>
  <autoFilter ref="A1:IY15" xr:uid="{A1051193-A95B-4CFB-A73C-F0184620C81F}">
    <sortState xmlns:xlrd2="http://schemas.microsoft.com/office/spreadsheetml/2017/richdata2" ref="A2:IY15">
      <sortCondition ref="AW1:AW15"/>
    </sortState>
  </autoFilter>
  <conditionalFormatting sqref="H1 CW1:GS1 IA1:IB1">
    <cfRule type="cellIs" dxfId="769" priority="77" operator="greaterThan">
      <formula>0</formula>
    </cfRule>
  </conditionalFormatting>
  <conditionalFormatting sqref="H1:H1048576">
    <cfRule type="cellIs" dxfId="768" priority="17" stopIfTrue="1" operator="notEqual">
      <formula>""</formula>
    </cfRule>
  </conditionalFormatting>
  <conditionalFormatting sqref="R2:R15 CU2:CU15">
    <cfRule type="cellIs" dxfId="767" priority="19" operator="greaterThan">
      <formula>0</formula>
    </cfRule>
  </conditionalFormatting>
  <conditionalFormatting sqref="T2:AS15 CH2:CS15">
    <cfRule type="cellIs" dxfId="766" priority="14" stopIfTrue="1" operator="equal">
      <formula>"n"</formula>
    </cfRule>
    <cfRule type="cellIs" dxfId="765" priority="15" stopIfTrue="1" operator="equal">
      <formula>"y"</formula>
    </cfRule>
    <cfRule type="cellIs" dxfId="764" priority="16" operator="greaterThan">
      <formula>0</formula>
    </cfRule>
  </conditionalFormatting>
  <conditionalFormatting sqref="T1:BK1">
    <cfRule type="cellIs" dxfId="763" priority="80" operator="greaterThan">
      <formula>0</formula>
    </cfRule>
  </conditionalFormatting>
  <conditionalFormatting sqref="AZ2:BB15">
    <cfRule type="expression" dxfId="762" priority="13">
      <formula>$AT2=0</formula>
    </cfRule>
  </conditionalFormatting>
  <conditionalFormatting sqref="AZ2:BU15">
    <cfRule type="cellIs" dxfId="761" priority="55" operator="equal">
      <formula>"PIN"</formula>
    </cfRule>
    <cfRule type="cellIs" dxfId="760" priority="56" operator="equal">
      <formula>"ORA"</formula>
    </cfRule>
    <cfRule type="cellIs" dxfId="759" priority="57" operator="equal">
      <formula>"GRA"</formula>
    </cfRule>
    <cfRule type="cellIs" dxfId="758" priority="58" operator="equal">
      <formula>"PUR"</formula>
    </cfRule>
    <cfRule type="cellIs" dxfId="757" priority="59" operator="equal">
      <formula>"BRO"</formula>
    </cfRule>
    <cfRule type="cellIs" dxfId="756" priority="60" operator="equal">
      <formula>"YEL"</formula>
    </cfRule>
    <cfRule type="cellIs" dxfId="755" priority="61" operator="equal">
      <formula>"BLU"</formula>
    </cfRule>
    <cfRule type="cellIs" dxfId="754" priority="62" operator="equal">
      <formula>"WHI"</formula>
    </cfRule>
    <cfRule type="cellIs" dxfId="753" priority="63" operator="equal">
      <formula>"GRE"</formula>
    </cfRule>
    <cfRule type="cellIs" dxfId="752" priority="64" operator="equal">
      <formula>"RED"</formula>
    </cfRule>
    <cfRule type="cellIs" dxfId="751" priority="65" operator="equal">
      <formula>"BLA"</formula>
    </cfRule>
  </conditionalFormatting>
  <conditionalFormatting sqref="BV1:BW1 BV16:BW1048576 BV2:BV15">
    <cfRule type="cellIs" dxfId="750" priority="79" operator="equal">
      <formula>"nc"</formula>
    </cfRule>
  </conditionalFormatting>
  <conditionalFormatting sqref="BX2:CA15 CD2:CF15">
    <cfRule type="cellIs" dxfId="749" priority="18" operator="equal">
      <formula>"y"</formula>
    </cfRule>
    <cfRule type="cellIs" dxfId="748" priority="66" operator="equal">
      <formula>"PIN"</formula>
    </cfRule>
    <cfRule type="cellIs" dxfId="747" priority="67" operator="equal">
      <formula>"ORA"</formula>
    </cfRule>
    <cfRule type="cellIs" dxfId="746" priority="68" operator="equal">
      <formula>"GRA"</formula>
    </cfRule>
    <cfRule type="cellIs" dxfId="745" priority="69" operator="equal">
      <formula>"PUR"</formula>
    </cfRule>
    <cfRule type="cellIs" dxfId="744" priority="70" operator="equal">
      <formula>"BRO"</formula>
    </cfRule>
    <cfRule type="cellIs" dxfId="743" priority="71" operator="equal">
      <formula>"YEL"</formula>
    </cfRule>
    <cfRule type="cellIs" dxfId="742" priority="72" operator="equal">
      <formula>"BLU"</formula>
    </cfRule>
    <cfRule type="cellIs" dxfId="741" priority="73" operator="equal">
      <formula>"WHI"</formula>
    </cfRule>
    <cfRule type="cellIs" dxfId="740" priority="74" operator="equal">
      <formula>"GRE"</formula>
    </cfRule>
    <cfRule type="cellIs" dxfId="739" priority="75" operator="equal">
      <formula>"RED"</formula>
    </cfRule>
    <cfRule type="cellIs" dxfId="738" priority="76" operator="equal">
      <formula>"BLA"</formula>
    </cfRule>
  </conditionalFormatting>
  <conditionalFormatting sqref="BZ2:CA15 CD2:CF15">
    <cfRule type="cellIs" dxfId="737" priority="20" operator="greaterThan">
      <formula>0</formula>
    </cfRule>
  </conditionalFormatting>
  <conditionalFormatting sqref="HF1:HG1">
    <cfRule type="cellIs" dxfId="736" priority="81" operator="greaterThan">
      <formula>0</formula>
    </cfRule>
  </conditionalFormatting>
  <conditionalFormatting sqref="HK1">
    <cfRule type="cellIs" dxfId="735" priority="78" operator="greaterThan">
      <formula>0</formula>
    </cfRule>
  </conditionalFormatting>
  <conditionalFormatting sqref="HP1:HX1">
    <cfRule type="cellIs" dxfId="734" priority="32" operator="equal">
      <formula>"PIN"</formula>
    </cfRule>
    <cfRule type="cellIs" dxfId="733" priority="33" operator="equal">
      <formula>"ORA"</formula>
    </cfRule>
    <cfRule type="cellIs" dxfId="732" priority="34" operator="equal">
      <formula>"GRA"</formula>
    </cfRule>
    <cfRule type="cellIs" dxfId="731" priority="35" operator="equal">
      <formula>"PUR"</formula>
    </cfRule>
    <cfRule type="cellIs" dxfId="730" priority="36" operator="equal">
      <formula>"BRO"</formula>
    </cfRule>
    <cfRule type="cellIs" dxfId="729" priority="37" operator="equal">
      <formula>"YEL"</formula>
    </cfRule>
    <cfRule type="cellIs" dxfId="728" priority="38" operator="equal">
      <formula>"BLU"</formula>
    </cfRule>
    <cfRule type="cellIs" dxfId="727" priority="39" operator="equal">
      <formula>"WHI"</formula>
    </cfRule>
    <cfRule type="cellIs" dxfId="726" priority="40" operator="equal">
      <formula>"GRE"</formula>
    </cfRule>
    <cfRule type="cellIs" dxfId="725" priority="41" operator="equal">
      <formula>"RED"</formula>
    </cfRule>
    <cfRule type="cellIs" dxfId="724" priority="42" operator="equal">
      <formula>"BLA"</formula>
    </cfRule>
  </conditionalFormatting>
  <conditionalFormatting sqref="IC1:IK1">
    <cfRule type="cellIs" dxfId="723" priority="44" operator="equal">
      <formula>"PIN"</formula>
    </cfRule>
    <cfRule type="cellIs" dxfId="722" priority="45" operator="equal">
      <formula>"ORA"</formula>
    </cfRule>
    <cfRule type="cellIs" dxfId="721" priority="46" operator="equal">
      <formula>"GRA"</formula>
    </cfRule>
    <cfRule type="cellIs" dxfId="720" priority="47" operator="equal">
      <formula>"PUR"</formula>
    </cfRule>
    <cfRule type="cellIs" dxfId="719" priority="48" operator="equal">
      <formula>"BRO"</formula>
    </cfRule>
    <cfRule type="cellIs" dxfId="718" priority="49" operator="equal">
      <formula>"YEL"</formula>
    </cfRule>
    <cfRule type="cellIs" dxfId="717" priority="50" operator="equal">
      <formula>"BLU"</formula>
    </cfRule>
    <cfRule type="cellIs" dxfId="716" priority="51" operator="equal">
      <formula>"WHI"</formula>
    </cfRule>
    <cfRule type="cellIs" dxfId="715" priority="52" operator="equal">
      <formula>"GRE"</formula>
    </cfRule>
    <cfRule type="cellIs" dxfId="714" priority="53" operator="equal">
      <formula>"RED"</formula>
    </cfRule>
    <cfRule type="cellIs" dxfId="713" priority="54" operator="equal">
      <formula>"BLA"</formula>
    </cfRule>
  </conditionalFormatting>
  <conditionalFormatting sqref="IC2:IK15">
    <cfRule type="expression" dxfId="712" priority="43">
      <formula>$IL2&gt;0</formula>
    </cfRule>
  </conditionalFormatting>
  <conditionalFormatting sqref="IO1:IW1">
    <cfRule type="cellIs" dxfId="711" priority="21" operator="equal">
      <formula>"PIN"</formula>
    </cfRule>
    <cfRule type="cellIs" dxfId="710" priority="22" operator="equal">
      <formula>"ORA"</formula>
    </cfRule>
    <cfRule type="cellIs" dxfId="709" priority="23" operator="equal">
      <formula>"GRA"</formula>
    </cfRule>
    <cfRule type="cellIs" dxfId="708" priority="24" operator="equal">
      <formula>"PUR"</formula>
    </cfRule>
    <cfRule type="cellIs" dxfId="707" priority="25" operator="equal">
      <formula>"BRO"</formula>
    </cfRule>
    <cfRule type="cellIs" dxfId="706" priority="26" operator="equal">
      <formula>"YEL"</formula>
    </cfRule>
    <cfRule type="cellIs" dxfId="705" priority="27" operator="equal">
      <formula>"BLU"</formula>
    </cfRule>
    <cfRule type="cellIs" dxfId="704" priority="28" operator="equal">
      <formula>"WHI"</formula>
    </cfRule>
    <cfRule type="cellIs" dxfId="703" priority="29" operator="equal">
      <formula>"GRE"</formula>
    </cfRule>
    <cfRule type="cellIs" dxfId="702" priority="30" operator="equal">
      <formula>"RED"</formula>
    </cfRule>
    <cfRule type="cellIs" dxfId="701" priority="31" operator="equal">
      <formula>"BLA"</formula>
    </cfRule>
  </conditionalFormatting>
  <conditionalFormatting sqref="J2:J15">
    <cfRule type="colorScale" priority="1878">
      <colorScale>
        <cfvo type="min"/>
        <cfvo type="percentile" val="50"/>
        <cfvo type="max"/>
        <color rgb="FFF8696B"/>
        <color rgb="FFFFEB84"/>
        <color rgb="FF63BE7B"/>
      </colorScale>
    </cfRule>
  </conditionalFormatting>
  <conditionalFormatting sqref="S2:S15">
    <cfRule type="colorScale" priority="1879">
      <colorScale>
        <cfvo type="min"/>
        <cfvo type="max"/>
        <color rgb="FFFCFCFF"/>
        <color rgb="FF754BFB"/>
      </colorScale>
    </cfRule>
  </conditionalFormatting>
  <conditionalFormatting sqref="AT2:AT15">
    <cfRule type="colorScale" priority="1880">
      <colorScale>
        <cfvo type="min"/>
        <cfvo type="max"/>
        <color rgb="FFFCFCFF"/>
        <color theme="8" tint="0.39997558519241921"/>
      </colorScale>
    </cfRule>
  </conditionalFormatting>
  <conditionalFormatting sqref="CG2:CG15">
    <cfRule type="colorScale" priority="1881">
      <colorScale>
        <cfvo type="min"/>
        <cfvo type="max"/>
        <color rgb="FFFCFCFF"/>
        <color rgb="FF63BE7B"/>
      </colorScale>
    </cfRule>
  </conditionalFormatting>
  <hyperlinks>
    <hyperlink ref="A2" r:id="rId1" display="https://fbref.com/en/country/CHI/Chile-Football" xr:uid="{DC310632-1909-48F2-9C3A-C61EB0C75B44}"/>
    <hyperlink ref="D10" r:id="rId2" xr:uid="{38E5CAEA-F34C-4643-B6A7-83A7467713AD}"/>
    <hyperlink ref="I4" r:id="rId3" xr:uid="{7AAEA7E3-57C6-4730-BEA2-DDFF50727159}"/>
    <hyperlink ref="I12" r:id="rId4" xr:uid="{60EF2FB3-2F58-41C4-AC6A-19AF55DEC678}"/>
    <hyperlink ref="I3" r:id="rId5" location="about " xr:uid="{FE8E6F9E-A57C-48E0-8869-EE220C12AD36}"/>
  </hyperlink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6386" r:id="rId10"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6387" r:id="rId11" name="Button 3">
              <controlPr defaultSize="0" print="0" autoFill="0" autoPict="0" macro="[0]!GoToSheet">
                <anchor moveWithCells="1" sizeWithCells="1">
                  <from>
                    <xdr:col>0</xdr:col>
                    <xdr:colOff>220980</xdr:colOff>
                    <xdr:row>0</xdr:row>
                    <xdr:rowOff>99060</xdr:rowOff>
                  </from>
                  <to>
                    <xdr:col>0</xdr:col>
                    <xdr:colOff>845820</xdr:colOff>
                    <xdr:row>0</xdr:row>
                    <xdr:rowOff>403860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DC648-530D-4122-BAF2-4846DA2D4C49}">
  <sheetPr codeName="Sheet8"/>
  <dimension ref="A1:IY5"/>
  <sheetViews>
    <sheetView zoomScale="85" zoomScaleNormal="85" workbookViewId="0">
      <pane xSplit="5" ySplit="1" topLeftCell="F2" activePane="bottomRight" state="frozen"/>
      <selection pane="topRight" activeCell="F1" sqref="F1"/>
      <selection pane="bottomLeft" activeCell="A2" sqref="A2"/>
      <selection pane="bottomRight" activeCell="B3" sqref="B3"/>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204</v>
      </c>
      <c r="B2" s="83" t="e" vm="70">
        <v>#VALUE!</v>
      </c>
      <c r="C2" s="39">
        <v>1</v>
      </c>
      <c r="D2" s="70" t="s">
        <v>205</v>
      </c>
      <c r="E2" s="40" t="s">
        <v>206</v>
      </c>
      <c r="F2" s="41" t="s">
        <v>163</v>
      </c>
      <c r="G2" s="42">
        <f>COUNTIF($A$1:$A$8282,A2)</f>
        <v>1</v>
      </c>
      <c r="H2" s="43"/>
      <c r="I2" s="59" t="s">
        <v>207</v>
      </c>
      <c r="J2" s="44" t="str">
        <f>""</f>
        <v/>
      </c>
      <c r="K2" s="45">
        <v>52085168</v>
      </c>
      <c r="L2" s="46">
        <v>5869869</v>
      </c>
      <c r="M2" s="46" t="s">
        <v>1967</v>
      </c>
      <c r="N2" s="47" t="s">
        <v>177</v>
      </c>
      <c r="O2" s="74" t="s">
        <v>208</v>
      </c>
      <c r="P2" s="48" t="s">
        <v>209</v>
      </c>
      <c r="Q2" s="73">
        <v>1</v>
      </c>
      <c r="R2" s="49" t="s">
        <v>177</v>
      </c>
      <c r="S2" s="50">
        <v>3</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165</v>
      </c>
      <c r="AH2" s="53" t="s">
        <v>164</v>
      </c>
      <c r="AI2" s="53" t="s">
        <v>164</v>
      </c>
      <c r="AJ2" s="53" t="s">
        <v>164</v>
      </c>
      <c r="AK2" s="53" t="s">
        <v>165</v>
      </c>
      <c r="AL2" s="53" t="s">
        <v>164</v>
      </c>
      <c r="AM2" s="53" t="s">
        <v>164</v>
      </c>
      <c r="AN2" s="53" t="s">
        <v>164</v>
      </c>
      <c r="AO2" s="53" t="s">
        <v>164</v>
      </c>
      <c r="AP2" s="53" t="s">
        <v>164</v>
      </c>
      <c r="AQ2" s="53" t="s">
        <v>164</v>
      </c>
      <c r="AR2" s="53" t="s">
        <v>164</v>
      </c>
      <c r="AS2" s="53" t="s">
        <v>164</v>
      </c>
      <c r="AT2" s="54">
        <v>0</v>
      </c>
      <c r="AU2" s="53"/>
      <c r="AV2" s="53" t="str">
        <f>IF(LEFT(A2,1)="[",LEFT(A2,5)&amp;AU2&amp;A2,"")</f>
        <v/>
      </c>
      <c r="AW2" s="53" t="str">
        <f>C2&amp;A2</f>
        <v>1Colombia</v>
      </c>
      <c r="AX2" s="55" t="str">
        <f>_xlfn.TEXTJOIN(";",TRUE,AU2:AW2)</f>
        <v>1Colombia</v>
      </c>
      <c r="AY2" s="55"/>
      <c r="AZ2" s="56"/>
      <c r="BA2" s="56"/>
      <c r="BB2" s="56"/>
      <c r="BC2" s="57"/>
      <c r="BD2" s="58" t="s">
        <v>155</v>
      </c>
      <c r="BE2" s="59"/>
      <c r="BF2" s="58" t="s">
        <v>155</v>
      </c>
      <c r="BG2" s="58" t="s">
        <v>152</v>
      </c>
      <c r="BH2" s="58" t="s">
        <v>154</v>
      </c>
      <c r="BI2" s="58"/>
      <c r="BJ2" s="58"/>
      <c r="BK2" s="59"/>
      <c r="BL2" s="58" t="s">
        <v>155</v>
      </c>
      <c r="BM2" s="58" t="s">
        <v>152</v>
      </c>
      <c r="BN2" s="58" t="s">
        <v>154</v>
      </c>
      <c r="BO2" s="58"/>
      <c r="BP2" s="58"/>
      <c r="BQ2" s="58"/>
      <c r="BR2" s="58"/>
      <c r="BS2" s="58"/>
      <c r="BT2" s="58"/>
      <c r="BU2" s="60"/>
      <c r="BV2" s="61" t="s">
        <v>166</v>
      </c>
      <c r="BW2" s="61">
        <v>0</v>
      </c>
      <c r="BX2" s="59"/>
      <c r="CB2" s="5" t="s">
        <v>138</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"Colombia"</v>
      </c>
      <c r="CU2" s="63" t="str">
        <f>CHAR(34)&amp;"rgn_"&amp;R2&amp;CHAR(34)</f>
        <v>"rgn_South America"</v>
      </c>
      <c r="CV2" s="44" t="str">
        <f>CHAR(34)&amp;D2&amp;CHAR(34)</f>
        <v>"https://i.ibb.co/xj0RpQG/Colombia-Flag.png"</v>
      </c>
      <c r="CW2" s="44" t="str">
        <f t="shared" ref="CW2:CZ5" si="0">IF(CH2="y",CHAR(34)&amp;CH$1&amp;CHAR(34)&amp;",","")</f>
        <v/>
      </c>
      <c r="CX2" s="44" t="str">
        <f t="shared" si="0"/>
        <v>"3Color",</v>
      </c>
      <c r="CY2" s="44" t="str">
        <f t="shared" si="0"/>
        <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"LUEDEL",</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5" si="1">IF(CL2="y",CHAR(34)&amp;CL$1&amp;CHAR(34)&amp;",","")</f>
        <v/>
      </c>
      <c r="DX2" s="44" t="str">
        <f t="shared" si="1"/>
        <v/>
      </c>
      <c r="DY2" s="44" t="str">
        <f t="shared" si="1"/>
        <v>"3Bands",</v>
      </c>
      <c r="DZ2" s="44" t="str">
        <f t="shared" si="1"/>
        <v/>
      </c>
      <c r="EA2" s="44" t="str">
        <f t="shared" ref="EA2:EE5" si="2">IF(T2="y",CHAR(34)&amp;T$1&amp;CHAR(34)&amp;",","")</f>
        <v/>
      </c>
      <c r="EB2" s="44" t="str">
        <f t="shared" si="2"/>
        <v/>
      </c>
      <c r="EC2" s="44" t="str">
        <f t="shared" si="2"/>
        <v>"Horizo",</v>
      </c>
      <c r="ED2" s="44" t="str">
        <f t="shared" si="2"/>
        <v/>
      </c>
      <c r="EE2" s="44" t="str">
        <f t="shared" si="2"/>
        <v/>
      </c>
      <c r="EF2" s="44" t="str">
        <f>IF(AND(Y2&lt;&gt;"n",Y2&lt;&gt;""),CHAR(34)&amp;Y$1&amp;CHAR(34)&amp;",","")</f>
        <v/>
      </c>
      <c r="EG2" s="44" t="str">
        <f t="shared" ref="EG2:EP5" si="3">IF(Z2="y",CHAR(34)&amp;Z$1&amp;CHAR(34)&amp;",","")</f>
        <v/>
      </c>
      <c r="EH2" s="44" t="str">
        <f t="shared" si="3"/>
        <v/>
      </c>
      <c r="EI2" s="44" t="str">
        <f t="shared" si="3"/>
        <v/>
      </c>
      <c r="EJ2" s="44" t="str">
        <f t="shared" si="3"/>
        <v/>
      </c>
      <c r="EK2" s="44" t="str">
        <f t="shared" si="3"/>
        <v/>
      </c>
      <c r="EL2" s="44" t="str">
        <f t="shared" si="3"/>
        <v/>
      </c>
      <c r="EM2" s="44" t="str">
        <f t="shared" si="3"/>
        <v/>
      </c>
      <c r="EN2" s="44" t="str">
        <f t="shared" si="3"/>
        <v>"Unequa",</v>
      </c>
      <c r="EO2" s="44" t="str">
        <f t="shared" si="3"/>
        <v/>
      </c>
      <c r="EP2" s="44" t="str">
        <f t="shared" si="3"/>
        <v/>
      </c>
      <c r="EQ2" s="44" t="str">
        <f t="shared" ref="EQ2:EZ5" si="4">IF(AJ2="y",CHAR(34)&amp;AJ$1&amp;CHAR(34)&amp;",","")</f>
        <v/>
      </c>
      <c r="ER2" s="44" t="str">
        <f t="shared" si="4"/>
        <v>"OnlyBa",</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
      </c>
      <c r="FF2" s="44" t="str">
        <f>IF(COUNTIF(BL2:BT2,"WHI")=0,CHAR(34)&amp;"NO_WHI"&amp;CHAR(34)&amp;",", "")</f>
        <v>"NO_WHI",</v>
      </c>
      <c r="FG2" s="44" t="str">
        <f>IF(COUNTIF(BL2:BT2,"RED")=0,CHAR(34)&amp;"NO_RED"&amp;CHAR(34)&amp;",", "")</f>
        <v/>
      </c>
      <c r="FH2" s="44" t="str">
        <f>IF(COUNTIF(BL2:BS2,"GRE")=0,CHAR(34)&amp;"NO_GRE"&amp;CHAR(34)&amp;",", "")</f>
        <v>"NO_GRE",</v>
      </c>
      <c r="FI2" s="44" t="str">
        <f>IF(COUNTIF(BL2:BT2,"YEL")=0,CHAR(34)&amp;"NO_YEL"&amp;CHAR(34)&amp;",", "")</f>
        <v/>
      </c>
      <c r="FJ2" s="44" t="str">
        <f>IF(COUNTIF(BL2:BT2,"BLA")=0,CHAR(34)&amp;"NO_BLA"&amp;CHAR(34)&amp;",", "")</f>
        <v>"NO_BLA",</v>
      </c>
      <c r="FK2" s="44" t="str">
        <f>IF(AND(FH2&lt;&gt;"",FF2&lt;&gt;""),CHAR(34)&amp;"WHGRNO"&amp;CHAR(34)&amp;",","")</f>
        <v>"WHGRNO",</v>
      </c>
      <c r="FL2" s="44" t="str">
        <f>IF(AND(FI2&lt;&gt;"",FF2&lt;&gt;""),CHAR(34)&amp;"WHYENO"&amp;CHAR(34)&amp;",","")</f>
        <v/>
      </c>
      <c r="FM2" s="44" t="str">
        <f>IF(AND(FJ2&lt;&gt;"",FF2&lt;&gt;""),CHAR(34)&amp;"BAWHNO"&amp;CHAR(34)&amp;",","")</f>
        <v>"BAWHNO",</v>
      </c>
      <c r="FN2" s="44" t="str">
        <f>IF(AND(FE2&lt;&gt;"",FF2&lt;&gt;""),CHAR(34)&amp;"BLWHNO"&amp;CHAR(34)&amp;",","")</f>
        <v/>
      </c>
      <c r="FO2" s="44" t="str">
        <f>IF(AND(FE2&lt;&gt;"",FG2&lt;&gt;""),CHAR(34)&amp;"BLRENO"&amp;CHAR(34)&amp;",","")</f>
        <v/>
      </c>
      <c r="FP2" s="44" t="str">
        <f>IF(AND(FF2&lt;&gt;"",FF2&lt;&gt;""),CHAR(34)&amp;"WHRENO"&amp;CHAR(34)&amp;",","")</f>
        <v>"WHRENO",</v>
      </c>
      <c r="FQ2" s="44" t="str">
        <f>IF(LEN(BF2)=3,CHAR(34)&amp;"001"&amp;BF2&amp;CHAR(34)&amp;",","")</f>
        <v>"001YEL",</v>
      </c>
      <c r="FR2" s="44" t="str">
        <f>IF(LEN(BG2)=3,CHAR(34)&amp;"002"&amp;BG2&amp;CHAR(34)&amp;",","")</f>
        <v>"002BLU",</v>
      </c>
      <c r="FS2" s="44" t="str">
        <f>IF(LEN(BH2)=3,CHAR(34)&amp;"003"&amp;BH2&amp;CHAR(34)&amp;",","")</f>
        <v>"003RED",</v>
      </c>
      <c r="FT2" s="44" t="str">
        <f>CHAR(34)&amp;"myr"&amp;BD2&amp;CHAR(34)&amp;","</f>
        <v>"myrYEL",</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5" si="5">IF(CQ2="y",CHAR(34)&amp;CQ$1&amp;CHAR(34)&amp;",","")</f>
        <v/>
      </c>
      <c r="GM2" s="44" t="str">
        <f t="shared" si="5"/>
        <v/>
      </c>
      <c r="GN2" s="44" t="str">
        <f t="shared" si="5"/>
        <v/>
      </c>
      <c r="GP2" s="44" t="str">
        <f>CHAR(34)&amp;AU2&amp;CHAR(34)</f>
        <v>""</v>
      </c>
      <c r="GS2" s="44" t="str">
        <f>SUBSTITUTE("["&amp;_xlfn.CONCAT(CW2:GN2)&amp;"]",",]","]")</f>
        <v>["3Color","lets08","startC","LUEDEL","year18","allhor","3Bands","Horizo","Unequa","OnlyBa","NO_WHI","NO_GRE","NO_BLA","WHGRNO","BAWHNO","WHRENO","001YEL","002BLU","003RED","myrYEL","spanis","NoStar"]</v>
      </c>
      <c r="GT2" s="44" t="str">
        <f t="shared" ref="GT2:HB5" si="6">IF(BL2&lt;&gt;"",CHAR(34)&amp;"cl_"&amp;BL2&amp;CHAR(34)&amp;",","")</f>
        <v>"cl_YEL",</v>
      </c>
      <c r="GU2" s="44" t="str">
        <f t="shared" si="6"/>
        <v>"cl_BLU",</v>
      </c>
      <c r="GV2" s="44" t="str">
        <f t="shared" si="6"/>
        <v>"cl_RED",</v>
      </c>
      <c r="GW2" s="44" t="str">
        <f t="shared" si="6"/>
        <v/>
      </c>
      <c r="GX2" s="44" t="str">
        <f t="shared" si="6"/>
        <v/>
      </c>
      <c r="GY2" s="44" t="str">
        <f t="shared" si="6"/>
        <v/>
      </c>
      <c r="GZ2" s="44" t="str">
        <f t="shared" si="6"/>
        <v/>
      </c>
      <c r="HA2" s="44" t="str">
        <f t="shared" si="6"/>
        <v/>
      </c>
      <c r="HB2" s="44" t="str">
        <f t="shared" si="6"/>
        <v/>
      </c>
      <c r="HC2" s="44" t="str">
        <f>SUBSTITUTE("["&amp;_xlfn.CONCAT(GT2:HB2)&amp;"]",",]","]")</f>
        <v>["cl_YEL","cl_BLU","cl_RED"]</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links: "https://en.wikipedia.org/wiki/Flag_of_Colombia"},</v>
      </c>
      <c r="HG2" s="66" t="str">
        <f>"{couname:"&amp;CT2&amp;(IF(HK2&lt;&gt;"",",subtype:"&amp;CHAR(34)&amp;HK2&amp;CHAR(34),""))&amp;",year:"&amp;HJ2&amp;",region:"&amp;CU2&amp;",Colors:"&amp;HC2&amp;",Items:"&amp;GS2&amp;",Flag:"&amp;CV2&amp;",HDFlag:"&amp;CHAR(34)&amp;E2&amp;CHAR(34)&amp;",type:"&amp;GP2&amp;", describe: "&amp;HI2&amp;", links: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links: "https://en.wikipedia.org/wiki/Flag_of_Colombia"},</v>
      </c>
      <c r="HH2" s="44" t="str">
        <f>IF(P2&lt;&gt;"",CHAR(34)&amp;"\n"&amp;P2&amp;CHAR(34),CHAR(34)&amp;CHAR(34))</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I2" s="44" t="str">
        <f>IF(J2=0,CHAR(34)&amp;CHAR(34),HH2)</f>
        <v>"\nThe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v>
      </c>
      <c r="HJ2" s="44" t="str">
        <f>CHAR(34)&amp;O2&amp;CHAR(34)</f>
        <v>"1861 "</v>
      </c>
      <c r="HL2" s="44" t="str">
        <f>CHAR(34)&amp;I2&amp;CHAR(34)</f>
        <v>"https://en.wikipedia.org/wiki/Flag_of_Colombia"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{"couname":"Colombia","year":"1861 ","region":"rgn_South America","Colors":["cl_YEL","cl_BLU","cl_RED"],"Items":["3Color","lets08","startC","LUEDEL","year18","allhor","3Bands","Horizo","Unequa","OnlyBa","NO_WHI","NO_GRE","NO_BLA","WHGRNO","BAWHNO","WHRENO","001YEL","002BLU","003RED","myrYEL","spanis","NoStar"],"Flag":"https://i.ibb.co/xj0RpQG/Colombia-Flag.png","HDFlag":"https://upload.wikimedia.org/wikipedia/commons/thumb/2/21/Flag_of_Colombia.svg/2560px-Flag_of_Colombia.svg.png","type":"", "describe": "\nThe national flag of Colombia symbolizes that Colombia gained its independence from Spain on 20 July 1810. It is a horizontal tricolor of yellow, blue and red. The yellow stripe takes up a half of the flag and the blue and red take up a quarter of the space each.\n\n • Yellow: Represents the riches of the country, the wealth of the Colombian soil, the gold, sovereignty, harmony, justice and agriculture, as well as the Sun, the source of light.\n\n • Blue: Represents the sky above, the seas on Colombia's shores, and the rivers that run through.\n\n • Red: Represents the blood spilled for Colombia's independence and also the effort of Colombian people, their determination and perseverance. It represents that although Colombia's people once struggled, they have since thrived.", "isnew": ".", "links": "https://en.wikipedia.org/wiki/Flag_of_Colombia"},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http://mkweb.bcgsc.ca/color-summarizer/?url=https://i.ibb.co/xj0RpQG/Colombia-Flag.png&amp;precision=low&amp;num_clusters=3&amp;text=1</v>
      </c>
      <c r="IO2" s="44" t="str">
        <f>IF(HP2&lt;&gt;"",CHAR(34)&amp;"black"&amp;CHAR(34),"")</f>
        <v/>
      </c>
      <c r="IP2" s="44" t="str">
        <f>IF(HQ2&lt;&gt;"",CHAR(34)&amp;"blue"&amp;CHAR(34),"")</f>
        <v>"blue"</v>
      </c>
      <c r="IQ2" s="44" t="str">
        <f>IF(HR2&lt;&gt;"",CHAR(34)&amp;"green"&amp;CHAR(34),"")</f>
        <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{"url":"http://mkweb.bcgsc.ca/color-summarizer/?url=https://i.ibb.co/xj0RpQG/Colombia-Flag.png&amp;precision=low&amp;num_clusters=3&amp;text=1","name":"Colombia"},</v>
      </c>
      <c r="IY2" s="44">
        <v>49</v>
      </c>
    </row>
    <row r="3" spans="1:259" s="44" customFormat="1" ht="38.4" customHeight="1" thickBot="1" x14ac:dyDescent="0.35">
      <c r="A3" s="84" t="s">
        <v>584</v>
      </c>
      <c r="B3" s="83" t="e" vm="71">
        <v>#VALUE!</v>
      </c>
      <c r="C3" s="39">
        <v>2</v>
      </c>
      <c r="D3" s="70" t="s">
        <v>585</v>
      </c>
      <c r="E3" s="40" t="s">
        <v>586</v>
      </c>
      <c r="F3" s="41" t="s">
        <v>163</v>
      </c>
      <c r="G3" s="42">
        <f>COUNTIF($A$1:$A$8282,A3)</f>
        <v>1</v>
      </c>
      <c r="H3" s="43"/>
      <c r="I3" s="59" t="s">
        <v>587</v>
      </c>
      <c r="J3" s="44" t="str">
        <f>""</f>
        <v/>
      </c>
      <c r="K3" s="45"/>
      <c r="L3" s="46"/>
      <c r="M3" s="46"/>
      <c r="N3" s="47" t="s">
        <v>177</v>
      </c>
      <c r="O3" s="74" t="s">
        <v>233</v>
      </c>
      <c r="P3" s="48" t="s">
        <v>588</v>
      </c>
      <c r="Q3" s="73">
        <v>1</v>
      </c>
      <c r="R3" s="49" t="s">
        <v>177</v>
      </c>
      <c r="S3" s="50">
        <v>3</v>
      </c>
      <c r="T3" s="51" t="s">
        <v>164</v>
      </c>
      <c r="U3" s="52" t="s">
        <v>164</v>
      </c>
      <c r="V3" s="52" t="s">
        <v>164</v>
      </c>
      <c r="W3" s="52" t="s">
        <v>165</v>
      </c>
      <c r="X3" s="52" t="s">
        <v>164</v>
      </c>
      <c r="Y3" s="52" t="s">
        <v>164</v>
      </c>
      <c r="Z3" s="52" t="s">
        <v>164</v>
      </c>
      <c r="AA3" s="52" t="s">
        <v>164</v>
      </c>
      <c r="AB3" s="52" t="s">
        <v>164</v>
      </c>
      <c r="AC3" s="52" t="s">
        <v>164</v>
      </c>
      <c r="AD3" s="52" t="s">
        <v>164</v>
      </c>
      <c r="AE3" s="52" t="s">
        <v>164</v>
      </c>
      <c r="AF3" s="53" t="s">
        <v>164</v>
      </c>
      <c r="AG3" s="53" t="s">
        <v>165</v>
      </c>
      <c r="AH3" s="53" t="s">
        <v>164</v>
      </c>
      <c r="AI3" s="53" t="s">
        <v>164</v>
      </c>
      <c r="AJ3" s="53" t="s">
        <v>164</v>
      </c>
      <c r="AK3" s="53" t="s">
        <v>165</v>
      </c>
      <c r="AL3" s="53" t="s">
        <v>164</v>
      </c>
      <c r="AM3" s="53" t="s">
        <v>164</v>
      </c>
      <c r="AN3" s="53" t="s">
        <v>164</v>
      </c>
      <c r="AO3" s="53" t="s">
        <v>164</v>
      </c>
      <c r="AP3" s="53" t="s">
        <v>164</v>
      </c>
      <c r="AQ3" s="53" t="s">
        <v>164</v>
      </c>
      <c r="AR3" s="53" t="s">
        <v>164</v>
      </c>
      <c r="AS3" s="53" t="s">
        <v>164</v>
      </c>
      <c r="AT3" s="54">
        <v>0</v>
      </c>
      <c r="AU3" s="53" t="s">
        <v>475</v>
      </c>
      <c r="AV3" s="53" t="str">
        <f>IF(LEFT(A3,1)="[",LEFT(A3,5)&amp;AU3&amp;A3,"")</f>
        <v>[COL]Department[COL] Quindío</v>
      </c>
      <c r="AW3" s="53" t="str">
        <f>C3&amp;A3</f>
        <v>2[COL] Quindío</v>
      </c>
      <c r="AX3" s="55"/>
      <c r="AY3" s="55"/>
      <c r="AZ3" s="56" t="s">
        <v>234</v>
      </c>
      <c r="BA3" s="56" t="s">
        <v>234</v>
      </c>
      <c r="BB3" s="56"/>
      <c r="BC3" s="57"/>
      <c r="BD3" s="58" t="s">
        <v>167</v>
      </c>
      <c r="BE3" s="59"/>
      <c r="BF3" s="58" t="s">
        <v>153</v>
      </c>
      <c r="BG3" s="58" t="s">
        <v>155</v>
      </c>
      <c r="BH3" s="58" t="s">
        <v>158</v>
      </c>
      <c r="BI3" s="58"/>
      <c r="BJ3" s="58"/>
      <c r="BK3" s="59"/>
      <c r="BL3" s="58" t="s">
        <v>234</v>
      </c>
      <c r="BM3" s="58" t="s">
        <v>234</v>
      </c>
      <c r="BN3" s="58" t="s">
        <v>153</v>
      </c>
      <c r="BO3" s="58" t="s">
        <v>234</v>
      </c>
      <c r="BP3" s="58" t="s">
        <v>155</v>
      </c>
      <c r="BQ3" s="58" t="s">
        <v>234</v>
      </c>
      <c r="BR3" s="58" t="s">
        <v>234</v>
      </c>
      <c r="BS3" s="58" t="s">
        <v>158</v>
      </c>
      <c r="BT3" s="58" t="s">
        <v>234</v>
      </c>
      <c r="BU3" s="60"/>
      <c r="BV3" s="61"/>
      <c r="BW3" s="61">
        <v>0</v>
      </c>
      <c r="BX3" s="59"/>
      <c r="CB3" s="5"/>
      <c r="CC3" s="5"/>
      <c r="CD3" s="62">
        <v>0</v>
      </c>
      <c r="CE3" s="62">
        <v>0</v>
      </c>
      <c r="CF3" s="62" t="e">
        <v>#REF!</v>
      </c>
      <c r="CG3" s="75" cm="1">
        <f t="array" ref="CG3">SUMPRODUCT(--(LEN(TRIM(BL3:BT3))&gt;0))</f>
        <v>3</v>
      </c>
      <c r="CH3" s="53" t="str">
        <f>IF(CG3=2,"y","n")</f>
        <v>n</v>
      </c>
      <c r="CI3" s="53" t="str">
        <f>IF(CG3=3,"y","n")</f>
        <v>y</v>
      </c>
      <c r="CJ3" s="53" t="str">
        <f>IF(CG3=4,"y","n")</f>
        <v>n</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"[COL] Quindío"</v>
      </c>
      <c r="CU3" s="63" t="str">
        <f>CHAR(34)&amp;"rgn_"&amp;R3&amp;CHAR(34)</f>
        <v>"rgn_South America"</v>
      </c>
      <c r="CV3" s="44" t="str">
        <f>CHAR(34)&amp;D3&amp;CHAR(34)</f>
        <v>"https://upload.wikimedia.org/wikipedia/commons/thumb/2/29/Flag_of_Quindío.svg/640px-Flag_of_Quindío.svg.png"</v>
      </c>
      <c r="CW3" s="44" t="str">
        <f t="shared" si="0"/>
        <v/>
      </c>
      <c r="CX3" s="44" t="str">
        <f t="shared" si="0"/>
        <v>"3Color",</v>
      </c>
      <c r="CY3" s="44" t="str">
        <f t="shared" si="0"/>
        <v/>
      </c>
      <c r="CZ3" s="44" t="str">
        <f t="shared" si="0"/>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4" t="str">
        <f>CHAR(34)&amp;"start"&amp;IFERROR(LEFT(SUBSTITUTE(A3,"["&amp;MID(A3,FIND("[",A3)+1,FIND("]",A3)-FIND("[",A3)-1)&amp;"] ",""),1),LEFT(A3,1))&amp;CHAR(34)&amp;","</f>
        <v>"startQ",</v>
      </c>
      <c r="DF3" s="44" t="str">
        <f>IFERROR(IF(SEARCH("tan",A3)&gt;0,CHAR(34)&amp;"withtn"&amp;CHAR(34)&amp;",",""),"")</f>
        <v/>
      </c>
      <c r="DG3" s="44" t="str">
        <f>IFERROR(IF(SEARCH("q",A3)&gt;0,CHAR(34)&amp;"with_q"&amp;CHAR(34)&amp;",",""),"")</f>
        <v>"with_q",</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"REELUR",</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"allver",</v>
      </c>
      <c r="DT3" s="5" t="str">
        <f>IF(V3="y",IF(AND(W3="n",BY3&lt;&gt;"y"),CHAR(34)&amp;"allhor"&amp;CHAR(34)&amp;",",""),"")</f>
        <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
      </c>
      <c r="ED3" s="44" t="str">
        <f t="shared" si="2"/>
        <v>"Vertic",</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"Unequa",</v>
      </c>
      <c r="EO3" s="44" t="str">
        <f t="shared" si="3"/>
        <v/>
      </c>
      <c r="EP3" s="44" t="str">
        <f t="shared" si="3"/>
        <v/>
      </c>
      <c r="EQ3" s="44" t="str">
        <f t="shared" si="4"/>
        <v/>
      </c>
      <c r="ER3" s="44" t="str">
        <f t="shared" si="4"/>
        <v>"OnlyBa",</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"NO_WHI",</v>
      </c>
      <c r="FG3" s="44" t="str">
        <f>IF(COUNTIF(BL3:BT3,"RED")=0,CHAR(34)&amp;"NO_RED"&amp;CHAR(34)&amp;",", "")</f>
        <v>"NO_RED",</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"BAWHNO",</v>
      </c>
      <c r="FN3" s="44" t="str">
        <f>IF(AND(FE3&lt;&gt;"",FF3&lt;&gt;""),CHAR(34)&amp;"BLWHNO"&amp;CHAR(34)&amp;",","")</f>
        <v>"BLWHNO",</v>
      </c>
      <c r="FO3" s="44" t="str">
        <f>IF(AND(FE3&lt;&gt;"",FG3&lt;&gt;""),CHAR(34)&amp;"BLRENO"&amp;CHAR(34)&amp;",","")</f>
        <v>"BLRENO",</v>
      </c>
      <c r="FP3" s="44" t="str">
        <f>IF(AND(FF3&lt;&gt;"",FF3&lt;&gt;""),CHAR(34)&amp;"WHRENO"&amp;CHAR(34)&amp;",","")</f>
        <v>"WHRENO",</v>
      </c>
      <c r="FQ3" s="44" t="str">
        <f>IF(LEN(BF3)=3,CHAR(34)&amp;"001"&amp;BF3&amp;CHAR(34)&amp;",","")</f>
        <v>"001GRE",</v>
      </c>
      <c r="FR3" s="44" t="str">
        <f>IF(LEN(BG3)=3,CHAR(34)&amp;"002"&amp;BG3&amp;CHAR(34)&amp;",","")</f>
        <v>"002YEL",</v>
      </c>
      <c r="FS3" s="44" t="str">
        <f>IF(LEN(BH3)=3,CHAR(34)&amp;"003"&amp;BH3&amp;CHAR(34)&amp;",","")</f>
        <v>"003PUR",</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"Department"</v>
      </c>
      <c r="GS3" s="44" t="str">
        <f>SUBSTITUTE("["&amp;_xlfn.CONCAT(CW3:GN3)&amp;"]",",]","]")</f>
        <v>["3Color","lets07","startQ","with_q","REELUR","allver","3Bands","Vertic","Unequa","OnlyBa","NO_BLU","NO_WHI","NO_RED","NO_BLA","BAWHNO","BLWHNO","BLRENO","WHRENO","001GRE","002YEL","003PUR","myrEQ","NoStar"]</v>
      </c>
      <c r="GT3" s="44" t="str">
        <f t="shared" si="6"/>
        <v/>
      </c>
      <c r="GU3" s="44" t="str">
        <f t="shared" si="6"/>
        <v/>
      </c>
      <c r="GV3" s="44" t="str">
        <f t="shared" si="6"/>
        <v>"cl_GRE",</v>
      </c>
      <c r="GW3" s="44" t="str">
        <f t="shared" si="6"/>
        <v/>
      </c>
      <c r="GX3" s="44" t="str">
        <f t="shared" si="6"/>
        <v>"cl_YEL",</v>
      </c>
      <c r="GY3" s="44" t="str">
        <f t="shared" si="6"/>
        <v/>
      </c>
      <c r="GZ3" s="44" t="str">
        <f t="shared" si="6"/>
        <v/>
      </c>
      <c r="HA3" s="44" t="str">
        <f t="shared" si="6"/>
        <v>"cl_PUR",</v>
      </c>
      <c r="HB3" s="44" t="str">
        <f t="shared" si="6"/>
        <v/>
      </c>
      <c r="HC3" s="44" t="str">
        <f>SUBSTITUTE("["&amp;_xlfn.CONCAT(GT3:HB3)&amp;"]",",]","]")</f>
        <v>["cl_GRE","cl_YEL","cl_PUR"]</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links: "https://en.wikipedia.org/wiki/Flag_of_Quindío_Department"},</v>
      </c>
      <c r="HG3" s="66" t="str">
        <f>"{couname:"&amp;CT3&amp;(IF(HK3&lt;&gt;"",",subtype:"&amp;CHAR(34)&amp;HK3&amp;CHAR(34),""))&amp;",year:"&amp;HJ3&amp;",region:"&amp;CU3&amp;",Colors:"&amp;HC3&amp;",Items:"&amp;GS3&amp;",Flag:"&amp;CV3&amp;",HDFlag:"&amp;CHAR(34)&amp;E3&amp;CHAR(34)&amp;",type:"&amp;GP3&amp;", describe: "&amp;HI3&amp;", links: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links: "https://en.wikipedia.org/wiki/Flag_of_Quindío_Department"},</v>
      </c>
      <c r="HH3" s="44" t="str">
        <f>IF(P3&lt;&gt;"",CHAR(34)&amp;"\n"&amp;P3&amp;CHAR(34),CHAR(34)&amp;CHAR(34))</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I3" s="44" t="str">
        <f>IF(J3=0,CHAR(34)&amp;CHAR(34),HH3)</f>
        <v>"\nThe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v>
      </c>
      <c r="HJ3" s="44" t="str">
        <f>CHAR(34)&amp;O3&amp;CHAR(34)</f>
        <v>"???"</v>
      </c>
      <c r="HL3" s="44" t="str">
        <f>CHAR(34)&amp;I3&amp;CHAR(34)</f>
        <v>"https://en.wikipedia.org/wiki/Flag_of_Quindío_Department"</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{"couname":"[COL] Quindío","year":"???","region":"rgn_South America","Colors":["cl_GRE","cl_YEL","cl_PUR"],"Items":["3Color","lets07","startQ","with_q","REELUR","allver","3Bands","Vertic","Unequa","OnlyBa","NO_BLU","NO_WHI","NO_RED","NO_BLA","BAWHNO","BLWHNO","BLRENO","WHRENO","001GRE","002YEL","003PUR","myrEQ","NoStar"],"Flag":"https://upload.wikimedia.org/wikipedia/commons/thumb/2/29/Flag_of_Quindío.svg/640px-Flag_of_Quindío.svg.png","HDFlag":"https://upload.wikimedia.org/wikipedia/commons/thumb/2/29/Flag_of_Quindío.svg/1280px-Flag_of_Quindío.svg.png","type":"Department", "describe": "\nThe green band on the far left of the flag symbolizes the department's natural vegetation and agricultural activities. The yellow band in the middle symbolize the department's contribution to the economy of Colombia. And the purple band on the right of the flag is an expression of maturity. Purple is the color of the coffee bean when it is ready to be picked, coffee being the department's most important product.", "isnew": ".", "links": "https://en.wikipedia.org/wiki/Flag_of_Quindío_Department"},</v>
      </c>
      <c r="HO3" s="71">
        <v>45618</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PUR</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-3</v>
      </c>
      <c r="IN3" s="69" t="str">
        <f>"http://mkweb.bcgsc.ca/color-summarizer/?url="&amp;D3&amp;"&amp;precision=low&amp;num_clusters="&amp;CG3&amp;"&amp;text=1"</f>
        <v>http://mkweb.bcgsc.ca/color-summarizer/?url=https://upload.wikimedia.org/wikipedia/commons/thumb/2/29/Flag_of_Quindío.svg/640px-Flag_of_Quindío.svg.png&amp;precision=low&amp;num_clusters=3&amp;text=1</v>
      </c>
      <c r="IO3" s="44" t="str">
        <f>IF(HP3&lt;&gt;"",CHAR(34)&amp;"black"&amp;CHAR(34),"")</f>
        <v/>
      </c>
      <c r="IP3" s="44" t="str">
        <f>IF(HQ3&lt;&gt;"",CHAR(34)&amp;"blue"&amp;CHAR(34),"")</f>
        <v/>
      </c>
      <c r="IQ3" s="44" t="str">
        <f>IF(HR3&lt;&gt;"",CHAR(34)&amp;"green"&amp;CHAR(34),"")</f>
        <v>"green"</v>
      </c>
      <c r="IR3" s="44" t="str">
        <f>IF(HS3&lt;&gt;"",CHAR(34)&amp;"red"&amp;CHAR(34),"")</f>
        <v/>
      </c>
      <c r="IS3" s="44" t="str">
        <f>IF(HT3&lt;&gt;"",CHAR(34)&amp;"yellow"&amp;CHAR(34),"")</f>
        <v>"yellow"</v>
      </c>
      <c r="IT3" s="44" t="str">
        <f>IF(HU3&lt;&gt;"",CHAR(34)&amp;"orange"&amp;CHAR(34),"")</f>
        <v/>
      </c>
      <c r="IU3" s="44" t="str">
        <f>IF(HV3&lt;&gt;"",CHAR(34)&amp;"brown"&amp;CHAR(34),"")</f>
        <v/>
      </c>
      <c r="IV3" s="44" t="str">
        <f>IF(HW3&lt;&gt;"",CHAR(34)&amp;"purple"&amp;CHAR(34),"")</f>
        <v>"purple"</v>
      </c>
      <c r="IW3" s="44" t="str">
        <f>IF(HX3&lt;&gt;"",CHAR(34)&amp;"white"&amp;CHAR(34),"")</f>
        <v/>
      </c>
      <c r="IX3" s="44" t="str">
        <f>"{"&amp;CHAR(34)&amp;"url"&amp;CHAR(34)&amp;":"&amp;CHAR(34)&amp;IN3&amp;CHAR(34)&amp;","&amp;CHAR(34)&amp;"name"&amp;CHAR(34)&amp;":"&amp;CHAR(34)&amp;A3&amp;CHAR(34)&amp;"},"</f>
        <v>{"url":"http://mkweb.bcgsc.ca/color-summarizer/?url=https://upload.wikimedia.org/wikipedia/commons/thumb/2/29/Flag_of_Quindío.svg/640px-Flag_of_Quindío.svg.png&amp;precision=low&amp;num_clusters=3&amp;text=1","name":"[COL] Quindío"},</v>
      </c>
      <c r="IY3" s="44">
        <v>971</v>
      </c>
    </row>
    <row r="4" spans="1:259" s="44" customFormat="1" ht="38.4" customHeight="1" thickBot="1" x14ac:dyDescent="0.35">
      <c r="A4" s="84" t="s">
        <v>471</v>
      </c>
      <c r="B4" s="83" t="e" vm="72">
        <v>#VALUE!</v>
      </c>
      <c r="C4" s="39">
        <v>2</v>
      </c>
      <c r="D4" s="70" t="s">
        <v>472</v>
      </c>
      <c r="E4" s="40" t="s">
        <v>473</v>
      </c>
      <c r="F4" s="41" t="s">
        <v>163</v>
      </c>
      <c r="G4" s="42">
        <f>COUNTIF($A$1:$A$8282,A4)</f>
        <v>1</v>
      </c>
      <c r="H4" s="43"/>
      <c r="I4" s="59" t="s">
        <v>474</v>
      </c>
      <c r="J4" s="44" t="str">
        <f>""</f>
        <v/>
      </c>
      <c r="K4" s="45"/>
      <c r="L4" s="46"/>
      <c r="M4" s="46"/>
      <c r="N4" s="47" t="s">
        <v>177</v>
      </c>
      <c r="O4" s="74" t="s">
        <v>233</v>
      </c>
      <c r="P4" s="48" t="s">
        <v>414</v>
      </c>
      <c r="Q4" s="73">
        <v>4</v>
      </c>
      <c r="R4" s="49" t="s">
        <v>177</v>
      </c>
      <c r="S4" s="50">
        <v>2</v>
      </c>
      <c r="T4" s="51" t="s">
        <v>165</v>
      </c>
      <c r="U4" s="52" t="s">
        <v>165</v>
      </c>
      <c r="V4" s="52" t="s">
        <v>164</v>
      </c>
      <c r="W4" s="52" t="s">
        <v>164</v>
      </c>
      <c r="X4" s="52" t="s">
        <v>164</v>
      </c>
      <c r="Y4" s="52" t="s">
        <v>164</v>
      </c>
      <c r="Z4" s="52" t="s">
        <v>164</v>
      </c>
      <c r="AA4" s="52" t="s">
        <v>164</v>
      </c>
      <c r="AB4" s="52" t="s">
        <v>164</v>
      </c>
      <c r="AC4" s="52" t="s">
        <v>164</v>
      </c>
      <c r="AD4" s="52" t="s">
        <v>164</v>
      </c>
      <c r="AE4" s="52" t="s">
        <v>164</v>
      </c>
      <c r="AF4" s="53" t="s">
        <v>165</v>
      </c>
      <c r="AG4" s="53" t="s">
        <v>164</v>
      </c>
      <c r="AH4" s="53" t="s">
        <v>165</v>
      </c>
      <c r="AI4" s="53" t="s">
        <v>164</v>
      </c>
      <c r="AJ4" s="53" t="s">
        <v>164</v>
      </c>
      <c r="AK4" s="53" t="s">
        <v>165</v>
      </c>
      <c r="AL4" s="53" t="s">
        <v>164</v>
      </c>
      <c r="AM4" s="53" t="s">
        <v>164</v>
      </c>
      <c r="AN4" s="53" t="s">
        <v>164</v>
      </c>
      <c r="AO4" s="53" t="s">
        <v>164</v>
      </c>
      <c r="AP4" s="53" t="s">
        <v>164</v>
      </c>
      <c r="AQ4" s="53" t="s">
        <v>164</v>
      </c>
      <c r="AR4" s="53" t="s">
        <v>165</v>
      </c>
      <c r="AS4" s="53" t="s">
        <v>164</v>
      </c>
      <c r="AT4" s="54">
        <v>0</v>
      </c>
      <c r="AU4" s="53" t="s">
        <v>475</v>
      </c>
      <c r="AV4" s="53" t="str">
        <f>IF(LEFT(A4,1)="[",LEFT(A4,5)&amp;AU4&amp;A4,"")</f>
        <v>[COL]Department[COL] San Andres and Providencia</v>
      </c>
      <c r="AW4" s="53" t="str">
        <f>C4&amp;A4</f>
        <v>2[COL] San Andres and Providencia</v>
      </c>
      <c r="AX4" s="55" t="str">
        <f>_xlfn.TEXTJOIN(";",TRUE,AU4:AW4)</f>
        <v>Department;[COL]Department[COL] San Andres and Providencia;2[COL] San Andres and Providencia</v>
      </c>
      <c r="AY4" s="55"/>
      <c r="AZ4" s="56"/>
      <c r="BA4" s="56"/>
      <c r="BB4" s="56"/>
      <c r="BC4" s="57"/>
      <c r="BD4" s="58" t="s">
        <v>152</v>
      </c>
      <c r="BE4" s="59"/>
      <c r="BF4" s="58"/>
      <c r="BG4" s="58"/>
      <c r="BH4" s="58"/>
      <c r="BI4" s="58" t="s">
        <v>159</v>
      </c>
      <c r="BJ4" s="58"/>
      <c r="BK4" s="59"/>
      <c r="BL4" s="58" t="s">
        <v>152</v>
      </c>
      <c r="BM4" s="58" t="s">
        <v>159</v>
      </c>
      <c r="BN4" s="58"/>
      <c r="BO4" s="58"/>
      <c r="BP4" s="58"/>
      <c r="BQ4" s="58"/>
      <c r="BR4" s="58"/>
      <c r="BS4" s="58"/>
      <c r="BT4" s="58"/>
      <c r="BU4" s="60"/>
      <c r="BV4" s="61"/>
      <c r="BW4" s="61">
        <v>0</v>
      </c>
      <c r="BX4" s="59"/>
      <c r="BY4" s="44" t="s">
        <v>165</v>
      </c>
      <c r="CB4" s="5"/>
      <c r="CC4" s="5"/>
      <c r="CD4" s="62">
        <v>0</v>
      </c>
      <c r="CE4" s="62">
        <v>0</v>
      </c>
      <c r="CF4" s="62" t="e">
        <v>#REF!</v>
      </c>
      <c r="CG4" s="75" cm="1">
        <f t="array" ref="CG4">SUMPRODUCT(--(LEN(TRIM(BL4:BT4))&gt;0))</f>
        <v>2</v>
      </c>
      <c r="CH4" s="53" t="str">
        <f>IF(CG4=2,"y","n")</f>
        <v>y</v>
      </c>
      <c r="CI4" s="53" t="str">
        <f>IF(CG4=3,"y","n")</f>
        <v>n</v>
      </c>
      <c r="CJ4" s="53" t="str">
        <f>IF(CG4=4,"y","n")</f>
        <v>n</v>
      </c>
      <c r="CK4" s="53" t="str">
        <f>IF(CG4&gt;4,"y","n")</f>
        <v>n</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"[COL] San Andres and Providencia"</v>
      </c>
      <c r="CU4" s="63" t="str">
        <f>CHAR(34)&amp;"rgn_"&amp;R4&amp;CHAR(34)</f>
        <v>"rgn_South America"</v>
      </c>
      <c r="CV4" s="44" t="str">
        <f>CHAR(34)&amp;D4&amp;CHAR(34)</f>
        <v>"https://upload.wikimedia.org/wikipedia/commons/thumb/3/36/Flag_of_San_Andr%C3%A9s_y_Providencia.svg/300px-Flag_of_San_Andr%C3%A9s_y_Providencia.svg.png"</v>
      </c>
      <c r="CW4" s="44" t="str">
        <f t="shared" si="0"/>
        <v>"2Color",</v>
      </c>
      <c r="CX4" s="44" t="str">
        <f t="shared" si="0"/>
        <v/>
      </c>
      <c r="CY4" s="44" t="str">
        <f t="shared" si="0"/>
        <v/>
      </c>
      <c r="CZ4" s="44" t="str">
        <f t="shared" si="0"/>
        <v/>
      </c>
      <c r="DA4" s="44" t="str">
        <f>IF(Q4&gt;1,CHAR(34)&amp;"words2"&amp;CHAR(34)&amp;",","")</f>
        <v>"words2",</v>
      </c>
      <c r="DB4" s="44" t="str">
        <f>IF(Q4&gt;2,CHAR(34)&amp;"words3"&amp;CHAR(34)&amp;",","")</f>
        <v>"words3",</v>
      </c>
      <c r="DC4" s="44" t="str">
        <f>IF(Q4=2,CHAR(34)&amp;"exact2"&amp;CHAR(34)&amp;",","")</f>
        <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"lets23",</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"startS",</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"BLUWHI",</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"dgband",</v>
      </c>
      <c r="DS4" s="5" t="str">
        <f>IF(W4="y",IF(AND(V4="n",BY4&lt;&gt;"y"),CHAR(34)&amp;"allver"&amp;CHAR(34)&amp;",",""),"")</f>
        <v/>
      </c>
      <c r="DT4" s="5" t="str">
        <f>IF(V4="y",IF(AND(W4="n",BY4&lt;&gt;"y"),CHAR(34)&amp;"allhor"&amp;CHAR(34)&amp;",",""),"")</f>
        <v/>
      </c>
      <c r="DU4" s="5" t="str">
        <f>IF(BY4="y",IF(AND(W4="n",V4="n"),CHAR(34)&amp;"alldia"&amp;CHAR(34)&amp;",",""),"")</f>
        <v>"alldia",</v>
      </c>
      <c r="DV4" s="44" t="str">
        <f>IF(IA4&lt;&gt;"",(IF(IA4="y",CHAR(34)&amp;"largec"&amp;CHAR(34)&amp;",",CHAR(34)&amp;"smallc"&amp;CHAR(34)&amp;",")),"")</f>
        <v>"largec",</v>
      </c>
      <c r="DW4" s="44" t="str">
        <f t="shared" si="1"/>
        <v/>
      </c>
      <c r="DX4" s="44" t="str">
        <f t="shared" si="1"/>
        <v>"2Bands",</v>
      </c>
      <c r="DY4" s="44" t="str">
        <f t="shared" si="1"/>
        <v/>
      </c>
      <c r="DZ4" s="44" t="str">
        <f t="shared" si="1"/>
        <v/>
      </c>
      <c r="EA4" s="44" t="str">
        <f t="shared" si="2"/>
        <v>"Diagon",</v>
      </c>
      <c r="EB4" s="44" t="str">
        <f t="shared" si="2"/>
        <v>"Crosse",</v>
      </c>
      <c r="EC4" s="44" t="str">
        <f t="shared" si="2"/>
        <v/>
      </c>
      <c r="ED4" s="44" t="str">
        <f t="shared" si="2"/>
        <v/>
      </c>
      <c r="EE4" s="44" t="str">
        <f t="shared" si="2"/>
        <v/>
      </c>
      <c r="EF4" s="44" t="str">
        <f>IF(AND(Y4&lt;&gt;"n",Y4&lt;&gt;""),CHAR(34)&amp;Y$1&amp;CHAR(34)&amp;",","")</f>
        <v/>
      </c>
      <c r="EG4" s="44" t="str">
        <f t="shared" si="3"/>
        <v/>
      </c>
      <c r="EH4" s="44" t="str">
        <f t="shared" si="3"/>
        <v/>
      </c>
      <c r="EI4" s="44" t="str">
        <f t="shared" si="3"/>
        <v/>
      </c>
      <c r="EJ4" s="44" t="str">
        <f t="shared" si="3"/>
        <v/>
      </c>
      <c r="EK4" s="44" t="str">
        <f t="shared" si="3"/>
        <v/>
      </c>
      <c r="EL4" s="44" t="str">
        <f t="shared" si="3"/>
        <v/>
      </c>
      <c r="EM4" s="44" t="str">
        <f t="shared" si="3"/>
        <v>"Trside",</v>
      </c>
      <c r="EN4" s="44" t="str">
        <f t="shared" si="3"/>
        <v/>
      </c>
      <c r="EO4" s="44" t="str">
        <f t="shared" si="3"/>
        <v>"Center",</v>
      </c>
      <c r="EP4" s="44" t="str">
        <f t="shared" si="3"/>
        <v/>
      </c>
      <c r="EQ4" s="44" t="str">
        <f t="shared" si="4"/>
        <v/>
      </c>
      <c r="ER4" s="44" t="str">
        <f t="shared" si="4"/>
        <v>"OnlyBa",</v>
      </c>
      <c r="ES4" s="44" t="str">
        <f t="shared" si="4"/>
        <v/>
      </c>
      <c r="ET4" s="44" t="str">
        <f t="shared" si="4"/>
        <v/>
      </c>
      <c r="EU4" s="44" t="str">
        <f t="shared" si="4"/>
        <v/>
      </c>
      <c r="EV4" s="44" t="str">
        <f t="shared" si="4"/>
        <v/>
      </c>
      <c r="EW4" s="44" t="str">
        <f t="shared" si="4"/>
        <v/>
      </c>
      <c r="EX4" s="44" t="str">
        <f t="shared" si="4"/>
        <v/>
      </c>
      <c r="EY4" s="44" t="str">
        <f t="shared" si="4"/>
        <v>"Rotate",</v>
      </c>
      <c r="EZ4" s="44" t="str">
        <f t="shared" si="4"/>
        <v/>
      </c>
      <c r="FA4" s="44" t="str">
        <f>IF(AT4&gt;0,CHAR(34)&amp;"sta"&amp;AZ4&amp;CHAR(34)&amp;",","")</f>
        <v/>
      </c>
      <c r="FB4" s="44" t="str">
        <f>IF(AND(AT4&gt;0,BA4&lt;&gt;""),CHAR(34)&amp;"sta"&amp;BA4&amp;CHAR(34)&amp;",","")</f>
        <v/>
      </c>
      <c r="FC4" s="44" t="str">
        <f>IF(AND(AT4&gt;0,BB4&lt;&gt;""),CHAR(34)&amp;"sta"&amp;BB4&amp;CHAR(34)&amp;",","")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"NO_RED",</v>
      </c>
      <c r="FH4" s="44" t="str">
        <f>IF(COUNTIF(BL4:BS4,"GRE")=0,CHAR(34)&amp;"NO_GRE"&amp;CHAR(34)&amp;",", "")</f>
        <v>"NO_GRE",</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
      </c>
      <c r="FR4" s="44" t="str">
        <f>IF(LEN(BG4)=3,CHAR(34)&amp;"002"&amp;BG4&amp;CHAR(34)&amp;",","")</f>
        <v/>
      </c>
      <c r="FS4" s="44" t="str">
        <f>IF(LEN(BH4)=3,CHAR(34)&amp;"003"&amp;BH4&amp;CHAR(34)&amp;",","")</f>
        <v/>
      </c>
      <c r="FT4" s="44" t="str">
        <f>CHAR(34)&amp;"myr"&amp;BD4&amp;CHAR(34)&amp;","</f>
        <v>"myrBLU",</v>
      </c>
      <c r="FU4" s="44" t="str">
        <f>IF(AY4="y",CHAR(34)&amp;"island"&amp;CHAR(34)&amp;",","")</f>
        <v/>
      </c>
      <c r="FV4" s="44" t="str">
        <f>IF(BZ4="y",CHAR(34)&amp;"landlo"&amp;CHAR(34)&amp;",","")</f>
        <v/>
      </c>
      <c r="FW4" s="44" t="str">
        <f>IF(CA4="y",CHAR(34)&amp;"eunion"&amp;CHAR(34)&amp;",","")</f>
        <v/>
      </c>
      <c r="FX4" s="44" t="str">
        <f>SUBSTITUTE(IFERROR(SEARCH("[",A4),IFERROR(IF(AND(CA4&lt;&gt;"y",SEARCH("Europe",R4)&gt;0),CHAR(34)&amp;"noeuni"&amp;CHAR(34)&amp;",",""),"")),"1","")</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C4" s="44" t="str">
        <f>IFERROR(IF(SEARCH("Portuguese",CB4)&gt;0,CHAR(34)&amp;"portug"&amp;CHAR(34)&amp;",",""),"")</f>
        <v/>
      </c>
      <c r="GD4" s="44" t="str">
        <f>IFERROR(IF(SEARCH("German",CB4)&gt;0,CHAR(34)&amp;"german"&amp;CHAR(34)&amp;",",""),"")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 t="shared" si="5"/>
        <v/>
      </c>
      <c r="GM4" s="44" t="str">
        <f t="shared" si="5"/>
        <v/>
      </c>
      <c r="GN4" s="44" t="str">
        <f t="shared" si="5"/>
        <v/>
      </c>
      <c r="GP4" s="44" t="str">
        <f>CHAR(34)&amp;AU4&amp;CHAR(34)</f>
        <v>"Department"</v>
      </c>
      <c r="GS4" s="44" t="str">
        <f>SUBSTITUTE("["&amp;_xlfn.CONCAT(CW4:GN4)&amp;"]",",]","]")</f>
        <v>["2Color","words2","words3","lets23","startS","with_v","BLUWHI","dgband","alldia","largec","2Bands","Diagon","Crosse","Trside","Center","OnlyBa","Rotate","NO_RED","NO_GRE","NO_YEL","NO_BLA","myrBLU","NoStar"]</v>
      </c>
      <c r="GT4" s="44" t="str">
        <f t="shared" si="6"/>
        <v>"cl_BLU",</v>
      </c>
      <c r="GU4" s="44" t="str">
        <f t="shared" si="6"/>
        <v>"cl_WHI",</v>
      </c>
      <c r="GV4" s="44" t="str">
        <f t="shared" si="6"/>
        <v/>
      </c>
      <c r="GW4" s="44" t="str">
        <f t="shared" si="6"/>
        <v/>
      </c>
      <c r="GX4" s="44" t="str">
        <f t="shared" si="6"/>
        <v/>
      </c>
      <c r="GY4" s="44" t="str">
        <f t="shared" si="6"/>
        <v/>
      </c>
      <c r="GZ4" s="44" t="str">
        <f t="shared" si="6"/>
        <v/>
      </c>
      <c r="HA4" s="44" t="str">
        <f t="shared" si="6"/>
        <v/>
      </c>
      <c r="HB4" s="44" t="str">
        <f t="shared" si="6"/>
        <v/>
      </c>
      <c r="HC4" s="44" t="str">
        <f>SUBSTITUTE("["&amp;_xlfn.CONCAT(GT4:HB4)&amp;"]",",]","]")</f>
        <v>["cl_BLU","cl_WHI"]</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links: "https://en.wikipedia.org/wiki/Archipelago_of_San_Andrés,_Providencia_and_Santa_Catalina"},</v>
      </c>
      <c r="HG4" s="66" t="str">
        <f>"{couname:"&amp;CT4&amp;(IF(HK4&lt;&gt;"",",subtype:"&amp;CHAR(34)&amp;HK4&amp;CHAR(34),""))&amp;",year:"&amp;HJ4&amp;",region:"&amp;CU4&amp;",Colors:"&amp;HC4&amp;",Items:"&amp;GS4&amp;",Flag:"&amp;CV4&amp;",HDFlag:"&amp;CHAR(34)&amp;E4&amp;CHAR(34)&amp;",type:"&amp;GP4&amp;", describe: "&amp;HI4&amp;", links: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links: "https://en.wikipedia.org/wiki/Archipelago_of_San_Andrés,_Providencia_and_Santa_Catalina"},</v>
      </c>
      <c r="HH4" s="44" t="str">
        <f>IF(P4&lt;&gt;"",CHAR(34)&amp;"\n"&amp;P4&amp;CHAR(34),CHAR(34)&amp;CHAR(34))</f>
        <v>"\nNot available"</v>
      </c>
      <c r="HI4" s="44" t="str">
        <f>IF(J4=0,CHAR(34)&amp;CHAR(34),HH4)</f>
        <v>"\nNot available"</v>
      </c>
      <c r="HJ4" s="44" t="str">
        <f>CHAR(34)&amp;O4&amp;CHAR(34)</f>
        <v>"???"</v>
      </c>
      <c r="HL4" s="44" t="str">
        <f>CHAR(34)&amp;I4&amp;CHAR(34)</f>
        <v>"https://en.wikipedia.org/wiki/Archipelago_of_San_Andrés,_Providencia_and_Santa_Catalina"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{"couname":"[COL] San Andres and Providencia","year":"???","region":"rgn_South America","Colors":["cl_BLU","cl_WHI"],"Items":["2Color","words2","words3","lets23","startS","with_v","BLUWHI","dgband","alldia","largec","2Bands","Diagon","Crosse","Trside","Center","OnlyBa","Rotate","NO_RED","NO_GRE","NO_YEL","NO_BLA","myrBLU","NoStar"],"Flag":"https://upload.wikimedia.org/wikipedia/commons/thumb/3/36/Flag_of_San_Andr%C3%A9s_y_Providencia.svg/300px-Flag_of_San_Andr%C3%A9s_y_Providencia.svg.png","HDFlag":"https://upload.wikimedia.org/wikipedia/commons/thumb/3/36/Flag_of_San_Andr%C3%A9s_y_Providencia.svg/2560px-Flag_of_San_Andr%C3%A9s_y_Providencia.svg.png","type":"Department", "describe": "\nNot available", "isnew": ".", "links": "https://en.wikipedia.org/wiki/Archipelago_of_San_Andrés,_Providencia_and_Santa_Catalina"},</v>
      </c>
      <c r="HO4" s="71"/>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t="s">
        <v>165</v>
      </c>
      <c r="IB4" s="5"/>
      <c r="IC4" s="68"/>
      <c r="ID4" s="68"/>
      <c r="IE4" s="68"/>
      <c r="IF4" s="68"/>
      <c r="IG4" s="68"/>
      <c r="IH4" s="68"/>
      <c r="II4" s="68"/>
      <c r="IJ4" s="68"/>
      <c r="IK4" s="68"/>
      <c r="IL4" s="44">
        <f>SUM(IC4:IK4)</f>
        <v>0</v>
      </c>
      <c r="IM4" s="42">
        <f>COUNTIF(IC4:IK4,"&gt;0")-CG4</f>
        <v>-2</v>
      </c>
      <c r="IN4" s="69" t="str">
        <f>"http://mkweb.bcgsc.ca/color-summarizer/?url="&amp;D4&amp;"&amp;precision=low&amp;num_clusters="&amp;CG4&amp;"&amp;text=1"</f>
        <v>http://mkweb.bcgsc.ca/color-summarizer/?url=https://upload.wikimedia.org/wikipedia/commons/thumb/3/36/Flag_of_San_Andr%C3%A9s_y_Providencia.svg/300px-Flag_of_San_Andr%C3%A9s_y_Providencia.svg.png&amp;precision=low&amp;num_clusters=2&amp;text=1</v>
      </c>
      <c r="IO4" s="44" t="str">
        <f>IF(HP4&lt;&gt;"",CHAR(34)&amp;"black"&amp;CHAR(34),"")</f>
        <v/>
      </c>
      <c r="IP4" s="44" t="str">
        <f>IF(HQ4&lt;&gt;"",CHAR(34)&amp;"blue"&amp;CHAR(34),"")</f>
        <v>"blue"</v>
      </c>
      <c r="IQ4" s="44" t="str">
        <f>IF(HR4&lt;&gt;"",CHAR(34)&amp;"green"&amp;CHAR(34),"")</f>
        <v/>
      </c>
      <c r="IR4" s="44" t="str">
        <f>IF(HS4&lt;&gt;"",CHAR(34)&amp;"red"&amp;CHAR(34),"")</f>
        <v/>
      </c>
      <c r="IS4" s="44" t="str">
        <f>IF(HT4&lt;&gt;"",CHAR(34)&amp;"yellow"&amp;CHAR(34),"")</f>
        <v/>
      </c>
      <c r="IT4" s="44" t="str">
        <f>IF(HU4&lt;&gt;"",CHAR(34)&amp;"orange"&amp;CHAR(34),"")</f>
        <v/>
      </c>
      <c r="IU4" s="44" t="str">
        <f>IF(HV4&lt;&gt;"",CHAR(34)&amp;"brown"&amp;CHAR(34),"")</f>
        <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{"url":"http://mkweb.bcgsc.ca/color-summarizer/?url=https://upload.wikimedia.org/wikipedia/commons/thumb/3/36/Flag_of_San_Andr%C3%A9s_y_Providencia.svg/300px-Flag_of_San_Andr%C3%A9s_y_Providencia.svg.png&amp;precision=low&amp;num_clusters=2&amp;text=1","name":"[COL] San Andres and Providencia"},</v>
      </c>
      <c r="IY4" s="44">
        <v>377</v>
      </c>
    </row>
    <row r="5" spans="1:259" s="44" customFormat="1" ht="38.4" customHeight="1" thickBot="1" x14ac:dyDescent="0.35">
      <c r="A5" s="85" t="s">
        <v>476</v>
      </c>
      <c r="B5" s="83" t="e" vm="73">
        <v>#VALUE!</v>
      </c>
      <c r="C5" s="39">
        <v>3</v>
      </c>
      <c r="D5" s="70" t="s">
        <v>477</v>
      </c>
      <c r="E5" s="40" t="s">
        <v>478</v>
      </c>
      <c r="F5" s="41" t="s">
        <v>163</v>
      </c>
      <c r="G5" s="42">
        <f>COUNTIF($A$1:$A$8282,A5)</f>
        <v>1</v>
      </c>
      <c r="H5" s="43" t="s">
        <v>1662</v>
      </c>
      <c r="I5" s="59" t="s">
        <v>479</v>
      </c>
      <c r="J5" s="44" t="str">
        <f>""</f>
        <v/>
      </c>
      <c r="K5" s="45"/>
      <c r="L5" s="46"/>
      <c r="M5" s="46"/>
      <c r="N5" s="47" t="s">
        <v>177</v>
      </c>
      <c r="O5" s="74" t="s">
        <v>233</v>
      </c>
      <c r="P5" s="48" t="s">
        <v>414</v>
      </c>
      <c r="Q5" s="73">
        <v>1</v>
      </c>
      <c r="R5" s="49" t="s">
        <v>177</v>
      </c>
      <c r="S5" s="50">
        <v>2</v>
      </c>
      <c r="T5" s="51" t="s">
        <v>164</v>
      </c>
      <c r="U5" s="52" t="s">
        <v>165</v>
      </c>
      <c r="V5" s="52" t="s">
        <v>165</v>
      </c>
      <c r="W5" s="52" t="s">
        <v>165</v>
      </c>
      <c r="X5" s="52" t="s">
        <v>164</v>
      </c>
      <c r="Y5" s="52" t="s">
        <v>164</v>
      </c>
      <c r="Z5" s="52" t="s">
        <v>164</v>
      </c>
      <c r="AA5" s="52" t="s">
        <v>164</v>
      </c>
      <c r="AB5" s="52" t="s">
        <v>164</v>
      </c>
      <c r="AC5" s="52" t="s">
        <v>164</v>
      </c>
      <c r="AD5" s="52" t="s">
        <v>164</v>
      </c>
      <c r="AE5" s="52" t="s">
        <v>164</v>
      </c>
      <c r="AF5" s="53" t="s">
        <v>164</v>
      </c>
      <c r="AG5" s="53" t="s">
        <v>164</v>
      </c>
      <c r="AH5" s="53" t="s">
        <v>164</v>
      </c>
      <c r="AI5" s="53" t="s">
        <v>164</v>
      </c>
      <c r="AJ5" s="53" t="s">
        <v>165</v>
      </c>
      <c r="AK5" s="53" t="s">
        <v>165</v>
      </c>
      <c r="AL5" s="53" t="s">
        <v>164</v>
      </c>
      <c r="AM5" s="53" t="s">
        <v>164</v>
      </c>
      <c r="AN5" s="53" t="s">
        <v>164</v>
      </c>
      <c r="AO5" s="53" t="s">
        <v>164</v>
      </c>
      <c r="AP5" s="53" t="s">
        <v>164</v>
      </c>
      <c r="AQ5" s="53" t="s">
        <v>164</v>
      </c>
      <c r="AR5" s="53" t="s">
        <v>164</v>
      </c>
      <c r="AS5" s="53" t="s">
        <v>164</v>
      </c>
      <c r="AT5" s="54">
        <v>0</v>
      </c>
      <c r="AU5" s="53" t="s">
        <v>306</v>
      </c>
      <c r="AV5" s="53" t="str">
        <f>IF(LEFT(A5,1)="[",LEFT(A5,5)&amp;AU5&amp;A5,"")</f>
        <v>[COL]Municipality[COL] Andalucia</v>
      </c>
      <c r="AW5" s="53" t="str">
        <f>C5&amp;A5</f>
        <v>3[COL] Andalucia</v>
      </c>
      <c r="AX5" s="55"/>
      <c r="AY5" s="55"/>
      <c r="AZ5" s="56"/>
      <c r="BA5" s="56"/>
      <c r="BB5" s="56"/>
      <c r="BC5" s="57"/>
      <c r="BD5" s="58" t="s">
        <v>159</v>
      </c>
      <c r="BE5" s="59"/>
      <c r="BF5" s="58"/>
      <c r="BG5" s="58"/>
      <c r="BH5" s="58"/>
      <c r="BI5" s="58" t="s">
        <v>152</v>
      </c>
      <c r="BJ5" s="58"/>
      <c r="BK5" s="59"/>
      <c r="BL5" s="58" t="s">
        <v>159</v>
      </c>
      <c r="BM5" s="58" t="s">
        <v>152</v>
      </c>
      <c r="BN5" s="58"/>
      <c r="BO5" s="58"/>
      <c r="BP5" s="58"/>
      <c r="BQ5" s="58"/>
      <c r="BR5" s="58"/>
      <c r="BS5" s="58"/>
      <c r="BT5" s="58"/>
      <c r="BU5" s="60"/>
      <c r="BV5" s="61"/>
      <c r="BW5" s="61">
        <v>0</v>
      </c>
      <c r="BX5" s="59"/>
      <c r="CB5" s="5"/>
      <c r="CC5" s="5"/>
      <c r="CD5" s="62">
        <v>0</v>
      </c>
      <c r="CE5" s="62">
        <v>0</v>
      </c>
      <c r="CF5" s="62" t="e">
        <v>#REF!</v>
      </c>
      <c r="CG5" s="75" cm="1">
        <f t="array" ref="CG5">SUMPRODUCT(--(LEN(TRIM(BL5:BT5))&gt;0))</f>
        <v>2</v>
      </c>
      <c r="CH5" s="53" t="str">
        <f>IF(CG5=2,"y","n")</f>
        <v>y</v>
      </c>
      <c r="CI5" s="53" t="str">
        <f>IF(CG5=3,"y","n")</f>
        <v>n</v>
      </c>
      <c r="CJ5" s="53" t="str">
        <f>IF(CG5=4,"y","n")</f>
        <v>n</v>
      </c>
      <c r="CK5" s="53" t="str">
        <f>IF(CG5&gt;4,"y","n")</f>
        <v>n</v>
      </c>
      <c r="CL5" s="53" t="str">
        <f>IF(S5=0,"y","n")</f>
        <v>n</v>
      </c>
      <c r="CM5" s="53" t="str">
        <f>IF(S5=2,"y","n")</f>
        <v>y</v>
      </c>
      <c r="CN5" s="53" t="str">
        <f>IF(S5=3,"y","n")</f>
        <v>n</v>
      </c>
      <c r="CO5" s="53" t="str">
        <f>IF(S5&gt;=4,"y","n")</f>
        <v>n</v>
      </c>
      <c r="CP5" s="53" t="str">
        <f>IF(AT5=0,"y","n")</f>
        <v>y</v>
      </c>
      <c r="CQ5" s="53" t="str">
        <f>IF(AT5=1,"y","n")</f>
        <v>n</v>
      </c>
      <c r="CR5" s="53" t="str">
        <f>IF(AT5=2,"y","n")</f>
        <v>n</v>
      </c>
      <c r="CS5" s="53" t="str">
        <f>IF(AT5&gt;=3,"y","n")</f>
        <v>n</v>
      </c>
      <c r="CT5" s="38" t="str">
        <f>CHAR(34)&amp;A5&amp;CHAR(34)</f>
        <v>"[COL] Andalucia"</v>
      </c>
      <c r="CU5" s="63" t="str">
        <f>CHAR(34)&amp;"rgn_"&amp;R5&amp;CHAR(34)</f>
        <v>"rgn_South America"</v>
      </c>
      <c r="CV5" s="44" t="str">
        <f>CHAR(34)&amp;D5&amp;CHAR(34)</f>
        <v>"https://upload.wikimedia.org/wikipedia/en/thumb/2/2f/Flag_of_Andaluc%C3%ADa_%28Col%C3%B3mbia%29.svg/640px-Flag_of_Andaluc%C3%ADa_%28Col%C3%B3mbia%29.svg.png"</v>
      </c>
      <c r="CW5" s="44" t="str">
        <f t="shared" si="0"/>
        <v>"2Color",</v>
      </c>
      <c r="CX5" s="44" t="str">
        <f t="shared" si="0"/>
        <v/>
      </c>
      <c r="CY5" s="44" t="str">
        <f t="shared" si="0"/>
        <v/>
      </c>
      <c r="CZ5" s="44" t="str">
        <f t="shared" si="0"/>
        <v/>
      </c>
      <c r="DA5" s="44" t="str">
        <f>IF(Q5&gt;1,CHAR(34)&amp;"words2"&amp;CHAR(34)&amp;",","")</f>
        <v/>
      </c>
      <c r="DB5" s="44" t="str">
        <f>IF(Q5&gt;2,CHAR(34)&amp;"words3"&amp;CHAR(34)&amp;",","")</f>
        <v/>
      </c>
      <c r="DC5" s="44" t="str">
        <f>IF(Q5=2,CHAR(34)&amp;"exact2"&amp;CHAR(34)&amp;",","")</f>
        <v/>
      </c>
      <c r="DD5" s="44"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"lets09",</v>
      </c>
      <c r="DE5" s="44"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"startA",</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"BLUWHI",</v>
      </c>
      <c r="DM5" s="44" t="str" cm="1">
        <f t="array" ref="DM5">IF(CG5=3,CHAR(34) &amp; _xlfn.TEXTJOIN("", TRUE, RIGHT(HP5:HX5, 2)) &amp; CHAR(34) &amp; ",", "")</f>
        <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
      </c>
      <c r="DU5" s="5" t="str">
        <f>IF(BY5="y",IF(AND(W5="n",V5="n"),CHAR(34)&amp;"alldia"&amp;CHAR(34)&amp;",",""),"")</f>
        <v/>
      </c>
      <c r="DV5" s="44" t="str">
        <f>IF(IA5&lt;&gt;"",(IF(IA5="y",CHAR(34)&amp;"largec"&amp;CHAR(34)&amp;",",CHAR(34)&amp;"smallc"&amp;CHAR(34)&amp;",")),"")</f>
        <v>"largec",</v>
      </c>
      <c r="DW5" s="44" t="str">
        <f t="shared" si="1"/>
        <v/>
      </c>
      <c r="DX5" s="44" t="str">
        <f t="shared" si="1"/>
        <v>"2Bands",</v>
      </c>
      <c r="DY5" s="44" t="str">
        <f t="shared" si="1"/>
        <v/>
      </c>
      <c r="DZ5" s="44" t="str">
        <f t="shared" si="1"/>
        <v/>
      </c>
      <c r="EA5" s="44" t="str">
        <f t="shared" si="2"/>
        <v/>
      </c>
      <c r="EB5" s="44" t="str">
        <f t="shared" si="2"/>
        <v>"Crosse",</v>
      </c>
      <c r="EC5" s="44" t="str">
        <f t="shared" si="2"/>
        <v>"Horizo",</v>
      </c>
      <c r="ED5" s="44" t="str">
        <f t="shared" si="2"/>
        <v>"Vertic",</v>
      </c>
      <c r="EE5" s="44" t="str">
        <f t="shared" si="2"/>
        <v/>
      </c>
      <c r="EF5" s="44" t="str">
        <f>IF(AND(Y5&lt;&gt;"n",Y5&lt;&gt;""),CHAR(34)&amp;Y$1&amp;CHAR(34)&amp;",","")</f>
        <v/>
      </c>
      <c r="EG5" s="44" t="str">
        <f t="shared" si="3"/>
        <v/>
      </c>
      <c r="EH5" s="44" t="str">
        <f t="shared" si="3"/>
        <v/>
      </c>
      <c r="EI5" s="44" t="str">
        <f t="shared" si="3"/>
        <v/>
      </c>
      <c r="EJ5" s="44" t="str">
        <f t="shared" si="3"/>
        <v/>
      </c>
      <c r="EK5" s="44" t="str">
        <f t="shared" si="3"/>
        <v/>
      </c>
      <c r="EL5" s="44" t="str">
        <f t="shared" si="3"/>
        <v/>
      </c>
      <c r="EM5" s="44" t="str">
        <f t="shared" si="3"/>
        <v/>
      </c>
      <c r="EN5" s="44" t="str">
        <f t="shared" si="3"/>
        <v/>
      </c>
      <c r="EO5" s="44" t="str">
        <f t="shared" si="3"/>
        <v/>
      </c>
      <c r="EP5" s="44" t="str">
        <f t="shared" si="3"/>
        <v/>
      </c>
      <c r="EQ5" s="44" t="str">
        <f t="shared" si="4"/>
        <v>"Nordic",</v>
      </c>
      <c r="ER5" s="44" t="str">
        <f t="shared" si="4"/>
        <v>"OnlyBa",</v>
      </c>
      <c r="ES5" s="44" t="str">
        <f t="shared" si="4"/>
        <v/>
      </c>
      <c r="ET5" s="44" t="str">
        <f t="shared" si="4"/>
        <v/>
      </c>
      <c r="EU5" s="44" t="str">
        <f t="shared" si="4"/>
        <v/>
      </c>
      <c r="EV5" s="44" t="str">
        <f t="shared" si="4"/>
        <v/>
      </c>
      <c r="EW5" s="44" t="str">
        <f t="shared" si="4"/>
        <v/>
      </c>
      <c r="EX5" s="44" t="str">
        <f t="shared" si="4"/>
        <v/>
      </c>
      <c r="EY5" s="44" t="str">
        <f t="shared" si="4"/>
        <v/>
      </c>
      <c r="EZ5" s="44" t="str">
        <f t="shared" si="4"/>
        <v/>
      </c>
      <c r="FA5" s="44" t="str">
        <f>IF(AT5&gt;0,CHAR(34)&amp;"sta"&amp;AZ5&amp;CHAR(34)&amp;",","")</f>
        <v/>
      </c>
      <c r="FB5" s="44" t="str">
        <f>IF(AND(AT5&gt;0,BA5&lt;&gt;""),CHAR(34)&amp;"sta"&amp;BA5&amp;CHAR(34)&amp;",","")</f>
        <v/>
      </c>
      <c r="FC5" s="44" t="str">
        <f>IF(AND(AT5&gt;0,BB5&lt;&gt;""),CHAR(34)&amp;"sta"&amp;BB5&amp;CHAR(34)&amp;",","")</f>
        <v/>
      </c>
      <c r="FD5" s="44" t="str">
        <f>IF(BV5="n",CHAR(34)&amp;"tcWHYE"&amp;CHAR(34)&amp;",",IF(BV5="y",CHAR(34)&amp;FD$1&amp;CHAR(34)&amp;",",""))</f>
        <v/>
      </c>
      <c r="FE5" s="44" t="str">
        <f>IF(COUNTIF(BL5:BT5,"BLU")=0,CHAR(34)&amp;"NO_BLU"&amp;CHAR(34)&amp;",", "")</f>
        <v/>
      </c>
      <c r="FF5" s="44" t="str">
        <f>IF(COUNTIF(BL5:BT5,"WHI")=0,CHAR(34)&amp;"NO_WHI"&amp;CHAR(34)&amp;",", "")</f>
        <v/>
      </c>
      <c r="FG5" s="44" t="str">
        <f>IF(COUNTIF(BL5:BT5,"RED")=0,CHAR(34)&amp;"NO_RED"&amp;CHAR(34)&amp;",", "")</f>
        <v>"NO_RED",</v>
      </c>
      <c r="FH5" s="44" t="str">
        <f>IF(COUNTIF(BL5:BS5,"GRE")=0,CHAR(34)&amp;"NO_GRE"&amp;CHAR(34)&amp;",", "")</f>
        <v>"NO_GRE",</v>
      </c>
      <c r="FI5" s="44" t="str">
        <f>IF(COUNTIF(BL5:BT5,"YEL")=0,CHAR(34)&amp;"NO_YEL"&amp;CHAR(34)&amp;",", "")</f>
        <v>"NO_YEL",</v>
      </c>
      <c r="FJ5" s="44" t="str">
        <f>IF(COUNTIF(BL5:BT5,"BLA")=0,CHAR(34)&amp;"NO_BLA"&amp;CHAR(34)&amp;",", "")</f>
        <v>"NO_BLA",</v>
      </c>
      <c r="FK5" s="44" t="str">
        <f>IF(AND(FH5&lt;&gt;"",FF5&lt;&gt;""),CHAR(34)&amp;"WHGRNO"&amp;CHAR(34)&amp;",","")</f>
        <v/>
      </c>
      <c r="FL5" s="44" t="str">
        <f>IF(AND(FI5&lt;&gt;"",FF5&lt;&gt;""),CHAR(34)&amp;"WHYENO"&amp;CHAR(34)&amp;",","")</f>
        <v/>
      </c>
      <c r="FM5" s="44" t="str">
        <f>IF(AND(FJ5&lt;&gt;"",FF5&lt;&gt;""),CHAR(34)&amp;"BAWHNO"&amp;CHAR(34)&amp;",","")</f>
        <v/>
      </c>
      <c r="FN5" s="44" t="str">
        <f>IF(AND(FE5&lt;&gt;"",FF5&lt;&gt;""),CHAR(34)&amp;"BLWHNO"&amp;CHAR(34)&amp;",","")</f>
        <v/>
      </c>
      <c r="FO5" s="44" t="str">
        <f>IF(AND(FE5&lt;&gt;"",FG5&lt;&gt;""),CHAR(34)&amp;"BLRENO"&amp;CHAR(34)&amp;",","")</f>
        <v/>
      </c>
      <c r="FP5" s="44" t="str">
        <f>IF(AND(FF5&lt;&gt;"",FF5&lt;&gt;""),CHAR(34)&amp;"WHRENO"&amp;CHAR(34)&amp;",","")</f>
        <v/>
      </c>
      <c r="FQ5" s="44" t="str">
        <f>IF(LEN(BF5)=3,CHAR(34)&amp;"001"&amp;BF5&amp;CHAR(34)&amp;",","")</f>
        <v/>
      </c>
      <c r="FR5" s="44" t="str">
        <f>IF(LEN(BG5)=3,CHAR(34)&amp;"002"&amp;BG5&amp;CHAR(34)&amp;",","")</f>
        <v/>
      </c>
      <c r="FS5" s="44" t="str">
        <f>IF(LEN(BH5)=3,CHAR(34)&amp;"003"&amp;BH5&amp;CHAR(34)&amp;",","")</f>
        <v/>
      </c>
      <c r="FT5" s="44" t="str">
        <f>CHAR(34)&amp;"myr"&amp;BD5&amp;CHAR(34)&amp;","</f>
        <v>"myrWHI",</v>
      </c>
      <c r="FU5" s="44" t="str">
        <f>IF(AY5="y",CHAR(34)&amp;"island"&amp;CHAR(34)&amp;",","")</f>
        <v/>
      </c>
      <c r="FV5" s="44" t="str">
        <f>IF(BZ5="y",CHAR(34)&amp;"landlo"&amp;CHAR(34)&amp;",","")</f>
        <v/>
      </c>
      <c r="FW5" s="44" t="str">
        <f>IF(CA5="y",CHAR(34)&amp;"eunion"&amp;CHAR(34)&amp;",","")</f>
        <v/>
      </c>
      <c r="FX5" s="44" t="str">
        <f>SUBSTITUTE(IFERROR(SEARCH("[",A5),IFERROR(IF(AND(CA5&lt;&gt;"y",SEARCH("Europe",R5)&gt;0),CHAR(34)&amp;"noeuni"&amp;CHAR(34)&amp;",",""),"")),"1","")</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C5" s="44" t="str">
        <f>IFERROR(IF(SEARCH("Portuguese",CB5)&gt;0,CHAR(34)&amp;"portug"&amp;CHAR(34)&amp;",",""),"")</f>
        <v/>
      </c>
      <c r="GD5" s="44" t="str">
        <f>IFERROR(IF(SEARCH("German",CB5)&gt;0,CHAR(34)&amp;"german"&amp;CHAR(34)&amp;",",""),"")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 t="shared" si="5"/>
        <v/>
      </c>
      <c r="GM5" s="44" t="str">
        <f t="shared" si="5"/>
        <v/>
      </c>
      <c r="GN5" s="44" t="str">
        <f t="shared" si="5"/>
        <v/>
      </c>
      <c r="GP5" s="44" t="str">
        <f>CHAR(34)&amp;AU5&amp;CHAR(34)</f>
        <v>"Municipality"</v>
      </c>
      <c r="GS5" s="44" t="str">
        <f>SUBSTITUTE("["&amp;_xlfn.CONCAT(CW5:GN5)&amp;"]",",]","]")</f>
        <v>["2Color","lets09","startA","BLUWHI","largec","2Bands","Crosse","Horizo","Vertic","Nordic","OnlyBa","NO_RED","NO_GRE","NO_YEL","NO_BLA","myrWHI","NoStar"]</v>
      </c>
      <c r="GT5" s="44" t="str">
        <f t="shared" si="6"/>
        <v>"cl_WHI",</v>
      </c>
      <c r="GU5" s="44" t="str">
        <f t="shared" si="6"/>
        <v>"cl_BLU",</v>
      </c>
      <c r="GV5" s="44" t="str">
        <f t="shared" si="6"/>
        <v/>
      </c>
      <c r="GW5" s="44" t="str">
        <f t="shared" si="6"/>
        <v/>
      </c>
      <c r="GX5" s="44" t="str">
        <f t="shared" si="6"/>
        <v/>
      </c>
      <c r="GY5" s="44" t="str">
        <f t="shared" si="6"/>
        <v/>
      </c>
      <c r="GZ5" s="44" t="str">
        <f t="shared" si="6"/>
        <v/>
      </c>
      <c r="HA5" s="44" t="str">
        <f t="shared" si="6"/>
        <v/>
      </c>
      <c r="HB5" s="44" t="str">
        <f t="shared" si="6"/>
        <v/>
      </c>
      <c r="HC5" s="44" t="str">
        <f>SUBSTITUTE("["&amp;_xlfn.CONCAT(GT5:HB5)&amp;"]",",]","]")</f>
        <v>["cl_WHI","cl_BLU"]</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{couname:"[COL] Andalucia",year:"???",region:"rgn_South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links: "https://en.wikipedia.org/wiki/Andalucía,_Valle_del_Cauca"},</v>
      </c>
      <c r="HG5" s="66" t="str">
        <f>"{couname:"&amp;CT5&amp;(IF(HK5&lt;&gt;"",",subtype:"&amp;CHAR(34)&amp;HK5&amp;CHAR(34),""))&amp;",year:"&amp;HJ5&amp;",region:"&amp;CU5&amp;",Colors:"&amp;HC5&amp;",Items:"&amp;GS5&amp;",Flag:"&amp;CV5&amp;",HDFlag:"&amp;CHAR(34)&amp;E5&amp;CHAR(34)&amp;",type:"&amp;GP5&amp;", describe: "&amp;HI5&amp;", links: "&amp;HL5&amp;"},"</f>
        <v>{couname:"[COL] Andalucia",year:"???",region:"rgn_South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links: "https://en.wikipedia.org/wiki/Andalucía,_Valle_del_Cauca"},</v>
      </c>
      <c r="HH5" s="44" t="str">
        <f>IF(P5&lt;&gt;"",CHAR(34)&amp;"\n"&amp;P5&amp;CHAR(34),CHAR(34)&amp;CHAR(34))</f>
        <v>"\nNot available"</v>
      </c>
      <c r="HI5" s="44" t="str">
        <f>IF(J5=0,CHAR(34)&amp;CHAR(34),HH5)</f>
        <v>"\nNot available"</v>
      </c>
      <c r="HJ5" s="44" t="str">
        <f>CHAR(34)&amp;O5&amp;CHAR(34)</f>
        <v>"???"</v>
      </c>
      <c r="HL5" s="44" t="str">
        <f>CHAR(34)&amp;I5&amp;CHAR(34)</f>
        <v>"https://en.wikipedia.org/wiki/Andalucía,_Valle_del_Cauca"</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{"couname":"[COL] Andalucia","subtype":"[COL] Valle del Cauca","year":"???","region":"rgn_South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{"couname":"[COL] Andalucia","subtype":"[COL] Valle del Cauca","year":"???","region":"rgn_South America","Colors":["cl_WHI","cl_BLU"],"Items":["2Color","lets09","startA","BLUWHI","largec","2Bands","Crosse","Horizo","Vertic","Nordic","OnlyBa","NO_RED","NO_GRE","NO_YEL","NO_BLA","myrWHI","NoStar"],"Flag":"https://upload.wikimedia.org/wikipedia/en/thumb/2/2f/Flag_of_Andaluc%C3%ADa_%28Col%C3%B3mbia%29.svg/640px-Flag_of_Andaluc%C3%ADa_%28Col%C3%B3mbia%29.svg.png","HDFlag":"https://upload.wikimedia.org/wikipedia/en/thumb/2/2f/Flag_of_Andaluc%C3%ADa_%28Col%C3%B3mbia%29.svg/2560px-Flag_of_Andaluc%C3%ADa_%28Col%C3%B3mbia%29.svg.png","type":"Municipality", "describe": "\nNot available", "isnew": ".", "links": "https://en.wikipedia.org/wiki/Andalucía,_Valle_del_Cauca"},</v>
      </c>
      <c r="HO5" s="71"/>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t="s">
        <v>165</v>
      </c>
      <c r="IB5" s="5"/>
      <c r="IC5" s="68"/>
      <c r="ID5" s="68"/>
      <c r="IE5" s="68"/>
      <c r="IF5" s="68"/>
      <c r="IG5" s="68"/>
      <c r="IH5" s="68"/>
      <c r="II5" s="68"/>
      <c r="IJ5" s="68"/>
      <c r="IK5" s="68"/>
      <c r="IL5" s="44">
        <f>SUM(IC5:IK5)</f>
        <v>0</v>
      </c>
      <c r="IM5" s="42">
        <f>COUNTIF(IC5:IK5,"&gt;0")-CG5</f>
        <v>-2</v>
      </c>
      <c r="IN5" s="69" t="str">
        <f>"http://mkweb.bcgsc.ca/color-summarizer/?url="&amp;D5&amp;"&amp;precision=low&amp;num_clusters="&amp;CG5&amp;"&amp;text=1"</f>
        <v>http://mkweb.bcgsc.ca/color-summarizer/?url=https://upload.wikimedia.org/wikipedia/en/thumb/2/2f/Flag_of_Andaluc%C3%ADa_%28Col%C3%B3mbia%29.svg/640px-Flag_of_Andaluc%C3%ADa_%28Col%C3%B3mbia%29.svg.png&amp;precision=low&amp;num_clusters=2&amp;text=1</v>
      </c>
      <c r="IO5" s="44" t="str">
        <f>IF(HP5&lt;&gt;"",CHAR(34)&amp;"black"&amp;CHAR(34),"")</f>
        <v/>
      </c>
      <c r="IP5" s="44" t="str">
        <f>IF(HQ5&lt;&gt;"",CHAR(34)&amp;"blue"&amp;CHAR(34),"")</f>
        <v>"blue"</v>
      </c>
      <c r="IQ5" s="44" t="str">
        <f>IF(HR5&lt;&gt;"",CHAR(34)&amp;"green"&amp;CHAR(34),"")</f>
        <v/>
      </c>
      <c r="IR5" s="44" t="str">
        <f>IF(HS5&lt;&gt;"",CHAR(34)&amp;"red"&amp;CHAR(34),"")</f>
        <v/>
      </c>
      <c r="IS5" s="44" t="str">
        <f>IF(HT5&lt;&gt;"",CHAR(34)&amp;"yellow"&amp;CHAR(34),"")</f>
        <v/>
      </c>
      <c r="IT5" s="44" t="str">
        <f>IF(HU5&lt;&gt;"",CHAR(34)&amp;"orange"&amp;CHAR(34),"")</f>
        <v/>
      </c>
      <c r="IU5" s="44" t="str">
        <f>IF(HV5&lt;&gt;"",CHAR(34)&amp;"brown"&amp;CHAR(34),"")</f>
        <v/>
      </c>
      <c r="IV5" s="44" t="str">
        <f>IF(HW5&lt;&gt;"",CHAR(34)&amp;"purple"&amp;CHAR(34),"")</f>
        <v/>
      </c>
      <c r="IW5" s="44" t="str">
        <f>IF(HX5&lt;&gt;"",CHAR(34)&amp;"white"&amp;CHAR(34),"")</f>
        <v>"white"</v>
      </c>
      <c r="IX5" s="44" t="str">
        <f>"{"&amp;CHAR(34)&amp;"url"&amp;CHAR(34)&amp;":"&amp;CHAR(34)&amp;IN5&amp;CHAR(34)&amp;","&amp;CHAR(34)&amp;"name"&amp;CHAR(34)&amp;":"&amp;CHAR(34)&amp;A5&amp;CHAR(34)&amp;"},"</f>
        <v>{"url":"http://mkweb.bcgsc.ca/color-summarizer/?url=https://upload.wikimedia.org/wikipedia/en/thumb/2/2f/Flag_of_Andaluc%C3%ADa_%28Col%C3%B3mbia%29.svg/640px-Flag_of_Andaluc%C3%ADa_%28Col%C3%B3mbia%29.svg.png&amp;precision=low&amp;num_clusters=2&amp;text=1","name":"[COL] Andalucia"},</v>
      </c>
      <c r="IY5" s="44">
        <v>378</v>
      </c>
    </row>
  </sheetData>
  <autoFilter ref="A1:IY5" xr:uid="{A1051193-A95B-4CFB-A73C-F0184620C81F}">
    <sortState xmlns:xlrd2="http://schemas.microsoft.com/office/spreadsheetml/2017/richdata2" ref="A2:IY5">
      <sortCondition ref="AW1:AW5"/>
    </sortState>
  </autoFilter>
  <conditionalFormatting sqref="H1 CW1:GS1 IA1:IB1">
    <cfRule type="cellIs" dxfId="700" priority="77" operator="greaterThan">
      <formula>0</formula>
    </cfRule>
  </conditionalFormatting>
  <conditionalFormatting sqref="H1:H1048576">
    <cfRule type="cellIs" dxfId="699" priority="17" stopIfTrue="1" operator="notEqual">
      <formula>""</formula>
    </cfRule>
  </conditionalFormatting>
  <conditionalFormatting sqref="R2:R5 CU2:CU5">
    <cfRule type="cellIs" dxfId="698" priority="19" operator="greaterThan">
      <formula>0</formula>
    </cfRule>
  </conditionalFormatting>
  <conditionalFormatting sqref="T2:AS5 CH2:CS5">
    <cfRule type="cellIs" dxfId="697" priority="14" stopIfTrue="1" operator="equal">
      <formula>"n"</formula>
    </cfRule>
    <cfRule type="cellIs" dxfId="696" priority="15" stopIfTrue="1" operator="equal">
      <formula>"y"</formula>
    </cfRule>
    <cfRule type="cellIs" dxfId="695" priority="16" operator="greaterThan">
      <formula>0</formula>
    </cfRule>
  </conditionalFormatting>
  <conditionalFormatting sqref="T1:BK1">
    <cfRule type="cellIs" dxfId="694" priority="80" operator="greaterThan">
      <formula>0</formula>
    </cfRule>
  </conditionalFormatting>
  <conditionalFormatting sqref="AZ2:BB5">
    <cfRule type="expression" dxfId="693" priority="13">
      <formula>$AT2=0</formula>
    </cfRule>
  </conditionalFormatting>
  <conditionalFormatting sqref="AZ2:BU5">
    <cfRule type="cellIs" dxfId="692" priority="55" operator="equal">
      <formula>"PIN"</formula>
    </cfRule>
    <cfRule type="cellIs" dxfId="691" priority="56" operator="equal">
      <formula>"ORA"</formula>
    </cfRule>
    <cfRule type="cellIs" dxfId="690" priority="57" operator="equal">
      <formula>"GRA"</formula>
    </cfRule>
    <cfRule type="cellIs" dxfId="689" priority="58" operator="equal">
      <formula>"PUR"</formula>
    </cfRule>
    <cfRule type="cellIs" dxfId="688" priority="59" operator="equal">
      <formula>"BRO"</formula>
    </cfRule>
    <cfRule type="cellIs" dxfId="687" priority="60" operator="equal">
      <formula>"YEL"</formula>
    </cfRule>
    <cfRule type="cellIs" dxfId="686" priority="61" operator="equal">
      <formula>"BLU"</formula>
    </cfRule>
    <cfRule type="cellIs" dxfId="685" priority="62" operator="equal">
      <formula>"WHI"</formula>
    </cfRule>
    <cfRule type="cellIs" dxfId="684" priority="63" operator="equal">
      <formula>"GRE"</formula>
    </cfRule>
    <cfRule type="cellIs" dxfId="683" priority="64" operator="equal">
      <formula>"RED"</formula>
    </cfRule>
    <cfRule type="cellIs" dxfId="682" priority="65" operator="equal">
      <formula>"BLA"</formula>
    </cfRule>
  </conditionalFormatting>
  <conditionalFormatting sqref="BV1:BW1 BV2:BV5 BV6:BW1048576">
    <cfRule type="cellIs" dxfId="681" priority="79" operator="equal">
      <formula>"nc"</formula>
    </cfRule>
  </conditionalFormatting>
  <conditionalFormatting sqref="BX2:CA5 CD2:CF5">
    <cfRule type="cellIs" dxfId="680" priority="18" operator="equal">
      <formula>"y"</formula>
    </cfRule>
    <cfRule type="cellIs" dxfId="679" priority="66" operator="equal">
      <formula>"PIN"</formula>
    </cfRule>
    <cfRule type="cellIs" dxfId="678" priority="67" operator="equal">
      <formula>"ORA"</formula>
    </cfRule>
    <cfRule type="cellIs" dxfId="677" priority="68" operator="equal">
      <formula>"GRA"</formula>
    </cfRule>
    <cfRule type="cellIs" dxfId="676" priority="69" operator="equal">
      <formula>"PUR"</formula>
    </cfRule>
    <cfRule type="cellIs" dxfId="675" priority="70" operator="equal">
      <formula>"BRO"</formula>
    </cfRule>
    <cfRule type="cellIs" dxfId="674" priority="71" operator="equal">
      <formula>"YEL"</formula>
    </cfRule>
    <cfRule type="cellIs" dxfId="673" priority="72" operator="equal">
      <formula>"BLU"</formula>
    </cfRule>
    <cfRule type="cellIs" dxfId="672" priority="73" operator="equal">
      <formula>"WHI"</formula>
    </cfRule>
    <cfRule type="cellIs" dxfId="671" priority="74" operator="equal">
      <formula>"GRE"</formula>
    </cfRule>
    <cfRule type="cellIs" dxfId="670" priority="75" operator="equal">
      <formula>"RED"</formula>
    </cfRule>
    <cfRule type="cellIs" dxfId="669" priority="76" operator="equal">
      <formula>"BLA"</formula>
    </cfRule>
  </conditionalFormatting>
  <conditionalFormatting sqref="BZ2:CA5 CD2:CF5">
    <cfRule type="cellIs" dxfId="668" priority="20" operator="greaterThan">
      <formula>0</formula>
    </cfRule>
  </conditionalFormatting>
  <conditionalFormatting sqref="HF1:HG1">
    <cfRule type="cellIs" dxfId="667" priority="81" operator="greaterThan">
      <formula>0</formula>
    </cfRule>
  </conditionalFormatting>
  <conditionalFormatting sqref="HK1">
    <cfRule type="cellIs" dxfId="666" priority="78" operator="greaterThan">
      <formula>0</formula>
    </cfRule>
  </conditionalFormatting>
  <conditionalFormatting sqref="HP1:HX1">
    <cfRule type="cellIs" dxfId="665" priority="32" operator="equal">
      <formula>"PIN"</formula>
    </cfRule>
    <cfRule type="cellIs" dxfId="664" priority="33" operator="equal">
      <formula>"ORA"</formula>
    </cfRule>
    <cfRule type="cellIs" dxfId="663" priority="34" operator="equal">
      <formula>"GRA"</formula>
    </cfRule>
    <cfRule type="cellIs" dxfId="662" priority="35" operator="equal">
      <formula>"PUR"</formula>
    </cfRule>
    <cfRule type="cellIs" dxfId="661" priority="36" operator="equal">
      <formula>"BRO"</formula>
    </cfRule>
    <cfRule type="cellIs" dxfId="660" priority="37" operator="equal">
      <formula>"YEL"</formula>
    </cfRule>
    <cfRule type="cellIs" dxfId="659" priority="38" operator="equal">
      <formula>"BLU"</formula>
    </cfRule>
    <cfRule type="cellIs" dxfId="658" priority="39" operator="equal">
      <formula>"WHI"</formula>
    </cfRule>
    <cfRule type="cellIs" dxfId="657" priority="40" operator="equal">
      <formula>"GRE"</formula>
    </cfRule>
    <cfRule type="cellIs" dxfId="656" priority="41" operator="equal">
      <formula>"RED"</formula>
    </cfRule>
    <cfRule type="cellIs" dxfId="655" priority="42" operator="equal">
      <formula>"BLA"</formula>
    </cfRule>
  </conditionalFormatting>
  <conditionalFormatting sqref="IC1:IK1">
    <cfRule type="cellIs" dxfId="654" priority="44" operator="equal">
      <formula>"PIN"</formula>
    </cfRule>
    <cfRule type="cellIs" dxfId="653" priority="45" operator="equal">
      <formula>"ORA"</formula>
    </cfRule>
    <cfRule type="cellIs" dxfId="652" priority="46" operator="equal">
      <formula>"GRA"</formula>
    </cfRule>
    <cfRule type="cellIs" dxfId="651" priority="47" operator="equal">
      <formula>"PUR"</formula>
    </cfRule>
    <cfRule type="cellIs" dxfId="650" priority="48" operator="equal">
      <formula>"BRO"</formula>
    </cfRule>
    <cfRule type="cellIs" dxfId="649" priority="49" operator="equal">
      <formula>"YEL"</formula>
    </cfRule>
    <cfRule type="cellIs" dxfId="648" priority="50" operator="equal">
      <formula>"BLU"</formula>
    </cfRule>
    <cfRule type="cellIs" dxfId="647" priority="51" operator="equal">
      <formula>"WHI"</formula>
    </cfRule>
    <cfRule type="cellIs" dxfId="646" priority="52" operator="equal">
      <formula>"GRE"</formula>
    </cfRule>
    <cfRule type="cellIs" dxfId="645" priority="53" operator="equal">
      <formula>"RED"</formula>
    </cfRule>
    <cfRule type="cellIs" dxfId="644" priority="54" operator="equal">
      <formula>"BLA"</formula>
    </cfRule>
  </conditionalFormatting>
  <conditionalFormatting sqref="IC2:IK5">
    <cfRule type="expression" dxfId="643" priority="43">
      <formula>$IL2&gt;0</formula>
    </cfRule>
  </conditionalFormatting>
  <conditionalFormatting sqref="IO1:IW1">
    <cfRule type="cellIs" dxfId="642" priority="21" operator="equal">
      <formula>"PIN"</formula>
    </cfRule>
    <cfRule type="cellIs" dxfId="641" priority="22" operator="equal">
      <formula>"ORA"</formula>
    </cfRule>
    <cfRule type="cellIs" dxfId="640" priority="23" operator="equal">
      <formula>"GRA"</formula>
    </cfRule>
    <cfRule type="cellIs" dxfId="639" priority="24" operator="equal">
      <formula>"PUR"</formula>
    </cfRule>
    <cfRule type="cellIs" dxfId="638" priority="25" operator="equal">
      <formula>"BRO"</formula>
    </cfRule>
    <cfRule type="cellIs" dxfId="637" priority="26" operator="equal">
      <formula>"YEL"</formula>
    </cfRule>
    <cfRule type="cellIs" dxfId="636" priority="27" operator="equal">
      <formula>"BLU"</formula>
    </cfRule>
    <cfRule type="cellIs" dxfId="635" priority="28" operator="equal">
      <formula>"WHI"</formula>
    </cfRule>
    <cfRule type="cellIs" dxfId="634" priority="29" operator="equal">
      <formula>"GRE"</formula>
    </cfRule>
    <cfRule type="cellIs" dxfId="633" priority="30" operator="equal">
      <formula>"RED"</formula>
    </cfRule>
    <cfRule type="cellIs" dxfId="632" priority="31" operator="equal">
      <formula>"BLA"</formula>
    </cfRule>
  </conditionalFormatting>
  <conditionalFormatting sqref="J2:J5">
    <cfRule type="colorScale" priority="1436">
      <colorScale>
        <cfvo type="min"/>
        <cfvo type="percentile" val="50"/>
        <cfvo type="max"/>
        <color rgb="FFF8696B"/>
        <color rgb="FFFFEB84"/>
        <color rgb="FF63BE7B"/>
      </colorScale>
    </cfRule>
  </conditionalFormatting>
  <conditionalFormatting sqref="S2:S5">
    <cfRule type="colorScale" priority="1437">
      <colorScale>
        <cfvo type="min"/>
        <cfvo type="max"/>
        <color rgb="FFFCFCFF"/>
        <color rgb="FF754BFB"/>
      </colorScale>
    </cfRule>
  </conditionalFormatting>
  <conditionalFormatting sqref="AT2:AT5">
    <cfRule type="colorScale" priority="1438">
      <colorScale>
        <cfvo type="min"/>
        <cfvo type="max"/>
        <color rgb="FFFCFCFF"/>
        <color theme="8" tint="0.39997558519241921"/>
      </colorScale>
    </cfRule>
  </conditionalFormatting>
  <conditionalFormatting sqref="CG2:CG5">
    <cfRule type="colorScale" priority="1439">
      <colorScale>
        <cfvo type="min"/>
        <cfvo type="max"/>
        <color rgb="FFFCFCFF"/>
        <color rgb="FF63BE7B"/>
      </colorScale>
    </cfRule>
  </conditionalFormatting>
  <hyperlinks>
    <hyperlink ref="A2" r:id="rId1" display="https://fbref.com/en/country/COL/Colombia-Football" xr:uid="{0CCF5A5E-F98B-41EC-B099-094F9382D197}"/>
    <hyperlink ref="A4" r:id="rId2" display="https://fbref.com/en/country/SCO/Scotland-Football" xr:uid="{2937B4D8-EC2F-42E6-875F-AADB820BF12F}"/>
    <hyperlink ref="E2" r:id="rId3" xr:uid="{539454C0-C327-400A-9FC2-D89D88DCAE3D}"/>
    <hyperlink ref="E5" r:id="rId4" xr:uid="{46EA0FA5-0924-4380-97B6-3FA091AE5114}"/>
    <hyperlink ref="D5" r:id="rId5" xr:uid="{2B62A008-CF33-4C3E-BF3D-EB855A2333EC}"/>
  </hyperlink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41" r:id="rId9"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0242" r:id="rId10"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0243" r:id="rId11" name="Button 3">
              <controlPr defaultSize="0" print="0" autoFill="0" autoPict="0" macro="[0]!GoToSheet">
                <anchor moveWithCells="1" sizeWithCells="1">
                  <from>
                    <xdr:col>0</xdr:col>
                    <xdr:colOff>137160</xdr:colOff>
                    <xdr:row>0</xdr:row>
                    <xdr:rowOff>99060</xdr:rowOff>
                  </from>
                  <to>
                    <xdr:col>0</xdr:col>
                    <xdr:colOff>762000</xdr:colOff>
                    <xdr:row>0</xdr:row>
                    <xdr:rowOff>403860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DDB36-71FE-4ABD-838D-D68873B47E9B}">
  <sheetPr codeName="Sheet5"/>
  <dimension ref="A1:IY6"/>
  <sheetViews>
    <sheetView zoomScale="55" zoomScaleNormal="55" workbookViewId="0">
      <pane xSplit="5" ySplit="1" topLeftCell="F2" activePane="bottomRight" state="frozen"/>
      <selection pane="topRight" activeCell="F1" sqref="F1"/>
      <selection pane="bottomLeft" activeCell="A2" sqref="A2"/>
      <selection pane="bottomRight" activeCell="B6" sqref="B6"/>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212</v>
      </c>
      <c r="B2" s="83" t="e" vm="74">
        <v>#VALUE!</v>
      </c>
      <c r="C2" s="39">
        <v>1</v>
      </c>
      <c r="D2" s="70" t="s">
        <v>213</v>
      </c>
      <c r="E2" s="40" t="s">
        <v>214</v>
      </c>
      <c r="F2" s="41" t="s">
        <v>163</v>
      </c>
      <c r="G2" s="42">
        <f>COUNTIF($A$1:$A$8285,A2)</f>
        <v>1</v>
      </c>
      <c r="H2" s="43"/>
      <c r="I2" s="59" t="s">
        <v>215</v>
      </c>
      <c r="J2" s="44" t="str">
        <f>""</f>
        <v/>
      </c>
      <c r="K2" s="45">
        <v>18100000</v>
      </c>
      <c r="L2" s="46">
        <v>1423320</v>
      </c>
      <c r="M2" s="46" t="s">
        <v>1968</v>
      </c>
      <c r="N2" s="47" t="s">
        <v>177</v>
      </c>
      <c r="O2" s="74" t="s">
        <v>216</v>
      </c>
      <c r="P2" s="48" t="s">
        <v>217</v>
      </c>
      <c r="Q2" s="73">
        <v>1</v>
      </c>
      <c r="R2" s="49" t="s">
        <v>177</v>
      </c>
      <c r="S2" s="50">
        <v>3</v>
      </c>
      <c r="T2" s="51" t="s">
        <v>164</v>
      </c>
      <c r="U2" s="52" t="s">
        <v>164</v>
      </c>
      <c r="V2" s="52" t="s">
        <v>165</v>
      </c>
      <c r="W2" s="52" t="s">
        <v>164</v>
      </c>
      <c r="X2" s="52" t="s">
        <v>165</v>
      </c>
      <c r="Y2" s="52" t="s">
        <v>165</v>
      </c>
      <c r="Z2" s="52" t="s">
        <v>165</v>
      </c>
      <c r="AA2" s="52" t="s">
        <v>165</v>
      </c>
      <c r="AB2" s="52" t="s">
        <v>164</v>
      </c>
      <c r="AC2" s="52" t="s">
        <v>165</v>
      </c>
      <c r="AD2" s="52" t="s">
        <v>165</v>
      </c>
      <c r="AE2" s="52" t="s">
        <v>164</v>
      </c>
      <c r="AF2" s="53" t="s">
        <v>164</v>
      </c>
      <c r="AG2" s="53" t="s">
        <v>165</v>
      </c>
      <c r="AH2" s="53" t="s">
        <v>165</v>
      </c>
      <c r="AI2" s="53" t="s">
        <v>164</v>
      </c>
      <c r="AJ2" s="53" t="s">
        <v>164</v>
      </c>
      <c r="AK2" s="53" t="s">
        <v>164</v>
      </c>
      <c r="AL2" s="53" t="s">
        <v>165</v>
      </c>
      <c r="AM2" s="53" t="s">
        <v>165</v>
      </c>
      <c r="AN2" s="53" t="s">
        <v>165</v>
      </c>
      <c r="AO2" s="53" t="s">
        <v>164</v>
      </c>
      <c r="AP2" s="53" t="s">
        <v>165</v>
      </c>
      <c r="AQ2" s="53" t="s">
        <v>164</v>
      </c>
      <c r="AR2" s="53" t="s">
        <v>164</v>
      </c>
      <c r="AS2" s="53" t="s">
        <v>165</v>
      </c>
      <c r="AT2" s="54">
        <v>0</v>
      </c>
      <c r="AU2" s="53"/>
      <c r="AV2" s="53" t="str">
        <f>IF(LEFT(A2,1)="[",LEFT(A2,5)&amp;AU2&amp;A2,"")</f>
        <v/>
      </c>
      <c r="AW2" s="53" t="str">
        <f>C2&amp;A2</f>
        <v>1Ecuador</v>
      </c>
      <c r="AX2" s="55" t="str">
        <f>_xlfn.TEXTJOIN(";",TRUE,AU2:AW2)</f>
        <v>1Ecuador</v>
      </c>
      <c r="AY2" s="55"/>
      <c r="AZ2" s="56"/>
      <c r="BA2" s="56"/>
      <c r="BB2" s="56"/>
      <c r="BC2" s="57"/>
      <c r="BD2" s="58" t="s">
        <v>155</v>
      </c>
      <c r="BE2" s="59"/>
      <c r="BF2" s="58" t="s">
        <v>155</v>
      </c>
      <c r="BG2" s="58" t="s">
        <v>152</v>
      </c>
      <c r="BH2" s="58" t="s">
        <v>154</v>
      </c>
      <c r="BI2" s="58"/>
      <c r="BJ2" s="58"/>
      <c r="BK2" s="59"/>
      <c r="BL2" s="58" t="s">
        <v>155</v>
      </c>
      <c r="BM2" s="58" t="s">
        <v>154</v>
      </c>
      <c r="BN2" s="58" t="s">
        <v>152</v>
      </c>
      <c r="BO2" s="58" t="s">
        <v>157</v>
      </c>
      <c r="BP2" s="58" t="s">
        <v>159</v>
      </c>
      <c r="BQ2" s="58" t="s">
        <v>153</v>
      </c>
      <c r="BR2" s="58" t="s">
        <v>218</v>
      </c>
      <c r="BS2" s="58"/>
      <c r="BT2" s="58"/>
      <c r="BU2" s="60"/>
      <c r="BV2" s="61" t="s">
        <v>165</v>
      </c>
      <c r="BW2" s="61" t="s">
        <v>179</v>
      </c>
      <c r="BX2" s="59"/>
      <c r="CB2" s="5" t="s">
        <v>138</v>
      </c>
      <c r="CC2" s="5"/>
      <c r="CD2" s="62">
        <v>0</v>
      </c>
      <c r="CE2" s="62">
        <v>0</v>
      </c>
      <c r="CF2" s="62" t="e">
        <v>#REF!</v>
      </c>
      <c r="CG2" s="75" cm="1">
        <f t="array" ref="CG2">SUMPRODUCT(--(LEN(TRIM(BL2:BT2))&gt;0))</f>
        <v>7</v>
      </c>
      <c r="CH2" s="53" t="str">
        <f>IF(CG2=2,"y","n")</f>
        <v>n</v>
      </c>
      <c r="CI2" s="53" t="str">
        <f>IF(CG2=3,"y","n")</f>
        <v>n</v>
      </c>
      <c r="CJ2" s="53" t="str">
        <f>IF(CG2=4,"y","n")</f>
        <v>n</v>
      </c>
      <c r="CK2" s="53" t="str">
        <f>IF(CG2&gt;4,"y","n")</f>
        <v>y</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"Ecuador"</v>
      </c>
      <c r="CU2" s="63" t="str">
        <f>CHAR(34)&amp;"rgn_"&amp;R2&amp;CHAR(34)</f>
        <v>"rgn_South America"</v>
      </c>
      <c r="CV2" s="44" t="str">
        <f>CHAR(34)&amp;D2&amp;CHAR(34)</f>
        <v>"https://i.ibb.co/TbYwmWF/Ecuador-Flag.png"</v>
      </c>
      <c r="CW2" s="44" t="str">
        <f t="shared" ref="CW2:CZ6" si="0">IF(CH2="y",CHAR(34)&amp;CH$1&amp;CHAR(34)&amp;",","")</f>
        <v/>
      </c>
      <c r="CX2" s="44" t="str">
        <f t="shared" si="0"/>
        <v/>
      </c>
      <c r="CY2" s="44" t="str">
        <f t="shared" si="0"/>
        <v/>
      </c>
      <c r="CZ2" s="44" t="str">
        <f t="shared" si="0"/>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"startE",</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6" si="1">IF(CL2="y",CHAR(34)&amp;CL$1&amp;CHAR(34)&amp;",","")</f>
        <v/>
      </c>
      <c r="DX2" s="44" t="str">
        <f t="shared" si="1"/>
        <v/>
      </c>
      <c r="DY2" s="44" t="str">
        <f t="shared" si="1"/>
        <v>"3Bands",</v>
      </c>
      <c r="DZ2" s="44" t="str">
        <f t="shared" si="1"/>
        <v/>
      </c>
      <c r="EA2" s="44" t="str">
        <f t="shared" ref="EA2:EE6" si="2">IF(T2="y",CHAR(34)&amp;T$1&amp;CHAR(34)&amp;",","")</f>
        <v/>
      </c>
      <c r="EB2" s="44" t="str">
        <f t="shared" si="2"/>
        <v/>
      </c>
      <c r="EC2" s="44" t="str">
        <f t="shared" si="2"/>
        <v>"Horizo",</v>
      </c>
      <c r="ED2" s="44" t="str">
        <f t="shared" si="2"/>
        <v/>
      </c>
      <c r="EE2" s="44" t="str">
        <f t="shared" si="2"/>
        <v>"Circle",</v>
      </c>
      <c r="EF2" s="44" t="str">
        <f>IF(AND(Y2&lt;&gt;"n",Y2&lt;&gt;""),CHAR(34)&amp;Y$1&amp;CHAR(34)&amp;",","")</f>
        <v>"Animal",</v>
      </c>
      <c r="EG2" s="44" t="str">
        <f t="shared" ref="EG2:EP6" si="3">IF(Z2="y",CHAR(34)&amp;Z$1&amp;CHAR(34)&amp;",","")</f>
        <v>"Bird",</v>
      </c>
      <c r="EH2" s="44" t="str">
        <f t="shared" si="3"/>
        <v>"Plants",</v>
      </c>
      <c r="EI2" s="44" t="str">
        <f t="shared" si="3"/>
        <v/>
      </c>
      <c r="EJ2" s="44" t="str">
        <f t="shared" si="3"/>
        <v>"Weapon",</v>
      </c>
      <c r="EK2" s="44" t="str">
        <f t="shared" si="3"/>
        <v>"HasSun",</v>
      </c>
      <c r="EL2" s="44" t="str">
        <f t="shared" si="3"/>
        <v/>
      </c>
      <c r="EM2" s="44" t="str">
        <f t="shared" si="3"/>
        <v/>
      </c>
      <c r="EN2" s="44" t="str">
        <f t="shared" si="3"/>
        <v>"Unequa",</v>
      </c>
      <c r="EO2" s="44" t="str">
        <f t="shared" si="3"/>
        <v>"Center",</v>
      </c>
      <c r="EP2" s="44" t="str">
        <f t="shared" si="3"/>
        <v/>
      </c>
      <c r="EQ2" s="44" t="str">
        <f t="shared" ref="EQ2:EZ6" si="4">IF(AJ2="y",CHAR(34)&amp;AJ$1&amp;CHAR(34)&amp;",","")</f>
        <v/>
      </c>
      <c r="ER2" s="44" t="str">
        <f t="shared" si="4"/>
        <v/>
      </c>
      <c r="ES2" s="44" t="str">
        <f t="shared" si="4"/>
        <v>"Wavess",</v>
      </c>
      <c r="ET2" s="44" t="str">
        <f t="shared" si="4"/>
        <v>"Geogrh",</v>
      </c>
      <c r="EU2" s="44" t="str">
        <f t="shared" si="4"/>
        <v>"Humans",</v>
      </c>
      <c r="EV2" s="44" t="str">
        <f t="shared" si="4"/>
        <v/>
      </c>
      <c r="EW2" s="44" t="str">
        <f t="shared" si="4"/>
        <v>"Ships!",</v>
      </c>
      <c r="EX2" s="44" t="str">
        <f t="shared" si="4"/>
        <v/>
      </c>
      <c r="EY2" s="44" t="str">
        <f t="shared" si="4"/>
        <v/>
      </c>
      <c r="EZ2" s="44" t="str">
        <f t="shared" si="4"/>
        <v>"Waters",</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"001YEL",</v>
      </c>
      <c r="FR2" s="44" t="str">
        <f>IF(LEN(BG2)=3,CHAR(34)&amp;"002"&amp;BG2&amp;CHAR(34)&amp;",","")</f>
        <v>"002BLU",</v>
      </c>
      <c r="FS2" s="44" t="str">
        <f>IF(LEN(BH2)=3,CHAR(34)&amp;"003"&amp;BH2&amp;CHAR(34)&amp;",","")</f>
        <v>"003RED",</v>
      </c>
      <c r="FT2" s="44" t="str">
        <f>CHAR(34)&amp;"myr"&amp;BD2&amp;CHAR(34)&amp;","</f>
        <v>"myrYEL",</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6" si="5">IF(CQ2="y",CHAR(34)&amp;CQ$1&amp;CHAR(34)&amp;",","")</f>
        <v/>
      </c>
      <c r="GM2" s="44" t="str">
        <f t="shared" si="5"/>
        <v/>
      </c>
      <c r="GN2" s="44" t="str">
        <f t="shared" si="5"/>
        <v/>
      </c>
      <c r="GP2" s="44" t="str">
        <f>CHAR(34)&amp;AU2&amp;CHAR(34)</f>
        <v>""</v>
      </c>
      <c r="GS2" s="44" t="str">
        <f>SUBSTITUTE("["&amp;_xlfn.CONCAT(CW2:GN2)&amp;"]",",]","]")</f>
        <v>["5+Colo","lets07","startE","year18","year19","year00","allhor","3Bands","Horizo","Circle","Animal","Bird","Plants","Weapon","HasSun","Unequa","Center","Wavess","Geogrh","Humans","Ships!","Waters","ntWHYE","NO_BLA","001YEL","002BLU","003RED","myrYEL","spanis","NoStar"]</v>
      </c>
      <c r="GT2" s="44" t="str">
        <f t="shared" ref="GT2:HB6" si="6">IF(BL2&lt;&gt;"",CHAR(34)&amp;"cl_"&amp;BL2&amp;CHAR(34)&amp;",","")</f>
        <v>"cl_YEL",</v>
      </c>
      <c r="GU2" s="44" t="str">
        <f t="shared" si="6"/>
        <v>"cl_RED",</v>
      </c>
      <c r="GV2" s="44" t="str">
        <f t="shared" si="6"/>
        <v>"cl_BLU",</v>
      </c>
      <c r="GW2" s="44" t="str">
        <f t="shared" si="6"/>
        <v>"cl_BRO",</v>
      </c>
      <c r="GX2" s="44" t="str">
        <f t="shared" si="6"/>
        <v>"cl_WHI",</v>
      </c>
      <c r="GY2" s="44" t="str">
        <f t="shared" si="6"/>
        <v>"cl_GRE",</v>
      </c>
      <c r="GZ2" s="44" t="str">
        <f t="shared" si="6"/>
        <v>"cl_GRA",</v>
      </c>
      <c r="HA2" s="44" t="str">
        <f t="shared" si="6"/>
        <v/>
      </c>
      <c r="HB2" s="44" t="str">
        <f t="shared" si="6"/>
        <v/>
      </c>
      <c r="HC2" s="44" t="str">
        <f>SUBSTITUTE("["&amp;_xlfn.CONCAT(GT2:HB2)&amp;"]",",]","]")</f>
        <v>["cl_YEL","cl_RED","cl_BLU","cl_BRO","cl_WHI","cl_GRE","cl_GRA"]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links: "https://en.wikipedia.org/wiki/Flag_of_Ecuador"},</v>
      </c>
      <c r="HG2" s="66" t="str">
        <f>"{couname:"&amp;CT2&amp;(IF(HK2&lt;&gt;"",",subtype:"&amp;CHAR(34)&amp;HK2&amp;CHAR(34),""))&amp;",year:"&amp;HJ2&amp;",region:"&amp;CU2&amp;",Colors:"&amp;HC2&amp;",Items:"&amp;GS2&amp;",Flag:"&amp;CV2&amp;",HDFlag:"&amp;CHAR(34)&amp;E2&amp;CHAR(34)&amp;",type:"&amp;GP2&amp;", describe: "&amp;HI2&amp;", links: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links: "https://en.wikipedia.org/wiki/Flag_of_Ecuador"},</v>
      </c>
      <c r="HH2" s="44" t="str">
        <f>IF(P2&lt;&gt;"",CHAR(34)&amp;"\n"&amp;P2&amp;CHAR(34),CHAR(34)&amp;CHAR(34))</f>
        <v>"\n\n • Yellow: The crops and the fertile soil.\n\n • Blue: The ocean and the clear skies\n\n • Red: The blood spilled by the heroes who died in the name of their countrymen's Fatherland and Freedom."</v>
      </c>
      <c r="HI2" s="44" t="str">
        <f>IF(J2=0,CHAR(34)&amp;CHAR(34),HH2)</f>
        <v>"\n\n • Yellow: The crops and the fertile soil.\n\n • Blue: The ocean and the clear skies\n\n • Red: The blood spilled by the heroes who died in the name of their countrymen's Fatherland and Freedom."</v>
      </c>
      <c r="HJ2" s="44" t="str">
        <f>CHAR(34)&amp;O2&amp;CHAR(34)</f>
        <v>"1860, 1900, 2009 "</v>
      </c>
      <c r="HL2" s="44" t="str">
        <f>CHAR(34)&amp;I2&amp;CHAR(34)</f>
        <v>"https://en.wikipedia.org/wiki/Flag_of_Ecuador"</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{"couname":"Ecuador","year":"1860, 1900, 2009 ","region":"rgn_South America","Colors":["cl_YEL","cl_RED","cl_BLU","cl_BRO","cl_WHI","cl_GRE","cl_GRA"],"Items":["5+Colo","lets07","startE","year18","year19","year00","allhor","3Bands","Horizo","Circle","Animal","Bird","Plants","Weapon","HasSun","Unequa","Center","Wavess","Geogrh","Humans","Ships!","Waters","ntWHYE","NO_BLA","001YEL","002BLU","003RED","myrYEL","spanis","NoStar"],"Flag":"https://i.ibb.co/TbYwmWF/Ecuador-Flag.png","HDFlag":"https://upload.wikimedia.org/wikipedia/commons/thumb/e/e8/Flag_of_Ecuador.svg/2560px-Flag_of_Ecuador.svg.png","type":"", "describe": "\n\n • Yellow: The crops and the fertile soil.\n\n • Blue: The ocean and the clear skies\n\n • Red: The blood spilled by the heroes who died in the name of their countrymen's Fatherland and Freedom.", "isnew": ".", "links": "https://en.wikipedia.org/wiki/Flag_of_Ecuador"},</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BRO</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-7</v>
      </c>
      <c r="IN2" s="69" t="str">
        <f>"http://mkweb.bcgsc.ca/color-summarizer/?url="&amp;D2&amp;"&amp;precision=low&amp;num_clusters="&amp;CG2&amp;"&amp;text=1"</f>
        <v>http://mkweb.bcgsc.ca/color-summarizer/?url=https://i.ibb.co/TbYwmWF/Ecuador-Flag.png&amp;precision=low&amp;num_clusters=7&amp;text=1</v>
      </c>
      <c r="IO2" s="44" t="str">
        <f>IF(HP2&lt;&gt;"",CHAR(34)&amp;"black"&amp;CHAR(34),"")</f>
        <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"brown"</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{"url":"http://mkweb.bcgsc.ca/color-summarizer/?url=https://i.ibb.co/TbYwmWF/Ecuador-Flag.png&amp;precision=low&amp;num_clusters=7&amp;text=1","name":"Ecuador"},</v>
      </c>
      <c r="IY2" s="44">
        <v>64</v>
      </c>
    </row>
    <row r="3" spans="1:259" s="44" customFormat="1" ht="38.4" customHeight="1" thickBot="1" x14ac:dyDescent="0.35">
      <c r="A3" s="84" t="s">
        <v>683</v>
      </c>
      <c r="B3" s="83" t="e" vm="75">
        <v>#VALUE!</v>
      </c>
      <c r="C3" s="39">
        <v>2</v>
      </c>
      <c r="D3" s="70" t="s">
        <v>684</v>
      </c>
      <c r="E3" s="40" t="s">
        <v>685</v>
      </c>
      <c r="F3" s="41" t="s">
        <v>163</v>
      </c>
      <c r="G3" s="42">
        <f>COUNTIF($A$1:$A$8285,A3)</f>
        <v>1</v>
      </c>
      <c r="H3" s="43"/>
      <c r="I3" s="59" t="s">
        <v>686</v>
      </c>
      <c r="J3" s="44" t="str">
        <f>""</f>
        <v/>
      </c>
      <c r="K3" s="45"/>
      <c r="L3" s="46"/>
      <c r="M3" s="46"/>
      <c r="N3" s="47" t="s">
        <v>177</v>
      </c>
      <c r="O3" s="74" t="s">
        <v>233</v>
      </c>
      <c r="P3" s="48" t="s">
        <v>687</v>
      </c>
      <c r="Q3" s="73">
        <v>1</v>
      </c>
      <c r="R3" s="49" t="s">
        <v>177</v>
      </c>
      <c r="S3" s="50">
        <v>2</v>
      </c>
      <c r="T3" s="51" t="s">
        <v>164</v>
      </c>
      <c r="U3" s="52" t="s">
        <v>164</v>
      </c>
      <c r="V3" s="52" t="s">
        <v>165</v>
      </c>
      <c r="W3" s="52" t="s">
        <v>164</v>
      </c>
      <c r="X3" s="52" t="s">
        <v>164</v>
      </c>
      <c r="Y3" s="52" t="s">
        <v>164</v>
      </c>
      <c r="Z3" s="52" t="s">
        <v>164</v>
      </c>
      <c r="AA3" s="52" t="s">
        <v>164</v>
      </c>
      <c r="AB3" s="52" t="s">
        <v>164</v>
      </c>
      <c r="AC3" s="52" t="s">
        <v>164</v>
      </c>
      <c r="AD3" s="52" t="s">
        <v>164</v>
      </c>
      <c r="AE3" s="52" t="s">
        <v>164</v>
      </c>
      <c r="AF3" s="53" t="s">
        <v>164</v>
      </c>
      <c r="AG3" s="53" t="s">
        <v>165</v>
      </c>
      <c r="AH3" s="53" t="s">
        <v>164</v>
      </c>
      <c r="AI3" s="53" t="s">
        <v>164</v>
      </c>
      <c r="AJ3" s="53" t="s">
        <v>164</v>
      </c>
      <c r="AK3" s="53" t="s">
        <v>165</v>
      </c>
      <c r="AL3" s="53" t="s">
        <v>164</v>
      </c>
      <c r="AM3" s="53" t="s">
        <v>164</v>
      </c>
      <c r="AN3" s="53" t="s">
        <v>164</v>
      </c>
      <c r="AO3" s="53" t="s">
        <v>164</v>
      </c>
      <c r="AP3" s="53" t="s">
        <v>164</v>
      </c>
      <c r="AQ3" s="53" t="s">
        <v>164</v>
      </c>
      <c r="AR3" s="53" t="s">
        <v>164</v>
      </c>
      <c r="AS3" s="53" t="s">
        <v>164</v>
      </c>
      <c r="AT3" s="54">
        <v>0</v>
      </c>
      <c r="AU3" s="53" t="s">
        <v>284</v>
      </c>
      <c r="AV3" s="53" t="str">
        <f>IF(LEFT(A3,1)="[",LEFT(A3,5)&amp;AU3&amp;A3,"")</f>
        <v>[ECU]Province[ECU] Azuay</v>
      </c>
      <c r="AW3" s="53" t="str">
        <f>C3&amp;A3</f>
        <v>2[ECU] Azuay</v>
      </c>
      <c r="AX3" s="55"/>
      <c r="AY3" s="55"/>
      <c r="AZ3" s="56" t="s">
        <v>234</v>
      </c>
      <c r="BA3" s="56" t="s">
        <v>234</v>
      </c>
      <c r="BB3" s="56"/>
      <c r="BC3" s="57"/>
      <c r="BD3" s="58" t="s">
        <v>167</v>
      </c>
      <c r="BE3" s="59"/>
      <c r="BF3" s="58" t="s">
        <v>154</v>
      </c>
      <c r="BG3" s="58" t="s">
        <v>234</v>
      </c>
      <c r="BH3" s="58" t="s">
        <v>155</v>
      </c>
      <c r="BI3" s="58"/>
      <c r="BJ3" s="58"/>
      <c r="BK3" s="59"/>
      <c r="BL3" s="58" t="s">
        <v>234</v>
      </c>
      <c r="BM3" s="58" t="s">
        <v>234</v>
      </c>
      <c r="BN3" s="58" t="s">
        <v>234</v>
      </c>
      <c r="BO3" s="58" t="s">
        <v>154</v>
      </c>
      <c r="BP3" s="58" t="s">
        <v>155</v>
      </c>
      <c r="BQ3" s="58" t="s">
        <v>234</v>
      </c>
      <c r="BR3" s="58" t="s">
        <v>234</v>
      </c>
      <c r="BS3" s="58" t="s">
        <v>234</v>
      </c>
      <c r="BT3" s="58" t="s">
        <v>234</v>
      </c>
      <c r="BU3" s="60"/>
      <c r="BV3" s="61"/>
      <c r="BW3" s="61">
        <v>0</v>
      </c>
      <c r="BX3" s="59"/>
      <c r="CB3" s="5"/>
      <c r="CC3" s="5"/>
      <c r="CD3" s="62">
        <v>0</v>
      </c>
      <c r="CE3" s="62">
        <v>0</v>
      </c>
      <c r="CF3" s="62" t="e">
        <v>#REF!</v>
      </c>
      <c r="CG3" s="75" cm="1">
        <f t="array" ref="CG3">SUMPRODUCT(--(LEN(TRIM(BL3:BT3))&gt;0))</f>
        <v>2</v>
      </c>
      <c r="CH3" s="53" t="str">
        <f>IF(CG3=2,"y","n")</f>
        <v>y</v>
      </c>
      <c r="CI3" s="53" t="str">
        <f>IF(CG3=3,"y","n")</f>
        <v>n</v>
      </c>
      <c r="CJ3" s="53" t="str">
        <f>IF(CG3=4,"y","n")</f>
        <v>n</v>
      </c>
      <c r="CK3" s="53" t="str">
        <f>IF(CG3&gt;4,"y","n")</f>
        <v>n</v>
      </c>
      <c r="CL3" s="53" t="str">
        <f>IF(S3=0,"y","n")</f>
        <v>n</v>
      </c>
      <c r="CM3" s="53" t="str">
        <f>IF(S3=2,"y","n")</f>
        <v>y</v>
      </c>
      <c r="CN3" s="53" t="str">
        <f>IF(S3=3,"y","n")</f>
        <v>n</v>
      </c>
      <c r="CO3" s="53" t="str">
        <f>IF(S3&gt;=4,"y","n")</f>
        <v>n</v>
      </c>
      <c r="CP3" s="53" t="str">
        <f>IF(AT3=0,"y","n")</f>
        <v>y</v>
      </c>
      <c r="CQ3" s="53" t="str">
        <f>IF(AT3=1,"y","n")</f>
        <v>n</v>
      </c>
      <c r="CR3" s="53" t="str">
        <f>IF(AT3=2,"y","n")</f>
        <v>n</v>
      </c>
      <c r="CS3" s="53" t="str">
        <f>IF(AT3&gt;=3,"y","n")</f>
        <v>n</v>
      </c>
      <c r="CT3" s="38" t="str">
        <f>CHAR(34)&amp;A3&amp;CHAR(34)</f>
        <v>"[ECU] Azuay"</v>
      </c>
      <c r="CU3" s="63" t="str">
        <f>CHAR(34)&amp;"rgn_"&amp;R3&amp;CHAR(34)</f>
        <v>"rgn_South America"</v>
      </c>
      <c r="CV3" s="44" t="str">
        <f>CHAR(34)&amp;D3&amp;CHAR(34)</f>
        <v>"https://upload.wikimedia.org/wikipedia/commons/thumb/a/aa/Bandera_Provincia_Azuay.svg/300px-Bandera_Provincia_Azuay.svg.png"</v>
      </c>
      <c r="CW3" s="44" t="str">
        <f t="shared" si="0"/>
        <v>"2Color",</v>
      </c>
      <c r="CX3" s="44" t="str">
        <f t="shared" si="0"/>
        <v/>
      </c>
      <c r="CY3" s="44" t="str">
        <f t="shared" si="0"/>
        <v/>
      </c>
      <c r="CZ3" s="44" t="str">
        <f t="shared" si="0"/>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"lets05",</v>
      </c>
      <c r="DE3" s="44" t="str">
        <f>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"with_y",</v>
      </c>
      <c r="DK3" s="44" t="str">
        <f>IFERROR(IF(SEARCH("z",A3)&gt;0,CHAR(34)&amp;"with_z"&amp;CHAR(34)&amp;",",""),"")</f>
        <v>"with_z",</v>
      </c>
      <c r="DL3" s="44" t="str">
        <f>IF(CG3=2, CHAR(34) &amp; _xlfn.TEXTJOIN("", TRUE, _xlfn._xlws.SORT(HP3:HX3)) &amp; CHAR(34) &amp; ",", "")</f>
        <v>"REDYEL",</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"2Bands",</v>
      </c>
      <c r="DY3" s="44" t="str">
        <f t="shared" si="1"/>
        <v/>
      </c>
      <c r="DZ3" s="44" t="str">
        <f t="shared" si="1"/>
        <v/>
      </c>
      <c r="EA3" s="44" t="str">
        <f t="shared" si="2"/>
        <v/>
      </c>
      <c r="EB3" s="44" t="str">
        <f t="shared" si="2"/>
        <v/>
      </c>
      <c r="EC3" s="44" t="str">
        <f t="shared" si="2"/>
        <v>"Horizo",</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"Unequa",</v>
      </c>
      <c r="EO3" s="44" t="str">
        <f t="shared" si="3"/>
        <v/>
      </c>
      <c r="EP3" s="44" t="str">
        <f t="shared" si="3"/>
        <v/>
      </c>
      <c r="EQ3" s="44" t="str">
        <f t="shared" si="4"/>
        <v/>
      </c>
      <c r="ER3" s="44" t="str">
        <f t="shared" si="4"/>
        <v>"OnlyBa",</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"NO_WHI",</v>
      </c>
      <c r="FG3" s="44" t="str">
        <f>IF(COUNTIF(BL3:BT3,"RED")=0,CHAR(34)&amp;"NO_RED"&amp;CHAR(34)&amp;",", "")</f>
        <v/>
      </c>
      <c r="FH3" s="44" t="str">
        <f>IF(COUNTIF(BL3:BS3,"GRE")=0,CHAR(34)&amp;"NO_GRE"&amp;CHAR(34)&amp;",", "")</f>
        <v>"NO_GRE",</v>
      </c>
      <c r="FI3" s="44" t="str">
        <f>IF(COUNTIF(BL3:BT3,"YEL")=0,CHAR(34)&amp;"NO_YEL"&amp;CHAR(34)&amp;",", "")</f>
        <v/>
      </c>
      <c r="FJ3" s="44" t="str">
        <f>IF(COUNTIF(BL3:BT3,"BLA")=0,CHAR(34)&amp;"NO_BLA"&amp;CHAR(34)&amp;",", "")</f>
        <v>"NO_BLA",</v>
      </c>
      <c r="FK3" s="44" t="str">
        <f>IF(AND(FH3&lt;&gt;"",FF3&lt;&gt;""),CHAR(34)&amp;"WHGRNO"&amp;CHAR(34)&amp;",","")</f>
        <v>"WHGRNO",</v>
      </c>
      <c r="FL3" s="44" t="str">
        <f>IF(AND(FI3&lt;&gt;"",FF3&lt;&gt;""),CHAR(34)&amp;"WHYENO"&amp;CHAR(34)&amp;",","")</f>
        <v/>
      </c>
      <c r="FM3" s="44" t="str">
        <f>IF(AND(FJ3&lt;&gt;"",FF3&lt;&gt;""),CHAR(34)&amp;"BAWHNO"&amp;CHAR(34)&amp;",","")</f>
        <v>"BAWHNO",</v>
      </c>
      <c r="FN3" s="44" t="str">
        <f>IF(AND(FE3&lt;&gt;"",FF3&lt;&gt;""),CHAR(34)&amp;"BLWHNO"&amp;CHAR(34)&amp;",","")</f>
        <v>"BLWHNO",</v>
      </c>
      <c r="FO3" s="44" t="str">
        <f>IF(AND(FE3&lt;&gt;"",FG3&lt;&gt;""),CHAR(34)&amp;"BLRENO"&amp;CHAR(34)&amp;",","")</f>
        <v/>
      </c>
      <c r="FP3" s="44" t="str">
        <f>IF(AND(FF3&lt;&gt;"",FF3&lt;&gt;""),CHAR(34)&amp;"WHRENO"&amp;CHAR(34)&amp;",","")</f>
        <v>"WHRENO",</v>
      </c>
      <c r="FQ3" s="44" t="str">
        <f>IF(LEN(BF3)=3,CHAR(34)&amp;"001"&amp;BF3&amp;CHAR(34)&amp;",","")</f>
        <v>"001RED",</v>
      </c>
      <c r="FR3" s="44" t="str">
        <f>IF(LEN(BG3)=3,CHAR(34)&amp;"002"&amp;BG3&amp;CHAR(34)&amp;",","")</f>
        <v/>
      </c>
      <c r="FS3" s="44" t="str">
        <f>IF(LEN(BH3)=3,CHAR(34)&amp;"003"&amp;BH3&amp;CHAR(34)&amp;",","")</f>
        <v>"003YEL",</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"Province"</v>
      </c>
      <c r="GS3" s="44" t="str">
        <f>SUBSTITUTE("["&amp;_xlfn.CONCAT(CW3:GN3)&amp;"]",",]","]")</f>
        <v>["2Color","lets05","startA","with_y","with_z","REDYEL","allhor","2Bands","Horizo","Unequa","OnlyBa","NO_BLU","NO_WHI","NO_GRE","NO_BLA","WHGRNO","BAWHNO","BLWHNO","WHRENO","001RED","003YEL","myrEQ","NoStar"]</v>
      </c>
      <c r="GT3" s="44" t="str">
        <f t="shared" si="6"/>
        <v/>
      </c>
      <c r="GU3" s="44" t="str">
        <f t="shared" si="6"/>
        <v/>
      </c>
      <c r="GV3" s="44" t="str">
        <f t="shared" si="6"/>
        <v/>
      </c>
      <c r="GW3" s="44" t="str">
        <f t="shared" si="6"/>
        <v>"cl_RED",</v>
      </c>
      <c r="GX3" s="44" t="str">
        <f t="shared" si="6"/>
        <v>"cl_YEL",</v>
      </c>
      <c r="GY3" s="44" t="str">
        <f t="shared" si="6"/>
        <v/>
      </c>
      <c r="GZ3" s="44" t="str">
        <f t="shared" si="6"/>
        <v/>
      </c>
      <c r="HA3" s="44" t="str">
        <f t="shared" si="6"/>
        <v/>
      </c>
      <c r="HB3" s="44" t="str">
        <f t="shared" si="6"/>
        <v/>
      </c>
      <c r="HC3" s="44" t="str">
        <f>SUBSTITUTE("["&amp;_xlfn.CONCAT(GT3:HB3)&amp;"]",",]","]")</f>
        <v>["cl_RED","cl_YEL"]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links: "https://www.crwflags.com/fotw/flags/ec-a-cue.html?utm_source=chatgpt.com"},</v>
      </c>
      <c r="HG3" s="66" t="str">
        <f>"{couname:"&amp;CT3&amp;(IF(HK3&lt;&gt;"",",subtype:"&amp;CHAR(34)&amp;HK3&amp;CHAR(34),""))&amp;",year:"&amp;HJ3&amp;",region:"&amp;CU3&amp;",Colors:"&amp;HC3&amp;",Items:"&amp;GS3&amp;",Flag:"&amp;CV3&amp;",HDFlag:"&amp;CHAR(34)&amp;E3&amp;CHAR(34)&amp;",type:"&amp;GP3&amp;", describe: "&amp;HI3&amp;", links: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links: "https://www.crwflags.com/fotw/flags/ec-a-cue.html?utm_source=chatgpt.com"},</v>
      </c>
      <c r="HH3" s="44" t="str">
        <f>IF(P3&lt;&gt;"",CHAR(34)&amp;"\n"&amp;P3&amp;CHAR(34),CHAR(34)&amp;CHAR(34))</f>
        <v>"\nThe flag is from the capital city of the province, Cuenca. The colors are from the flag of Spain, reflecting its historical ties to Spain. The red symbolizes the bloodshed for independence and the yellow represents the region's wealth and abundance."</v>
      </c>
      <c r="HI3" s="44" t="str">
        <f>IF(J3=0,CHAR(34)&amp;CHAR(34),HH3)</f>
        <v>"\nThe flag is from the capital city of the province, Cuenca. The colors are from the flag of Spain, reflecting its historical ties to Spain. The red symbolizes the bloodshed for independence and the yellow represents the region's wealth and abundance."</v>
      </c>
      <c r="HJ3" s="44" t="str">
        <f>CHAR(34)&amp;O3&amp;CHAR(34)</f>
        <v>"???"</v>
      </c>
      <c r="HL3" s="44" t="str">
        <f>CHAR(34)&amp;I3&amp;CHAR(34)</f>
        <v>"https://www.crwflags.com/fotw/flags/ec-a-cue.html?utm_source=chatgpt.com"</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{"couname":"[ECU] Azuay","year":"???","region":"rgn_South America","Colors":["cl_RED","cl_YEL"],"Items":["2Color","lets05","startA","with_y","with_z","REDYEL","allhor","2Bands","Horizo","Unequa","OnlyBa","NO_BLU","NO_WHI","NO_GRE","NO_BLA","WHGRNO","BAWHNO","BLWHNO","WHRENO","001RED","003YEL","myrEQ","NoStar"],"Flag":"https://upload.wikimedia.org/wikipedia/commons/thumb/a/aa/Bandera_Provincia_Azuay.svg/300px-Bandera_Provincia_Azuay.svg.png","HDFlag":"https://upload.wikimedia.org/wikipedia/commons/thumb/a/aa/Bandera_Provincia_Azuay.svg/2560px-Bandera_Provincia_Azuay.svg.png","type":"Province", "describe": "\nThe flag is from the capital city of the province, Cuenca. The colors are from the flag of Spain, reflecting its historical ties to Spain. The red symbolizes the bloodshed for independence and the yellow represents the region's wealth and abundance.", "isnew": ".", "links": "https://www.crwflags.com/fotw/flags/ec-a-cue.html?utm_source=chatgpt.com"},</v>
      </c>
      <c r="HO3" s="71">
        <v>45644</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-2</v>
      </c>
      <c r="IN3" s="69" t="str">
        <f>"http://mkweb.bcgsc.ca/color-summarizer/?url="&amp;D3&amp;"&amp;precision=low&amp;num_clusters="&amp;CG3&amp;"&amp;text=1"</f>
        <v>http://mkweb.bcgsc.ca/color-summarizer/?url=https://upload.wikimedia.org/wikipedia/commons/thumb/a/aa/Bandera_Provincia_Azuay.svg/300px-Bandera_Provincia_Azuay.svg.png&amp;precision=low&amp;num_clusters=2&amp;text=1</v>
      </c>
      <c r="IO3" s="44" t="str">
        <f>IF(HP3&lt;&gt;"",CHAR(34)&amp;"black"&amp;CHAR(34),"")</f>
        <v/>
      </c>
      <c r="IP3" s="44" t="str">
        <f>IF(HQ3&lt;&gt;"",CHAR(34)&amp;"blue"&amp;CHAR(34),"")</f>
        <v/>
      </c>
      <c r="IQ3" s="44" t="str">
        <f>IF(HR3&lt;&gt;"",CHAR(34)&amp;"green"&amp;CHAR(34),"")</f>
        <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{"url":"http://mkweb.bcgsc.ca/color-summarizer/?url=https://upload.wikimedia.org/wikipedia/commons/thumb/a/aa/Bandera_Provincia_Azuay.svg/300px-Bandera_Provincia_Azuay.svg.png&amp;precision=low&amp;num_clusters=2&amp;text=1","name":"[ECU] Azuay"},</v>
      </c>
      <c r="IY3" s="44">
        <v>1503</v>
      </c>
    </row>
    <row r="4" spans="1:259" s="44" customFormat="1" ht="38.4" customHeight="1" thickBot="1" x14ac:dyDescent="0.35">
      <c r="A4" s="84" t="s">
        <v>688</v>
      </c>
      <c r="B4" s="83" t="e" vm="76">
        <v>#VALUE!</v>
      </c>
      <c r="C4" s="39">
        <v>2</v>
      </c>
      <c r="D4" s="70" t="s">
        <v>689</v>
      </c>
      <c r="E4" s="40" t="s">
        <v>690</v>
      </c>
      <c r="F4" s="41" t="s">
        <v>163</v>
      </c>
      <c r="G4" s="42">
        <f>COUNTIF($A$1:$A$8285,A4)</f>
        <v>1</v>
      </c>
      <c r="H4" s="43"/>
      <c r="I4" s="59" t="s">
        <v>691</v>
      </c>
      <c r="J4" s="44" t="str">
        <f>""</f>
        <v/>
      </c>
      <c r="K4" s="45"/>
      <c r="L4" s="46"/>
      <c r="M4" s="46"/>
      <c r="N4" s="47" t="s">
        <v>177</v>
      </c>
      <c r="O4" s="74" t="s">
        <v>233</v>
      </c>
      <c r="P4" s="48" t="s">
        <v>692</v>
      </c>
      <c r="Q4" s="73">
        <v>1</v>
      </c>
      <c r="R4" s="49" t="s">
        <v>177</v>
      </c>
      <c r="S4" s="50">
        <v>2</v>
      </c>
      <c r="T4" s="51" t="s">
        <v>164</v>
      </c>
      <c r="U4" s="52" t="s">
        <v>164</v>
      </c>
      <c r="V4" s="52" t="s">
        <v>165</v>
      </c>
      <c r="W4" s="52" t="s">
        <v>164</v>
      </c>
      <c r="X4" s="52" t="s">
        <v>164</v>
      </c>
      <c r="Y4" s="52" t="s">
        <v>164</v>
      </c>
      <c r="Z4" s="52" t="s">
        <v>164</v>
      </c>
      <c r="AA4" s="52" t="s">
        <v>164</v>
      </c>
      <c r="AB4" s="52" t="s">
        <v>164</v>
      </c>
      <c r="AC4" s="52" t="s">
        <v>164</v>
      </c>
      <c r="AD4" s="52" t="s">
        <v>164</v>
      </c>
      <c r="AE4" s="52" t="s">
        <v>164</v>
      </c>
      <c r="AF4" s="53" t="s">
        <v>164</v>
      </c>
      <c r="AG4" s="53" t="s">
        <v>165</v>
      </c>
      <c r="AH4" s="53" t="s">
        <v>164</v>
      </c>
      <c r="AI4" s="53" t="s">
        <v>164</v>
      </c>
      <c r="AJ4" s="53" t="s">
        <v>164</v>
      </c>
      <c r="AK4" s="53" t="s">
        <v>165</v>
      </c>
      <c r="AL4" s="53" t="s">
        <v>164</v>
      </c>
      <c r="AM4" s="53" t="s">
        <v>164</v>
      </c>
      <c r="AN4" s="53" t="s">
        <v>164</v>
      </c>
      <c r="AO4" s="53" t="s">
        <v>164</v>
      </c>
      <c r="AP4" s="53" t="s">
        <v>164</v>
      </c>
      <c r="AQ4" s="53" t="s">
        <v>164</v>
      </c>
      <c r="AR4" s="53" t="s">
        <v>164</v>
      </c>
      <c r="AS4" s="53" t="s">
        <v>164</v>
      </c>
      <c r="AT4" s="54">
        <v>0</v>
      </c>
      <c r="AU4" s="53" t="s">
        <v>284</v>
      </c>
      <c r="AV4" s="53" t="str">
        <f>IF(LEFT(A4,1)="[",LEFT(A4,5)&amp;AU4&amp;A4,"")</f>
        <v>[ECU]Province[ECU] Bolívar</v>
      </c>
      <c r="AW4" s="53" t="str">
        <f>C4&amp;A4</f>
        <v>2[ECU] Bolívar</v>
      </c>
      <c r="AX4" s="55"/>
      <c r="AY4" s="55"/>
      <c r="AZ4" s="56" t="s">
        <v>234</v>
      </c>
      <c r="BA4" s="56" t="s">
        <v>234</v>
      </c>
      <c r="BB4" s="56"/>
      <c r="BC4" s="57"/>
      <c r="BD4" s="58" t="s">
        <v>167</v>
      </c>
      <c r="BE4" s="59"/>
      <c r="BF4" s="58" t="s">
        <v>154</v>
      </c>
      <c r="BG4" s="58" t="s">
        <v>234</v>
      </c>
      <c r="BH4" s="58" t="s">
        <v>153</v>
      </c>
      <c r="BI4" s="58"/>
      <c r="BJ4" s="58"/>
      <c r="BK4" s="59"/>
      <c r="BL4" s="58" t="s">
        <v>234</v>
      </c>
      <c r="BM4" s="58" t="s">
        <v>234</v>
      </c>
      <c r="BN4" s="58" t="s">
        <v>153</v>
      </c>
      <c r="BO4" s="58" t="s">
        <v>154</v>
      </c>
      <c r="BP4" s="58" t="s">
        <v>234</v>
      </c>
      <c r="BQ4" s="58" t="s">
        <v>234</v>
      </c>
      <c r="BR4" s="58" t="s">
        <v>234</v>
      </c>
      <c r="BS4" s="58" t="s">
        <v>234</v>
      </c>
      <c r="BT4" s="58" t="s">
        <v>234</v>
      </c>
      <c r="BU4" s="60"/>
      <c r="BV4" s="61"/>
      <c r="BW4" s="61">
        <v>0</v>
      </c>
      <c r="BX4" s="59"/>
      <c r="CB4" s="5"/>
      <c r="CC4" s="5"/>
      <c r="CD4" s="62">
        <v>0</v>
      </c>
      <c r="CE4" s="62">
        <v>0</v>
      </c>
      <c r="CF4" s="62" t="e">
        <v>#REF!</v>
      </c>
      <c r="CG4" s="75" cm="1">
        <f t="array" ref="CG4">SUMPRODUCT(--(LEN(TRIM(BL4:BT4))&gt;0))</f>
        <v>2</v>
      </c>
      <c r="CH4" s="53" t="str">
        <f>IF(CG4=2,"y","n")</f>
        <v>y</v>
      </c>
      <c r="CI4" s="53" t="str">
        <f>IF(CG4=3,"y","n")</f>
        <v>n</v>
      </c>
      <c r="CJ4" s="53" t="str">
        <f>IF(CG4=4,"y","n")</f>
        <v>n</v>
      </c>
      <c r="CK4" s="53" t="str">
        <f>IF(CG4&gt;4,"y","n")</f>
        <v>n</v>
      </c>
      <c r="CL4" s="53" t="str">
        <f>IF(S4=0,"y","n")</f>
        <v>n</v>
      </c>
      <c r="CM4" s="53" t="str">
        <f>IF(S4=2,"y","n")</f>
        <v>y</v>
      </c>
      <c r="CN4" s="53" t="str">
        <f>IF(S4=3,"y","n")</f>
        <v>n</v>
      </c>
      <c r="CO4" s="53" t="str">
        <f>IF(S4&gt;=4,"y","n")</f>
        <v>n</v>
      </c>
      <c r="CP4" s="53" t="str">
        <f>IF(AT4=0,"y","n")</f>
        <v>y</v>
      </c>
      <c r="CQ4" s="53" t="str">
        <f>IF(AT4=1,"y","n")</f>
        <v>n</v>
      </c>
      <c r="CR4" s="53" t="str">
        <f>IF(AT4=2,"y","n")</f>
        <v>n</v>
      </c>
      <c r="CS4" s="53" t="str">
        <f>IF(AT4&gt;=3,"y","n")</f>
        <v>n</v>
      </c>
      <c r="CT4" s="38" t="str">
        <f>CHAR(34)&amp;A4&amp;CHAR(34)</f>
        <v>"[ECU] Bolívar"</v>
      </c>
      <c r="CU4" s="63" t="str">
        <f>CHAR(34)&amp;"rgn_"&amp;R4&amp;CHAR(34)</f>
        <v>"rgn_South America"</v>
      </c>
      <c r="CV4" s="44" t="str">
        <f>CHAR(34)&amp;D4&amp;CHAR(34)</f>
        <v>"https://upload.wikimedia.org/wikipedia/commons/thumb/5/5e/Bandera_Provincia_Bol%C3%ADvar.svg/320px-Bandera_Provincia_Bol%C3%ADvar.svg.png"</v>
      </c>
      <c r="CW4" s="44" t="str">
        <f t="shared" si="0"/>
        <v>"2Color",</v>
      </c>
      <c r="CX4" s="44" t="str">
        <f t="shared" si="0"/>
        <v/>
      </c>
      <c r="CY4" s="44" t="str">
        <f t="shared" si="0"/>
        <v/>
      </c>
      <c r="CZ4" s="44" t="str">
        <f t="shared" si="0"/>
        <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4" t="str">
        <f>CHAR(34)&amp;"start"&amp;IFERROR(LEFT(SUBSTITUTE(A4,"["&amp;MID(A4,FIND("[",A4)+1,FIND("]",A4)-FIND("[",A4)-1)&amp;"] ",""),1),LEFT(A4,1))&amp;CHAR(34)&amp;","</f>
        <v>"startB",</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"GRERED",</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 t="shared" si="1"/>
        <v/>
      </c>
      <c r="DX4" s="44" t="str">
        <f t="shared" si="1"/>
        <v>"2Bands",</v>
      </c>
      <c r="DY4" s="44" t="str">
        <f t="shared" si="1"/>
        <v/>
      </c>
      <c r="DZ4" s="44" t="str">
        <f t="shared" si="1"/>
        <v/>
      </c>
      <c r="EA4" s="44" t="str">
        <f t="shared" si="2"/>
        <v/>
      </c>
      <c r="EB4" s="44" t="str">
        <f t="shared" si="2"/>
        <v/>
      </c>
      <c r="EC4" s="44" t="str">
        <f t="shared" si="2"/>
        <v>"Horizo",</v>
      </c>
      <c r="ED4" s="44" t="str">
        <f t="shared" si="2"/>
        <v/>
      </c>
      <c r="EE4" s="44" t="str">
        <f t="shared" si="2"/>
        <v/>
      </c>
      <c r="EF4" s="44" t="str">
        <f>IF(AND(Y4&lt;&gt;"n",Y4&lt;&gt;""),CHAR(34)&amp;Y$1&amp;CHAR(34)&amp;",","")</f>
        <v/>
      </c>
      <c r="EG4" s="44" t="str">
        <f t="shared" si="3"/>
        <v/>
      </c>
      <c r="EH4" s="44" t="str">
        <f t="shared" si="3"/>
        <v/>
      </c>
      <c r="EI4" s="44" t="str">
        <f t="shared" si="3"/>
        <v/>
      </c>
      <c r="EJ4" s="44" t="str">
        <f t="shared" si="3"/>
        <v/>
      </c>
      <c r="EK4" s="44" t="str">
        <f t="shared" si="3"/>
        <v/>
      </c>
      <c r="EL4" s="44" t="str">
        <f t="shared" si="3"/>
        <v/>
      </c>
      <c r="EM4" s="44" t="str">
        <f t="shared" si="3"/>
        <v/>
      </c>
      <c r="EN4" s="44" t="str">
        <f t="shared" si="3"/>
        <v>"Unequa",</v>
      </c>
      <c r="EO4" s="44" t="str">
        <f t="shared" si="3"/>
        <v/>
      </c>
      <c r="EP4" s="44" t="str">
        <f t="shared" si="3"/>
        <v/>
      </c>
      <c r="EQ4" s="44" t="str">
        <f t="shared" si="4"/>
        <v/>
      </c>
      <c r="ER4" s="44" t="str">
        <f t="shared" si="4"/>
        <v>"OnlyBa",</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"NO_BLU",</v>
      </c>
      <c r="FF4" s="44" t="str">
        <f>IF(COUNTIF(BL4:BT4,"WHI")=0,CHAR(34)&amp;"NO_WHI"&amp;CHAR(34)&amp;",", "")</f>
        <v>"NO_WHI",</v>
      </c>
      <c r="FG4" s="44" t="str">
        <f>IF(COUNTIF(BL4:BT4,"RED")=0,CHAR(34)&amp;"NO_RED"&amp;CHAR(34)&amp;",", "")</f>
        <v/>
      </c>
      <c r="FH4" s="44" t="str">
        <f>IF(COUNTIF(BL4:BS4,"GRE")=0,CHAR(34)&amp;"NO_GRE"&amp;CHAR(34)&amp;",", "")</f>
        <v/>
      </c>
      <c r="FI4" s="44" t="str">
        <f>IF(COUNTIF(BL4:BT4,"YEL")=0,CHAR(34)&amp;"NO_YEL"&amp;CHAR(34)&amp;",", "")</f>
        <v>"NO_YEL",</v>
      </c>
      <c r="FJ4" s="44" t="str">
        <f>IF(COUNTIF(BL4:BT4,"BLA")=0,CHAR(34)&amp;"NO_BLA"&amp;CHAR(34)&amp;",", "")</f>
        <v>"NO_BLA",</v>
      </c>
      <c r="FK4" s="44" t="str">
        <f>IF(AND(FH4&lt;&gt;"",FF4&lt;&gt;""),CHAR(34)&amp;"WHGRNO"&amp;CHAR(34)&amp;",","")</f>
        <v/>
      </c>
      <c r="FL4" s="44" t="str">
        <f>IF(AND(FI4&lt;&gt;"",FF4&lt;&gt;""),CHAR(34)&amp;"WHYENO"&amp;CHAR(34)&amp;",","")</f>
        <v>"WHYENO",</v>
      </c>
      <c r="FM4" s="44" t="str">
        <f>IF(AND(FJ4&lt;&gt;"",FF4&lt;&gt;""),CHAR(34)&amp;"BAWHNO"&amp;CHAR(34)&amp;",","")</f>
        <v>"BAWHNO",</v>
      </c>
      <c r="FN4" s="44" t="str">
        <f>IF(AND(FE4&lt;&gt;"",FF4&lt;&gt;""),CHAR(34)&amp;"BLWHNO"&amp;CHAR(34)&amp;",","")</f>
        <v>"BLWHNO",</v>
      </c>
      <c r="FO4" s="44" t="str">
        <f>IF(AND(FE4&lt;&gt;"",FG4&lt;&gt;""),CHAR(34)&amp;"BLRENO"&amp;CHAR(34)&amp;",","")</f>
        <v/>
      </c>
      <c r="FP4" s="44" t="str">
        <f>IF(AND(FF4&lt;&gt;"",FF4&lt;&gt;""),CHAR(34)&amp;"WHRENO"&amp;CHAR(34)&amp;",","")</f>
        <v>"WHRENO",</v>
      </c>
      <c r="FQ4" s="44" t="str">
        <f>IF(LEN(BF4)=3,CHAR(34)&amp;"001"&amp;BF4&amp;CHAR(34)&amp;",","")</f>
        <v>"001RED",</v>
      </c>
      <c r="FR4" s="44" t="str">
        <f>IF(LEN(BG4)=3,CHAR(34)&amp;"002"&amp;BG4&amp;CHAR(34)&amp;",","")</f>
        <v/>
      </c>
      <c r="FS4" s="44" t="str">
        <f>IF(LEN(BH4)=3,CHAR(34)&amp;"003"&amp;BH4&amp;CHAR(34)&amp;",","")</f>
        <v>"003GRE",</v>
      </c>
      <c r="FT4" s="44" t="str">
        <f>CHAR(34)&amp;"myr"&amp;BD4&amp;CHAR(34)&amp;","</f>
        <v>"myrEQ",</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 t="shared" si="5"/>
        <v/>
      </c>
      <c r="GM4" s="44" t="str">
        <f t="shared" si="5"/>
        <v/>
      </c>
      <c r="GN4" s="44" t="str">
        <f t="shared" si="5"/>
        <v/>
      </c>
      <c r="GP4" s="44" t="str">
        <f>CHAR(34)&amp;AU4&amp;CHAR(34)</f>
        <v>"Province"</v>
      </c>
      <c r="GS4" s="44" t="str">
        <f>SUBSTITUTE("["&amp;_xlfn.CONCAT(CW4:GN4)&amp;"]",",]","]")</f>
        <v>["2Color","lets07","startB","with_v","GRERED","allhor","2Bands","Horizo","Unequa","OnlyBa","NO_BLU","NO_WHI","NO_YEL","NO_BLA","WHYENO","BAWHNO","BLWHNO","WHRENO","001RED","003GRE","myrEQ","NoStar"]</v>
      </c>
      <c r="GT4" s="44" t="str">
        <f t="shared" si="6"/>
        <v/>
      </c>
      <c r="GU4" s="44" t="str">
        <f t="shared" si="6"/>
        <v/>
      </c>
      <c r="GV4" s="44" t="str">
        <f t="shared" si="6"/>
        <v>"cl_GRE",</v>
      </c>
      <c r="GW4" s="44" t="str">
        <f t="shared" si="6"/>
        <v>"cl_RED",</v>
      </c>
      <c r="GX4" s="44" t="str">
        <f t="shared" si="6"/>
        <v/>
      </c>
      <c r="GY4" s="44" t="str">
        <f t="shared" si="6"/>
        <v/>
      </c>
      <c r="GZ4" s="44" t="str">
        <f t="shared" si="6"/>
        <v/>
      </c>
      <c r="HA4" s="44" t="str">
        <f t="shared" si="6"/>
        <v/>
      </c>
      <c r="HB4" s="44" t="str">
        <f t="shared" si="6"/>
        <v/>
      </c>
      <c r="HC4" s="44" t="str">
        <f>SUBSTITUTE("["&amp;_xlfn.CONCAT(GT4:HB4)&amp;"]",",]","]")</f>
        <v>["cl_GRE","cl_RED"]</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links: "https://flags.fandom.com/wiki/Bol%C3%ADvar,_Ecuador?utm_source=chatgpt.com"},</v>
      </c>
      <c r="HG4" s="66" t="str">
        <f>"{couname:"&amp;CT4&amp;(IF(HK4&lt;&gt;"",",subtype:"&amp;CHAR(34)&amp;HK4&amp;CHAR(34),""))&amp;",year:"&amp;HJ4&amp;",region:"&amp;CU4&amp;",Colors:"&amp;HC4&amp;",Items:"&amp;GS4&amp;",Flag:"&amp;CV4&amp;",HDFlag:"&amp;CHAR(34)&amp;E4&amp;CHAR(34)&amp;",type:"&amp;GP4&amp;", describe: "&amp;HI4&amp;", links: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links: "https://flags.fandom.com/wiki/Bol%C3%ADvar,_Ecuador?utm_source=chatgpt.com"},</v>
      </c>
      <c r="HH4" s="44" t="str">
        <f>IF(P4&lt;&gt;"",CHAR(34)&amp;"\n"&amp;P4&amp;CHAR(34),CHAR(34)&amp;CHAR(34))</f>
        <v>"\nThe red symbolizes the blood of those who fought for independence, while the green represents the province's fertile lands and agricultural productivity."</v>
      </c>
      <c r="HI4" s="44" t="str">
        <f>IF(J4=0,CHAR(34)&amp;CHAR(34),HH4)</f>
        <v>"\nThe red symbolizes the blood of those who fought for independence, while the green represents the province's fertile lands and agricultural productivity."</v>
      </c>
      <c r="HJ4" s="44" t="str">
        <f>CHAR(34)&amp;O4&amp;CHAR(34)</f>
        <v>"???"</v>
      </c>
      <c r="HL4" s="44" t="str">
        <f>CHAR(34)&amp;I4&amp;CHAR(34)</f>
        <v>"https://flags.fandom.com/wiki/Bol%C3%ADvar,_Ecuador?utm_source=chatgpt.com"</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{"couname":"[ECU] Bolívar","year":"???","region":"rgn_South America","Colors":["cl_GRE","cl_RED"],"Items":["2Color","lets07","startB","with_v","GRERED","allhor","2Bands","Horizo","Unequa","OnlyBa","NO_BLU","NO_WHI","NO_YEL","NO_BLA","WHYENO","BAWHNO","BLWHNO","WHRENO","001RED","003GRE","myrEQ","NoStar"],"Flag":"https://upload.wikimedia.org/wikipedia/commons/thumb/5/5e/Bandera_Provincia_Bol%C3%ADvar.svg/320px-Bandera_Provincia_Bol%C3%ADvar.svg.png","HDFlag":"https://upload.wikimedia.org/wikipedia/commons/thumb/5/5e/Bandera_Provincia_Bol%C3%ADvar.svg/2560px-Bandera_Provincia_Bol%C3%ADvar.svg.png","type":"Province", "describe": "\nThe red symbolizes the blood of those who fought for independence, while the green represents the province's fertile lands and agricultural productivity.", "isnew": ".", "links": "https://flags.fandom.com/wiki/Bol%C3%ADvar,_Ecuador?utm_source=chatgpt.com"},</v>
      </c>
      <c r="HO4" s="71">
        <v>45644</v>
      </c>
      <c r="HP4" s="44" t="str" cm="1">
        <f t="array" ref="HP4">IF(_xlfn.TEXTJOIN(", ", TRUE, IF(ISNUMBER(SEARCH("BLA", BL4:BT4)), COLUMN(BL4:BT4) - COLUMN(BL4) + 1, ""))&lt;&gt;"","BLA","")</f>
        <v/>
      </c>
      <c r="HQ4" s="44" t="str" cm="1">
        <f t="array" ref="HQ4">IF(_xlfn.TEXTJOIN(", ", TRUE, IF(ISNUMBER(SEARCH("BLU", BL4:BT4)), COLUMN(BL4:BT4) - COLUMN(BL4) + 1, ""))&lt;&gt;"","BLU","")</f>
        <v/>
      </c>
      <c r="HR4" s="44" t="str" cm="1">
        <f t="array" ref="HR4">IF(_xlfn.TEXTJOIN(", ", TRUE, IF(ISNUMBER(SEARCH("GRE", BL4:BT4)), COLUMN(BL4:BT4) - COLUMN(BL4) + 1, ""))&lt;&gt;"","GRE","")</f>
        <v>GRE</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
      </c>
      <c r="HY4" s="72"/>
      <c r="HZ4" s="72"/>
      <c r="IA4" s="5"/>
      <c r="IB4" s="5"/>
      <c r="IC4" s="68"/>
      <c r="ID4" s="68"/>
      <c r="IE4" s="68"/>
      <c r="IF4" s="68"/>
      <c r="IG4" s="68"/>
      <c r="IH4" s="68"/>
      <c r="II4" s="68"/>
      <c r="IJ4" s="68"/>
      <c r="IK4" s="68"/>
      <c r="IM4" s="42">
        <f>COUNTIF(IC4:IK4,"&gt;0")-CG4</f>
        <v>-2</v>
      </c>
      <c r="IN4" s="69" t="str">
        <f>"http://mkweb.bcgsc.ca/color-summarizer/?url="&amp;D4&amp;"&amp;precision=low&amp;num_clusters="&amp;CG4&amp;"&amp;text=1"</f>
        <v>http://mkweb.bcgsc.ca/color-summarizer/?url=https://upload.wikimedia.org/wikipedia/commons/thumb/5/5e/Bandera_Provincia_Bol%C3%ADvar.svg/320px-Bandera_Provincia_Bol%C3%ADvar.svg.png&amp;precision=low&amp;num_clusters=2&amp;text=1</v>
      </c>
      <c r="IO4" s="44" t="str">
        <f>IF(HP4&lt;&gt;"",CHAR(34)&amp;"black"&amp;CHAR(34),"")</f>
        <v/>
      </c>
      <c r="IP4" s="44" t="str">
        <f>IF(HQ4&lt;&gt;"",CHAR(34)&amp;"blue"&amp;CHAR(34),"")</f>
        <v/>
      </c>
      <c r="IQ4" s="44" t="str">
        <f>IF(HR4&lt;&gt;"",CHAR(34)&amp;"green"&amp;CHAR(34),"")</f>
        <v>"green"</v>
      </c>
      <c r="IR4" s="44" t="str">
        <f>IF(HS4&lt;&gt;"",CHAR(34)&amp;"red"&amp;CHAR(34),"")</f>
        <v>"red"</v>
      </c>
      <c r="IS4" s="44" t="str">
        <f>IF(HT4&lt;&gt;"",CHAR(34)&amp;"yellow"&amp;CHAR(34),"")</f>
        <v/>
      </c>
      <c r="IT4" s="44" t="str">
        <f>IF(HU4&lt;&gt;"",CHAR(34)&amp;"orange"&amp;CHAR(34),"")</f>
        <v/>
      </c>
      <c r="IU4" s="44" t="str">
        <f>IF(HV4&lt;&gt;"",CHAR(34)&amp;"brown"&amp;CHAR(34),"")</f>
        <v/>
      </c>
      <c r="IV4" s="44" t="str">
        <f>IF(HW4&lt;&gt;"",CHAR(34)&amp;"purple"&amp;CHAR(34),"")</f>
        <v/>
      </c>
      <c r="IW4" s="44" t="str">
        <f>IF(HX4&lt;&gt;"",CHAR(34)&amp;"white"&amp;CHAR(34),"")</f>
        <v/>
      </c>
      <c r="IX4" s="44" t="str">
        <f>"{"&amp;CHAR(34)&amp;"url"&amp;CHAR(34)&amp;":"&amp;CHAR(34)&amp;IN4&amp;CHAR(34)&amp;","&amp;CHAR(34)&amp;"name"&amp;CHAR(34)&amp;":"&amp;CHAR(34)&amp;A4&amp;CHAR(34)&amp;"},"</f>
        <v>{"url":"http://mkweb.bcgsc.ca/color-summarizer/?url=https://upload.wikimedia.org/wikipedia/commons/thumb/5/5e/Bandera_Provincia_Bol%C3%ADvar.svg/320px-Bandera_Provincia_Bol%C3%ADvar.svg.png&amp;precision=low&amp;num_clusters=2&amp;text=1","name":"[ECU] Bolívar"},</v>
      </c>
      <c r="IY4" s="44">
        <v>1503</v>
      </c>
    </row>
    <row r="5" spans="1:259" s="44" customFormat="1" ht="38.4" customHeight="1" thickBot="1" x14ac:dyDescent="0.35">
      <c r="A5" s="84" t="s">
        <v>693</v>
      </c>
      <c r="B5" s="83" t="e" vm="77">
        <v>#VALUE!</v>
      </c>
      <c r="C5" s="39">
        <v>2</v>
      </c>
      <c r="D5" s="70" t="s">
        <v>694</v>
      </c>
      <c r="E5" s="40" t="s">
        <v>695</v>
      </c>
      <c r="F5" s="41" t="s">
        <v>163</v>
      </c>
      <c r="G5" s="42">
        <f>COUNTIF($A$1:$A$8285,A5)</f>
        <v>1</v>
      </c>
      <c r="H5" s="43"/>
      <c r="I5" s="59" t="s">
        <v>696</v>
      </c>
      <c r="J5" s="44" t="str">
        <f>""</f>
        <v/>
      </c>
      <c r="K5" s="45"/>
      <c r="L5" s="46"/>
      <c r="M5" s="46"/>
      <c r="N5" s="47" t="s">
        <v>177</v>
      </c>
      <c r="O5" s="74">
        <v>1954</v>
      </c>
      <c r="P5" s="48" t="s">
        <v>697</v>
      </c>
      <c r="Q5" s="73">
        <v>1</v>
      </c>
      <c r="R5" s="49" t="s">
        <v>177</v>
      </c>
      <c r="S5" s="50">
        <v>3</v>
      </c>
      <c r="T5" s="51" t="s">
        <v>164</v>
      </c>
      <c r="U5" s="52" t="s">
        <v>164</v>
      </c>
      <c r="V5" s="52" t="s">
        <v>165</v>
      </c>
      <c r="W5" s="52" t="s">
        <v>164</v>
      </c>
      <c r="X5" s="52" t="s">
        <v>164</v>
      </c>
      <c r="Y5" s="52" t="s">
        <v>164</v>
      </c>
      <c r="Z5" s="52" t="s">
        <v>164</v>
      </c>
      <c r="AA5" s="52" t="s">
        <v>164</v>
      </c>
      <c r="AB5" s="52" t="s">
        <v>164</v>
      </c>
      <c r="AC5" s="52" t="s">
        <v>164</v>
      </c>
      <c r="AD5" s="52" t="s">
        <v>164</v>
      </c>
      <c r="AE5" s="52" t="s">
        <v>164</v>
      </c>
      <c r="AF5" s="53" t="s">
        <v>164</v>
      </c>
      <c r="AG5" s="53" t="s">
        <v>165</v>
      </c>
      <c r="AH5" s="53" t="s">
        <v>164</v>
      </c>
      <c r="AI5" s="53" t="s">
        <v>164</v>
      </c>
      <c r="AJ5" s="53" t="s">
        <v>164</v>
      </c>
      <c r="AK5" s="53" t="s">
        <v>165</v>
      </c>
      <c r="AL5" s="53" t="s">
        <v>164</v>
      </c>
      <c r="AM5" s="53" t="s">
        <v>164</v>
      </c>
      <c r="AN5" s="53" t="s">
        <v>164</v>
      </c>
      <c r="AO5" s="53" t="s">
        <v>164</v>
      </c>
      <c r="AP5" s="53" t="s">
        <v>164</v>
      </c>
      <c r="AQ5" s="53" t="s">
        <v>164</v>
      </c>
      <c r="AR5" s="53" t="s">
        <v>164</v>
      </c>
      <c r="AS5" s="53" t="s">
        <v>164</v>
      </c>
      <c r="AT5" s="54">
        <v>0</v>
      </c>
      <c r="AU5" s="53" t="s">
        <v>284</v>
      </c>
      <c r="AV5" s="53" t="str">
        <f>IF(LEFT(A5,1)="[",LEFT(A5,5)&amp;AU5&amp;A5,"")</f>
        <v>[ECU]Province[ECU] Cañar</v>
      </c>
      <c r="AW5" s="53" t="str">
        <f>C5&amp;A5</f>
        <v>2[ECU] Cañar</v>
      </c>
      <c r="AX5" s="55"/>
      <c r="AY5" s="55"/>
      <c r="AZ5" s="56" t="s">
        <v>234</v>
      </c>
      <c r="BA5" s="56" t="s">
        <v>234</v>
      </c>
      <c r="BB5" s="56"/>
      <c r="BC5" s="57"/>
      <c r="BD5" s="58" t="s">
        <v>167</v>
      </c>
      <c r="BE5" s="59"/>
      <c r="BF5" s="58" t="s">
        <v>152</v>
      </c>
      <c r="BG5" s="58" t="s">
        <v>155</v>
      </c>
      <c r="BH5" s="58" t="s">
        <v>154</v>
      </c>
      <c r="BI5" s="58"/>
      <c r="BJ5" s="58"/>
      <c r="BK5" s="59"/>
      <c r="BL5" s="58" t="s">
        <v>234</v>
      </c>
      <c r="BM5" s="58" t="s">
        <v>152</v>
      </c>
      <c r="BN5" s="58" t="s">
        <v>234</v>
      </c>
      <c r="BO5" s="58" t="s">
        <v>154</v>
      </c>
      <c r="BP5" s="58" t="s">
        <v>155</v>
      </c>
      <c r="BQ5" s="58" t="s">
        <v>234</v>
      </c>
      <c r="BR5" s="58" t="s">
        <v>234</v>
      </c>
      <c r="BS5" s="58" t="s">
        <v>234</v>
      </c>
      <c r="BT5" s="58" t="s">
        <v>234</v>
      </c>
      <c r="BU5" s="60"/>
      <c r="BV5" s="61"/>
      <c r="BW5" s="61">
        <v>0</v>
      </c>
      <c r="BX5" s="59"/>
      <c r="CB5" s="5"/>
      <c r="CC5" s="5"/>
      <c r="CD5" s="62">
        <v>0</v>
      </c>
      <c r="CE5" s="62">
        <v>0</v>
      </c>
      <c r="CF5" s="62" t="e">
        <v>#REF!</v>
      </c>
      <c r="CG5" s="75" cm="1">
        <f t="array" ref="CG5">SUMPRODUCT(--(LEN(TRIM(BL5:BT5))&gt;0))</f>
        <v>3</v>
      </c>
      <c r="CH5" s="53" t="str">
        <f>IF(CG5=2,"y","n")</f>
        <v>n</v>
      </c>
      <c r="CI5" s="53" t="str">
        <f>IF(CG5=3,"y","n")</f>
        <v>y</v>
      </c>
      <c r="CJ5" s="53" t="str">
        <f>IF(CG5=4,"y","n")</f>
        <v>n</v>
      </c>
      <c r="CK5" s="53" t="str">
        <f>IF(CG5&gt;4,"y","n")</f>
        <v>n</v>
      </c>
      <c r="CL5" s="53" t="str">
        <f>IF(S5=0,"y","n")</f>
        <v>n</v>
      </c>
      <c r="CM5" s="53" t="str">
        <f>IF(S5=2,"y","n")</f>
        <v>n</v>
      </c>
      <c r="CN5" s="53" t="str">
        <f>IF(S5=3,"y","n")</f>
        <v>y</v>
      </c>
      <c r="CO5" s="53" t="str">
        <f>IF(S5&gt;=4,"y","n")</f>
        <v>n</v>
      </c>
      <c r="CP5" s="53" t="str">
        <f>IF(AT5=0,"y","n")</f>
        <v>y</v>
      </c>
      <c r="CQ5" s="53" t="str">
        <f>IF(AT5=1,"y","n")</f>
        <v>n</v>
      </c>
      <c r="CR5" s="53" t="str">
        <f>IF(AT5=2,"y","n")</f>
        <v>n</v>
      </c>
      <c r="CS5" s="53" t="str">
        <f>IF(AT5&gt;=3,"y","n")</f>
        <v>n</v>
      </c>
      <c r="CT5" s="38" t="str">
        <f>CHAR(34)&amp;A5&amp;CHAR(34)</f>
        <v>"[ECU] Cañar"</v>
      </c>
      <c r="CU5" s="63" t="str">
        <f>CHAR(34)&amp;"rgn_"&amp;R5&amp;CHAR(34)</f>
        <v>"rgn_South America"</v>
      </c>
      <c r="CV5" s="44" t="str">
        <f>CHAR(34)&amp;D5&amp;CHAR(34)</f>
        <v>"https://upload.wikimedia.org/wikipedia/commons/thumb/8/85/Bandera_Provincia_Ca%C3%B1ar.svg/320px-Bandera_Provincia_Ca%C3%B1ar.svg.png"</v>
      </c>
      <c r="CW5" s="44" t="str">
        <f t="shared" si="0"/>
        <v/>
      </c>
      <c r="CX5" s="44" t="str">
        <f t="shared" si="0"/>
        <v>"3Color",</v>
      </c>
      <c r="CY5" s="44" t="str">
        <f t="shared" si="0"/>
        <v/>
      </c>
      <c r="CZ5" s="44" t="str">
        <f t="shared" si="0"/>
        <v/>
      </c>
      <c r="DA5" s="44" t="str">
        <f>IF(Q5&gt;1,CHAR(34)&amp;"words2"&amp;CHAR(34)&amp;",","")</f>
        <v/>
      </c>
      <c r="DB5" s="44" t="str">
        <f>IF(Q5&gt;2,CHAR(34)&amp;"words3"&amp;CHAR(34)&amp;",","")</f>
        <v/>
      </c>
      <c r="DD5" s="44"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"lets05",</v>
      </c>
      <c r="DE5" s="44" t="str">
        <f>CHAR(34)&amp;"start"&amp;IFERROR(LEFT(SUBSTITUTE(A5,"["&amp;MID(A5,FIND("[",A5)+1,FIND("]",A5)-FIND("[",A5)-1)&amp;"] ",""),1),LEFT(A5,1))&amp;CHAR(34)&amp;","</f>
        <v>"startC",</v>
      </c>
      <c r="DF5" s="44" t="str">
        <f>IFERROR(IF(SEARCH("tan",A5)&gt;0,CHAR(34)&amp;"withtn"&amp;CHAR(34)&amp;",",""),"")</f>
        <v/>
      </c>
      <c r="DG5" s="44" t="str">
        <f>IFERROR(IF(SEARCH("q",A5)&gt;0,CHAR(34)&amp;"with_q"&amp;CHAR(34)&amp;",",""),"")</f>
        <v/>
      </c>
      <c r="DH5" s="44" t="str">
        <f>IFERROR(IF(SEARCH("v",A5)&gt;0,CHAR(34)&amp;"with_v"&amp;CHAR(34)&amp;",",""),"")</f>
        <v/>
      </c>
      <c r="DI5" s="44" t="str">
        <f>IFERROR(IF(SEARCH("w",A5)&gt;0,CHAR(34)&amp;"with_w"&amp;CHAR(34)&amp;",",""),"")</f>
        <v/>
      </c>
      <c r="DJ5" s="44" t="str">
        <f>IFERROR(IF(SEARCH("y",A5)&gt;0,CHAR(34)&amp;"with_y"&amp;CHAR(34)&amp;",",""),"")</f>
        <v/>
      </c>
      <c r="DK5" s="44" t="str">
        <f>IFERROR(IF(SEARCH("z",A5)&gt;0,CHAR(34)&amp;"with_z"&amp;CHAR(34)&amp;",",""),"")</f>
        <v/>
      </c>
      <c r="DL5" s="44" t="str">
        <f>IF(CG5=2, CHAR(34) &amp; _xlfn.TEXTJOIN("", TRUE, _xlfn._xlws.SORT(HP5:HX5)) &amp; CHAR(34) &amp; ",", "")</f>
        <v/>
      </c>
      <c r="DM5" s="44" t="str" cm="1">
        <f t="array" ref="DM5">IF(CG5=3,CHAR(34) &amp; _xlfn.TEXTJOIN("", TRUE, RIGHT(HP5:HX5, 2)) &amp; CHAR(34) &amp; ",", "")</f>
        <v>"LUEDEL",</v>
      </c>
      <c r="DN5" s="44" t="str">
        <f>IF(AND(ISNUMBER(SEARCH("18", O5)), ISERROR(SEARCH("1918", O5)), ISERROR(SEARCH("2018", O5))), CHAR(34) &amp; "year18" &amp; CHAR(34) &amp; ",", "")</f>
        <v/>
      </c>
      <c r="DO5" s="44" t="str">
        <f>IF(AND(ISNUMBER(SEARCH("19", O5)), ISERROR(SEARCH("1819", O5)),  ISERROR(SEARCH("1219", O5)),ISERROR(SEARCH("1119", O5)),ISERROR(SEARCH("1190", O5)),ISERROR(SEARCH("2019", O5))), CHAR(34) &amp; "year19" &amp; CHAR(34) &amp; ",", "")</f>
        <v>"year19",</v>
      </c>
      <c r="DP5" s="5" t="str">
        <f>IF(AND(ISNUMBER(SEARCH("20", O5)), ISERROR(SEARCH("1920", O5))), CHAR(34)&amp;"year00"&amp;CHAR(34)&amp;",", "")</f>
        <v/>
      </c>
      <c r="DQ5" s="5" t="str">
        <f>IF(CC5="y",CHAR(34)&amp;"soviet"&amp;CHAR(34)&amp;",","")</f>
        <v/>
      </c>
      <c r="DR5" s="5" t="str">
        <f>IF(BY5="y",CHAR(34)&amp;"dgband"&amp;CHAR(34)&amp;",","")</f>
        <v/>
      </c>
      <c r="DS5" s="5" t="str">
        <f>IF(W5="y",IF(AND(V5="n",BY5&lt;&gt;"y"),CHAR(34)&amp;"allver"&amp;CHAR(34)&amp;",",""),"")</f>
        <v/>
      </c>
      <c r="DT5" s="5" t="str">
        <f>IF(V5="y",IF(AND(W5="n",BY5&lt;&gt;"y"),CHAR(34)&amp;"allhor"&amp;CHAR(34)&amp;",",""),"")</f>
        <v>"allhor",</v>
      </c>
      <c r="DU5" s="5" t="str">
        <f>IF(BY5="y",IF(AND(W5="n",V5="n"),CHAR(34)&amp;"alldia"&amp;CHAR(34)&amp;",",""),"")</f>
        <v/>
      </c>
      <c r="DW5" s="44" t="str">
        <f t="shared" si="1"/>
        <v/>
      </c>
      <c r="DX5" s="44" t="str">
        <f t="shared" si="1"/>
        <v/>
      </c>
      <c r="DY5" s="44" t="str">
        <f t="shared" si="1"/>
        <v>"3Bands",</v>
      </c>
      <c r="DZ5" s="44" t="str">
        <f t="shared" si="1"/>
        <v/>
      </c>
      <c r="EA5" s="44" t="str">
        <f t="shared" si="2"/>
        <v/>
      </c>
      <c r="EB5" s="44" t="str">
        <f t="shared" si="2"/>
        <v/>
      </c>
      <c r="EC5" s="44" t="str">
        <f t="shared" si="2"/>
        <v>"Horizo",</v>
      </c>
      <c r="ED5" s="44" t="str">
        <f t="shared" si="2"/>
        <v/>
      </c>
      <c r="EE5" s="44" t="str">
        <f t="shared" si="2"/>
        <v/>
      </c>
      <c r="EF5" s="44" t="str">
        <f>IF(AND(Y5&lt;&gt;"n",Y5&lt;&gt;""),CHAR(34)&amp;Y$1&amp;CHAR(34)&amp;",","")</f>
        <v/>
      </c>
      <c r="EG5" s="44" t="str">
        <f t="shared" si="3"/>
        <v/>
      </c>
      <c r="EH5" s="44" t="str">
        <f t="shared" si="3"/>
        <v/>
      </c>
      <c r="EI5" s="44" t="str">
        <f t="shared" si="3"/>
        <v/>
      </c>
      <c r="EJ5" s="44" t="str">
        <f t="shared" si="3"/>
        <v/>
      </c>
      <c r="EK5" s="44" t="str">
        <f t="shared" si="3"/>
        <v/>
      </c>
      <c r="EL5" s="44" t="str">
        <f t="shared" si="3"/>
        <v/>
      </c>
      <c r="EM5" s="44" t="str">
        <f t="shared" si="3"/>
        <v/>
      </c>
      <c r="EN5" s="44" t="str">
        <f t="shared" si="3"/>
        <v>"Unequa",</v>
      </c>
      <c r="EO5" s="44" t="str">
        <f t="shared" si="3"/>
        <v/>
      </c>
      <c r="EP5" s="44" t="str">
        <f t="shared" si="3"/>
        <v/>
      </c>
      <c r="EQ5" s="44" t="str">
        <f t="shared" si="4"/>
        <v/>
      </c>
      <c r="ER5" s="44" t="str">
        <f t="shared" si="4"/>
        <v>"OnlyBa",</v>
      </c>
      <c r="ES5" s="44" t="str">
        <f t="shared" si="4"/>
        <v/>
      </c>
      <c r="ET5" s="44" t="str">
        <f t="shared" si="4"/>
        <v/>
      </c>
      <c r="EU5" s="44" t="str">
        <f t="shared" si="4"/>
        <v/>
      </c>
      <c r="EV5" s="44" t="str">
        <f t="shared" si="4"/>
        <v/>
      </c>
      <c r="EW5" s="44" t="str">
        <f t="shared" si="4"/>
        <v/>
      </c>
      <c r="EX5" s="44" t="str">
        <f t="shared" si="4"/>
        <v/>
      </c>
      <c r="EY5" s="44" t="str">
        <f t="shared" si="4"/>
        <v/>
      </c>
      <c r="EZ5" s="44" t="str">
        <f t="shared" si="4"/>
        <v/>
      </c>
      <c r="FA5" s="44" t="str">
        <f>IF(AT5&gt;0,CHAR(34)&amp;"sta"&amp;AZ5&amp;CHAR(34)&amp;",","")</f>
        <v/>
      </c>
      <c r="FB5" s="44" t="str">
        <f>IF(AND(AT5&gt;0,BA5&lt;&gt;""),CHAR(34)&amp;"sta"&amp;BA5&amp;CHAR(34)&amp;",","")</f>
        <v/>
      </c>
      <c r="FD5" s="44" t="str">
        <f>IF(BV5="n",CHAR(34)&amp;"tcWHYE"&amp;CHAR(34)&amp;",",IF(BV5="y",CHAR(34)&amp;FD$1&amp;CHAR(34)&amp;",",""))</f>
        <v/>
      </c>
      <c r="FE5" s="44" t="str">
        <f>IF(COUNTIF(BL5:BT5,"BLU")=0,CHAR(34)&amp;"NO_BLU"&amp;CHAR(34)&amp;",", "")</f>
        <v/>
      </c>
      <c r="FF5" s="44" t="str">
        <f>IF(COUNTIF(BL5:BT5,"WHI")=0,CHAR(34)&amp;"NO_WHI"&amp;CHAR(34)&amp;",", "")</f>
        <v>"NO_WHI",</v>
      </c>
      <c r="FG5" s="44" t="str">
        <f>IF(COUNTIF(BL5:BT5,"RED")=0,CHAR(34)&amp;"NO_RED"&amp;CHAR(34)&amp;",", "")</f>
        <v/>
      </c>
      <c r="FH5" s="44" t="str">
        <f>IF(COUNTIF(BL5:BS5,"GRE")=0,CHAR(34)&amp;"NO_GRE"&amp;CHAR(34)&amp;",", "")</f>
        <v>"NO_GRE",</v>
      </c>
      <c r="FI5" s="44" t="str">
        <f>IF(COUNTIF(BL5:BT5,"YEL")=0,CHAR(34)&amp;"NO_YEL"&amp;CHAR(34)&amp;",", "")</f>
        <v/>
      </c>
      <c r="FJ5" s="44" t="str">
        <f>IF(COUNTIF(BL5:BT5,"BLA")=0,CHAR(34)&amp;"NO_BLA"&amp;CHAR(34)&amp;",", "")</f>
        <v>"NO_BLA",</v>
      </c>
      <c r="FK5" s="44" t="str">
        <f>IF(AND(FH5&lt;&gt;"",FF5&lt;&gt;""),CHAR(34)&amp;"WHGRNO"&amp;CHAR(34)&amp;",","")</f>
        <v>"WHGRNO",</v>
      </c>
      <c r="FL5" s="44" t="str">
        <f>IF(AND(FI5&lt;&gt;"",FF5&lt;&gt;""),CHAR(34)&amp;"WHYENO"&amp;CHAR(34)&amp;",","")</f>
        <v/>
      </c>
      <c r="FM5" s="44" t="str">
        <f>IF(AND(FJ5&lt;&gt;"",FF5&lt;&gt;""),CHAR(34)&amp;"BAWHNO"&amp;CHAR(34)&amp;",","")</f>
        <v>"BAWHNO",</v>
      </c>
      <c r="FN5" s="44" t="str">
        <f>IF(AND(FE5&lt;&gt;"",FF5&lt;&gt;""),CHAR(34)&amp;"BLWHNO"&amp;CHAR(34)&amp;",","")</f>
        <v/>
      </c>
      <c r="FO5" s="44" t="str">
        <f>IF(AND(FE5&lt;&gt;"",FG5&lt;&gt;""),CHAR(34)&amp;"BLRENO"&amp;CHAR(34)&amp;",","")</f>
        <v/>
      </c>
      <c r="FP5" s="44" t="str">
        <f>IF(AND(FF5&lt;&gt;"",FF5&lt;&gt;""),CHAR(34)&amp;"WHRENO"&amp;CHAR(34)&amp;",","")</f>
        <v>"WHRENO",</v>
      </c>
      <c r="FQ5" s="44" t="str">
        <f>IF(LEN(BF5)=3,CHAR(34)&amp;"001"&amp;BF5&amp;CHAR(34)&amp;",","")</f>
        <v>"001BLU",</v>
      </c>
      <c r="FR5" s="44" t="str">
        <f>IF(LEN(BG5)=3,CHAR(34)&amp;"002"&amp;BG5&amp;CHAR(34)&amp;",","")</f>
        <v>"002YEL",</v>
      </c>
      <c r="FS5" s="44" t="str">
        <f>IF(LEN(BH5)=3,CHAR(34)&amp;"003"&amp;BH5&amp;CHAR(34)&amp;",","")</f>
        <v>"003RED",</v>
      </c>
      <c r="FT5" s="44" t="str">
        <f>CHAR(34)&amp;"myr"&amp;BD5&amp;CHAR(34)&amp;","</f>
        <v>"myrEQ",</v>
      </c>
      <c r="FU5" s="44" t="str">
        <f>IF(AY5="y",CHAR(34)&amp;"island"&amp;CHAR(34)&amp;",","")</f>
        <v/>
      </c>
      <c r="FV5" s="44" t="str">
        <f>IF(BZ5="y",CHAR(34)&amp;"landlo"&amp;CHAR(34)&amp;",","")</f>
        <v/>
      </c>
      <c r="FW5" s="44" t="str">
        <f>IF(CA5="y",CHAR(34)&amp;"eunion"&amp;CHAR(34)&amp;",","")</f>
        <v/>
      </c>
      <c r="FY5" s="44" t="str">
        <f>IFERROR(IF(SEARCH("Arabic",CB5)&gt;0,CHAR(34)&amp;"arabic"&amp;CHAR(34)&amp;",",""),"")</f>
        <v/>
      </c>
      <c r="FZ5" s="44" t="str">
        <f>IFERROR(IF(SEARCH("English",CB5)&gt;0,CHAR(34)&amp;"englis"&amp;CHAR(34)&amp;",",""),"")</f>
        <v/>
      </c>
      <c r="GA5" s="44" t="str">
        <f>IFERROR(IF(SEARCH("French",CB5)&gt;0,CHAR(34)&amp;"french"&amp;CHAR(34)&amp;",",""),"")</f>
        <v/>
      </c>
      <c r="GB5" s="44" t="str">
        <f>IFERROR(IF(SEARCH("Spanish",CB5)&gt;0,CHAR(34)&amp;"spanis"&amp;CHAR(34)&amp;",",""),"")</f>
        <v/>
      </c>
      <c r="GE5" s="44" t="str">
        <f>IFERROR(IF(SEARCH("Dutch",CB5)&gt;0,CHAR(34)&amp;"dutchs"&amp;CHAR(34)&amp;",",""),"")</f>
        <v/>
      </c>
      <c r="GF5" s="44" t="str">
        <f>IFERROR(IF(SEARCH("Historical",AU5)&gt;0,CHAR(34)&amp;"histor"&amp;CHAR(34)&amp;",",""),"")</f>
        <v/>
      </c>
      <c r="GG5" s="44" t="str">
        <f>IF(BU5="y",CHAR(34)&amp;"unjack"&amp;CHAR(34)&amp;",","")</f>
        <v/>
      </c>
      <c r="GH5" s="44" t="str">
        <f>IF(CD5=1,CHAR(34)&amp;"southc"&amp;CHAR(34)&amp;",","")</f>
        <v/>
      </c>
      <c r="GI5" s="44" t="str">
        <f>IF(CE5=1,CHAR(34)&amp;"hasmap"&amp;CHAR(34)&amp;",","")</f>
        <v/>
      </c>
      <c r="GJ5" s="44" t="str">
        <f>IF(CP5="y",CHAR(34)&amp;CP$1&amp;CHAR(34)&amp;",","")</f>
        <v>"NoStar",</v>
      </c>
      <c r="GK5" s="44" t="str">
        <f>IF(GJ5="",CHAR(34)&amp;"HasSta"&amp;CHAR(34)&amp;",","")</f>
        <v/>
      </c>
      <c r="GL5" s="44" t="str">
        <f t="shared" si="5"/>
        <v/>
      </c>
      <c r="GM5" s="44" t="str">
        <f t="shared" si="5"/>
        <v/>
      </c>
      <c r="GN5" s="44" t="str">
        <f t="shared" si="5"/>
        <v/>
      </c>
      <c r="GP5" s="44" t="str">
        <f>CHAR(34)&amp;AU5&amp;CHAR(34)</f>
        <v>"Province"</v>
      </c>
      <c r="GS5" s="44" t="str">
        <f>SUBSTITUTE("["&amp;_xlfn.CONCAT(CW5:GN5)&amp;"]",",]","]")</f>
        <v>["3Color","lets05","startC","LUEDEL","year19","allhor","3Bands","Horizo","Unequa","OnlyBa","NO_WHI","NO_GRE","NO_BLA","WHGRNO","BAWHNO","WHRENO","001BLU","002YEL","003RED","myrEQ","NoStar"]</v>
      </c>
      <c r="GT5" s="44" t="str">
        <f t="shared" si="6"/>
        <v/>
      </c>
      <c r="GU5" s="44" t="str">
        <f t="shared" si="6"/>
        <v>"cl_BLU",</v>
      </c>
      <c r="GV5" s="44" t="str">
        <f t="shared" si="6"/>
        <v/>
      </c>
      <c r="GW5" s="44" t="str">
        <f t="shared" si="6"/>
        <v>"cl_RED",</v>
      </c>
      <c r="GX5" s="44" t="str">
        <f t="shared" si="6"/>
        <v>"cl_YEL",</v>
      </c>
      <c r="GY5" s="44" t="str">
        <f t="shared" si="6"/>
        <v/>
      </c>
      <c r="GZ5" s="44" t="str">
        <f t="shared" si="6"/>
        <v/>
      </c>
      <c r="HA5" s="44" t="str">
        <f t="shared" si="6"/>
        <v/>
      </c>
      <c r="HB5" s="44" t="str">
        <f t="shared" si="6"/>
        <v/>
      </c>
      <c r="HC5" s="44" t="str">
        <f>SUBSTITUTE("["&amp;_xlfn.CONCAT(GT5:HB5)&amp;"]",",]","]")</f>
        <v>["cl_BLU","cl_RED","cl_YEL"]</v>
      </c>
      <c r="HE5" s="64"/>
      <c r="HF5" s="65" t="str">
        <f>"{couname:"&amp;CT5&amp;(IF(HK5&lt;&gt;"",",subtype:"&amp;CHAR(34)&amp;HK5&amp;CHAR(34),""))&amp;",year:"&amp;HJ5&amp;",region:"&amp;CU5&amp;",Colors:"&amp;HC5&amp;",Items:"&amp;GS5&amp;",Flag:"&amp;CV5&amp;",HDFlag:"&amp;CHAR(34)&amp;E5&amp;CHAR(34)&amp;",type:"&amp;GP5&amp;", describe: "&amp;HH5&amp;", isnew:"&amp;CHAR(34)&amp;F5&amp;CHAR(34)&amp;", links: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links: "https://www.crwflags.com/fotw/flags/ec-f.html"},</v>
      </c>
      <c r="HG5" s="66" t="str">
        <f>"{couname:"&amp;CT5&amp;(IF(HK5&lt;&gt;"",",subtype:"&amp;CHAR(34)&amp;HK5&amp;CHAR(34),""))&amp;",year:"&amp;HJ5&amp;",region:"&amp;CU5&amp;",Colors:"&amp;HC5&amp;",Items:"&amp;GS5&amp;",Flag:"&amp;CV5&amp;",HDFlag:"&amp;CHAR(34)&amp;E5&amp;CHAR(34)&amp;",type:"&amp;GP5&amp;", describe: "&amp;HI5&amp;", links: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links: "https://www.crwflags.com/fotw/flags/ec-f.html"},</v>
      </c>
      <c r="HH5" s="44" t="str">
        <f>IF(P5&lt;&gt;"",CHAR(34)&amp;"\n"&amp;P5&amp;CHAR(34),CHAR(34)&amp;CHAR(34))</f>
        <v>"\nThe flag was adopted in 1954. The blue symbolizes the region's high ideals, the yellow represents the agricultural and mineral resources inside the land, and the red represents the inhabitants' hearts full of enthusiasm and faith in a glorious future."</v>
      </c>
      <c r="HI5" s="44" t="str">
        <f>IF(J5=0,CHAR(34)&amp;CHAR(34),HH5)</f>
        <v>"\nThe flag was adopted in 1954. The blue symbolizes the region's high ideals, the yellow represents the agricultural and mineral resources inside the land, and the red represents the inhabitants' hearts full of enthusiasm and faith in a glorious future."</v>
      </c>
      <c r="HJ5" s="44" t="str">
        <f>CHAR(34)&amp;O5&amp;CHAR(34)</f>
        <v>"1954"</v>
      </c>
      <c r="HL5" s="44" t="str">
        <f>CHAR(34)&amp;I5&amp;CHAR(34)</f>
        <v>"https://www.crwflags.com/fotw/flags/ec-f.html"</v>
      </c>
      <c r="HM5" s="65"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N5" s="67"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{"couname":"[ECU] Cañar","year":"1954","region":"rgn_South America","Colors":["cl_BLU","cl_RED","cl_YEL"],"Items":["3Color","lets05","startC","LUEDEL","year19","allhor","3Bands","Horizo","Unequa","OnlyBa","NO_WHI","NO_GRE","NO_BLA","WHGRNO","BAWHNO","WHRENO","001BLU","002YEL","003RED","myrEQ","NoStar"],"Flag":"https://upload.wikimedia.org/wikipedia/commons/thumb/8/85/Bandera_Provincia_Ca%C3%B1ar.svg/320px-Bandera_Provincia_Ca%C3%B1ar.svg.png","HDFlag":"https://upload.wikimedia.org/wikipedia/commons/thumb/8/85/Bandera_Provincia_Ca%C3%B1ar.svg/2560px-Bandera_Provincia_Ca%C3%B1ar.svg.png","type":"Province", "describe": "\nThe flag was adopted in 1954. The blue symbolizes the region's high ideals, the yellow represents the agricultural and mineral resources inside the land, and the red represents the inhabitants' hearts full of enthusiasm and faith in a glorious future.", "isnew": ".", "links": "https://www.crwflags.com/fotw/flags/ec-f.html"},</v>
      </c>
      <c r="HO5" s="71">
        <v>45644</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
      </c>
      <c r="HY5" s="72"/>
      <c r="HZ5" s="72"/>
      <c r="IA5" s="5"/>
      <c r="IB5" s="5"/>
      <c r="IC5" s="68"/>
      <c r="ID5" s="68"/>
      <c r="IE5" s="68"/>
      <c r="IF5" s="68"/>
      <c r="IG5" s="68"/>
      <c r="IH5" s="68"/>
      <c r="II5" s="68"/>
      <c r="IJ5" s="68"/>
      <c r="IK5" s="68"/>
      <c r="IM5" s="42">
        <f>COUNTIF(IC5:IK5,"&gt;0")-CG5</f>
        <v>-3</v>
      </c>
      <c r="IN5" s="69" t="str">
        <f>"http://mkweb.bcgsc.ca/color-summarizer/?url="&amp;D5&amp;"&amp;precision=low&amp;num_clusters="&amp;CG5&amp;"&amp;text=1"</f>
        <v>http://mkweb.bcgsc.ca/color-summarizer/?url=https://upload.wikimedia.org/wikipedia/commons/thumb/8/85/Bandera_Provincia_Ca%C3%B1ar.svg/320px-Bandera_Provincia_Ca%C3%B1ar.svg.png&amp;precision=low&amp;num_clusters=3&amp;text=1</v>
      </c>
      <c r="IO5" s="44" t="str">
        <f>IF(HP5&lt;&gt;"",CHAR(34)&amp;"black"&amp;CHAR(34),"")</f>
        <v/>
      </c>
      <c r="IP5" s="44" t="str">
        <f>IF(HQ5&lt;&gt;"",CHAR(34)&amp;"blue"&amp;CHAR(34),"")</f>
        <v>"blue"</v>
      </c>
      <c r="IQ5" s="44" t="str">
        <f>IF(HR5&lt;&gt;"",CHAR(34)&amp;"green"&amp;CHAR(34),"")</f>
        <v/>
      </c>
      <c r="IR5" s="44" t="str">
        <f>IF(HS5&lt;&gt;"",CHAR(34)&amp;"red"&amp;CHAR(34),"")</f>
        <v>"red"</v>
      </c>
      <c r="IS5" s="44" t="str">
        <f>IF(HT5&lt;&gt;"",CHAR(34)&amp;"yellow"&amp;CHAR(34),"")</f>
        <v>"yellow"</v>
      </c>
      <c r="IT5" s="44" t="str">
        <f>IF(HU5&lt;&gt;"",CHAR(34)&amp;"orange"&amp;CHAR(34),"")</f>
        <v/>
      </c>
      <c r="IU5" s="44" t="str">
        <f>IF(HV5&lt;&gt;"",CHAR(34)&amp;"brown"&amp;CHAR(34),"")</f>
        <v/>
      </c>
      <c r="IV5" s="44" t="str">
        <f>IF(HW5&lt;&gt;"",CHAR(34)&amp;"purple"&amp;CHAR(34),"")</f>
        <v/>
      </c>
      <c r="IW5" s="44" t="str">
        <f>IF(HX5&lt;&gt;"",CHAR(34)&amp;"white"&amp;CHAR(34),"")</f>
        <v/>
      </c>
      <c r="IX5" s="44" t="str">
        <f>"{"&amp;CHAR(34)&amp;"url"&amp;CHAR(34)&amp;":"&amp;CHAR(34)&amp;IN5&amp;CHAR(34)&amp;","&amp;CHAR(34)&amp;"name"&amp;CHAR(34)&amp;":"&amp;CHAR(34)&amp;A5&amp;CHAR(34)&amp;"},"</f>
        <v>{"url":"http://mkweb.bcgsc.ca/color-summarizer/?url=https://upload.wikimedia.org/wikipedia/commons/thumb/8/85/Bandera_Provincia_Ca%C3%B1ar.svg/320px-Bandera_Provincia_Ca%C3%B1ar.svg.png&amp;precision=low&amp;num_clusters=3&amp;text=1","name":"[ECU] Cañar"},</v>
      </c>
      <c r="IY5" s="44">
        <v>1503</v>
      </c>
    </row>
    <row r="6" spans="1:259" s="44" customFormat="1" ht="38.4" customHeight="1" thickBot="1" x14ac:dyDescent="0.35">
      <c r="A6" s="84" t="s">
        <v>480</v>
      </c>
      <c r="B6" s="83" t="e" vm="78">
        <v>#VALUE!</v>
      </c>
      <c r="C6" s="39">
        <v>2</v>
      </c>
      <c r="D6" s="70" t="s">
        <v>481</v>
      </c>
      <c r="E6" s="40" t="s">
        <v>482</v>
      </c>
      <c r="F6" s="41" t="s">
        <v>163</v>
      </c>
      <c r="G6" s="42">
        <f>COUNTIF($A$1:$A$8285,A6)</f>
        <v>1</v>
      </c>
      <c r="H6" s="43"/>
      <c r="I6" s="59" t="s">
        <v>483</v>
      </c>
      <c r="J6" s="44" t="str">
        <f>""</f>
        <v/>
      </c>
      <c r="K6" s="45"/>
      <c r="L6" s="46"/>
      <c r="M6" s="46"/>
      <c r="N6" s="47" t="s">
        <v>177</v>
      </c>
      <c r="O6" s="74">
        <v>1961</v>
      </c>
      <c r="P6" s="48" t="s">
        <v>484</v>
      </c>
      <c r="Q6" s="73">
        <v>2</v>
      </c>
      <c r="R6" s="49" t="s">
        <v>177</v>
      </c>
      <c r="S6" s="50">
        <v>3</v>
      </c>
      <c r="T6" s="51" t="s">
        <v>164</v>
      </c>
      <c r="U6" s="52" t="s">
        <v>164</v>
      </c>
      <c r="V6" s="52" t="s">
        <v>165</v>
      </c>
      <c r="W6" s="52" t="s">
        <v>164</v>
      </c>
      <c r="X6" s="52" t="s">
        <v>164</v>
      </c>
      <c r="Y6" s="52" t="s">
        <v>164</v>
      </c>
      <c r="Z6" s="52" t="s">
        <v>164</v>
      </c>
      <c r="AA6" s="52" t="s">
        <v>164</v>
      </c>
      <c r="AB6" s="52" t="s">
        <v>164</v>
      </c>
      <c r="AC6" s="52" t="s">
        <v>164</v>
      </c>
      <c r="AD6" s="52" t="s">
        <v>164</v>
      </c>
      <c r="AE6" s="52" t="s">
        <v>164</v>
      </c>
      <c r="AF6" s="53" t="s">
        <v>164</v>
      </c>
      <c r="AG6" s="53" t="s">
        <v>165</v>
      </c>
      <c r="AH6" s="53" t="s">
        <v>164</v>
      </c>
      <c r="AI6" s="53" t="s">
        <v>164</v>
      </c>
      <c r="AJ6" s="53" t="s">
        <v>164</v>
      </c>
      <c r="AK6" s="53" t="s">
        <v>165</v>
      </c>
      <c r="AL6" s="53" t="s">
        <v>164</v>
      </c>
      <c r="AM6" s="53" t="s">
        <v>164</v>
      </c>
      <c r="AN6" s="53" t="s">
        <v>164</v>
      </c>
      <c r="AO6" s="53" t="s">
        <v>164</v>
      </c>
      <c r="AP6" s="53" t="s">
        <v>164</v>
      </c>
      <c r="AQ6" s="53" t="s">
        <v>164</v>
      </c>
      <c r="AR6" s="53" t="s">
        <v>164</v>
      </c>
      <c r="AS6" s="53" t="s">
        <v>164</v>
      </c>
      <c r="AT6" s="54">
        <v>0</v>
      </c>
      <c r="AU6" s="53" t="s">
        <v>284</v>
      </c>
      <c r="AV6" s="53" t="str">
        <f>IF(LEFT(A6,1)="[",LEFT(A6,5)&amp;AU6&amp;A6,"")</f>
        <v>[ECU]Province[ECU] Galapagos Islands</v>
      </c>
      <c r="AW6" s="53" t="str">
        <f>C6&amp;A6</f>
        <v>2[ECU] Galapagos Islands</v>
      </c>
      <c r="AX6" s="55"/>
      <c r="AY6" s="55"/>
      <c r="AZ6" s="56" t="s">
        <v>234</v>
      </c>
      <c r="BA6" s="56"/>
      <c r="BB6" s="56"/>
      <c r="BC6" s="57"/>
      <c r="BD6" s="58" t="s">
        <v>167</v>
      </c>
      <c r="BE6" s="59"/>
      <c r="BF6" s="58" t="s">
        <v>153</v>
      </c>
      <c r="BG6" s="58" t="s">
        <v>159</v>
      </c>
      <c r="BH6" s="58" t="s">
        <v>152</v>
      </c>
      <c r="BI6" s="58"/>
      <c r="BJ6" s="58"/>
      <c r="BK6" s="59"/>
      <c r="BL6" s="58" t="s">
        <v>234</v>
      </c>
      <c r="BM6" s="58" t="s">
        <v>152</v>
      </c>
      <c r="BN6" s="58" t="s">
        <v>153</v>
      </c>
      <c r="BO6" s="58" t="s">
        <v>234</v>
      </c>
      <c r="BP6" s="58" t="s">
        <v>234</v>
      </c>
      <c r="BQ6" s="58" t="s">
        <v>234</v>
      </c>
      <c r="BR6" s="58" t="s">
        <v>234</v>
      </c>
      <c r="BS6" s="58" t="s">
        <v>234</v>
      </c>
      <c r="BT6" s="58" t="s">
        <v>159</v>
      </c>
      <c r="BU6" s="60"/>
      <c r="BV6" s="61"/>
      <c r="BW6" s="61">
        <v>0</v>
      </c>
      <c r="BX6" s="59"/>
      <c r="CB6" s="5"/>
      <c r="CC6" s="5"/>
      <c r="CD6" s="62">
        <v>0</v>
      </c>
      <c r="CE6" s="62">
        <v>0</v>
      </c>
      <c r="CF6" s="62" t="e">
        <v>#REF!</v>
      </c>
      <c r="CG6" s="75" cm="1">
        <f t="array" ref="CG6">SUMPRODUCT(--(LEN(TRIM(BL6:BT6))&gt;0))</f>
        <v>3</v>
      </c>
      <c r="CH6" s="53" t="str">
        <f>IF(CG6=2,"y","n")</f>
        <v>n</v>
      </c>
      <c r="CI6" s="53" t="str">
        <f>IF(CG6=3,"y","n")</f>
        <v>y</v>
      </c>
      <c r="CJ6" s="53" t="str">
        <f>IF(CG6=4,"y","n")</f>
        <v>n</v>
      </c>
      <c r="CK6" s="53" t="str">
        <f>IF(CG6&gt;4,"y","n")</f>
        <v>n</v>
      </c>
      <c r="CL6" s="53" t="str">
        <f>IF(S6=0,"y","n")</f>
        <v>n</v>
      </c>
      <c r="CM6" s="53" t="str">
        <f>IF(S6=2,"y","n")</f>
        <v>n</v>
      </c>
      <c r="CN6" s="53" t="str">
        <f>IF(S6=3,"y","n")</f>
        <v>y</v>
      </c>
      <c r="CO6" s="53" t="str">
        <f>IF(S6&gt;=4,"y","n")</f>
        <v>n</v>
      </c>
      <c r="CP6" s="53" t="str">
        <f>IF(AT6=0,"y","n")</f>
        <v>y</v>
      </c>
      <c r="CQ6" s="53" t="str">
        <f>IF(AT6=1,"y","n")</f>
        <v>n</v>
      </c>
      <c r="CR6" s="53" t="str">
        <f>IF(AT6=2,"y","n")</f>
        <v>n</v>
      </c>
      <c r="CS6" s="53" t="str">
        <f>IF(AT6&gt;=3,"y","n")</f>
        <v>n</v>
      </c>
      <c r="CT6" s="38" t="str">
        <f>CHAR(34)&amp;A6&amp;CHAR(34)</f>
        <v>"[ECU] Galapagos Islands"</v>
      </c>
      <c r="CU6" s="63" t="str">
        <f>CHAR(34)&amp;"rgn_"&amp;R6&amp;CHAR(34)</f>
        <v>"rgn_South America"</v>
      </c>
      <c r="CV6" s="44" t="str">
        <f>CHAR(34)&amp;D6&amp;CHAR(34)</f>
        <v>"https://upload.wikimedia.org/wikipedia/commons/thumb/0/0f/Flag_of_the_Galapagos_Islands.svg/640px-Flag_of_the_Galapagos_Islands.svg.png"</v>
      </c>
      <c r="CW6" s="44" t="str">
        <f t="shared" si="0"/>
        <v/>
      </c>
      <c r="CX6" s="44" t="str">
        <f t="shared" si="0"/>
        <v>"3Color",</v>
      </c>
      <c r="CY6" s="44" t="str">
        <f t="shared" si="0"/>
        <v/>
      </c>
      <c r="CZ6" s="44" t="str">
        <f t="shared" si="0"/>
        <v/>
      </c>
      <c r="DA6" s="44" t="str">
        <f>IF(Q6&gt;1,CHAR(34)&amp;"words2"&amp;CHAR(34)&amp;",","")</f>
        <v>"words2",</v>
      </c>
      <c r="DB6" s="44" t="str">
        <f>IF(Q6&gt;2,CHAR(34)&amp;"words3"&amp;CHAR(34)&amp;",","")</f>
        <v/>
      </c>
      <c r="DC6" s="44" t="str">
        <f>IF(Q6=2,CHAR(34)&amp;"exact2"&amp;CHAR(34)&amp;",","")</f>
        <v>"exact2",</v>
      </c>
      <c r="DD6" s="44"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"lets16",</v>
      </c>
      <c r="DE6" s="44"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"startG",</v>
      </c>
      <c r="DF6" s="44" t="str">
        <f>IFERROR(IF(SEARCH("tan",A6)&gt;0,CHAR(34)&amp;"withtn"&amp;CHAR(34)&amp;",",""),"")</f>
        <v/>
      </c>
      <c r="DG6" s="44" t="str">
        <f>IFERROR(IF(SEARCH("q",A6)&gt;0,CHAR(34)&amp;"with_q"&amp;CHAR(34)&amp;",",""),"")</f>
        <v/>
      </c>
      <c r="DH6" s="44" t="str">
        <f>IFERROR(IF(SEARCH("v",A6)&gt;0,CHAR(34)&amp;"with_v"&amp;CHAR(34)&amp;",",""),"")</f>
        <v/>
      </c>
      <c r="DI6" s="44" t="str">
        <f>IFERROR(IF(SEARCH("w",A6)&gt;0,CHAR(34)&amp;"with_w"&amp;CHAR(34)&amp;",",""),"")</f>
        <v/>
      </c>
      <c r="DJ6" s="44" t="str">
        <f>IFERROR(IF(SEARCH("y",A6)&gt;0,CHAR(34)&amp;"with_y"&amp;CHAR(34)&amp;",",""),"")</f>
        <v/>
      </c>
      <c r="DK6" s="44" t="str">
        <f>IFERROR(IF(SEARCH("z",A6)&gt;0,CHAR(34)&amp;"with_z"&amp;CHAR(34)&amp;",",""),"")</f>
        <v/>
      </c>
      <c r="DL6" s="44" t="str">
        <f>IF(CG6=2, CHAR(34) &amp; _xlfn.TEXTJOIN("", TRUE, _xlfn._xlws.SORT(HP6:HX6)) &amp; CHAR(34) &amp; ",", "")</f>
        <v/>
      </c>
      <c r="DM6" s="44" t="str" cm="1">
        <f t="array" ref="DM6">IF(CG6=3,CHAR(34) &amp; _xlfn.TEXTJOIN("", TRUE, RIGHT(HP6:HX6, 2)) &amp; CHAR(34) &amp; ",", "")</f>
        <v>"LUREHI",</v>
      </c>
      <c r="DN6" s="44" t="str">
        <f>IF(AND(ISNUMBER(SEARCH("18", O6)), ISERROR(SEARCH("1918", O6)), ISERROR(SEARCH("2018", O6))), CHAR(34) &amp; "year18" &amp; CHAR(34) &amp; ",", "")</f>
        <v/>
      </c>
      <c r="DO6" s="44" t="str">
        <f>IF(AND(ISNUMBER(SEARCH("19", O6)), ISERROR(SEARCH("1819", O6)),  ISERROR(SEARCH("1219", O6)),ISERROR(SEARCH("1119", O6)),ISERROR(SEARCH("1190", O6)),ISERROR(SEARCH("2019", O6))), CHAR(34) &amp; "year19" &amp; CHAR(34) &amp; ",", "")</f>
        <v>"year19",</v>
      </c>
      <c r="DP6" s="5" t="str">
        <f>IF(AND(ISNUMBER(SEARCH("20", O6)), ISERROR(SEARCH("1920", O6))), CHAR(34)&amp;"year00"&amp;CHAR(34)&amp;",", "")</f>
        <v/>
      </c>
      <c r="DQ6" s="5" t="str">
        <f>IF(CC6="y",CHAR(34)&amp;"soviet"&amp;CHAR(34)&amp;",","")</f>
        <v/>
      </c>
      <c r="DR6" s="5" t="str">
        <f>IF(BY6="y",CHAR(34)&amp;"dgband"&amp;CHAR(34)&amp;",","")</f>
        <v/>
      </c>
      <c r="DS6" s="5" t="str">
        <f>IF(W6="y",IF(AND(V6="n",BY6&lt;&gt;"y"),CHAR(34)&amp;"allver"&amp;CHAR(34)&amp;",",""),"")</f>
        <v/>
      </c>
      <c r="DT6" s="5" t="str">
        <f>IF(V6="y",IF(AND(W6="n",BY6&lt;&gt;"y"),CHAR(34)&amp;"allhor"&amp;CHAR(34)&amp;",",""),"")</f>
        <v>"allhor",</v>
      </c>
      <c r="DU6" s="5" t="str">
        <f>IF(BY6="y",IF(AND(W6="n",V6="n"),CHAR(34)&amp;"alldia"&amp;CHAR(34)&amp;",",""),"")</f>
        <v/>
      </c>
      <c r="DV6" s="44" t="str">
        <f>IF(IA6&lt;&gt;"",(IF(IA6="y",CHAR(34)&amp;"largec"&amp;CHAR(34)&amp;",",CHAR(34)&amp;"smallc"&amp;CHAR(34)&amp;",")),"")</f>
        <v/>
      </c>
      <c r="DW6" s="44" t="str">
        <f t="shared" si="1"/>
        <v/>
      </c>
      <c r="DX6" s="44" t="str">
        <f t="shared" si="1"/>
        <v/>
      </c>
      <c r="DY6" s="44" t="str">
        <f t="shared" si="1"/>
        <v>"3Bands",</v>
      </c>
      <c r="DZ6" s="44" t="str">
        <f t="shared" si="1"/>
        <v/>
      </c>
      <c r="EA6" s="44" t="str">
        <f t="shared" si="2"/>
        <v/>
      </c>
      <c r="EB6" s="44" t="str">
        <f t="shared" si="2"/>
        <v/>
      </c>
      <c r="EC6" s="44" t="str">
        <f t="shared" si="2"/>
        <v>"Horizo",</v>
      </c>
      <c r="ED6" s="44" t="str">
        <f t="shared" si="2"/>
        <v/>
      </c>
      <c r="EE6" s="44" t="str">
        <f t="shared" si="2"/>
        <v/>
      </c>
      <c r="EF6" s="44" t="str">
        <f>IF(AND(Y6&lt;&gt;"n",Y6&lt;&gt;""),CHAR(34)&amp;Y$1&amp;CHAR(34)&amp;",","")</f>
        <v/>
      </c>
      <c r="EG6" s="44" t="str">
        <f t="shared" si="3"/>
        <v/>
      </c>
      <c r="EH6" s="44" t="str">
        <f t="shared" si="3"/>
        <v/>
      </c>
      <c r="EI6" s="44" t="str">
        <f t="shared" si="3"/>
        <v/>
      </c>
      <c r="EJ6" s="44" t="str">
        <f t="shared" si="3"/>
        <v/>
      </c>
      <c r="EK6" s="44" t="str">
        <f t="shared" si="3"/>
        <v/>
      </c>
      <c r="EL6" s="44" t="str">
        <f t="shared" si="3"/>
        <v/>
      </c>
      <c r="EM6" s="44" t="str">
        <f t="shared" si="3"/>
        <v/>
      </c>
      <c r="EN6" s="44" t="str">
        <f t="shared" si="3"/>
        <v>"Unequa",</v>
      </c>
      <c r="EO6" s="44" t="str">
        <f t="shared" si="3"/>
        <v/>
      </c>
      <c r="EP6" s="44" t="str">
        <f t="shared" si="3"/>
        <v/>
      </c>
      <c r="EQ6" s="44" t="str">
        <f t="shared" si="4"/>
        <v/>
      </c>
      <c r="ER6" s="44" t="str">
        <f t="shared" si="4"/>
        <v>"OnlyBa",</v>
      </c>
      <c r="ES6" s="44" t="str">
        <f t="shared" si="4"/>
        <v/>
      </c>
      <c r="ET6" s="44" t="str">
        <f t="shared" si="4"/>
        <v/>
      </c>
      <c r="EU6" s="44" t="str">
        <f t="shared" si="4"/>
        <v/>
      </c>
      <c r="EV6" s="44" t="str">
        <f t="shared" si="4"/>
        <v/>
      </c>
      <c r="EW6" s="44" t="str">
        <f t="shared" si="4"/>
        <v/>
      </c>
      <c r="EX6" s="44" t="str">
        <f t="shared" si="4"/>
        <v/>
      </c>
      <c r="EY6" s="44" t="str">
        <f t="shared" si="4"/>
        <v/>
      </c>
      <c r="EZ6" s="44" t="str">
        <f t="shared" si="4"/>
        <v/>
      </c>
      <c r="FA6" s="44" t="str">
        <f>IF(AT6&gt;0,CHAR(34)&amp;"sta"&amp;AZ6&amp;CHAR(34)&amp;",","")</f>
        <v/>
      </c>
      <c r="FB6" s="44" t="str">
        <f>IF(AND(AT6&gt;0,BA6&lt;&gt;""),CHAR(34)&amp;"sta"&amp;BA6&amp;CHAR(34)&amp;",","")</f>
        <v/>
      </c>
      <c r="FC6" s="44" t="str">
        <f>IF(AND(AT6&gt;0,BB6&lt;&gt;""),CHAR(34)&amp;"sta"&amp;BB6&amp;CHAR(34)&amp;",","")</f>
        <v/>
      </c>
      <c r="FD6" s="44" t="str">
        <f>IF(BV6="n",CHAR(34)&amp;"tcWHYE"&amp;CHAR(34)&amp;",",IF(BV6="y",CHAR(34)&amp;FD$1&amp;CHAR(34)&amp;",",""))</f>
        <v/>
      </c>
      <c r="FE6" s="44" t="str">
        <f>IF(COUNTIF(BL6:BT6,"BLU")=0,CHAR(34)&amp;"NO_BLU"&amp;CHAR(34)&amp;",", "")</f>
        <v/>
      </c>
      <c r="FF6" s="44" t="str">
        <f>IF(COUNTIF(BL6:BT6,"WHI")=0,CHAR(34)&amp;"NO_WHI"&amp;CHAR(34)&amp;",", "")</f>
        <v/>
      </c>
      <c r="FG6" s="44" t="str">
        <f>IF(COUNTIF(BL6:BT6,"RED")=0,CHAR(34)&amp;"NO_RED"&amp;CHAR(34)&amp;",", "")</f>
        <v>"NO_RED",</v>
      </c>
      <c r="FH6" s="44" t="str">
        <f>IF(COUNTIF(BL6:BS6,"GRE")=0,CHAR(34)&amp;"NO_GRE"&amp;CHAR(34)&amp;",", "")</f>
        <v/>
      </c>
      <c r="FI6" s="44" t="str">
        <f>IF(COUNTIF(BL6:BT6,"YEL")=0,CHAR(34)&amp;"NO_YEL"&amp;CHAR(34)&amp;",", "")</f>
        <v>"NO_YEL",</v>
      </c>
      <c r="FJ6" s="44" t="str">
        <f>IF(COUNTIF(BL6:BT6,"BLA")=0,CHAR(34)&amp;"NO_BLA"&amp;CHAR(34)&amp;",", "")</f>
        <v>"NO_BLA",</v>
      </c>
      <c r="FK6" s="44" t="str">
        <f>IF(AND(FH6&lt;&gt;"",FF6&lt;&gt;""),CHAR(34)&amp;"WHGRNO"&amp;CHAR(34)&amp;",","")</f>
        <v/>
      </c>
      <c r="FL6" s="44" t="str">
        <f>IF(AND(FI6&lt;&gt;"",FF6&lt;&gt;""),CHAR(34)&amp;"WHYENO"&amp;CHAR(34)&amp;",","")</f>
        <v/>
      </c>
      <c r="FM6" s="44" t="str">
        <f>IF(AND(FJ6&lt;&gt;"",FF6&lt;&gt;""),CHAR(34)&amp;"BAWHNO"&amp;CHAR(34)&amp;",","")</f>
        <v/>
      </c>
      <c r="FN6" s="44" t="str">
        <f>IF(AND(FE6&lt;&gt;"",FF6&lt;&gt;""),CHAR(34)&amp;"BLWHNO"&amp;CHAR(34)&amp;",","")</f>
        <v/>
      </c>
      <c r="FO6" s="44" t="str">
        <f>IF(AND(FE6&lt;&gt;"",FG6&lt;&gt;""),CHAR(34)&amp;"BLRENO"&amp;CHAR(34)&amp;",","")</f>
        <v/>
      </c>
      <c r="FP6" s="44" t="str">
        <f>IF(AND(FF6&lt;&gt;"",FF6&lt;&gt;""),CHAR(34)&amp;"WHRENO"&amp;CHAR(34)&amp;",","")</f>
        <v/>
      </c>
      <c r="FQ6" s="44" t="str">
        <f>IF(LEN(BF6)=3,CHAR(34)&amp;"001"&amp;BF6&amp;CHAR(34)&amp;",","")</f>
        <v>"001GRE",</v>
      </c>
      <c r="FR6" s="44" t="str">
        <f>IF(LEN(BG6)=3,CHAR(34)&amp;"002"&amp;BG6&amp;CHAR(34)&amp;",","")</f>
        <v>"002WHI",</v>
      </c>
      <c r="FS6" s="44" t="str">
        <f>IF(LEN(BH6)=3,CHAR(34)&amp;"003"&amp;BH6&amp;CHAR(34)&amp;",","")</f>
        <v>"003BLU",</v>
      </c>
      <c r="FT6" s="44" t="str">
        <f>CHAR(34)&amp;"myr"&amp;BD6&amp;CHAR(34)&amp;","</f>
        <v>"myrEQ",</v>
      </c>
      <c r="FU6" s="44" t="str">
        <f>IF(AY6="y",CHAR(34)&amp;"island"&amp;CHAR(34)&amp;",","")</f>
        <v/>
      </c>
      <c r="FV6" s="44" t="str">
        <f>IF(BZ6="y",CHAR(34)&amp;"landlo"&amp;CHAR(34)&amp;",","")</f>
        <v/>
      </c>
      <c r="FW6" s="44" t="str">
        <f>IF(CA6="y",CHAR(34)&amp;"eunion"&amp;CHAR(34)&amp;",","")</f>
        <v/>
      </c>
      <c r="FX6" s="44" t="str">
        <f>SUBSTITUTE(IFERROR(SEARCH("[",A6),IFERROR(IF(AND(CA6&lt;&gt;"y",SEARCH("Europe",R6)&gt;0),CHAR(34)&amp;"noeuni"&amp;CHAR(34)&amp;",",""),"")),"1","")</f>
        <v/>
      </c>
      <c r="FY6" s="44" t="str">
        <f>IFERROR(IF(SEARCH("Arabic",CB6)&gt;0,CHAR(34)&amp;"arabic"&amp;CHAR(34)&amp;",",""),"")</f>
        <v/>
      </c>
      <c r="FZ6" s="44" t="str">
        <f>IFERROR(IF(SEARCH("English",CB6)&gt;0,CHAR(34)&amp;"englis"&amp;CHAR(34)&amp;",",""),"")</f>
        <v/>
      </c>
      <c r="GA6" s="44" t="str">
        <f>IFERROR(IF(SEARCH("French",CB6)&gt;0,CHAR(34)&amp;"french"&amp;CHAR(34)&amp;",",""),"")</f>
        <v/>
      </c>
      <c r="GB6" s="44" t="str">
        <f>IFERROR(IF(SEARCH("Spanish",CB6)&gt;0,CHAR(34)&amp;"spanis"&amp;CHAR(34)&amp;",",""),"")</f>
        <v/>
      </c>
      <c r="GC6" s="44" t="str">
        <f>IFERROR(IF(SEARCH("Portuguese",CB6)&gt;0,CHAR(34)&amp;"portug"&amp;CHAR(34)&amp;",",""),"")</f>
        <v/>
      </c>
      <c r="GD6" s="44" t="str">
        <f>IFERROR(IF(SEARCH("German",CB6)&gt;0,CHAR(34)&amp;"german"&amp;CHAR(34)&amp;",",""),"")</f>
        <v/>
      </c>
      <c r="GE6" s="44" t="str">
        <f>IFERROR(IF(SEARCH("Dutch",CB6)&gt;0,CHAR(34)&amp;"dutchs"&amp;CHAR(34)&amp;",",""),"")</f>
        <v/>
      </c>
      <c r="GF6" s="44" t="str">
        <f>IFERROR(IF(SEARCH("Historical",AU6)&gt;0,CHAR(34)&amp;"histor"&amp;CHAR(34)&amp;",",""),"")</f>
        <v/>
      </c>
      <c r="GG6" s="44" t="str">
        <f>IF(BU6="y",CHAR(34)&amp;"unjack"&amp;CHAR(34)&amp;",","")</f>
        <v/>
      </c>
      <c r="GH6" s="44" t="str">
        <f>IF(CD6=1,CHAR(34)&amp;"southc"&amp;CHAR(34)&amp;",","")</f>
        <v/>
      </c>
      <c r="GI6" s="44" t="str">
        <f>IF(CE6=1,CHAR(34)&amp;"hasmap"&amp;CHAR(34)&amp;",","")</f>
        <v/>
      </c>
      <c r="GJ6" s="44" t="str">
        <f>IF(CP6="y",CHAR(34)&amp;CP$1&amp;CHAR(34)&amp;",","")</f>
        <v>"NoStar",</v>
      </c>
      <c r="GK6" s="44" t="str">
        <f>IF(GJ6="",CHAR(34)&amp;"HasSta"&amp;CHAR(34)&amp;",","")</f>
        <v/>
      </c>
      <c r="GL6" s="44" t="str">
        <f t="shared" si="5"/>
        <v/>
      </c>
      <c r="GM6" s="44" t="str">
        <f t="shared" si="5"/>
        <v/>
      </c>
      <c r="GN6" s="44" t="str">
        <f t="shared" si="5"/>
        <v/>
      </c>
      <c r="GP6" s="44" t="str">
        <f>CHAR(34)&amp;AU6&amp;CHAR(34)</f>
        <v>"Province"</v>
      </c>
      <c r="GS6" s="44" t="str">
        <f>SUBSTITUTE("["&amp;_xlfn.CONCAT(CW6:GN6)&amp;"]",",]","]")</f>
        <v>["3Color","words2","exact2","lets16","startG","LUREHI","year19","allhor","3Bands","Horizo","Unequa","OnlyBa","NO_RED","NO_YEL","NO_BLA","001GRE","002WHI","003BLU","myrEQ","NoStar"]</v>
      </c>
      <c r="GT6" s="44" t="str">
        <f t="shared" si="6"/>
        <v/>
      </c>
      <c r="GU6" s="44" t="str">
        <f t="shared" si="6"/>
        <v>"cl_BLU",</v>
      </c>
      <c r="GV6" s="44" t="str">
        <f t="shared" si="6"/>
        <v>"cl_GRE",</v>
      </c>
      <c r="GW6" s="44" t="str">
        <f t="shared" si="6"/>
        <v/>
      </c>
      <c r="GX6" s="44" t="str">
        <f t="shared" si="6"/>
        <v/>
      </c>
      <c r="GY6" s="44" t="str">
        <f t="shared" si="6"/>
        <v/>
      </c>
      <c r="GZ6" s="44" t="str">
        <f t="shared" si="6"/>
        <v/>
      </c>
      <c r="HA6" s="44" t="str">
        <f t="shared" si="6"/>
        <v/>
      </c>
      <c r="HB6" s="44" t="str">
        <f t="shared" si="6"/>
        <v>"cl_WHI",</v>
      </c>
      <c r="HC6" s="44" t="str">
        <f>SUBSTITUTE("["&amp;_xlfn.CONCAT(GT6:HB6)&amp;"]",",]","]")</f>
        <v>["cl_BLU","cl_GRE","cl_WHI"]</v>
      </c>
      <c r="HE6" s="64"/>
      <c r="HF6" s="65" t="str">
        <f>"{couname:"&amp;CT6&amp;(IF(HK6&lt;&gt;"",",subtype:"&amp;CHAR(34)&amp;HK6&amp;CHAR(34),""))&amp;",year:"&amp;HJ6&amp;",region:"&amp;CU6&amp;",Colors:"&amp;HC6&amp;",Items:"&amp;GS6&amp;",Flag:"&amp;CV6&amp;",HDFlag:"&amp;CHAR(34)&amp;E6&amp;CHAR(34)&amp;",type:"&amp;GP6&amp;", describe: "&amp;HH6&amp;", isnew:"&amp;CHAR(34)&amp;F6&amp;CHAR(34)&amp;", links: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links: "https://www.crwflags.com/fotw/flags/ec-w.html"},</v>
      </c>
      <c r="HG6" s="66" t="str">
        <f>"{couname:"&amp;CT6&amp;(IF(HK6&lt;&gt;"",",subtype:"&amp;CHAR(34)&amp;HK6&amp;CHAR(34),""))&amp;",year:"&amp;HJ6&amp;",region:"&amp;CU6&amp;",Colors:"&amp;HC6&amp;",Items:"&amp;GS6&amp;",Flag:"&amp;CV6&amp;",HDFlag:"&amp;CHAR(34)&amp;E6&amp;CHAR(34)&amp;",type:"&amp;GP6&amp;", describe: "&amp;HI6&amp;", links: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links: "https://www.crwflags.com/fotw/flags/ec-w.html"},</v>
      </c>
      <c r="HH6" s="44" t="str">
        <f>IF(P6&lt;&gt;"",CHAR(34)&amp;"\n"&amp;P6&amp;CHAR(34),CHAR(34)&amp;CHAR(34))</f>
        <v>"\nThe flag of Galápagos islands is green over white over blue tricolor."</v>
      </c>
      <c r="HI6" s="44" t="str">
        <f>IF(J6=0,CHAR(34)&amp;CHAR(34),HH6)</f>
        <v>"\nThe flag of Galápagos islands is green over white over blue tricolor."</v>
      </c>
      <c r="HJ6" s="44" t="str">
        <f>CHAR(34)&amp;O6&amp;CHAR(34)</f>
        <v>"1961"</v>
      </c>
      <c r="HL6" s="44" t="str">
        <f>CHAR(34)&amp;I6&amp;CHAR(34)</f>
        <v>"https://www.crwflags.com/fotw/flags/ec-w.html"</v>
      </c>
      <c r="HM6" s="65"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N6" s="67"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{"couname":"[ECU] Galapagos Islands","year":"1961","region":"rgn_South America","Colors":["cl_BLU","cl_GRE","cl_WHI"],"Items":["3Color","words2","exact2","lets16","startG","LUREHI","year19","allhor","3Bands","Horizo","Unequa","OnlyBa","NO_RED","NO_YEL","NO_BLA","001GRE","002WHI","003BLU","myrEQ","NoStar"],"Flag":"https://upload.wikimedia.org/wikipedia/commons/thumb/0/0f/Flag_of_the_Galapagos_Islands.svg/640px-Flag_of_the_Galapagos_Islands.svg.png","HDFlag":"https://upload.wikimedia.org/wikipedia/commons/thumb/0/0f/Flag_of_the_Galapagos_Islands.svg/2560px-Flag_of_the_Galapagos_Islands.svg.png","type":"Province", "describe": "\nThe flag of Galápagos islands is green over white over blue tricolor.", "isnew": ".", "links": "https://www.crwflags.com/fotw/flags/ec-w.html"},</v>
      </c>
      <c r="HO6" s="71">
        <v>45576</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GRE</v>
      </c>
      <c r="HS6" s="44" t="str" cm="1">
        <f t="array" ref="HS6">IF(_xlfn.TEXTJOIN(", ", TRUE, IF(ISNUMBER(SEARCH("RED", BL6:BT6)), COLUMN(BL6:BT6) - COLUMN(BL6) + 1, ""))&lt;&gt;"","RED","")</f>
        <v/>
      </c>
      <c r="HT6" s="44" t="str" cm="1">
        <f t="array" ref="HT6">IF(_xlfn.TEXTJOIN(", ", TRUE, IF(ISNUMBER(SEARCH("YEL", BL6:BT6)), COLUMN(BL6:BT6) - COLUMN(BL6) + 1, ""))&lt;&gt;"","YEL","")</f>
        <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L6" s="44">
        <f>SUM(IC6:IK6)</f>
        <v>0</v>
      </c>
      <c r="IM6" s="42">
        <f>COUNTIF(IC6:IK6,"&gt;0")-CG6</f>
        <v>-3</v>
      </c>
      <c r="IN6" s="69" t="str">
        <f>"http://mkweb.bcgsc.ca/color-summarizer/?url="&amp;D6&amp;"&amp;precision=low&amp;num_clusters="&amp;CG6&amp;"&amp;text=1"</f>
        <v>http://mkweb.bcgsc.ca/color-summarizer/?url=https://upload.wikimedia.org/wikipedia/commons/thumb/0/0f/Flag_of_the_Galapagos_Islands.svg/640px-Flag_of_the_Galapagos_Islands.svg.png&amp;precision=low&amp;num_clusters=3&amp;text=1</v>
      </c>
      <c r="IO6" s="44" t="str">
        <f>IF(HP6&lt;&gt;"",CHAR(34)&amp;"black"&amp;CHAR(34),"")</f>
        <v/>
      </c>
      <c r="IP6" s="44" t="str">
        <f>IF(HQ6&lt;&gt;"",CHAR(34)&amp;"blue"&amp;CHAR(34),"")</f>
        <v>"blue"</v>
      </c>
      <c r="IQ6" s="44" t="str">
        <f>IF(HR6&lt;&gt;"",CHAR(34)&amp;"green"&amp;CHAR(34),"")</f>
        <v>"green"</v>
      </c>
      <c r="IR6" s="44" t="str">
        <f>IF(HS6&lt;&gt;"",CHAR(34)&amp;"red"&amp;CHAR(34),"")</f>
        <v/>
      </c>
      <c r="IS6" s="44" t="str">
        <f>IF(HT6&lt;&gt;"",CHAR(34)&amp;"yellow"&amp;CHAR(34),"")</f>
        <v/>
      </c>
      <c r="IT6" s="44" t="str">
        <f>IF(HU6&lt;&gt;"",CHAR(34)&amp;"orange"&amp;CHAR(34),"")</f>
        <v/>
      </c>
      <c r="IU6" s="44" t="str">
        <f>IF(HV6&lt;&gt;"",CHAR(34)&amp;"brown"&amp;CHAR(34),"")</f>
        <v/>
      </c>
      <c r="IV6" s="44" t="str">
        <f>IF(HW6&lt;&gt;"",CHAR(34)&amp;"purple"&amp;CHAR(34),"")</f>
        <v/>
      </c>
      <c r="IW6" s="44" t="str">
        <f>IF(HX6&lt;&gt;"",CHAR(34)&amp;"white"&amp;CHAR(34),"")</f>
        <v>"white"</v>
      </c>
      <c r="IX6" s="44" t="str">
        <f>"{"&amp;CHAR(34)&amp;"url"&amp;CHAR(34)&amp;":"&amp;CHAR(34)&amp;IN6&amp;CHAR(34)&amp;","&amp;CHAR(34)&amp;"name"&amp;CHAR(34)&amp;":"&amp;CHAR(34)&amp;A6&amp;CHAR(34)&amp;"},"</f>
        <v>{"url":"http://mkweb.bcgsc.ca/color-summarizer/?url=https://upload.wikimedia.org/wikipedia/commons/thumb/0/0f/Flag_of_the_Galapagos_Islands.svg/640px-Flag_of_the_Galapagos_Islands.svg.png&amp;precision=low&amp;num_clusters=3&amp;text=1","name":"[ECU] Galapagos Islands"},</v>
      </c>
      <c r="IY6" s="44">
        <v>392</v>
      </c>
    </row>
  </sheetData>
  <autoFilter ref="A1:IY6" xr:uid="{A1051193-A95B-4CFB-A73C-F0184620C81F}">
    <sortState xmlns:xlrd2="http://schemas.microsoft.com/office/spreadsheetml/2017/richdata2" ref="A2:IY6">
      <sortCondition ref="AW1:AW6"/>
    </sortState>
  </autoFilter>
  <conditionalFormatting sqref="H1 CW1:GS1 IA1:IB1">
    <cfRule type="cellIs" dxfId="631" priority="77" operator="greaterThan">
      <formula>0</formula>
    </cfRule>
  </conditionalFormatting>
  <conditionalFormatting sqref="H1:H1048576">
    <cfRule type="cellIs" dxfId="630" priority="17" stopIfTrue="1" operator="notEqual">
      <formula>""</formula>
    </cfRule>
  </conditionalFormatting>
  <conditionalFormatting sqref="R2:R6 CU2:CU6">
    <cfRule type="cellIs" dxfId="629" priority="19" operator="greaterThan">
      <formula>0</formula>
    </cfRule>
  </conditionalFormatting>
  <conditionalFormatting sqref="T2:AS6 CH2:CS6">
    <cfRule type="cellIs" dxfId="628" priority="14" stopIfTrue="1" operator="equal">
      <formula>"n"</formula>
    </cfRule>
    <cfRule type="cellIs" dxfId="627" priority="15" stopIfTrue="1" operator="equal">
      <formula>"y"</formula>
    </cfRule>
    <cfRule type="cellIs" dxfId="626" priority="16" operator="greaterThan">
      <formula>0</formula>
    </cfRule>
  </conditionalFormatting>
  <conditionalFormatting sqref="T1:BK1">
    <cfRule type="cellIs" dxfId="625" priority="80" operator="greaterThan">
      <formula>0</formula>
    </cfRule>
  </conditionalFormatting>
  <conditionalFormatting sqref="AZ2:BB6">
    <cfRule type="expression" dxfId="624" priority="13">
      <formula>$AT2=0</formula>
    </cfRule>
  </conditionalFormatting>
  <conditionalFormatting sqref="AZ2:BU6">
    <cfRule type="cellIs" dxfId="623" priority="55" operator="equal">
      <formula>"PIN"</formula>
    </cfRule>
    <cfRule type="cellIs" dxfId="622" priority="56" operator="equal">
      <formula>"ORA"</formula>
    </cfRule>
    <cfRule type="cellIs" dxfId="621" priority="57" operator="equal">
      <formula>"GRA"</formula>
    </cfRule>
    <cfRule type="cellIs" dxfId="620" priority="58" operator="equal">
      <formula>"PUR"</formula>
    </cfRule>
    <cfRule type="cellIs" dxfId="619" priority="59" operator="equal">
      <formula>"BRO"</formula>
    </cfRule>
    <cfRule type="cellIs" dxfId="618" priority="60" operator="equal">
      <formula>"YEL"</formula>
    </cfRule>
    <cfRule type="cellIs" dxfId="617" priority="61" operator="equal">
      <formula>"BLU"</formula>
    </cfRule>
    <cfRule type="cellIs" dxfId="616" priority="62" operator="equal">
      <formula>"WHI"</formula>
    </cfRule>
    <cfRule type="cellIs" dxfId="615" priority="63" operator="equal">
      <formula>"GRE"</formula>
    </cfRule>
    <cfRule type="cellIs" dxfId="614" priority="64" operator="equal">
      <formula>"RED"</formula>
    </cfRule>
    <cfRule type="cellIs" dxfId="613" priority="65" operator="equal">
      <formula>"BLA"</formula>
    </cfRule>
  </conditionalFormatting>
  <conditionalFormatting sqref="BV1:BW1 BV7:BW1048576 BV2:BV6">
    <cfRule type="cellIs" dxfId="612" priority="79" operator="equal">
      <formula>"nc"</formula>
    </cfRule>
  </conditionalFormatting>
  <conditionalFormatting sqref="BX2:CA6 CD2:CF6">
    <cfRule type="cellIs" dxfId="611" priority="18" operator="equal">
      <formula>"y"</formula>
    </cfRule>
    <cfRule type="cellIs" dxfId="610" priority="66" operator="equal">
      <formula>"PIN"</formula>
    </cfRule>
    <cfRule type="cellIs" dxfId="609" priority="67" operator="equal">
      <formula>"ORA"</formula>
    </cfRule>
    <cfRule type="cellIs" dxfId="608" priority="68" operator="equal">
      <formula>"GRA"</formula>
    </cfRule>
    <cfRule type="cellIs" dxfId="607" priority="69" operator="equal">
      <formula>"PUR"</formula>
    </cfRule>
    <cfRule type="cellIs" dxfId="606" priority="70" operator="equal">
      <formula>"BRO"</formula>
    </cfRule>
    <cfRule type="cellIs" dxfId="605" priority="71" operator="equal">
      <formula>"YEL"</formula>
    </cfRule>
    <cfRule type="cellIs" dxfId="604" priority="72" operator="equal">
      <formula>"BLU"</formula>
    </cfRule>
    <cfRule type="cellIs" dxfId="603" priority="73" operator="equal">
      <formula>"WHI"</formula>
    </cfRule>
    <cfRule type="cellIs" dxfId="602" priority="74" operator="equal">
      <formula>"GRE"</formula>
    </cfRule>
    <cfRule type="cellIs" dxfId="601" priority="75" operator="equal">
      <formula>"RED"</formula>
    </cfRule>
    <cfRule type="cellIs" dxfId="600" priority="76" operator="equal">
      <formula>"BLA"</formula>
    </cfRule>
  </conditionalFormatting>
  <conditionalFormatting sqref="BZ2:CA6 CD2:CF6">
    <cfRule type="cellIs" dxfId="599" priority="20" operator="greaterThan">
      <formula>0</formula>
    </cfRule>
  </conditionalFormatting>
  <conditionalFormatting sqref="HF1:HG1">
    <cfRule type="cellIs" dxfId="598" priority="81" operator="greaterThan">
      <formula>0</formula>
    </cfRule>
  </conditionalFormatting>
  <conditionalFormatting sqref="HK1">
    <cfRule type="cellIs" dxfId="597" priority="78" operator="greaterThan">
      <formula>0</formula>
    </cfRule>
  </conditionalFormatting>
  <conditionalFormatting sqref="HP1:HX1">
    <cfRule type="cellIs" dxfId="596" priority="32" operator="equal">
      <formula>"PIN"</formula>
    </cfRule>
    <cfRule type="cellIs" dxfId="595" priority="33" operator="equal">
      <formula>"ORA"</formula>
    </cfRule>
    <cfRule type="cellIs" dxfId="594" priority="34" operator="equal">
      <formula>"GRA"</formula>
    </cfRule>
    <cfRule type="cellIs" dxfId="593" priority="35" operator="equal">
      <formula>"PUR"</formula>
    </cfRule>
    <cfRule type="cellIs" dxfId="592" priority="36" operator="equal">
      <formula>"BRO"</formula>
    </cfRule>
    <cfRule type="cellIs" dxfId="591" priority="37" operator="equal">
      <formula>"YEL"</formula>
    </cfRule>
    <cfRule type="cellIs" dxfId="590" priority="38" operator="equal">
      <formula>"BLU"</formula>
    </cfRule>
    <cfRule type="cellIs" dxfId="589" priority="39" operator="equal">
      <formula>"WHI"</formula>
    </cfRule>
    <cfRule type="cellIs" dxfId="588" priority="40" operator="equal">
      <formula>"GRE"</formula>
    </cfRule>
    <cfRule type="cellIs" dxfId="587" priority="41" operator="equal">
      <formula>"RED"</formula>
    </cfRule>
    <cfRule type="cellIs" dxfId="586" priority="42" operator="equal">
      <formula>"BLA"</formula>
    </cfRule>
  </conditionalFormatting>
  <conditionalFormatting sqref="IC1:IK1">
    <cfRule type="cellIs" dxfId="585" priority="44" operator="equal">
      <formula>"PIN"</formula>
    </cfRule>
    <cfRule type="cellIs" dxfId="584" priority="45" operator="equal">
      <formula>"ORA"</formula>
    </cfRule>
    <cfRule type="cellIs" dxfId="583" priority="46" operator="equal">
      <formula>"GRA"</formula>
    </cfRule>
    <cfRule type="cellIs" dxfId="582" priority="47" operator="equal">
      <formula>"PUR"</formula>
    </cfRule>
    <cfRule type="cellIs" dxfId="581" priority="48" operator="equal">
      <formula>"BRO"</formula>
    </cfRule>
    <cfRule type="cellIs" dxfId="580" priority="49" operator="equal">
      <formula>"YEL"</formula>
    </cfRule>
    <cfRule type="cellIs" dxfId="579" priority="50" operator="equal">
      <formula>"BLU"</formula>
    </cfRule>
    <cfRule type="cellIs" dxfId="578" priority="51" operator="equal">
      <formula>"WHI"</formula>
    </cfRule>
    <cfRule type="cellIs" dxfId="577" priority="52" operator="equal">
      <formula>"GRE"</formula>
    </cfRule>
    <cfRule type="cellIs" dxfId="576" priority="53" operator="equal">
      <formula>"RED"</formula>
    </cfRule>
    <cfRule type="cellIs" dxfId="575" priority="54" operator="equal">
      <formula>"BLA"</formula>
    </cfRule>
  </conditionalFormatting>
  <conditionalFormatting sqref="IC2:IK6">
    <cfRule type="expression" dxfId="574" priority="43">
      <formula>$IL2&gt;0</formula>
    </cfRule>
  </conditionalFormatting>
  <conditionalFormatting sqref="IO1:IW1">
    <cfRule type="cellIs" dxfId="573" priority="21" operator="equal">
      <formula>"PIN"</formula>
    </cfRule>
    <cfRule type="cellIs" dxfId="572" priority="22" operator="equal">
      <formula>"ORA"</formula>
    </cfRule>
    <cfRule type="cellIs" dxfId="571" priority="23" operator="equal">
      <formula>"GRA"</formula>
    </cfRule>
    <cfRule type="cellIs" dxfId="570" priority="24" operator="equal">
      <formula>"PUR"</formula>
    </cfRule>
    <cfRule type="cellIs" dxfId="569" priority="25" operator="equal">
      <formula>"BRO"</formula>
    </cfRule>
    <cfRule type="cellIs" dxfId="568" priority="26" operator="equal">
      <formula>"YEL"</formula>
    </cfRule>
    <cfRule type="cellIs" dxfId="567" priority="27" operator="equal">
      <formula>"BLU"</formula>
    </cfRule>
    <cfRule type="cellIs" dxfId="566" priority="28" operator="equal">
      <formula>"WHI"</formula>
    </cfRule>
    <cfRule type="cellIs" dxfId="565" priority="29" operator="equal">
      <formula>"GRE"</formula>
    </cfRule>
    <cfRule type="cellIs" dxfId="564" priority="30" operator="equal">
      <formula>"RED"</formula>
    </cfRule>
    <cfRule type="cellIs" dxfId="563" priority="31" operator="equal">
      <formula>"BLA"</formula>
    </cfRule>
  </conditionalFormatting>
  <conditionalFormatting sqref="J2:J6">
    <cfRule type="colorScale" priority="936">
      <colorScale>
        <cfvo type="min"/>
        <cfvo type="percentile" val="50"/>
        <cfvo type="max"/>
        <color rgb="FFF8696B"/>
        <color rgb="FFFFEB84"/>
        <color rgb="FF63BE7B"/>
      </colorScale>
    </cfRule>
  </conditionalFormatting>
  <conditionalFormatting sqref="S2:S6">
    <cfRule type="colorScale" priority="937">
      <colorScale>
        <cfvo type="min"/>
        <cfvo type="max"/>
        <color rgb="FFFCFCFF"/>
        <color rgb="FF754BFB"/>
      </colorScale>
    </cfRule>
  </conditionalFormatting>
  <conditionalFormatting sqref="AT2:AT6">
    <cfRule type="colorScale" priority="938">
      <colorScale>
        <cfvo type="min"/>
        <cfvo type="max"/>
        <color rgb="FFFCFCFF"/>
        <color theme="8" tint="0.39997558519241921"/>
      </colorScale>
    </cfRule>
  </conditionalFormatting>
  <conditionalFormatting sqref="CG2:CG6">
    <cfRule type="colorScale" priority="939">
      <colorScale>
        <cfvo type="min"/>
        <cfvo type="max"/>
        <color rgb="FFFCFCFF"/>
        <color rgb="FF63BE7B"/>
      </colorScale>
    </cfRule>
  </conditionalFormatting>
  <hyperlinks>
    <hyperlink ref="A2" r:id="rId1" display="https://fbref.com/en/country/ECU/Ecuador-Football" xr:uid="{1E4C0215-F099-4874-B04A-F9C41B1CE0A5}"/>
    <hyperlink ref="E2" r:id="rId2" xr:uid="{6A7B7913-73B0-4D74-8D89-AB423D2623F7}"/>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7170"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7171" r:id="rId8" name="Button 3">
              <controlPr defaultSize="0" print="0" autoFill="0" autoPict="0" macro="[0]!GoToSheet">
                <anchor moveWithCells="1" sizeWithCells="1">
                  <from>
                    <xdr:col>0</xdr:col>
                    <xdr:colOff>0</xdr:colOff>
                    <xdr:row>0</xdr:row>
                    <xdr:rowOff>68580</xdr:rowOff>
                  </from>
                  <to>
                    <xdr:col>0</xdr:col>
                    <xdr:colOff>624840</xdr:colOff>
                    <xdr:row>0</xdr:row>
                    <xdr:rowOff>373380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161C3-1A69-4826-AD29-6D77C1D38784}">
  <sheetPr codeName="Sheet13"/>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B2" sqref="B2"/>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220</v>
      </c>
      <c r="B2" s="83" t="e" vm="79">
        <v>#VALUE!</v>
      </c>
      <c r="C2" s="39">
        <v>1</v>
      </c>
      <c r="D2" s="70" t="s">
        <v>221</v>
      </c>
      <c r="E2" s="40" t="s">
        <v>222</v>
      </c>
      <c r="F2" s="41" t="s">
        <v>163</v>
      </c>
      <c r="G2" s="42">
        <f>COUNTIF($A$1:$A$8282,A2)</f>
        <v>1</v>
      </c>
      <c r="H2" s="43"/>
      <c r="I2" s="59" t="s">
        <v>223</v>
      </c>
      <c r="J2" s="44" t="str">
        <f>""</f>
        <v/>
      </c>
      <c r="K2" s="45">
        <v>2840</v>
      </c>
      <c r="L2" s="46">
        <v>3519</v>
      </c>
      <c r="M2" s="46" t="s">
        <v>1969</v>
      </c>
      <c r="N2" s="47" t="s">
        <v>177</v>
      </c>
      <c r="O2" s="74" t="s">
        <v>180</v>
      </c>
      <c r="P2" s="48" t="s">
        <v>224</v>
      </c>
      <c r="Q2" s="73">
        <v>2</v>
      </c>
      <c r="R2" s="49" t="s">
        <v>177</v>
      </c>
      <c r="S2" s="50">
        <v>0</v>
      </c>
      <c r="T2" s="51" t="s">
        <v>164</v>
      </c>
      <c r="U2" s="52" t="s">
        <v>165</v>
      </c>
      <c r="V2" s="52" t="s">
        <v>164</v>
      </c>
      <c r="W2" s="52" t="s">
        <v>164</v>
      </c>
      <c r="X2" s="52" t="s">
        <v>164</v>
      </c>
      <c r="Y2" s="52" t="s">
        <v>165</v>
      </c>
      <c r="Z2" s="52" t="s">
        <v>164</v>
      </c>
      <c r="AA2" s="52" t="s">
        <v>165</v>
      </c>
      <c r="AB2" s="52" t="s">
        <v>165</v>
      </c>
      <c r="AC2" s="52" t="s">
        <v>164</v>
      </c>
      <c r="AD2" s="52" t="s">
        <v>164</v>
      </c>
      <c r="AE2" s="52" t="s">
        <v>164</v>
      </c>
      <c r="AF2" s="53" t="s">
        <v>164</v>
      </c>
      <c r="AG2" s="53" t="s">
        <v>164</v>
      </c>
      <c r="AH2" s="53" t="s">
        <v>164</v>
      </c>
      <c r="AI2" s="53" t="s">
        <v>165</v>
      </c>
      <c r="AJ2" s="53" t="s">
        <v>164</v>
      </c>
      <c r="AK2" s="53" t="s">
        <v>164</v>
      </c>
      <c r="AL2" s="53" t="s">
        <v>165</v>
      </c>
      <c r="AM2" s="53" t="s">
        <v>165</v>
      </c>
      <c r="AN2" s="53" t="s">
        <v>164</v>
      </c>
      <c r="AO2" s="53" t="s">
        <v>164</v>
      </c>
      <c r="AP2" s="53" t="s">
        <v>165</v>
      </c>
      <c r="AQ2" s="53" t="s">
        <v>164</v>
      </c>
      <c r="AR2" s="53" t="s">
        <v>164</v>
      </c>
      <c r="AS2" s="53" t="s">
        <v>165</v>
      </c>
      <c r="AT2" s="54">
        <v>5</v>
      </c>
      <c r="AU2" s="53"/>
      <c r="AV2" s="53" t="str">
        <f>IF(LEFT(A2,1)="[",LEFT(A2,5)&amp;AU2&amp;A2,"")</f>
        <v/>
      </c>
      <c r="AW2" s="53" t="str">
        <f>C2&amp;A2</f>
        <v>1Falkland Islands</v>
      </c>
      <c r="AX2" s="55" t="str">
        <f>_xlfn.TEXTJOIN(";",TRUE,AU2:AW2)</f>
        <v>1Falkland Islands</v>
      </c>
      <c r="AY2" s="55" t="s">
        <v>165</v>
      </c>
      <c r="AZ2" s="56" t="s">
        <v>154</v>
      </c>
      <c r="BA2" s="56" t="s">
        <v>151</v>
      </c>
      <c r="BB2" s="56"/>
      <c r="BC2" s="57"/>
      <c r="BD2" s="58" t="s">
        <v>152</v>
      </c>
      <c r="BE2" s="59"/>
      <c r="BF2" s="58"/>
      <c r="BG2" s="58"/>
      <c r="BH2" s="58"/>
      <c r="BI2" s="58"/>
      <c r="BJ2" s="58"/>
      <c r="BK2" s="59"/>
      <c r="BL2" s="58" t="s">
        <v>152</v>
      </c>
      <c r="BM2" s="58" t="s">
        <v>159</v>
      </c>
      <c r="BN2" s="58" t="s">
        <v>154</v>
      </c>
      <c r="BO2" s="58" t="s">
        <v>153</v>
      </c>
      <c r="BP2" s="58" t="s">
        <v>155</v>
      </c>
      <c r="BQ2" s="58" t="s">
        <v>151</v>
      </c>
      <c r="BR2" s="58"/>
      <c r="BS2" s="58"/>
      <c r="BT2" s="58"/>
      <c r="BU2" s="60" t="s">
        <v>165</v>
      </c>
      <c r="BV2" s="61" t="s">
        <v>165</v>
      </c>
      <c r="BW2" s="61" t="s">
        <v>168</v>
      </c>
      <c r="BX2" s="59"/>
      <c r="CB2" s="5" t="s">
        <v>136</v>
      </c>
      <c r="CC2" s="5"/>
      <c r="CD2" s="62">
        <v>0</v>
      </c>
      <c r="CE2" s="62">
        <v>0</v>
      </c>
      <c r="CF2" s="62" t="e">
        <v>#REF!</v>
      </c>
      <c r="CG2" s="75" cm="1">
        <f t="array" ref="CG2">SUMPRODUCT(--(LEN(TRIM(BL2:BT2))&gt;0))</f>
        <v>6</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n</v>
      </c>
      <c r="CQ2" s="53" t="str">
        <f>IF(AT2=1,"y","n")</f>
        <v>n</v>
      </c>
      <c r="CR2" s="53" t="str">
        <f>IF(AT2=2,"y","n")</f>
        <v>n</v>
      </c>
      <c r="CS2" s="53" t="str">
        <f>IF(AT2&gt;=3,"y","n")</f>
        <v>y</v>
      </c>
      <c r="CT2" s="38" t="str">
        <f>CHAR(34)&amp;A2&amp;CHAR(34)</f>
        <v>"Falkland Islands"</v>
      </c>
      <c r="CU2" s="63" t="str">
        <f>CHAR(34)&amp;"rgn_"&amp;R2&amp;CHAR(34)</f>
        <v>"rgn_South America"</v>
      </c>
      <c r="CV2" s="44" t="str">
        <f>CHAR(34)&amp;D2&amp;CHAR(34)</f>
        <v>"https://upload.wikimedia.org/wikipedia/commons/thumb/8/83/Flag_of_the_Falkland_Islands.svg/383px-Flag_of_the_Falkland_Islands.svg.png"</v>
      </c>
      <c r="CW2" s="44" t="str">
        <f t="shared" ref="CW2:CZ3" si="0">IF(CH2="y",CHAR(34)&amp;CH$1&amp;CHAR(34)&amp;",","")</f>
        <v/>
      </c>
      <c r="CX2" s="44" t="str">
        <f t="shared" si="0"/>
        <v/>
      </c>
      <c r="CY2" s="44" t="str">
        <f t="shared" si="0"/>
        <v/>
      </c>
      <c r="CZ2" s="44" t="str">
        <f t="shared" si="0"/>
        <v>"5+Colo",</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"smallc",</v>
      </c>
      <c r="DW2" s="44" t="str">
        <f t="shared" ref="DW2:DZ3" si="1">IF(CL2="y",CHAR(34)&amp;CL$1&amp;CHAR(34)&amp;",","")</f>
        <v>"NoBand",</v>
      </c>
      <c r="DX2" s="44" t="str">
        <f t="shared" si="1"/>
        <v/>
      </c>
      <c r="DY2" s="44" t="str">
        <f t="shared" si="1"/>
        <v/>
      </c>
      <c r="DZ2" s="44" t="str">
        <f t="shared" si="1"/>
        <v/>
      </c>
      <c r="EA2" s="44" t="str">
        <f t="shared" ref="EA2:EE3" si="2">IF(T2="y",CHAR(34)&amp;T$1&amp;CHAR(34)&amp;",","")</f>
        <v/>
      </c>
      <c r="EB2" s="44" t="str">
        <f t="shared" si="2"/>
        <v>"Crosse",</v>
      </c>
      <c r="EC2" s="44" t="str">
        <f t="shared" si="2"/>
        <v/>
      </c>
      <c r="ED2" s="44" t="str">
        <f t="shared" si="2"/>
        <v/>
      </c>
      <c r="EE2" s="44" t="str">
        <f t="shared" si="2"/>
        <v/>
      </c>
      <c r="EF2" s="44" t="str">
        <f>IF(AND(Y2&lt;&gt;"n",Y2&lt;&gt;""),CHAR(34)&amp;Y$1&amp;CHAR(34)&amp;",","")</f>
        <v>"Animal",</v>
      </c>
      <c r="EG2" s="44" t="str">
        <f t="shared" ref="EG2:EP3" si="3">IF(Z2="y",CHAR(34)&amp;Z$1&amp;CHAR(34)&amp;",","")</f>
        <v/>
      </c>
      <c r="EH2" s="44" t="str">
        <f t="shared" si="3"/>
        <v>"Plants",</v>
      </c>
      <c r="EI2" s="44" t="str">
        <f t="shared" si="3"/>
        <v>"Texted",</v>
      </c>
      <c r="EJ2" s="44" t="str">
        <f t="shared" si="3"/>
        <v/>
      </c>
      <c r="EK2" s="44" t="str">
        <f t="shared" si="3"/>
        <v/>
      </c>
      <c r="EL2" s="44" t="str">
        <f t="shared" si="3"/>
        <v/>
      </c>
      <c r="EM2" s="44" t="str">
        <f t="shared" si="3"/>
        <v/>
      </c>
      <c r="EN2" s="44" t="str">
        <f t="shared" si="3"/>
        <v/>
      </c>
      <c r="EO2" s="44" t="str">
        <f t="shared" si="3"/>
        <v/>
      </c>
      <c r="EP2" s="44" t="str">
        <f t="shared" si="3"/>
        <v>"Canton",</v>
      </c>
      <c r="EQ2" s="44" t="str">
        <f t="shared" ref="EQ2:EZ3" si="4">IF(AJ2="y",CHAR(34)&amp;AJ$1&amp;CHAR(34)&amp;",","")</f>
        <v/>
      </c>
      <c r="ER2" s="44" t="str">
        <f t="shared" si="4"/>
        <v/>
      </c>
      <c r="ES2" s="44" t="str">
        <f t="shared" si="4"/>
        <v>"Wavess",</v>
      </c>
      <c r="ET2" s="44" t="str">
        <f t="shared" si="4"/>
        <v>"Geogrh",</v>
      </c>
      <c r="EU2" s="44" t="str">
        <f t="shared" si="4"/>
        <v/>
      </c>
      <c r="EV2" s="44" t="str">
        <f t="shared" si="4"/>
        <v/>
      </c>
      <c r="EW2" s="44" t="str">
        <f t="shared" si="4"/>
        <v>"Ships!",</v>
      </c>
      <c r="EX2" s="44" t="str">
        <f t="shared" si="4"/>
        <v/>
      </c>
      <c r="EY2" s="44" t="str">
        <f t="shared" si="4"/>
        <v/>
      </c>
      <c r="EZ2" s="44" t="str">
        <f t="shared" si="4"/>
        <v>"Waters",</v>
      </c>
      <c r="FA2" s="44" t="str">
        <f>IF(AT2&gt;0,CHAR(34)&amp;"sta"&amp;AZ2&amp;CHAR(34)&amp;",","")</f>
        <v>"staRED",</v>
      </c>
      <c r="FB2" s="44" t="str">
        <f>IF(AND(AT2&gt;0,BA2&lt;&gt;""),CHAR(34)&amp;"sta"&amp;BA2&amp;CHAR(34)&amp;",","")</f>
        <v>"staBLA",</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"myrBLU",</v>
      </c>
      <c r="FU2" s="44" t="str">
        <f>IF(AY2="y",CHAR(34)&amp;"island"&amp;CHAR(34)&amp;",","")</f>
        <v>"island",</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"unjack",</v>
      </c>
      <c r="GH2" s="44" t="str">
        <f>IF(CD2=1,CHAR(34)&amp;"southc"&amp;CHAR(34)&amp;",","")</f>
        <v/>
      </c>
      <c r="GI2" s="44" t="str">
        <f>IF(CE2=1,CHAR(34)&amp;"hasmap"&amp;CHAR(34)&amp;",","")</f>
        <v/>
      </c>
      <c r="GJ2" s="44" t="str">
        <f>IF(CP2="y",CHAR(34)&amp;CP$1&amp;CHAR(34)&amp;",","")</f>
        <v/>
      </c>
      <c r="GK2" s="44" t="str">
        <f>IF(GJ2="",CHAR(34)&amp;"HasSta"&amp;CHAR(34)&amp;",","")</f>
        <v>"HasSta",</v>
      </c>
      <c r="GL2" s="44" t="str">
        <f t="shared" ref="GL2:GN3" si="5">IF(CQ2="y",CHAR(34)&amp;CQ$1&amp;CHAR(34)&amp;",","")</f>
        <v/>
      </c>
      <c r="GM2" s="44" t="str">
        <f t="shared" si="5"/>
        <v/>
      </c>
      <c r="GN2" s="44" t="str">
        <f t="shared" si="5"/>
        <v>"3+Star",</v>
      </c>
      <c r="GP2" s="44" t="str">
        <f>CHAR(34)&amp;AU2&amp;CHAR(34)</f>
        <v>""</v>
      </c>
      <c r="GS2" s="44" t="str">
        <f>SUBSTITUTE("["&amp;_xlfn.CONCAT(CW2:GN2)&amp;"]",",]","]")</f>
        <v>["5+Colo","words2","exact2","lets15","startF","year19","smallc","NoBand","Crosse","Animal","Plants","Texted","Canton","Wavess","Geogrh","Ships!","Waters","staRED","staBLA","ntWHYE","myrBLU","island","englis","unjack","HasSta","3+Star"]</v>
      </c>
      <c r="GT2" s="44" t="str">
        <f t="shared" ref="GT2:HB3" si="6">IF(BL2&lt;&gt;"",CHAR(34)&amp;"cl_"&amp;BL2&amp;CHAR(34)&amp;",","")</f>
        <v>"cl_BLU",</v>
      </c>
      <c r="GU2" s="44" t="str">
        <f t="shared" si="6"/>
        <v>"cl_WHI",</v>
      </c>
      <c r="GV2" s="44" t="str">
        <f t="shared" si="6"/>
        <v>"cl_RED",</v>
      </c>
      <c r="GW2" s="44" t="str">
        <f t="shared" si="6"/>
        <v>"cl_GRE",</v>
      </c>
      <c r="GX2" s="44" t="str">
        <f t="shared" si="6"/>
        <v>"cl_YEL",</v>
      </c>
      <c r="GY2" s="44" t="str">
        <f t="shared" si="6"/>
        <v>"cl_BLA",</v>
      </c>
      <c r="GZ2" s="44" t="str">
        <f t="shared" si="6"/>
        <v/>
      </c>
      <c r="HA2" s="44" t="str">
        <f t="shared" si="6"/>
        <v/>
      </c>
      <c r="HB2" s="44" t="str">
        <f t="shared" si="6"/>
        <v/>
      </c>
      <c r="HC2" s="44" t="str">
        <f>SUBSTITUTE("["&amp;_xlfn.CONCAT(GT2:HB2)&amp;"]",",]","]")</f>
        <v>["cl_BLU","cl_WHI","cl_RED","cl_GRE","cl_YEL","cl_BLA"]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links: "https://en.wikipedia.org/wiki/Flag_of_the_Falkland_Islands"},</v>
      </c>
      <c r="HG2" s="66" t="str">
        <f>"{couname:"&amp;CT2&amp;(IF(HK2&lt;&gt;"",",subtype:"&amp;CHAR(34)&amp;HK2&amp;CHAR(34),""))&amp;",year:"&amp;HJ2&amp;",region:"&amp;CU2&amp;",Colors:"&amp;HC2&amp;",Items:"&amp;GS2&amp;",Flag:"&amp;CV2&amp;",HDFlag:"&amp;CHAR(34)&amp;E2&amp;CHAR(34)&amp;",type:"&amp;GP2&amp;", describe: "&amp;HI2&amp;", links: "&amp;HL2&amp;"},"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links: "https://en.wikipedia.org/wiki/Flag_of_the_Falkland_Islands"},</v>
      </c>
      <c r="HH2" s="44" t="str">
        <f>IF(P2&lt;&gt;"",CHAR(34)&amp;"\n"&amp;P2&amp;CHAR(34),CHAR(34)&amp;CHAR(34))</f>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I2" s="44" t="str">
        <f>IF(J2=0,CHAR(34)&amp;CHAR(34),HH2)</f>
        <v>"\nThe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v>
      </c>
      <c r="HJ2" s="44" t="str">
        <f>CHAR(34)&amp;O2&amp;CHAR(34)</f>
        <v>"1999 "</v>
      </c>
      <c r="HL2" s="44" t="str">
        <f>CHAR(34)&amp;I2&amp;CHAR(34)</f>
        <v>"https://en.wikipedia.org/wiki/Flag_of_the_Falkland_Islands"</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{"couname":"Falkland Islands","year":"1999 ","region":"rgn_South America","Colors":["cl_BLU","cl_WHI","cl_RED","cl_GRE","cl_YEL","cl_BLA"],"Items":["5+Colo","words2","exact2","lets15","startF","year19","smallc","NoBand","Crosse","Animal","Plants","Texted","Canton","Wavess","Geogrh","Ships!","Waters","staRED","staBLA","ntWHYE","myrBLU","island","englis","unjack","HasSta","3+Star"],"Flag":"https://upload.wikimedia.org/wikipedia/commons/thumb/8/83/Flag_of_the_Falkland_Islands.svg/383px-Flag_of_the_Falkland_Islands.svg.png","HDFlag":"https://upload.wikimedia.org/wikipedia/commons/thumb/8/83/Flag_of_the_Falkland_Islands.svg/2560px-Flag_of_the_Falkland_Islands.svg.png","type":"", "describe": "\nThe Falkland Islands have been claimed and occupied by several nations throughout its history, who generally used their national flags on the islands. It was not until 1876 that the islands were given a flag of their own, which consisted of a Blue Ensign defaced with the seal of the islands - an image of HMS Hebe (which brought many of the early British settlers to the islands, including Richard Moody, in the 1840s) in Falkland Sound, overlooked by a bullock (representing feral cattle which once roamed the islands). A new coat-of-arms for the islands was introduced on 16 October 1925, consisting of the Desire (which was captained by John Davis who is reputed to have discovered the islands in 1592) and a sea lion in a shield surrounded by the motto of the islands, Desire the Right. This coat-of-arms later replaced the image of the bullock and ship on the flag.", "isnew": ".", "links": "https://en.wikipedia.org/wiki/Flag_of_the_Falkland_Islands"},</v>
      </c>
      <c r="HO2" s="71"/>
      <c r="HP2" s="44" t="str" cm="1">
        <f t="array" ref="HP2">IF(_xlfn.TEXTJOIN(", ", TRUE, IF(ISNUMBER(SEARCH("BLA", BL2:BT2)), COLUMN(BL2:BT2) - COLUMN(BL2) + 1, ""))&lt;&gt;"","BLA","")</f>
        <v>BLA</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t="s">
        <v>164</v>
      </c>
      <c r="IB2" s="5" t="s">
        <v>164</v>
      </c>
      <c r="IC2" s="68"/>
      <c r="ID2" s="68"/>
      <c r="IE2" s="68"/>
      <c r="IF2" s="68"/>
      <c r="IG2" s="68"/>
      <c r="IH2" s="68"/>
      <c r="II2" s="68"/>
      <c r="IJ2" s="68"/>
      <c r="IK2" s="68"/>
      <c r="IL2" s="44">
        <f>SUM(IC2:IK2)</f>
        <v>0</v>
      </c>
      <c r="IM2" s="42">
        <f>COUNTIF(IC2:IK2,"&gt;0")-CG2</f>
        <v>-6</v>
      </c>
      <c r="IN2" s="69" t="str">
        <f>"http://mkweb.bcgsc.ca/color-summarizer/?url="&amp;D2&amp;"&amp;precision=low&amp;num_clusters="&amp;CG2&amp;"&amp;text=1"</f>
        <v>http://mkweb.bcgsc.ca/color-summarizer/?url=https://upload.wikimedia.org/wikipedia/commons/thumb/8/83/Flag_of_the_Falkland_Islands.svg/383px-Flag_of_the_Falkland_Islands.svg.png&amp;precision=low&amp;num_clusters=6&amp;text=1</v>
      </c>
      <c r="IO2" s="44" t="str">
        <f>IF(HP2&lt;&gt;"",CHAR(34)&amp;"black"&amp;CHAR(34),"")</f>
        <v>"black"</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{"url":"http://mkweb.bcgsc.ca/color-summarizer/?url=https://upload.wikimedia.org/wikipedia/commons/thumb/8/83/Flag_of_the_Falkland_Islands.svg/383px-Flag_of_the_Falkland_Islands.svg.png&amp;precision=low&amp;num_clusters=6&amp;text=1","name":"Falkland Islands"},</v>
      </c>
      <c r="IY2" s="44">
        <v>73</v>
      </c>
    </row>
    <row r="3" spans="1:259" s="44" customFormat="1" ht="38.4" customHeight="1" thickBot="1" x14ac:dyDescent="0.35">
      <c r="A3" s="85" t="s">
        <v>698</v>
      </c>
      <c r="B3" s="83" t="e" vm="80">
        <v>#VALUE!</v>
      </c>
      <c r="C3" s="39">
        <v>3</v>
      </c>
      <c r="D3" s="70" t="s">
        <v>699</v>
      </c>
      <c r="E3" s="40" t="s">
        <v>699</v>
      </c>
      <c r="F3" s="41" t="s">
        <v>163</v>
      </c>
      <c r="G3" s="42">
        <f>COUNTIF($A$1:$A$8282,A3)</f>
        <v>1</v>
      </c>
      <c r="H3" s="43"/>
      <c r="I3" s="59" t="s">
        <v>700</v>
      </c>
      <c r="J3" s="44" t="str">
        <f>""</f>
        <v/>
      </c>
      <c r="K3" s="45"/>
      <c r="L3" s="46"/>
      <c r="M3" s="46"/>
      <c r="N3" s="47" t="s">
        <v>177</v>
      </c>
      <c r="O3" s="74" t="s">
        <v>233</v>
      </c>
      <c r="P3" s="48" t="s">
        <v>701</v>
      </c>
      <c r="Q3" s="73">
        <v>3</v>
      </c>
      <c r="R3" s="49" t="s">
        <v>177</v>
      </c>
      <c r="S3" s="50">
        <v>3</v>
      </c>
      <c r="T3" s="51" t="s">
        <v>164</v>
      </c>
      <c r="U3" s="52" t="s">
        <v>164</v>
      </c>
      <c r="V3" s="52" t="s">
        <v>165</v>
      </c>
      <c r="W3" s="52" t="s">
        <v>164</v>
      </c>
      <c r="X3" s="52" t="s">
        <v>164</v>
      </c>
      <c r="Y3" s="52" t="s">
        <v>164</v>
      </c>
      <c r="Z3" s="52" t="s">
        <v>164</v>
      </c>
      <c r="AA3" s="52" t="s">
        <v>164</v>
      </c>
      <c r="AB3" s="52" t="s">
        <v>164</v>
      </c>
      <c r="AC3" s="52" t="s">
        <v>164</v>
      </c>
      <c r="AD3" s="52" t="s">
        <v>164</v>
      </c>
      <c r="AE3" s="52" t="s">
        <v>164</v>
      </c>
      <c r="AF3" s="53" t="s">
        <v>164</v>
      </c>
      <c r="AG3" s="53" t="s">
        <v>164</v>
      </c>
      <c r="AH3" s="53" t="s">
        <v>165</v>
      </c>
      <c r="AI3" s="53" t="s">
        <v>164</v>
      </c>
      <c r="AJ3" s="53" t="s">
        <v>164</v>
      </c>
      <c r="AK3" s="53" t="s">
        <v>164</v>
      </c>
      <c r="AL3" s="53" t="s">
        <v>164</v>
      </c>
      <c r="AM3" s="53" t="s">
        <v>165</v>
      </c>
      <c r="AN3" s="53" t="s">
        <v>164</v>
      </c>
      <c r="AO3" s="53" t="s">
        <v>164</v>
      </c>
      <c r="AP3" s="53" t="s">
        <v>164</v>
      </c>
      <c r="AQ3" s="53" t="s">
        <v>164</v>
      </c>
      <c r="AR3" s="53" t="s">
        <v>164</v>
      </c>
      <c r="AS3" s="53" t="s">
        <v>164</v>
      </c>
      <c r="AT3" s="54">
        <v>0</v>
      </c>
      <c r="AU3" s="53" t="s">
        <v>702</v>
      </c>
      <c r="AV3" s="53" t="str">
        <f>IF(LEFT(A3,1)="[",LEFT(A3,5)&amp;AU3&amp;A3,"")</f>
        <v>[FLK]Army[FLK] British Forces South Atlantic Islands</v>
      </c>
      <c r="AW3" s="53" t="str">
        <f>C3&amp;A3</f>
        <v>3[FLK] British Forces South Atlantic Islands</v>
      </c>
      <c r="AX3" s="55"/>
      <c r="AY3" s="55"/>
      <c r="AZ3" s="56"/>
      <c r="BA3" s="56"/>
      <c r="BB3" s="56"/>
      <c r="BC3" s="57"/>
      <c r="BD3" s="58" t="s">
        <v>167</v>
      </c>
      <c r="BE3" s="59"/>
      <c r="BF3" s="58" t="s">
        <v>152</v>
      </c>
      <c r="BG3" s="58" t="s">
        <v>154</v>
      </c>
      <c r="BH3" s="58" t="s">
        <v>152</v>
      </c>
      <c r="BI3" s="58"/>
      <c r="BJ3" s="58"/>
      <c r="BK3" s="59"/>
      <c r="BL3" s="58" t="s">
        <v>152</v>
      </c>
      <c r="BM3" s="58" t="s">
        <v>154</v>
      </c>
      <c r="BN3" s="58" t="s">
        <v>152</v>
      </c>
      <c r="BO3" s="58" t="s">
        <v>155</v>
      </c>
      <c r="BP3" s="58"/>
      <c r="BQ3" s="58"/>
      <c r="BR3" s="58"/>
      <c r="BS3" s="58"/>
      <c r="BT3" s="58"/>
      <c r="BU3" s="60"/>
      <c r="BV3" s="61"/>
      <c r="BW3" s="61">
        <v>0</v>
      </c>
      <c r="BX3" s="59"/>
      <c r="CB3" s="5"/>
      <c r="CC3" s="5"/>
      <c r="CD3" s="62">
        <v>0</v>
      </c>
      <c r="CE3" s="62">
        <v>1</v>
      </c>
      <c r="CF3" s="62" t="e">
        <v>#REF!</v>
      </c>
      <c r="CG3" s="75" cm="1">
        <f t="array" ref="CG3">SUMPRODUCT(--(LEN(TRIM(BL3:BT3))&gt;0))</f>
        <v>4</v>
      </c>
      <c r="CH3" s="53" t="str">
        <f>IF(CG3=2,"y","n")</f>
        <v>n</v>
      </c>
      <c r="CI3" s="53" t="str">
        <f>IF(CG3=3,"y","n")</f>
        <v>n</v>
      </c>
      <c r="CJ3" s="53" t="str">
        <f>IF(CG3=4,"y","n")</f>
        <v>y</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"[FLK] British Forces South Atlantic Islands"</v>
      </c>
      <c r="CU3" s="63" t="str">
        <f>CHAR(34)&amp;"rgn_"&amp;R3&amp;CHAR(34)</f>
        <v>"rgn_South America"</v>
      </c>
      <c r="CV3" s="44" t="str">
        <f>CHAR(34)&amp;D3&amp;CHAR(34)</f>
        <v>"https://www.fotw.info/images/g/gb%5Ejs-fk.gif"</v>
      </c>
      <c r="CW3" s="44" t="str">
        <f t="shared" si="0"/>
        <v/>
      </c>
      <c r="CX3" s="44" t="str">
        <f t="shared" si="0"/>
        <v/>
      </c>
      <c r="CY3" s="44" t="str">
        <f t="shared" si="0"/>
        <v>"4Color",</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"lets33",</v>
      </c>
      <c r="DE3" s="44" t="str">
        <f>CHAR(34)&amp;"start"&amp;IFERROR(LEFT(SUBSTITUTE(A3,"["&amp;MID(A3,FIND("[",A3)+1,FIND("]",A3)-FIND("[",A3)-1)&amp;"] ",""),1),LEFT(A3,1))&amp;CHAR(34)&amp;","</f>
        <v>"startB",</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"Horizo",</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"Geogrh",</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"NO_WHI",</v>
      </c>
      <c r="FG3" s="44" t="str">
        <f>IF(COUNTIF(BL3:BT3,"RED")=0,CHAR(34)&amp;"NO_RED"&amp;CHAR(34)&amp;",", "")</f>
        <v/>
      </c>
      <c r="FH3" s="44" t="str">
        <f>IF(COUNTIF(BL3:BS3,"GRE")=0,CHAR(34)&amp;"NO_GRE"&amp;CHAR(34)&amp;",", "")</f>
        <v>"NO_GRE",</v>
      </c>
      <c r="FI3" s="44" t="str">
        <f>IF(COUNTIF(BL3:BT3,"YEL")=0,CHAR(34)&amp;"NO_YEL"&amp;CHAR(34)&amp;",", "")</f>
        <v/>
      </c>
      <c r="FJ3" s="44" t="str">
        <f>IF(COUNTIF(BL3:BT3,"BLA")=0,CHAR(34)&amp;"NO_BLA"&amp;CHAR(34)&amp;",", "")</f>
        <v>"NO_BLA",</v>
      </c>
      <c r="FK3" s="44" t="str">
        <f>IF(AND(FH3&lt;&gt;"",FF3&lt;&gt;""),CHAR(34)&amp;"WHGRNO"&amp;CHAR(34)&amp;",","")</f>
        <v>"WHGRNO",</v>
      </c>
      <c r="FL3" s="44" t="str">
        <f>IF(AND(FI3&lt;&gt;"",FF3&lt;&gt;""),CHAR(34)&amp;"WHYENO"&amp;CHAR(34)&amp;",","")</f>
        <v/>
      </c>
      <c r="FM3" s="44" t="str">
        <f>IF(AND(FJ3&lt;&gt;"",FF3&lt;&gt;""),CHAR(34)&amp;"BAWHNO"&amp;CHAR(34)&amp;",","")</f>
        <v>"BAWHNO",</v>
      </c>
      <c r="FN3" s="44" t="str">
        <f>IF(AND(FE3&lt;&gt;"",FF3&lt;&gt;""),CHAR(34)&amp;"BLWHNO"&amp;CHAR(34)&amp;",","")</f>
        <v/>
      </c>
      <c r="FO3" s="44" t="str">
        <f>IF(AND(FE3&lt;&gt;"",FG3&lt;&gt;""),CHAR(34)&amp;"BLRENO"&amp;CHAR(34)&amp;",","")</f>
        <v/>
      </c>
      <c r="FP3" s="44" t="str">
        <f>IF(AND(FF3&lt;&gt;"",FF3&lt;&gt;""),CHAR(34)&amp;"WHRENO"&amp;CHAR(34)&amp;",","")</f>
        <v>"WHRENO",</v>
      </c>
      <c r="FQ3" s="44" t="str">
        <f>IF(LEN(BF3)=3,CHAR(34)&amp;"001"&amp;BF3&amp;CHAR(34)&amp;",","")</f>
        <v>"001BLU",</v>
      </c>
      <c r="FR3" s="44" t="str">
        <f>IF(LEN(BG3)=3,CHAR(34)&amp;"002"&amp;BG3&amp;CHAR(34)&amp;",","")</f>
        <v>"002RED",</v>
      </c>
      <c r="FS3" s="44" t="str">
        <f>IF(LEN(BH3)=3,CHAR(34)&amp;"003"&amp;BH3&amp;CHAR(34)&amp;",","")</f>
        <v>"003BLU",</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"hasmap",</v>
      </c>
      <c r="GJ3" s="44" t="str">
        <f>IF(CP3="y",CHAR(34)&amp;CP$1&amp;CHAR(34)&amp;",","")</f>
        <v>"NoStar",</v>
      </c>
      <c r="GK3" s="44" t="str">
        <f>IF(GJ3="",CHAR(34)&amp;"HasSta"&amp;CHAR(34)&amp;",","")</f>
        <v/>
      </c>
      <c r="GL3" s="44" t="str">
        <f t="shared" si="5"/>
        <v/>
      </c>
      <c r="GM3" s="44" t="str">
        <f t="shared" si="5"/>
        <v/>
      </c>
      <c r="GN3" s="44" t="str">
        <f t="shared" si="5"/>
        <v/>
      </c>
      <c r="GP3" s="44" t="str">
        <f>CHAR(34)&amp;AU3&amp;CHAR(34)</f>
        <v>"Army"</v>
      </c>
      <c r="GS3" s="44" t="str">
        <f>SUBSTITUTE("["&amp;_xlfn.CONCAT(CW3:GN3)&amp;"]",",]","]")</f>
        <v>["4Color","words2","words3","lets33","startB","allhor","3Bands","Horizo","Center","Geogrh","NO_WHI","NO_GRE","NO_BLA","WHGRNO","BAWHNO","WHRENO","001BLU","002RED","003BLU","myrEQ","hasmap","NoStar"]</v>
      </c>
      <c r="GT3" s="44" t="str">
        <f t="shared" si="6"/>
        <v>"cl_BLU",</v>
      </c>
      <c r="GU3" s="44" t="str">
        <f t="shared" si="6"/>
        <v>"cl_RED",</v>
      </c>
      <c r="GV3" s="44" t="str">
        <f t="shared" si="6"/>
        <v>"cl_BLU",</v>
      </c>
      <c r="GW3" s="44" t="str">
        <f t="shared" si="6"/>
        <v>"cl_YEL",</v>
      </c>
      <c r="GX3" s="44" t="str">
        <f t="shared" si="6"/>
        <v/>
      </c>
      <c r="GY3" s="44" t="str">
        <f t="shared" si="6"/>
        <v/>
      </c>
      <c r="GZ3" s="44" t="str">
        <f t="shared" si="6"/>
        <v/>
      </c>
      <c r="HA3" s="44" t="str">
        <f t="shared" si="6"/>
        <v/>
      </c>
      <c r="HB3" s="44" t="str">
        <f t="shared" si="6"/>
        <v/>
      </c>
      <c r="HC3" s="44" t="str">
        <f>SUBSTITUTE("["&amp;_xlfn.CONCAT(GT3:HB3)&amp;"]",",]","]")</f>
        <v>["cl_BLU","cl_RED","cl_BLU","cl_YEL"]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links: "https://www.fotw.info/flags/fk.html#malv"},</v>
      </c>
      <c r="HG3" s="66" t="str">
        <f>"{couname:"&amp;CT3&amp;(IF(HK3&lt;&gt;"",",subtype:"&amp;CHAR(34)&amp;HK3&amp;CHAR(34),""))&amp;",year:"&amp;HJ3&amp;",region:"&amp;CU3&amp;",Colors:"&amp;HC3&amp;",Items:"&amp;GS3&amp;",Flag:"&amp;CV3&amp;",HDFlag:"&amp;CHAR(34)&amp;E3&amp;CHAR(34)&amp;",type:"&amp;GP3&amp;", describe: "&amp;HI3&amp;", links: "&amp;HL3&amp;"},"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links: "https://www.fotw.info/flags/fk.html#malv"},</v>
      </c>
      <c r="HH3" s="44" t="str">
        <f>IF(P3&lt;&gt;"",CHAR(34)&amp;"\n"&amp;P3&amp;CHAR(34),CHAR(34)&amp;CHAR(34))</f>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I3" s="44" t="str">
        <f>IF(J3=0,CHAR(34)&amp;CHAR(34),HH3)</f>
        <v>"\nThe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v>
      </c>
      <c r="HJ3" s="44" t="str">
        <f>CHAR(34)&amp;O3&amp;CHAR(34)</f>
        <v>"???"</v>
      </c>
      <c r="HL3" s="44" t="str">
        <f>CHAR(34)&amp;I3&amp;CHAR(34)</f>
        <v>"https://www.fotw.info/flags/fk.html#malv"</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{"couname":"[FLK] British Forces South Atlantic Islands","year":"???","region":"rgn_South America","Colors":["cl_BLU","cl_RED","cl_BLU","cl_YEL"],"Items":["4Color","words2","words3","lets33","startB","allhor","3Bands","Horizo","Center","Geogrh","NO_WHI","NO_GRE","NO_BLA","WHGRNO","BAWHNO","WHRENO","001BLU","002RED","003BLU","myrEQ","hasmap","NoStar"],"Flag":"https://www.fotw.info/images/g/gb%5Ejs-fk.gif","HDFlag":"https://www.fotw.info/images/g/gb%5Ejs-fk.gif","type":"Army", "describe": "\nThe British joint services flag used following the Argentine invasion. It is still in use and can be seen on the rank plates on the vehicles of some senior officers. The Arms with the seal is still in use as the cap badge and arms of the Falkland Islands Defence Force, who refused to change to the sheep one.", "isnew": ".", "links": "https://www.fotw.info/flags/fk.html#malv"},</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-4</v>
      </c>
      <c r="IN3" s="69" t="str">
        <f>"http://mkweb.bcgsc.ca/color-summarizer/?url="&amp;D3&amp;"&amp;precision=low&amp;num_clusters="&amp;CG3&amp;"&amp;text=1"</f>
        <v>http://mkweb.bcgsc.ca/color-summarizer/?url=https://www.fotw.info/images/g/gb%5Ejs-fk.gif&amp;precision=low&amp;num_clusters=4&amp;text=1</v>
      </c>
      <c r="IO3" s="44" t="str">
        <f>IF(HP3&lt;&gt;"",CHAR(34)&amp;"black"&amp;CHAR(34),"")</f>
        <v/>
      </c>
      <c r="IP3" s="44" t="str">
        <f>IF(HQ3&lt;&gt;"",CHAR(34)&amp;"blue"&amp;CHAR(34),"")</f>
        <v>"blue"</v>
      </c>
      <c r="IQ3" s="44" t="str">
        <f>IF(HR3&lt;&gt;"",CHAR(34)&amp;"green"&amp;CHAR(34),"")</f>
        <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{"url":"http://mkweb.bcgsc.ca/color-summarizer/?url=https://www.fotw.info/images/g/gb%5Ejs-fk.gif&amp;precision=low&amp;num_clusters=4&amp;text=1","name":"[FLK] British Forces South Atlantic Islands"},</v>
      </c>
      <c r="IY3" s="44">
        <v>1293</v>
      </c>
    </row>
  </sheetData>
  <autoFilter ref="A1:IY3" xr:uid="{A1051193-A95B-4CFB-A73C-F0184620C81F}">
    <sortState xmlns:xlrd2="http://schemas.microsoft.com/office/spreadsheetml/2017/richdata2" ref="A2:IY3">
      <sortCondition ref="AW1:AW3"/>
    </sortState>
  </autoFilter>
  <conditionalFormatting sqref="H1 CW1:GS1 IA1:IB1">
    <cfRule type="cellIs" dxfId="562" priority="77" operator="greaterThan">
      <formula>0</formula>
    </cfRule>
  </conditionalFormatting>
  <conditionalFormatting sqref="H1:H1048576">
    <cfRule type="cellIs" dxfId="561" priority="17" stopIfTrue="1" operator="notEqual">
      <formula>""</formula>
    </cfRule>
  </conditionalFormatting>
  <conditionalFormatting sqref="R2:R3 CU2:CU3">
    <cfRule type="cellIs" dxfId="560" priority="19" operator="greaterThan">
      <formula>0</formula>
    </cfRule>
  </conditionalFormatting>
  <conditionalFormatting sqref="T2:AS3 CH2:CS3">
    <cfRule type="cellIs" dxfId="559" priority="14" stopIfTrue="1" operator="equal">
      <formula>"n"</formula>
    </cfRule>
    <cfRule type="cellIs" dxfId="558" priority="15" stopIfTrue="1" operator="equal">
      <formula>"y"</formula>
    </cfRule>
    <cfRule type="cellIs" dxfId="557" priority="16" operator="greaterThan">
      <formula>0</formula>
    </cfRule>
  </conditionalFormatting>
  <conditionalFormatting sqref="T1:BK1">
    <cfRule type="cellIs" dxfId="556" priority="80" operator="greaterThan">
      <formula>0</formula>
    </cfRule>
  </conditionalFormatting>
  <conditionalFormatting sqref="AZ2:BB3">
    <cfRule type="expression" dxfId="555" priority="13">
      <formula>$AT2=0</formula>
    </cfRule>
  </conditionalFormatting>
  <conditionalFormatting sqref="AZ2:BU3">
    <cfRule type="cellIs" dxfId="554" priority="55" operator="equal">
      <formula>"PIN"</formula>
    </cfRule>
    <cfRule type="cellIs" dxfId="553" priority="56" operator="equal">
      <formula>"ORA"</formula>
    </cfRule>
    <cfRule type="cellIs" dxfId="552" priority="57" operator="equal">
      <formula>"GRA"</formula>
    </cfRule>
    <cfRule type="cellIs" dxfId="551" priority="58" operator="equal">
      <formula>"PUR"</formula>
    </cfRule>
    <cfRule type="cellIs" dxfId="550" priority="59" operator="equal">
      <formula>"BRO"</formula>
    </cfRule>
    <cfRule type="cellIs" dxfId="549" priority="60" operator="equal">
      <formula>"YEL"</formula>
    </cfRule>
    <cfRule type="cellIs" dxfId="548" priority="61" operator="equal">
      <formula>"BLU"</formula>
    </cfRule>
    <cfRule type="cellIs" dxfId="547" priority="62" operator="equal">
      <formula>"WHI"</formula>
    </cfRule>
    <cfRule type="cellIs" dxfId="546" priority="63" operator="equal">
      <formula>"GRE"</formula>
    </cfRule>
    <cfRule type="cellIs" dxfId="545" priority="64" operator="equal">
      <formula>"RED"</formula>
    </cfRule>
    <cfRule type="cellIs" dxfId="544" priority="65" operator="equal">
      <formula>"BLA"</formula>
    </cfRule>
  </conditionalFormatting>
  <conditionalFormatting sqref="BV1:BW1 BV4:BW1048576 BV2:BV3">
    <cfRule type="cellIs" dxfId="543" priority="79" operator="equal">
      <formula>"nc"</formula>
    </cfRule>
  </conditionalFormatting>
  <conditionalFormatting sqref="BX2:CA3 CD2:CF3">
    <cfRule type="cellIs" dxfId="542" priority="18" operator="equal">
      <formula>"y"</formula>
    </cfRule>
    <cfRule type="cellIs" dxfId="541" priority="66" operator="equal">
      <formula>"PIN"</formula>
    </cfRule>
    <cfRule type="cellIs" dxfId="540" priority="67" operator="equal">
      <formula>"ORA"</formula>
    </cfRule>
    <cfRule type="cellIs" dxfId="539" priority="68" operator="equal">
      <formula>"GRA"</formula>
    </cfRule>
    <cfRule type="cellIs" dxfId="538" priority="69" operator="equal">
      <formula>"PUR"</formula>
    </cfRule>
    <cfRule type="cellIs" dxfId="537" priority="70" operator="equal">
      <formula>"BRO"</formula>
    </cfRule>
    <cfRule type="cellIs" dxfId="536" priority="71" operator="equal">
      <formula>"YEL"</formula>
    </cfRule>
    <cfRule type="cellIs" dxfId="535" priority="72" operator="equal">
      <formula>"BLU"</formula>
    </cfRule>
    <cfRule type="cellIs" dxfId="534" priority="73" operator="equal">
      <formula>"WHI"</formula>
    </cfRule>
    <cfRule type="cellIs" dxfId="533" priority="74" operator="equal">
      <formula>"GRE"</formula>
    </cfRule>
    <cfRule type="cellIs" dxfId="532" priority="75" operator="equal">
      <formula>"RED"</formula>
    </cfRule>
    <cfRule type="cellIs" dxfId="531" priority="76" operator="equal">
      <formula>"BLA"</formula>
    </cfRule>
  </conditionalFormatting>
  <conditionalFormatting sqref="BZ2:CA3 CD2:CF3">
    <cfRule type="cellIs" dxfId="530" priority="20" operator="greaterThan">
      <formula>0</formula>
    </cfRule>
  </conditionalFormatting>
  <conditionalFormatting sqref="HF1:HG1">
    <cfRule type="cellIs" dxfId="529" priority="81" operator="greaterThan">
      <formula>0</formula>
    </cfRule>
  </conditionalFormatting>
  <conditionalFormatting sqref="HK1">
    <cfRule type="cellIs" dxfId="528" priority="78" operator="greaterThan">
      <formula>0</formula>
    </cfRule>
  </conditionalFormatting>
  <conditionalFormatting sqref="HP1:HX1">
    <cfRule type="cellIs" dxfId="527" priority="32" operator="equal">
      <formula>"PIN"</formula>
    </cfRule>
    <cfRule type="cellIs" dxfId="526" priority="33" operator="equal">
      <formula>"ORA"</formula>
    </cfRule>
    <cfRule type="cellIs" dxfId="525" priority="34" operator="equal">
      <formula>"GRA"</formula>
    </cfRule>
    <cfRule type="cellIs" dxfId="524" priority="35" operator="equal">
      <formula>"PUR"</formula>
    </cfRule>
    <cfRule type="cellIs" dxfId="523" priority="36" operator="equal">
      <formula>"BRO"</formula>
    </cfRule>
    <cfRule type="cellIs" dxfId="522" priority="37" operator="equal">
      <formula>"YEL"</formula>
    </cfRule>
    <cfRule type="cellIs" dxfId="521" priority="38" operator="equal">
      <formula>"BLU"</formula>
    </cfRule>
    <cfRule type="cellIs" dxfId="520" priority="39" operator="equal">
      <formula>"WHI"</formula>
    </cfRule>
    <cfRule type="cellIs" dxfId="519" priority="40" operator="equal">
      <formula>"GRE"</formula>
    </cfRule>
    <cfRule type="cellIs" dxfId="518" priority="41" operator="equal">
      <formula>"RED"</formula>
    </cfRule>
    <cfRule type="cellIs" dxfId="517" priority="42" operator="equal">
      <formula>"BLA"</formula>
    </cfRule>
  </conditionalFormatting>
  <conditionalFormatting sqref="IC1:IK1">
    <cfRule type="cellIs" dxfId="516" priority="44" operator="equal">
      <formula>"PIN"</formula>
    </cfRule>
    <cfRule type="cellIs" dxfId="515" priority="45" operator="equal">
      <formula>"ORA"</formula>
    </cfRule>
    <cfRule type="cellIs" dxfId="514" priority="46" operator="equal">
      <formula>"GRA"</formula>
    </cfRule>
    <cfRule type="cellIs" dxfId="513" priority="47" operator="equal">
      <formula>"PUR"</formula>
    </cfRule>
    <cfRule type="cellIs" dxfId="512" priority="48" operator="equal">
      <formula>"BRO"</formula>
    </cfRule>
    <cfRule type="cellIs" dxfId="511" priority="49" operator="equal">
      <formula>"YEL"</formula>
    </cfRule>
    <cfRule type="cellIs" dxfId="510" priority="50" operator="equal">
      <formula>"BLU"</formula>
    </cfRule>
    <cfRule type="cellIs" dxfId="509" priority="51" operator="equal">
      <formula>"WHI"</formula>
    </cfRule>
    <cfRule type="cellIs" dxfId="508" priority="52" operator="equal">
      <formula>"GRE"</formula>
    </cfRule>
    <cfRule type="cellIs" dxfId="507" priority="53" operator="equal">
      <formula>"RED"</formula>
    </cfRule>
    <cfRule type="cellIs" dxfId="506" priority="54" operator="equal">
      <formula>"BLA"</formula>
    </cfRule>
  </conditionalFormatting>
  <conditionalFormatting sqref="IC2:IK3">
    <cfRule type="expression" dxfId="505" priority="43">
      <formula>$IL2&gt;0</formula>
    </cfRule>
  </conditionalFormatting>
  <conditionalFormatting sqref="IO1:IW1">
    <cfRule type="cellIs" dxfId="504" priority="21" operator="equal">
      <formula>"PIN"</formula>
    </cfRule>
    <cfRule type="cellIs" dxfId="503" priority="22" operator="equal">
      <formula>"ORA"</formula>
    </cfRule>
    <cfRule type="cellIs" dxfId="502" priority="23" operator="equal">
      <formula>"GRA"</formula>
    </cfRule>
    <cfRule type="cellIs" dxfId="501" priority="24" operator="equal">
      <formula>"PUR"</formula>
    </cfRule>
    <cfRule type="cellIs" dxfId="500" priority="25" operator="equal">
      <formula>"BRO"</formula>
    </cfRule>
    <cfRule type="cellIs" dxfId="499" priority="26" operator="equal">
      <formula>"YEL"</formula>
    </cfRule>
    <cfRule type="cellIs" dxfId="498" priority="27" operator="equal">
      <formula>"BLU"</formula>
    </cfRule>
    <cfRule type="cellIs" dxfId="497" priority="28" operator="equal">
      <formula>"WHI"</formula>
    </cfRule>
    <cfRule type="cellIs" dxfId="496" priority="29" operator="equal">
      <formula>"GRE"</formula>
    </cfRule>
    <cfRule type="cellIs" dxfId="495" priority="30" operator="equal">
      <formula>"RED"</formula>
    </cfRule>
    <cfRule type="cellIs" dxfId="494" priority="31" operator="equal">
      <formula>"BLA"</formula>
    </cfRule>
  </conditionalFormatting>
  <conditionalFormatting sqref="J2:J3">
    <cfRule type="colorScale" priority="2659">
      <colorScale>
        <cfvo type="min"/>
        <cfvo type="percentile" val="50"/>
        <cfvo type="max"/>
        <color rgb="FFF8696B"/>
        <color rgb="FFFFEB84"/>
        <color rgb="FF63BE7B"/>
      </colorScale>
    </cfRule>
  </conditionalFormatting>
  <conditionalFormatting sqref="S2:S3">
    <cfRule type="colorScale" priority="2660">
      <colorScale>
        <cfvo type="min"/>
        <cfvo type="max"/>
        <color rgb="FFFCFCFF"/>
        <color rgb="FF754BFB"/>
      </colorScale>
    </cfRule>
  </conditionalFormatting>
  <conditionalFormatting sqref="AT2:AT3">
    <cfRule type="colorScale" priority="2661">
      <colorScale>
        <cfvo type="min"/>
        <cfvo type="max"/>
        <color rgb="FFFCFCFF"/>
        <color theme="8" tint="0.39997558519241921"/>
      </colorScale>
    </cfRule>
  </conditionalFormatting>
  <conditionalFormatting sqref="CG2:CG3">
    <cfRule type="colorScale" priority="2662">
      <colorScale>
        <cfvo type="min"/>
        <cfvo type="max"/>
        <color rgb="FFFCFCFF"/>
        <color rgb="FF63BE7B"/>
      </colorScale>
    </cfRule>
  </conditionalFormatting>
  <hyperlinks>
    <hyperlink ref="D2" r:id="rId1" xr:uid="{D21F4795-E051-444A-A75C-FA190973CA5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9458" r:id="rId6"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9459" r:id="rId7" name="Button 3">
              <controlPr defaultSize="0" print="0" autoFill="0" autoPict="0" macro="[0]!GoToSheet">
                <anchor moveWithCells="1" sizeWithCells="1">
                  <from>
                    <xdr:col>0</xdr:col>
                    <xdr:colOff>198120</xdr:colOff>
                    <xdr:row>0</xdr:row>
                    <xdr:rowOff>76200</xdr:rowOff>
                  </from>
                  <to>
                    <xdr:col>0</xdr:col>
                    <xdr:colOff>822960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F3B57-EAF9-4666-9F15-D0C527D2E4DF}">
  <sheetPr codeName="Sheet15"/>
  <dimension ref="A1:IY3"/>
  <sheetViews>
    <sheetView zoomScale="70" zoomScaleNormal="70" workbookViewId="0">
      <pane xSplit="5" ySplit="1" topLeftCell="F5" activePane="bottomRight" state="frozen"/>
      <selection pane="topRight" activeCell="F1" sqref="F1"/>
      <selection pane="bottomLeft" activeCell="A2" sqref="A2"/>
      <selection pane="bottomRight" activeCell="D18" sqref="D18"/>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225</v>
      </c>
      <c r="B2" s="83" t="e" vm="81">
        <v>#VALUE!</v>
      </c>
      <c r="C2" s="39">
        <v>1</v>
      </c>
      <c r="D2" s="70" t="s">
        <v>226</v>
      </c>
      <c r="E2" s="40" t="s">
        <v>227</v>
      </c>
      <c r="F2" s="41" t="s">
        <v>163</v>
      </c>
      <c r="G2" s="42">
        <f>COUNTIF($A$1:$A$8282,A2)</f>
        <v>1</v>
      </c>
      <c r="H2" s="43"/>
      <c r="I2" s="59" t="s">
        <v>228</v>
      </c>
      <c r="J2" s="44" t="str">
        <f>""</f>
        <v/>
      </c>
      <c r="K2" s="45">
        <v>294071</v>
      </c>
      <c r="L2" s="46">
        <v>10000</v>
      </c>
      <c r="M2" s="46" t="s">
        <v>1970</v>
      </c>
      <c r="N2" s="47" t="s">
        <v>177</v>
      </c>
      <c r="O2" s="74" t="s">
        <v>229</v>
      </c>
      <c r="P2" s="48" t="s">
        <v>230</v>
      </c>
      <c r="Q2" s="73">
        <v>2</v>
      </c>
      <c r="R2" s="49" t="s">
        <v>177</v>
      </c>
      <c r="S2" s="50">
        <v>2</v>
      </c>
      <c r="T2" s="51" t="s">
        <v>165</v>
      </c>
      <c r="U2" s="52" t="s">
        <v>164</v>
      </c>
      <c r="V2" s="52" t="s">
        <v>164</v>
      </c>
      <c r="W2" s="52" t="s">
        <v>164</v>
      </c>
      <c r="X2" s="52" t="s">
        <v>164</v>
      </c>
      <c r="Y2" s="52" t="s">
        <v>164</v>
      </c>
      <c r="Z2" s="52" t="s">
        <v>164</v>
      </c>
      <c r="AA2" s="52" t="s">
        <v>164</v>
      </c>
      <c r="AB2" s="52" t="s">
        <v>164</v>
      </c>
      <c r="AC2" s="52" t="s">
        <v>164</v>
      </c>
      <c r="AD2" s="52" t="s">
        <v>164</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1</v>
      </c>
      <c r="AU2" s="53"/>
      <c r="AV2" s="53" t="str">
        <f>IF(LEFT(A2,1)="[",LEFT(A2,5)&amp;AU2&amp;A2,"")</f>
        <v/>
      </c>
      <c r="AW2" s="53" t="str">
        <f>C2&amp;A2</f>
        <v>1French Guiana</v>
      </c>
      <c r="AX2" s="55" t="str">
        <f>_xlfn.TEXTJOIN(";",TRUE,AU2:AW2)</f>
        <v>1French Guiana</v>
      </c>
      <c r="AY2" s="55"/>
      <c r="AZ2" s="56" t="s">
        <v>154</v>
      </c>
      <c r="BA2" s="56"/>
      <c r="BB2" s="56"/>
      <c r="BC2" s="57"/>
      <c r="BD2" s="58" t="s">
        <v>167</v>
      </c>
      <c r="BE2" s="59"/>
      <c r="BF2" s="58" t="s">
        <v>153</v>
      </c>
      <c r="BG2" s="58"/>
      <c r="BH2" s="58" t="s">
        <v>155</v>
      </c>
      <c r="BI2" s="58"/>
      <c r="BJ2" s="58"/>
      <c r="BK2" s="59"/>
      <c r="BL2" s="58" t="s">
        <v>153</v>
      </c>
      <c r="BM2" s="58" t="s">
        <v>155</v>
      </c>
      <c r="BN2" s="58" t="s">
        <v>154</v>
      </c>
      <c r="BO2" s="58"/>
      <c r="BP2" s="58"/>
      <c r="BQ2" s="58"/>
      <c r="BR2" s="58"/>
      <c r="BS2" s="58"/>
      <c r="BT2" s="58"/>
      <c r="BU2" s="60"/>
      <c r="BV2" s="61" t="s">
        <v>166</v>
      </c>
      <c r="BW2" s="61">
        <v>0</v>
      </c>
      <c r="BX2" s="59"/>
      <c r="BY2" s="44" t="s">
        <v>165</v>
      </c>
      <c r="CB2" s="5" t="s">
        <v>137</v>
      </c>
      <c r="CC2" s="5"/>
      <c r="CD2" s="62">
        <v>0</v>
      </c>
      <c r="CE2" s="62">
        <v>0</v>
      </c>
      <c r="CF2" s="62" t="e">
        <v>#REF!</v>
      </c>
      <c r="CG2" s="75" cm="1">
        <f t="array" ref="CG2">SUMPRODUCT(--(LEN(TRIM(BL2:BT2))&gt;0))</f>
        <v>3</v>
      </c>
      <c r="CH2" s="53" t="str">
        <f>IF(CG2=2,"y","n")</f>
        <v>n</v>
      </c>
      <c r="CI2" s="53" t="str">
        <f>IF(CG2=3,"y","n")</f>
        <v>y</v>
      </c>
      <c r="CJ2" s="53" t="str">
        <f>IF(CG2=4,"y","n")</f>
        <v>n</v>
      </c>
      <c r="CK2" s="53" t="str">
        <f>IF(CG2&gt;4,"y","n")</f>
        <v>n</v>
      </c>
      <c r="CL2" s="53" t="str">
        <f>IF(S2=0,"y","n")</f>
        <v>n</v>
      </c>
      <c r="CM2" s="53" t="str">
        <f>IF(S2=2,"y","n")</f>
        <v>y</v>
      </c>
      <c r="CN2" s="53" t="str">
        <f>IF(S2=3,"y","n")</f>
        <v>n</v>
      </c>
      <c r="CO2" s="53" t="str">
        <f>IF(S2&gt;=4,"y","n")</f>
        <v>n</v>
      </c>
      <c r="CP2" s="53" t="str">
        <f>IF(AT2=0,"y","n")</f>
        <v>n</v>
      </c>
      <c r="CQ2" s="53" t="str">
        <f>IF(AT2=1,"y","n")</f>
        <v>y</v>
      </c>
      <c r="CR2" s="53" t="str">
        <f>IF(AT2=2,"y","n")</f>
        <v>n</v>
      </c>
      <c r="CS2" s="53" t="str">
        <f>IF(AT2&gt;=3,"y","n")</f>
        <v>n</v>
      </c>
      <c r="CT2" s="38" t="str">
        <f>CHAR(34)&amp;A2&amp;CHAR(34)</f>
        <v>"French Guiana"</v>
      </c>
      <c r="CU2" s="63" t="str">
        <f>CHAR(34)&amp;"rgn_"&amp;R2&amp;CHAR(34)</f>
        <v>"rgn_South America"</v>
      </c>
      <c r="CV2" s="44" t="str">
        <f>CHAR(34)&amp;D2&amp;CHAR(34)</f>
        <v>"https://upload.wikimedia.org/wikipedia/commons/thumb/2/29/Flag_of_French_Guiana.svg/375px-Flag_of_French_Guiana.svg.png"</v>
      </c>
      <c r="CW2" s="44" t="str">
        <f t="shared" ref="CW2:CZ3" si="0">IF(CH2="y",CHAR(34)&amp;CH$1&amp;CHAR(34)&amp;",","")</f>
        <v/>
      </c>
      <c r="CX2" s="44" t="str">
        <f t="shared" si="0"/>
        <v>"3Color",</v>
      </c>
      <c r="CY2" s="44" t="str">
        <f t="shared" si="0"/>
        <v/>
      </c>
      <c r="CZ2" s="44" t="str">
        <f t="shared" si="0"/>
        <v/>
      </c>
      <c r="DA2" s="44" t="str">
        <f>IF(Q2&gt;1,CHAR(34)&amp;"words2"&amp;CHAR(34)&amp;",","")</f>
        <v>"words2",</v>
      </c>
      <c r="DB2" s="44" t="str">
        <f>IF(Q2&gt;2,CHAR(34)&amp;"words3"&amp;CHAR(34)&amp;",","")</f>
        <v/>
      </c>
      <c r="DC2" s="44" t="str">
        <f>IF(Q2=2,CHAR(34)&amp;"exact2"&amp;CHAR(34)&amp;",","")</f>
        <v>"exact2",</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"REEDEL",</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"year00",</v>
      </c>
      <c r="DQ2" s="5" t="str">
        <f>IF(CC2="y",CHAR(34)&amp;"soviet"&amp;CHAR(34)&amp;",","")</f>
        <v/>
      </c>
      <c r="DR2" s="5" t="str">
        <f>IF(BY2="y",CHAR(34)&amp;"dgband"&amp;CHAR(34)&amp;",","")</f>
        <v>"dgband",</v>
      </c>
      <c r="DS2" s="5" t="str">
        <f>IF(W2="y",IF(AND(V2="n",BY2&lt;&gt;"y"),CHAR(34)&amp;"allver"&amp;CHAR(34)&amp;",",""),"")</f>
        <v/>
      </c>
      <c r="DT2" s="5" t="str">
        <f>IF(V2="y",IF(AND(W2="n",BY2&lt;&gt;"y"),CHAR(34)&amp;"allhor"&amp;CHAR(34)&amp;",",""),"")</f>
        <v/>
      </c>
      <c r="DU2" s="5" t="str">
        <f>IF(BY2="y",IF(AND(W2="n",V2="n"),CHAR(34)&amp;"alldia"&amp;CHAR(34)&amp;",",""),"")</f>
        <v>"alldia",</v>
      </c>
      <c r="DV2" s="44" t="str">
        <f>IF(IA2&lt;&gt;"",(IF(IA2="y",CHAR(34)&amp;"largec"&amp;CHAR(34)&amp;",",CHAR(34)&amp;"smallc"&amp;CHAR(34)&amp;",")),"")</f>
        <v/>
      </c>
      <c r="DW2" s="44" t="str">
        <f t="shared" ref="DW2:DZ3" si="1">IF(CL2="y",CHAR(34)&amp;CL$1&amp;CHAR(34)&amp;",","")</f>
        <v/>
      </c>
      <c r="DX2" s="44" t="str">
        <f t="shared" si="1"/>
        <v>"2Bands",</v>
      </c>
      <c r="DY2" s="44" t="str">
        <f t="shared" si="1"/>
        <v/>
      </c>
      <c r="DZ2" s="44" t="str">
        <f t="shared" si="1"/>
        <v/>
      </c>
      <c r="EA2" s="44" t="str">
        <f t="shared" ref="EA2:EE3" si="2">IF(T2="y",CHAR(34)&amp;T$1&amp;CHAR(34)&amp;",","")</f>
        <v>"Diagon",</v>
      </c>
      <c r="EB2" s="44" t="str">
        <f t="shared" si="2"/>
        <v/>
      </c>
      <c r="EC2" s="44" t="str">
        <f t="shared" si="2"/>
        <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"Center",</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"staRED",</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"NO_WHI",</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"BAWHNO",</v>
      </c>
      <c r="FN2" s="44" t="str">
        <f>IF(AND(FE2&lt;&gt;"",FF2&lt;&gt;""),CHAR(34)&amp;"BLWHNO"&amp;CHAR(34)&amp;",","")</f>
        <v>"BLWHNO",</v>
      </c>
      <c r="FO2" s="44" t="str">
        <f>IF(AND(FE2&lt;&gt;"",FG2&lt;&gt;""),CHAR(34)&amp;"BLRENO"&amp;CHAR(34)&amp;",","")</f>
        <v/>
      </c>
      <c r="FP2" s="44" t="str">
        <f>IF(AND(FF2&lt;&gt;"",FF2&lt;&gt;""),CHAR(34)&amp;"WHRENO"&amp;CHAR(34)&amp;",","")</f>
        <v>"WHRENO",</v>
      </c>
      <c r="FQ2" s="44" t="str">
        <f>IF(LEN(BF2)=3,CHAR(34)&amp;"001"&amp;BF2&amp;CHAR(34)&amp;",","")</f>
        <v>"001GRE",</v>
      </c>
      <c r="FR2" s="44" t="str">
        <f>IF(LEN(BG2)=3,CHAR(34)&amp;"002"&amp;BG2&amp;CHAR(34)&amp;",","")</f>
        <v/>
      </c>
      <c r="FS2" s="44" t="str">
        <f>IF(LEN(BH2)=3,CHAR(34)&amp;"003"&amp;BH2&amp;CHAR(34)&amp;",","")</f>
        <v>"003YEL",</v>
      </c>
      <c r="FT2" s="44" t="str">
        <f>CHAR(34)&amp;"myr"&amp;BD2&amp;CHAR(34)&amp;","</f>
        <v>"myrEQ",</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"french",</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 t="shared" ref="GL2:GN3" si="5">IF(CQ2="y",CHAR(34)&amp;CQ$1&amp;CHAR(34)&amp;",","")</f>
        <v>"1Stars",</v>
      </c>
      <c r="GM2" s="44" t="str">
        <f t="shared" si="5"/>
        <v/>
      </c>
      <c r="GN2" s="44" t="str">
        <f t="shared" si="5"/>
        <v/>
      </c>
      <c r="GP2" s="44" t="str">
        <f>CHAR(34)&amp;AU2&amp;CHAR(34)</f>
        <v>""</v>
      </c>
      <c r="GS2" s="44" t="str">
        <f>SUBSTITUTE("["&amp;_xlfn.CONCAT(CW2:GN2)&amp;"]",",]","]")</f>
        <v>["3Color","words2","exact2","lets12","startF","REEDEL","year00","dgband","alldia","2Bands","Diagon","Center","staRED","NO_BLU","NO_WHI","NO_BLA","BAWHNO","BLWHNO","WHRENO","001GRE","003YEL","myrEQ","french","HasSta","1Stars"]</v>
      </c>
      <c r="GT2" s="44" t="str">
        <f t="shared" ref="GT2:HB3" si="6">IF(BL2&lt;&gt;"",CHAR(34)&amp;"cl_"&amp;BL2&amp;CHAR(34)&amp;",","")</f>
        <v>"cl_GRE",</v>
      </c>
      <c r="GU2" s="44" t="str">
        <f t="shared" si="6"/>
        <v>"cl_YEL",</v>
      </c>
      <c r="GV2" s="44" t="str">
        <f t="shared" si="6"/>
        <v>"cl_RED",</v>
      </c>
      <c r="GW2" s="44" t="str">
        <f t="shared" si="6"/>
        <v/>
      </c>
      <c r="GX2" s="44" t="str">
        <f t="shared" si="6"/>
        <v/>
      </c>
      <c r="GY2" s="44" t="str">
        <f t="shared" si="6"/>
        <v/>
      </c>
      <c r="GZ2" s="44" t="str">
        <f t="shared" si="6"/>
        <v/>
      </c>
      <c r="HA2" s="44" t="str">
        <f t="shared" si="6"/>
        <v/>
      </c>
      <c r="HB2" s="44" t="str">
        <f t="shared" si="6"/>
        <v/>
      </c>
      <c r="HC2" s="44" t="str">
        <f>SUBSTITUTE("["&amp;_xlfn.CONCAT(GT2:HB2)&amp;"]",",]","]")</f>
        <v>["cl_GRE","cl_YEL","cl_RED"]</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links: "https://en.wikipedia.org/wiki/Flag_of_French_Guiana"},</v>
      </c>
      <c r="HG2" s="66" t="str">
        <f>"{couname:"&amp;CT2&amp;(IF(HK2&lt;&gt;"",",subtype:"&amp;CHAR(34)&amp;HK2&amp;CHAR(34),""))&amp;",year:"&amp;HJ2&amp;",region:"&amp;CU2&amp;",Colors:"&amp;HC2&amp;",Items:"&amp;GS2&amp;",Flag:"&amp;CV2&amp;",HDFlag:"&amp;CHAR(34)&amp;E2&amp;CHAR(34)&amp;",type:"&amp;GP2&amp;", describe: "&amp;HI2&amp;", links: "&amp;HL2&amp;"},"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links: "https://en.wikipedia.org/wiki/Flag_of_French_Guiana"},</v>
      </c>
      <c r="HH2" s="44" t="str">
        <f>IF(P2&lt;&gt;"",CHAR(34)&amp;"\n"&amp;P2&amp;CHAR(34),CHAR(34)&amp;CHAR(34))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I2" s="44" t="str">
        <f>IF(J2=0,CHAR(34)&amp;CHAR(34),HH2)</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v>
      </c>
      <c r="HJ2" s="44" t="str">
        <f>CHAR(34)&amp;O2&amp;CHAR(34)</f>
        <v>"2010 "</v>
      </c>
      <c r="HL2" s="44" t="str">
        <f>CHAR(34)&amp;I2&amp;CHAR(34)</f>
        <v>"https://en.wikipedia.org/wiki/Flag_of_French_Guiana"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{"couname":"French Guiana","year":"2010 ","region":"rgn_South America","Colors":["cl_GRE","cl_YEL","cl_RED"],"Items":["3Color","words2","exact2","lets12","startF","REEDEL","year00","dgband","alldia","2Bands","Diagon","Center","staRED","NO_BLU","NO_WHI","NO_BLA","BAWHNO","BLWHNO","WHRENO","001GRE","003YEL","myrEQ","french","HasSta","1Stars"],"Flag":"https://upload.wikimedia.org/wikipedia/commons/thumb/2/29/Flag_of_French_Guiana.svg/375px-Flag_of_French_Guiana.svg.png","HDFlag":"https://upload.wikimedia.org/wikipedia/commons/thumb/2/29/Flag_of_French_Guiana.svg/2560px-Flag_of_French_Guiana.svg.png","type":"",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\n\nThis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Only the French flag is officially recognized by the French constitution as the national flag. The green and yellow flag is however still used by the French Guiana national football team and still commonly flown by civilians.", "isnew": ".", "links": "https://en.wikipedia.org/wiki/Flag_of_French_Guiana"},</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
      </c>
      <c r="HY2" s="72"/>
      <c r="HZ2" s="72"/>
      <c r="IA2" s="5"/>
      <c r="IB2" s="5"/>
      <c r="IC2" s="68"/>
      <c r="ID2" s="68"/>
      <c r="IE2" s="68"/>
      <c r="IF2" s="68"/>
      <c r="IG2" s="68"/>
      <c r="IH2" s="68"/>
      <c r="II2" s="68"/>
      <c r="IJ2" s="68"/>
      <c r="IK2" s="68"/>
      <c r="IL2" s="44">
        <f>SUM(IC2:IK2)</f>
        <v>0</v>
      </c>
      <c r="IM2" s="42">
        <f>COUNTIF(IC2:IK2,"&gt;0")-CG2</f>
        <v>-3</v>
      </c>
      <c r="IN2" s="69" t="str">
        <f>"http://mkweb.bcgsc.ca/color-summarizer/?url="&amp;D2&amp;"&amp;precision=low&amp;num_clusters="&amp;CG2&amp;"&amp;text=1"</f>
        <v>http://mkweb.bcgsc.ca/color-summarizer/?url=https://upload.wikimedia.org/wikipedia/commons/thumb/2/29/Flag_of_French_Guiana.svg/375px-Flag_of_French_Guiana.svg.png&amp;precision=low&amp;num_clusters=3&amp;text=1</v>
      </c>
      <c r="IO2" s="44" t="str">
        <f>IF(HP2&lt;&gt;"",CHAR(34)&amp;"black"&amp;CHAR(34),"")</f>
        <v/>
      </c>
      <c r="IP2" s="44" t="str">
        <f>IF(HQ2&lt;&gt;"",CHAR(34)&amp;"blue"&amp;CHAR(34),"")</f>
        <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
      </c>
      <c r="IX2" s="44" t="str">
        <f>"{"&amp;CHAR(34)&amp;"url"&amp;CHAR(34)&amp;":"&amp;CHAR(34)&amp;IN2&amp;CHAR(34)&amp;","&amp;CHAR(34)&amp;"name"&amp;CHAR(34)&amp;":"&amp;CHAR(34)&amp;A2&amp;CHAR(34)&amp;"},"</f>
        <v>{"url":"http://mkweb.bcgsc.ca/color-summarizer/?url=https://upload.wikimedia.org/wikipedia/commons/thumb/2/29/Flag_of_French_Guiana.svg/375px-Flag_of_French_Guiana.svg.png&amp;precision=low&amp;num_clusters=3&amp;text=1","name":"French Guiana"},</v>
      </c>
      <c r="IY2" s="44">
        <v>78</v>
      </c>
    </row>
    <row r="3" spans="1:259" s="44" customFormat="1" ht="38.4" customHeight="1" thickBot="1" x14ac:dyDescent="0.35">
      <c r="A3" s="84" t="s">
        <v>703</v>
      </c>
      <c r="B3" s="83" t="e" vm="82">
        <v>#VALUE!</v>
      </c>
      <c r="C3" s="39">
        <v>2</v>
      </c>
      <c r="D3" s="70" t="s">
        <v>704</v>
      </c>
      <c r="E3" s="40" t="s">
        <v>705</v>
      </c>
      <c r="F3" s="41" t="s">
        <v>645</v>
      </c>
      <c r="G3" s="42">
        <f>COUNTIF($A$1:$A$8282,A3)</f>
        <v>1</v>
      </c>
      <c r="H3" s="43"/>
      <c r="I3" s="59" t="s">
        <v>228</v>
      </c>
      <c r="J3" s="44" t="str">
        <f>""</f>
        <v/>
      </c>
      <c r="K3" s="45"/>
      <c r="L3" s="46"/>
      <c r="M3" s="46"/>
      <c r="N3" s="47" t="s">
        <v>177</v>
      </c>
      <c r="O3" s="74" t="s">
        <v>485</v>
      </c>
      <c r="P3" s="48" t="s">
        <v>706</v>
      </c>
      <c r="Q3" s="73">
        <v>5</v>
      </c>
      <c r="R3" s="49" t="s">
        <v>177</v>
      </c>
      <c r="S3" s="50">
        <v>0</v>
      </c>
      <c r="T3" s="51" t="s">
        <v>164</v>
      </c>
      <c r="U3" s="52" t="s">
        <v>164</v>
      </c>
      <c r="V3" s="52" t="s">
        <v>164</v>
      </c>
      <c r="W3" s="52" t="s">
        <v>164</v>
      </c>
      <c r="X3" s="52" t="s">
        <v>164</v>
      </c>
      <c r="Y3" s="52" t="s">
        <v>164</v>
      </c>
      <c r="Z3" s="52" t="s">
        <v>164</v>
      </c>
      <c r="AA3" s="52" t="s">
        <v>164</v>
      </c>
      <c r="AB3" s="52" t="s">
        <v>165</v>
      </c>
      <c r="AC3" s="52" t="s">
        <v>165</v>
      </c>
      <c r="AD3" s="52" t="s">
        <v>164</v>
      </c>
      <c r="AE3" s="52" t="s">
        <v>164</v>
      </c>
      <c r="AF3" s="53" t="s">
        <v>164</v>
      </c>
      <c r="AG3" s="53" t="s">
        <v>164</v>
      </c>
      <c r="AH3" s="53" t="s">
        <v>164</v>
      </c>
      <c r="AI3" s="53" t="s">
        <v>164</v>
      </c>
      <c r="AJ3" s="53" t="s">
        <v>164</v>
      </c>
      <c r="AK3" s="53" t="s">
        <v>164</v>
      </c>
      <c r="AL3" s="53" t="s">
        <v>164</v>
      </c>
      <c r="AM3" s="53" t="s">
        <v>164</v>
      </c>
      <c r="AN3" s="53" t="s">
        <v>164</v>
      </c>
      <c r="AO3" s="53" t="s">
        <v>164</v>
      </c>
      <c r="AP3" s="53" t="s">
        <v>164</v>
      </c>
      <c r="AQ3" s="53" t="s">
        <v>164</v>
      </c>
      <c r="AR3" s="53" t="s">
        <v>164</v>
      </c>
      <c r="AS3" s="53" t="s">
        <v>164</v>
      </c>
      <c r="AT3" s="54">
        <v>0</v>
      </c>
      <c r="AU3" s="53" t="s">
        <v>672</v>
      </c>
      <c r="AV3" s="53" t="str">
        <f>IF(LEFT(A3,1)="[",LEFT(A3,5)&amp;AU3&amp;A3,"")</f>
        <v>[GUF]Government[GUF] Territorial Collectivity of French Guiana</v>
      </c>
      <c r="AW3" s="53" t="str">
        <f>C3&amp;A3</f>
        <v>2[GUF] Territorial Collectivity of French Guiana</v>
      </c>
      <c r="AX3" s="55"/>
      <c r="AY3" s="55"/>
      <c r="AZ3" s="56"/>
      <c r="BA3" s="56"/>
      <c r="BB3" s="56"/>
      <c r="BC3" s="57"/>
      <c r="BD3" s="58" t="s">
        <v>159</v>
      </c>
      <c r="BE3" s="59"/>
      <c r="BF3" s="58"/>
      <c r="BG3" s="58"/>
      <c r="BH3" s="58"/>
      <c r="BI3" s="58"/>
      <c r="BJ3" s="58"/>
      <c r="BK3" s="59"/>
      <c r="BL3" s="58" t="s">
        <v>159</v>
      </c>
      <c r="BM3" s="58" t="s">
        <v>153</v>
      </c>
      <c r="BN3" s="58" t="s">
        <v>151</v>
      </c>
      <c r="BO3" s="58" t="s">
        <v>152</v>
      </c>
      <c r="BP3" s="58" t="s">
        <v>154</v>
      </c>
      <c r="BQ3" s="58" t="s">
        <v>155</v>
      </c>
      <c r="BR3" s="58"/>
      <c r="BS3" s="58"/>
      <c r="BT3" s="58"/>
      <c r="BU3" s="60"/>
      <c r="BV3" s="61"/>
      <c r="BW3" s="61">
        <v>0</v>
      </c>
      <c r="BX3" s="59"/>
      <c r="CB3" s="5"/>
      <c r="CC3" s="5"/>
      <c r="CD3" s="62">
        <v>0</v>
      </c>
      <c r="CE3" s="62">
        <v>0</v>
      </c>
      <c r="CF3" s="62" t="e">
        <v>#REF!</v>
      </c>
      <c r="CG3" s="75" cm="1">
        <f t="array" ref="CG3">SUMPRODUCT(--(LEN(TRIM(BL3:BT3))&gt;0))</f>
        <v>6</v>
      </c>
      <c r="CH3" s="53" t="str">
        <f>IF(CG3=2,"y","n")</f>
        <v>n</v>
      </c>
      <c r="CI3" s="53" t="str">
        <f>IF(CG3=3,"y","n")</f>
        <v>n</v>
      </c>
      <c r="CJ3" s="53" t="str">
        <f>IF(CG3=4,"y","n")</f>
        <v>n</v>
      </c>
      <c r="CK3" s="53" t="str">
        <f>IF(CG3&gt;4,"y","n")</f>
        <v>y</v>
      </c>
      <c r="CL3" s="53" t="str">
        <f>IF(S3=0,"y","n")</f>
        <v>y</v>
      </c>
      <c r="CM3" s="53" t="str">
        <f>IF(S3=2,"y","n")</f>
        <v>n</v>
      </c>
      <c r="CN3" s="53" t="str">
        <f>IF(S3=3,"y","n")</f>
        <v>n</v>
      </c>
      <c r="CO3" s="53" t="str">
        <f>IF(S3&gt;=4,"y","n")</f>
        <v>n</v>
      </c>
      <c r="CP3" s="53" t="str">
        <f>IF(AT3=0,"y","n")</f>
        <v>y</v>
      </c>
      <c r="CQ3" s="53" t="str">
        <f>IF(AT3=1,"y","n")</f>
        <v>n</v>
      </c>
      <c r="CR3" s="53" t="str">
        <f>IF(AT3=2,"y","n")</f>
        <v>n</v>
      </c>
      <c r="CS3" s="53" t="str">
        <f>IF(AT3&gt;=3,"y","n")</f>
        <v>n</v>
      </c>
      <c r="CT3" s="38" t="str">
        <f>CHAR(34)&amp;A3&amp;CHAR(34)</f>
        <v>"[GUF] Territorial Collectivity of French Guiana"</v>
      </c>
      <c r="CU3" s="63" t="str">
        <f>CHAR(34)&amp;"rgn_"&amp;R3&amp;CHAR(34)</f>
        <v>"rgn_South America"</v>
      </c>
      <c r="CV3" s="44" t="str">
        <f>CHAR(34)&amp;D3&amp;CHAR(34)</f>
        <v>"https://upload.wikimedia.org/wikipedia/commons/thumb/6/65/Flag_of_French_Guiana_%28Local%29.svg/640px-Flag_of_French_Guiana_%28Local%29.svg.png"</v>
      </c>
      <c r="CW3" s="44" t="str">
        <f t="shared" si="0"/>
        <v/>
      </c>
      <c r="CX3" s="44" t="str">
        <f t="shared" si="0"/>
        <v/>
      </c>
      <c r="CY3" s="44" t="str">
        <f t="shared" si="0"/>
        <v/>
      </c>
      <c r="CZ3" s="44" t="str">
        <f t="shared" si="0"/>
        <v>"5+Colo",</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"lets37",</v>
      </c>
      <c r="DE3" s="44" t="str">
        <f>CHAR(34)&amp;"start"&amp;IFERROR(LEFT(SUBSTITUTE(A3,"["&amp;MID(A3,FIND("[",A3)+1,FIND("]",A3)-FIND("[",A3)-1)&amp;"] ",""),1),LEFT(A3,1))&amp;CHAR(34)&amp;","</f>
        <v>"startT",</v>
      </c>
      <c r="DF3" s="44" t="str">
        <f>IFERROR(IF(SEARCH("tan",A3)&gt;0,CHAR(34)&amp;"withtn"&amp;CHAR(34)&amp;",",""),"")</f>
        <v/>
      </c>
      <c r="DG3" s="44" t="str">
        <f>IFERROR(IF(SEARCH("q",A3)&gt;0,CHAR(34)&amp;"with_q"&amp;CHAR(34)&amp;",",""),"")</f>
        <v/>
      </c>
      <c r="DH3" s="44" t="str">
        <f>IFERROR(IF(SEARCH("v",A3)&gt;0,CHAR(34)&amp;"with_v"&amp;CHAR(34)&amp;",",""),"")</f>
        <v>"with_v",</v>
      </c>
      <c r="DI3" s="44" t="str">
        <f>IFERROR(IF(SEARCH("w",A3)&gt;0,CHAR(34)&amp;"with_w"&amp;CHAR(34)&amp;",",""),"")</f>
        <v/>
      </c>
      <c r="DJ3" s="44" t="str">
        <f>IFERROR(IF(SEARCH("y",A3)&gt;0,CHAR(34)&amp;"with_y"&amp;CHAR(34)&amp;",",""),"")</f>
        <v>"with_y",</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"year00",</v>
      </c>
      <c r="DQ3" s="5" t="str">
        <f>IF(CC3="y",CHAR(34)&amp;"soviet"&amp;CHAR(34)&amp;",","")</f>
        <v/>
      </c>
      <c r="DR3" s="5" t="str">
        <f>IF(BY3="y",CHAR(34)&amp;"dgband"&amp;CHAR(34)&amp;",","")</f>
        <v/>
      </c>
      <c r="DS3" s="5" t="str">
        <f>IF(W3="y",IF(AND(V3="n",BY3&lt;&gt;"y"),CHAR(34)&amp;"allver"&amp;CHAR(34)&amp;",",""),"")</f>
        <v/>
      </c>
      <c r="DT3" s="5" t="str">
        <f>IF(V3="y",IF(AND(W3="n",BY3&lt;&gt;"y"),CHAR(34)&amp;"allhor"&amp;CHAR(34)&amp;",",""),"")</f>
        <v/>
      </c>
      <c r="DU3" s="5" t="str">
        <f>IF(BY3="y",IF(AND(W3="n",V3="n"),CHAR(34)&amp;"alldia"&amp;CHAR(34)&amp;",",""),"")</f>
        <v/>
      </c>
      <c r="DW3" s="44" t="str">
        <f t="shared" si="1"/>
        <v>"NoBand",</v>
      </c>
      <c r="DX3" s="44" t="str">
        <f t="shared" si="1"/>
        <v/>
      </c>
      <c r="DY3" s="44" t="str">
        <f t="shared" si="1"/>
        <v/>
      </c>
      <c r="DZ3" s="44" t="str">
        <f t="shared" si="1"/>
        <v/>
      </c>
      <c r="EA3" s="44" t="str">
        <f t="shared" si="2"/>
        <v/>
      </c>
      <c r="EB3" s="44" t="str">
        <f t="shared" si="2"/>
        <v/>
      </c>
      <c r="EC3" s="44" t="str">
        <f t="shared" si="2"/>
        <v/>
      </c>
      <c r="ED3" s="44" t="str">
        <f t="shared" si="2"/>
        <v/>
      </c>
      <c r="EE3" s="44" t="str">
        <f t="shared" si="2"/>
        <v/>
      </c>
      <c r="EF3" s="44" t="str">
        <f>IF(AND(Y3&lt;&gt;"n",Y3&lt;&gt;""),CHAR(34)&amp;Y$1&amp;CHAR(34)&amp;",","")</f>
        <v/>
      </c>
      <c r="EG3" s="44" t="str">
        <f t="shared" si="3"/>
        <v/>
      </c>
      <c r="EH3" s="44" t="str">
        <f t="shared" si="3"/>
        <v/>
      </c>
      <c r="EI3" s="44" t="str">
        <f t="shared" si="3"/>
        <v>"Texted",</v>
      </c>
      <c r="EJ3" s="44" t="str">
        <f t="shared" si="3"/>
        <v>"Weapon",</v>
      </c>
      <c r="EK3" s="44" t="str">
        <f t="shared" si="3"/>
        <v/>
      </c>
      <c r="EL3" s="44" t="str">
        <f t="shared" si="3"/>
        <v/>
      </c>
      <c r="EM3" s="44" t="str">
        <f t="shared" si="3"/>
        <v/>
      </c>
      <c r="EN3" s="44" t="str">
        <f t="shared" si="3"/>
        <v/>
      </c>
      <c r="EO3" s="44" t="str">
        <f t="shared" si="3"/>
        <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
      </c>
      <c r="FR3" s="44" t="str">
        <f>IF(LEN(BG3)=3,CHAR(34)&amp;"002"&amp;BG3&amp;CHAR(34)&amp;",","")</f>
        <v/>
      </c>
      <c r="FS3" s="44" t="str">
        <f>IF(LEN(BH3)=3,CHAR(34)&amp;"003"&amp;BH3&amp;CHAR(34)&amp;",","")</f>
        <v/>
      </c>
      <c r="FT3" s="44" t="str">
        <f>CHAR(34)&amp;"myr"&amp;BD3&amp;CHAR(34)&amp;","</f>
        <v>"myrWHI",</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"Government"</v>
      </c>
      <c r="GS3" s="44" t="str">
        <f>SUBSTITUTE("["&amp;_xlfn.CONCAT(CW3:GN3)&amp;"]",",]","]")</f>
        <v>["5+Colo","words2","words3","lets37","startT","with_v","with_y","year00","NoBand","Texted","Weapon","myrWHI","NoStar"]</v>
      </c>
      <c r="GT3" s="44" t="str">
        <f t="shared" si="6"/>
        <v>"cl_WHI",</v>
      </c>
      <c r="GU3" s="44" t="str">
        <f t="shared" si="6"/>
        <v>"cl_GRE",</v>
      </c>
      <c r="GV3" s="44" t="str">
        <f t="shared" si="6"/>
        <v>"cl_BLA",</v>
      </c>
      <c r="GW3" s="44" t="str">
        <f t="shared" si="6"/>
        <v>"cl_BLU",</v>
      </c>
      <c r="GX3" s="44" t="str">
        <f t="shared" si="6"/>
        <v>"cl_RED",</v>
      </c>
      <c r="GY3" s="44" t="str">
        <f t="shared" si="6"/>
        <v>"cl_YEL",</v>
      </c>
      <c r="GZ3" s="44" t="str">
        <f t="shared" si="6"/>
        <v/>
      </c>
      <c r="HA3" s="44" t="str">
        <f t="shared" si="6"/>
        <v/>
      </c>
      <c r="HB3" s="44" t="str">
        <f t="shared" si="6"/>
        <v/>
      </c>
      <c r="HC3" s="44" t="str">
        <f>SUBSTITUTE("["&amp;_xlfn.CONCAT(GT3:HB3)&amp;"]",",]","]")</f>
        <v>["cl_WHI","cl_GRE","cl_BLA","cl_BLU","cl_RED","cl_YEL"]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isnew:"www", links: "https://en.wikipedia.org/wiki/Flag_of_French_Guiana"},</v>
      </c>
      <c r="HG3" s="66" t="str">
        <f>"{couname:"&amp;CT3&amp;(IF(HK3&lt;&gt;"",",subtype:"&amp;CHAR(34)&amp;HK3&amp;CHAR(34),""))&amp;",year:"&amp;HJ3&amp;",region:"&amp;CU3&amp;",Colors:"&amp;HC3&amp;",Items:"&amp;GS3&amp;",Flag:"&amp;CV3&amp;",HDFlag:"&amp;CHAR(34)&amp;E3&amp;CHAR(34)&amp;",type:"&amp;GP3&amp;", describe: "&amp;HI3&amp;", links: "&amp;HL3&amp;"},"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links: "https://en.wikipedia.org/wiki/Flag_of_French_Guiana"},</v>
      </c>
      <c r="HH3" s="44" t="str">
        <f>IF(P3&lt;&gt;"",CHAR(34)&amp;"\n"&amp;P3&amp;CHAR(34),CHAR(34)&amp;CHAR(34))</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I3" s="44" t="str">
        <f>IF(J3=0,CHAR(34)&amp;CHAR(34),HH3)</f>
        <v>"\nThe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v>
      </c>
      <c r="HJ3" s="44" t="str">
        <f>CHAR(34)&amp;O3&amp;CHAR(34)</f>
        <v>"2015"</v>
      </c>
      <c r="HL3" s="44" t="str">
        <f>CHAR(34)&amp;I3&amp;CHAR(34)</f>
        <v>"https://en.wikipedia.org/wiki/Flag_of_French_Guiana"</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{"couname":"[GUF] Territorial Collectivity of French Guiana","year":"2015","region":"rgn_South America","Colors":["cl_WHI","cl_GRE","cl_BLA","cl_BLU","cl_RED","cl_YEL"],"Items":["5+Colo","words2","words3","lets37","startT","with_v","with_y","year00","NoBand","Texted","Weapon","myrWHI","NoStar"],"Flag":"https://upload.wikimedia.org/wikipedia/commons/thumb/6/65/Flag_of_French_Guiana_%28Local%29.svg/640px-Flag_of_French_Guiana_%28Local%29.svg.png","HDFlag":"https://upload.wikimedia.org/wikipedia/commons/thumb/6/65/Flag_of_French_Guiana_%28Local%29.svg/2560px-Flag_of_French_Guiana_%28Local%29.svg.png","type":"Government", "describe": "\nThe green and yellow diagonal flag that is commonly used to represent French Guiana actually has no official status. The flag divides diagonally with green in the upper fly and yellow in the lower hoist and bears a red five pointed star in the center. Green represents the forests, Yellow represents gold and other minerals of the region, the red star represents socialism. This flag was unilaterally adopted by the general council (departmental council) of the overseas department of French Guiana on 29 January 2010, as a flag for the department of French Guiana. This was not recognized by the superior regional council. Both councils were disbanded in late 2015 and replaced by the French Guiana Assembly within the framework of the new Territorial Collectivity of French Guiana", "isnew": "www", "links": "https://en.wikipedia.org/wiki/Flag_of_French_Guiana"},</v>
      </c>
      <c r="HO3" s="71">
        <v>45653</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-6</v>
      </c>
      <c r="IN3" s="69" t="str">
        <f>"http://mkweb.bcgsc.ca/color-summarizer/?url="&amp;D3&amp;"&amp;precision=low&amp;num_clusters="&amp;CG3&amp;"&amp;text=1"</f>
        <v>http://mkweb.bcgsc.ca/color-summarizer/?url=https://upload.wikimedia.org/wikipedia/commons/thumb/6/65/Flag_of_French_Guiana_%28Local%29.svg/640px-Flag_of_French_Guiana_%28Local%29.svg.png&amp;precision=low&amp;num_clusters=6&amp;text=1</v>
      </c>
      <c r="IO3" s="44" t="str">
        <f>IF(HP3&lt;&gt;"",CHAR(34)&amp;"black"&amp;CHAR(34),"")</f>
        <v>"black"</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{"url":"http://mkweb.bcgsc.ca/color-summarizer/?url=https://upload.wikimedia.org/wikipedia/commons/thumb/6/65/Flag_of_French_Guiana_%28Local%29.svg/640px-Flag_of_French_Guiana_%28Local%29.svg.png&amp;precision=low&amp;num_clusters=6&amp;text=1","name":"[GUF] Territorial Collectivity of French Guiana"},</v>
      </c>
      <c r="IY3" s="44">
        <v>1503</v>
      </c>
    </row>
  </sheetData>
  <autoFilter ref="A1:IY3" xr:uid="{A1051193-A95B-4CFB-A73C-F0184620C81F}">
    <sortState xmlns:xlrd2="http://schemas.microsoft.com/office/spreadsheetml/2017/richdata2" ref="A2:IY3">
      <sortCondition ref="AW1:AW3"/>
    </sortState>
  </autoFilter>
  <conditionalFormatting sqref="H1 CW1:GS1 IA1:IB1">
    <cfRule type="cellIs" dxfId="493" priority="77" operator="greaterThan">
      <formula>0</formula>
    </cfRule>
  </conditionalFormatting>
  <conditionalFormatting sqref="H1:H1048576">
    <cfRule type="cellIs" dxfId="492" priority="17" stopIfTrue="1" operator="notEqual">
      <formula>""</formula>
    </cfRule>
  </conditionalFormatting>
  <conditionalFormatting sqref="R2:R3 CU2:CU3">
    <cfRule type="cellIs" dxfId="491" priority="19" operator="greaterThan">
      <formula>0</formula>
    </cfRule>
  </conditionalFormatting>
  <conditionalFormatting sqref="T2:AS3 CH2:CS3">
    <cfRule type="cellIs" dxfId="490" priority="14" stopIfTrue="1" operator="equal">
      <formula>"n"</formula>
    </cfRule>
    <cfRule type="cellIs" dxfId="489" priority="15" stopIfTrue="1" operator="equal">
      <formula>"y"</formula>
    </cfRule>
    <cfRule type="cellIs" dxfId="488" priority="16" operator="greaterThan">
      <formula>0</formula>
    </cfRule>
  </conditionalFormatting>
  <conditionalFormatting sqref="T1:BK1">
    <cfRule type="cellIs" dxfId="487" priority="80" operator="greaterThan">
      <formula>0</formula>
    </cfRule>
  </conditionalFormatting>
  <conditionalFormatting sqref="AZ2:BB3">
    <cfRule type="expression" dxfId="486" priority="13">
      <formula>$AT2=0</formula>
    </cfRule>
  </conditionalFormatting>
  <conditionalFormatting sqref="AZ2:BU3">
    <cfRule type="cellIs" dxfId="485" priority="55" operator="equal">
      <formula>"PIN"</formula>
    </cfRule>
    <cfRule type="cellIs" dxfId="484" priority="56" operator="equal">
      <formula>"ORA"</formula>
    </cfRule>
    <cfRule type="cellIs" dxfId="483" priority="57" operator="equal">
      <formula>"GRA"</formula>
    </cfRule>
    <cfRule type="cellIs" dxfId="482" priority="58" operator="equal">
      <formula>"PUR"</formula>
    </cfRule>
    <cfRule type="cellIs" dxfId="481" priority="59" operator="equal">
      <formula>"BRO"</formula>
    </cfRule>
    <cfRule type="cellIs" dxfId="480" priority="60" operator="equal">
      <formula>"YEL"</formula>
    </cfRule>
    <cfRule type="cellIs" dxfId="479" priority="61" operator="equal">
      <formula>"BLU"</formula>
    </cfRule>
    <cfRule type="cellIs" dxfId="478" priority="62" operator="equal">
      <formula>"WHI"</formula>
    </cfRule>
    <cfRule type="cellIs" dxfId="477" priority="63" operator="equal">
      <formula>"GRE"</formula>
    </cfRule>
    <cfRule type="cellIs" dxfId="476" priority="64" operator="equal">
      <formula>"RED"</formula>
    </cfRule>
    <cfRule type="cellIs" dxfId="475" priority="65" operator="equal">
      <formula>"BLA"</formula>
    </cfRule>
  </conditionalFormatting>
  <conditionalFormatting sqref="BV1:BW1 BV4:BW1048576 BV2:BV3">
    <cfRule type="cellIs" dxfId="474" priority="79" operator="equal">
      <formula>"nc"</formula>
    </cfRule>
  </conditionalFormatting>
  <conditionalFormatting sqref="BX2:CA3 CD2:CF3">
    <cfRule type="cellIs" dxfId="473" priority="18" operator="equal">
      <formula>"y"</formula>
    </cfRule>
    <cfRule type="cellIs" dxfId="472" priority="66" operator="equal">
      <formula>"PIN"</formula>
    </cfRule>
    <cfRule type="cellIs" dxfId="471" priority="67" operator="equal">
      <formula>"ORA"</formula>
    </cfRule>
    <cfRule type="cellIs" dxfId="470" priority="68" operator="equal">
      <formula>"GRA"</formula>
    </cfRule>
    <cfRule type="cellIs" dxfId="469" priority="69" operator="equal">
      <formula>"PUR"</formula>
    </cfRule>
    <cfRule type="cellIs" dxfId="468" priority="70" operator="equal">
      <formula>"BRO"</formula>
    </cfRule>
    <cfRule type="cellIs" dxfId="467" priority="71" operator="equal">
      <formula>"YEL"</formula>
    </cfRule>
    <cfRule type="cellIs" dxfId="466" priority="72" operator="equal">
      <formula>"BLU"</formula>
    </cfRule>
    <cfRule type="cellIs" dxfId="465" priority="73" operator="equal">
      <formula>"WHI"</formula>
    </cfRule>
    <cfRule type="cellIs" dxfId="464" priority="74" operator="equal">
      <formula>"GRE"</formula>
    </cfRule>
    <cfRule type="cellIs" dxfId="463" priority="75" operator="equal">
      <formula>"RED"</formula>
    </cfRule>
    <cfRule type="cellIs" dxfId="462" priority="76" operator="equal">
      <formula>"BLA"</formula>
    </cfRule>
  </conditionalFormatting>
  <conditionalFormatting sqref="BZ2:CA3 CD2:CF3">
    <cfRule type="cellIs" dxfId="461" priority="20" operator="greaterThan">
      <formula>0</formula>
    </cfRule>
  </conditionalFormatting>
  <conditionalFormatting sqref="HF1:HG1">
    <cfRule type="cellIs" dxfId="460" priority="81" operator="greaterThan">
      <formula>0</formula>
    </cfRule>
  </conditionalFormatting>
  <conditionalFormatting sqref="HK1">
    <cfRule type="cellIs" dxfId="459" priority="78" operator="greaterThan">
      <formula>0</formula>
    </cfRule>
  </conditionalFormatting>
  <conditionalFormatting sqref="HP1:HX1">
    <cfRule type="cellIs" dxfId="458" priority="32" operator="equal">
      <formula>"PIN"</formula>
    </cfRule>
    <cfRule type="cellIs" dxfId="457" priority="33" operator="equal">
      <formula>"ORA"</formula>
    </cfRule>
    <cfRule type="cellIs" dxfId="456" priority="34" operator="equal">
      <formula>"GRA"</formula>
    </cfRule>
    <cfRule type="cellIs" dxfId="455" priority="35" operator="equal">
      <formula>"PUR"</formula>
    </cfRule>
    <cfRule type="cellIs" dxfId="454" priority="36" operator="equal">
      <formula>"BRO"</formula>
    </cfRule>
    <cfRule type="cellIs" dxfId="453" priority="37" operator="equal">
      <formula>"YEL"</formula>
    </cfRule>
    <cfRule type="cellIs" dxfId="452" priority="38" operator="equal">
      <formula>"BLU"</formula>
    </cfRule>
    <cfRule type="cellIs" dxfId="451" priority="39" operator="equal">
      <formula>"WHI"</formula>
    </cfRule>
    <cfRule type="cellIs" dxfId="450" priority="40" operator="equal">
      <formula>"GRE"</formula>
    </cfRule>
    <cfRule type="cellIs" dxfId="449" priority="41" operator="equal">
      <formula>"RED"</formula>
    </cfRule>
    <cfRule type="cellIs" dxfId="448" priority="42" operator="equal">
      <formula>"BLA"</formula>
    </cfRule>
  </conditionalFormatting>
  <conditionalFormatting sqref="IC1:IK1">
    <cfRule type="cellIs" dxfId="447" priority="44" operator="equal">
      <formula>"PIN"</formula>
    </cfRule>
    <cfRule type="cellIs" dxfId="446" priority="45" operator="equal">
      <formula>"ORA"</formula>
    </cfRule>
    <cfRule type="cellIs" dxfId="445" priority="46" operator="equal">
      <formula>"GRA"</formula>
    </cfRule>
    <cfRule type="cellIs" dxfId="444" priority="47" operator="equal">
      <formula>"PUR"</formula>
    </cfRule>
    <cfRule type="cellIs" dxfId="443" priority="48" operator="equal">
      <formula>"BRO"</formula>
    </cfRule>
    <cfRule type="cellIs" dxfId="442" priority="49" operator="equal">
      <formula>"YEL"</formula>
    </cfRule>
    <cfRule type="cellIs" dxfId="441" priority="50" operator="equal">
      <formula>"BLU"</formula>
    </cfRule>
    <cfRule type="cellIs" dxfId="440" priority="51" operator="equal">
      <formula>"WHI"</formula>
    </cfRule>
    <cfRule type="cellIs" dxfId="439" priority="52" operator="equal">
      <formula>"GRE"</formula>
    </cfRule>
    <cfRule type="cellIs" dxfId="438" priority="53" operator="equal">
      <formula>"RED"</formula>
    </cfRule>
    <cfRule type="cellIs" dxfId="437" priority="54" operator="equal">
      <formula>"BLA"</formula>
    </cfRule>
  </conditionalFormatting>
  <conditionalFormatting sqref="IC2:IK3">
    <cfRule type="expression" dxfId="436" priority="43">
      <formula>$IL2&gt;0</formula>
    </cfRule>
  </conditionalFormatting>
  <conditionalFormatting sqref="IO1:IW1">
    <cfRule type="cellIs" dxfId="435" priority="21" operator="equal">
      <formula>"PIN"</formula>
    </cfRule>
    <cfRule type="cellIs" dxfId="434" priority="22" operator="equal">
      <formula>"ORA"</formula>
    </cfRule>
    <cfRule type="cellIs" dxfId="433" priority="23" operator="equal">
      <formula>"GRA"</formula>
    </cfRule>
    <cfRule type="cellIs" dxfId="432" priority="24" operator="equal">
      <formula>"PUR"</formula>
    </cfRule>
    <cfRule type="cellIs" dxfId="431" priority="25" operator="equal">
      <formula>"BRO"</formula>
    </cfRule>
    <cfRule type="cellIs" dxfId="430" priority="26" operator="equal">
      <formula>"YEL"</formula>
    </cfRule>
    <cfRule type="cellIs" dxfId="429" priority="27" operator="equal">
      <formula>"BLU"</formula>
    </cfRule>
    <cfRule type="cellIs" dxfId="428" priority="28" operator="equal">
      <formula>"WHI"</formula>
    </cfRule>
    <cfRule type="cellIs" dxfId="427" priority="29" operator="equal">
      <formula>"GRE"</formula>
    </cfRule>
    <cfRule type="cellIs" dxfId="426" priority="30" operator="equal">
      <formula>"RED"</formula>
    </cfRule>
    <cfRule type="cellIs" dxfId="425" priority="31" operator="equal">
      <formula>"BLA"</formula>
    </cfRule>
  </conditionalFormatting>
  <conditionalFormatting sqref="J2:J3">
    <cfRule type="colorScale" priority="2998">
      <colorScale>
        <cfvo type="min"/>
        <cfvo type="percentile" val="50"/>
        <cfvo type="max"/>
        <color rgb="FFF8696B"/>
        <color rgb="FFFFEB84"/>
        <color rgb="FF63BE7B"/>
      </colorScale>
    </cfRule>
  </conditionalFormatting>
  <conditionalFormatting sqref="S2:S3">
    <cfRule type="colorScale" priority="2999">
      <colorScale>
        <cfvo type="min"/>
        <cfvo type="max"/>
        <color rgb="FFFCFCFF"/>
        <color rgb="FF754BFB"/>
      </colorScale>
    </cfRule>
  </conditionalFormatting>
  <conditionalFormatting sqref="AT2:AT3">
    <cfRule type="colorScale" priority="3000">
      <colorScale>
        <cfvo type="min"/>
        <cfvo type="max"/>
        <color rgb="FFFCFCFF"/>
        <color theme="8" tint="0.39997558519241921"/>
      </colorScale>
    </cfRule>
  </conditionalFormatting>
  <conditionalFormatting sqref="CG2:CG3">
    <cfRule type="colorScale" priority="3001">
      <colorScale>
        <cfvo type="min"/>
        <cfvo type="max"/>
        <color rgb="FFFCFCFF"/>
        <color rgb="FF63BE7B"/>
      </colorScale>
    </cfRule>
  </conditionalFormatting>
  <hyperlinks>
    <hyperlink ref="A2" r:id="rId1" display="https://fbref.com/en/country/ZIM/Zimbabwe-Football" xr:uid="{5448419B-07DF-446D-ADA6-851486A0381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21506" r:id="rId6"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1507" r:id="rId7" name="Button 3">
              <controlPr defaultSize="0" print="0" autoFill="0" autoPict="0" macro="[0]!GoToSheet">
                <anchor moveWithCells="1" sizeWithCells="1">
                  <from>
                    <xdr:col>0</xdr:col>
                    <xdr:colOff>76200</xdr:colOff>
                    <xdr:row>0</xdr:row>
                    <xdr:rowOff>45720</xdr:rowOff>
                  </from>
                  <to>
                    <xdr:col>0</xdr:col>
                    <xdr:colOff>701040</xdr:colOff>
                    <xdr:row>0</xdr:row>
                    <xdr:rowOff>350520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C64DF-01C7-411E-867E-C05E8F2A59AF}">
  <sheetPr codeName="Sheet16"/>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B2" sqref="B2"/>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235</v>
      </c>
      <c r="B2" s="83" t="e" vm="83">
        <v>#VALUE!</v>
      </c>
      <c r="C2" s="39">
        <v>1</v>
      </c>
      <c r="D2" s="70" t="s">
        <v>236</v>
      </c>
      <c r="E2" s="40" t="s">
        <v>237</v>
      </c>
      <c r="F2" s="41" t="s">
        <v>163</v>
      </c>
      <c r="G2" s="42">
        <f>COUNTIF($A$1:$A$8278,A2)</f>
        <v>1</v>
      </c>
      <c r="H2" s="43"/>
      <c r="I2" s="59" t="s">
        <v>238</v>
      </c>
      <c r="J2" s="44" t="str">
        <f>""</f>
        <v/>
      </c>
      <c r="K2" s="45">
        <v>813000</v>
      </c>
      <c r="L2" s="46">
        <v>315000</v>
      </c>
      <c r="M2" s="46" t="s">
        <v>1971</v>
      </c>
      <c r="N2" s="47" t="s">
        <v>177</v>
      </c>
      <c r="O2" s="74" t="s">
        <v>178</v>
      </c>
      <c r="P2" s="48" t="s">
        <v>239</v>
      </c>
      <c r="Q2" s="73">
        <v>1</v>
      </c>
      <c r="R2" s="49" t="s">
        <v>177</v>
      </c>
      <c r="S2" s="50">
        <v>0</v>
      </c>
      <c r="T2" s="51" t="s">
        <v>165</v>
      </c>
      <c r="U2" s="52" t="s">
        <v>164</v>
      </c>
      <c r="V2" s="52" t="s">
        <v>164</v>
      </c>
      <c r="W2" s="52" t="s">
        <v>164</v>
      </c>
      <c r="X2" s="52" t="s">
        <v>164</v>
      </c>
      <c r="Y2" s="52" t="s">
        <v>164</v>
      </c>
      <c r="Z2" s="52" t="s">
        <v>164</v>
      </c>
      <c r="AA2" s="52" t="s">
        <v>164</v>
      </c>
      <c r="AB2" s="52" t="s">
        <v>164</v>
      </c>
      <c r="AC2" s="52" t="s">
        <v>164</v>
      </c>
      <c r="AD2" s="52" t="s">
        <v>164</v>
      </c>
      <c r="AE2" s="52" t="s">
        <v>164</v>
      </c>
      <c r="AF2" s="53" t="s">
        <v>165</v>
      </c>
      <c r="AG2" s="53" t="s">
        <v>164</v>
      </c>
      <c r="AH2" s="53" t="s">
        <v>164</v>
      </c>
      <c r="AI2" s="53" t="s">
        <v>164</v>
      </c>
      <c r="AJ2" s="53" t="s">
        <v>164</v>
      </c>
      <c r="AK2" s="53" t="s">
        <v>164</v>
      </c>
      <c r="AL2" s="53" t="s">
        <v>164</v>
      </c>
      <c r="AM2" s="53" t="s">
        <v>164</v>
      </c>
      <c r="AN2" s="53" t="s">
        <v>164</v>
      </c>
      <c r="AO2" s="53" t="s">
        <v>164</v>
      </c>
      <c r="AP2" s="53" t="s">
        <v>164</v>
      </c>
      <c r="AQ2" s="53" t="s">
        <v>164</v>
      </c>
      <c r="AR2" s="53" t="s">
        <v>164</v>
      </c>
      <c r="AS2" s="53" t="s">
        <v>164</v>
      </c>
      <c r="AT2" s="54">
        <v>0</v>
      </c>
      <c r="AU2" s="53"/>
      <c r="AV2" s="53" t="str">
        <f>IF(LEFT(A2,1)="[",LEFT(A2,5)&amp;AU2&amp;A2,"")</f>
        <v/>
      </c>
      <c r="AW2" s="53" t="str">
        <f>C2&amp;A2</f>
        <v>1Guyana</v>
      </c>
      <c r="AX2" s="55" t="str">
        <f>_xlfn.TEXTJOIN(";",TRUE,AU2:AW2)</f>
        <v>1Guyana</v>
      </c>
      <c r="AY2" s="55"/>
      <c r="AZ2" s="56"/>
      <c r="BA2" s="56"/>
      <c r="BB2" s="56"/>
      <c r="BC2" s="57"/>
      <c r="BD2" s="58" t="s">
        <v>153</v>
      </c>
      <c r="BE2" s="59"/>
      <c r="BF2" s="58"/>
      <c r="BG2" s="58"/>
      <c r="BH2" s="58"/>
      <c r="BI2" s="58"/>
      <c r="BJ2" s="58"/>
      <c r="BK2" s="59"/>
      <c r="BL2" s="58" t="s">
        <v>153</v>
      </c>
      <c r="BM2" s="58" t="s">
        <v>155</v>
      </c>
      <c r="BN2" s="58" t="s">
        <v>154</v>
      </c>
      <c r="BO2" s="58" t="s">
        <v>151</v>
      </c>
      <c r="BP2" s="58" t="s">
        <v>159</v>
      </c>
      <c r="BQ2" s="58"/>
      <c r="BR2" s="58"/>
      <c r="BS2" s="58"/>
      <c r="BT2" s="58"/>
      <c r="BU2" s="60"/>
      <c r="BV2" s="61" t="s">
        <v>164</v>
      </c>
      <c r="BW2" s="61" t="s">
        <v>179</v>
      </c>
      <c r="BX2" s="59"/>
      <c r="BY2" s="44" t="s">
        <v>164</v>
      </c>
      <c r="CB2" s="5" t="s">
        <v>136</v>
      </c>
      <c r="CC2" s="5"/>
      <c r="CD2" s="62">
        <v>0</v>
      </c>
      <c r="CE2" s="62">
        <v>0</v>
      </c>
      <c r="CF2" s="62" t="e">
        <v>#REF!</v>
      </c>
      <c r="CG2" s="75" cm="1">
        <f t="array" ref="CG2">SUMPRODUCT(--(LEN(TRIM(BL2:BT2))&gt;0))</f>
        <v>5</v>
      </c>
      <c r="CH2" s="53" t="str">
        <f>IF(CG2=2,"y","n")</f>
        <v>n</v>
      </c>
      <c r="CI2" s="53" t="str">
        <f>IF(CG2=3,"y","n")</f>
        <v>n</v>
      </c>
      <c r="CJ2" s="53" t="str">
        <f>IF(CG2=4,"y","n")</f>
        <v>n</v>
      </c>
      <c r="CK2" s="53" t="str">
        <f>IF(CG2&gt;4,"y","n")</f>
        <v>y</v>
      </c>
      <c r="CL2" s="53" t="str">
        <f>IF(S2=0,"y","n")</f>
        <v>y</v>
      </c>
      <c r="CM2" s="53" t="str">
        <f>IF(S2=2,"y","n")</f>
        <v>n</v>
      </c>
      <c r="CN2" s="53" t="str">
        <f>IF(S2=3,"y","n")</f>
        <v>n</v>
      </c>
      <c r="CO2" s="53" t="str">
        <f>IF(S2&gt;=4,"y","n")</f>
        <v>n</v>
      </c>
      <c r="CP2" s="53" t="str">
        <f>IF(AT2=0,"y","n")</f>
        <v>y</v>
      </c>
      <c r="CQ2" s="53" t="str">
        <f>IF(AT2=1,"y","n")</f>
        <v>n</v>
      </c>
      <c r="CR2" s="53" t="str">
        <f>IF(AT2=2,"y","n")</f>
        <v>n</v>
      </c>
      <c r="CS2" s="53" t="str">
        <f>IF(AT2&gt;=3,"y","n")</f>
        <v>n</v>
      </c>
      <c r="CT2" s="38" t="str">
        <f>CHAR(34)&amp;A2&amp;CHAR(34)</f>
        <v>"Guyana"</v>
      </c>
      <c r="CU2" s="63" t="str">
        <f>CHAR(34)&amp;"rgn_"&amp;R2&amp;CHAR(34)</f>
        <v>"rgn_South America"</v>
      </c>
      <c r="CV2" s="44" t="str">
        <f>CHAR(34)&amp;D2&amp;CHAR(34)</f>
        <v>"https://i.ibb.co/XY6jnk1/Guyana-Flag.png"</v>
      </c>
      <c r="CW2" s="44" t="str">
        <f t="shared" ref="CW2:CZ3" si="0">IF(CH2="y",CHAR(34)&amp;CH$1&amp;CHAR(34)&amp;",","")</f>
        <v/>
      </c>
      <c r="CX2" s="44" t="str">
        <f t="shared" si="0"/>
        <v/>
      </c>
      <c r="CY2" s="44" t="str">
        <f t="shared" si="0"/>
        <v/>
      </c>
      <c r="CZ2" s="44" t="str">
        <f t="shared" si="0"/>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"lets06",</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"with_y",</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
      </c>
      <c r="DU2" s="5" t="str">
        <f>IF(BY2="y",IF(AND(W2="n",V2="n"),CHAR(34)&amp;"alldia"&amp;CHAR(34)&amp;",",""),"")</f>
        <v/>
      </c>
      <c r="DV2" s="44" t="str">
        <f>IF(IA2&lt;&gt;"",(IF(IA2="y",CHAR(34)&amp;"largec"&amp;CHAR(34)&amp;",",CHAR(34)&amp;"smallc"&amp;CHAR(34)&amp;",")),"")</f>
        <v/>
      </c>
      <c r="DW2" s="44" t="str">
        <f t="shared" ref="DW2:DZ3" si="1">IF(CL2="y",CHAR(34)&amp;CL$1&amp;CHAR(34)&amp;",","")</f>
        <v>"NoBand",</v>
      </c>
      <c r="DX2" s="44" t="str">
        <f t="shared" si="1"/>
        <v/>
      </c>
      <c r="DY2" s="44" t="str">
        <f t="shared" si="1"/>
        <v/>
      </c>
      <c r="DZ2" s="44" t="str">
        <f t="shared" si="1"/>
        <v/>
      </c>
      <c r="EA2" s="44" t="str">
        <f t="shared" ref="EA2:EE3" si="2">IF(T2="y",CHAR(34)&amp;T$1&amp;CHAR(34)&amp;",","")</f>
        <v>"Diagon",</v>
      </c>
      <c r="EB2" s="44" t="str">
        <f t="shared" si="2"/>
        <v/>
      </c>
      <c r="EC2" s="44" t="str">
        <f t="shared" si="2"/>
        <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"Trside",</v>
      </c>
      <c r="EN2" s="44" t="str">
        <f t="shared" si="3"/>
        <v/>
      </c>
      <c r="EO2" s="44" t="str">
        <f t="shared" si="3"/>
        <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"tcWHYE",</v>
      </c>
      <c r="FE2" s="44" t="str">
        <f>IF(COUNTIF(BL2:BT2,"BLU")=0,CHAR(34)&amp;"NO_BLU"&amp;CHAR(34)&amp;",", "")</f>
        <v>"NO_BLU",</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
      </c>
      <c r="FR2" s="44" t="str">
        <f>IF(LEN(BG2)=3,CHAR(34)&amp;"002"&amp;BG2&amp;CHAR(34)&amp;",","")</f>
        <v/>
      </c>
      <c r="FS2" s="44" t="str">
        <f>IF(LEN(BH2)=3,CHAR(34)&amp;"003"&amp;BH2&amp;CHAR(34)&amp;",","")</f>
        <v/>
      </c>
      <c r="FT2" s="44" t="str">
        <f>CHAR(34)&amp;"myr"&amp;BD2&amp;CHAR(34)&amp;","</f>
        <v>"myrGRE",</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"englis",</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3" si="5">IF(CQ2="y",CHAR(34)&amp;CQ$1&amp;CHAR(34)&amp;",","")</f>
        <v/>
      </c>
      <c r="GM2" s="44" t="str">
        <f t="shared" si="5"/>
        <v/>
      </c>
      <c r="GN2" s="44" t="str">
        <f t="shared" si="5"/>
        <v/>
      </c>
      <c r="GP2" s="44" t="str">
        <f>CHAR(34)&amp;AU2&amp;CHAR(34)</f>
        <v>""</v>
      </c>
      <c r="GS2" s="44" t="str">
        <f>SUBSTITUTE("["&amp;_xlfn.CONCAT(CW2:GN2)&amp;"]",",]","]")</f>
        <v>["5+Colo","lets06","startG","with_y","year19","NoBand","Diagon","Trside","tcWHYE","NO_BLU","myrGRE","englis","NoStar"]</v>
      </c>
      <c r="GT2" s="44" t="str">
        <f t="shared" ref="GT2:HB3" si="6">IF(BL2&lt;&gt;"",CHAR(34)&amp;"cl_"&amp;BL2&amp;CHAR(34)&amp;",","")</f>
        <v>"cl_GRE",</v>
      </c>
      <c r="GU2" s="44" t="str">
        <f t="shared" si="6"/>
        <v>"cl_YEL",</v>
      </c>
      <c r="GV2" s="44" t="str">
        <f t="shared" si="6"/>
        <v>"cl_RED",</v>
      </c>
      <c r="GW2" s="44" t="str">
        <f t="shared" si="6"/>
        <v>"cl_BLA",</v>
      </c>
      <c r="GX2" s="44" t="str">
        <f t="shared" si="6"/>
        <v>"cl_WHI",</v>
      </c>
      <c r="GY2" s="44" t="str">
        <f t="shared" si="6"/>
        <v/>
      </c>
      <c r="GZ2" s="44" t="str">
        <f t="shared" si="6"/>
        <v/>
      </c>
      <c r="HA2" s="44" t="str">
        <f t="shared" si="6"/>
        <v/>
      </c>
      <c r="HB2" s="44" t="str">
        <f t="shared" si="6"/>
        <v/>
      </c>
      <c r="HC2" s="44" t="str">
        <f>SUBSTITUTE("["&amp;_xlfn.CONCAT(GT2:HB2)&amp;"]",",]","]")</f>
        <v>["cl_GRE","cl_YEL","cl_RED","cl_BLA","cl_WHI"]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links: "https://en.wikipedia.org/wiki/Flag_of_Guyana"},</v>
      </c>
      <c r="HG2" s="66" t="str">
        <f>"{couname:"&amp;CT2&amp;(IF(HK2&lt;&gt;"",",subtype:"&amp;CHAR(34)&amp;HK2&amp;CHAR(34),""))&amp;",year:"&amp;HJ2&amp;",region:"&amp;CU2&amp;",Colors:"&amp;HC2&amp;",Items:"&amp;GS2&amp;",Flag:"&amp;CV2&amp;",HDFlag:"&amp;CHAR(34)&amp;E2&amp;CHAR(34)&amp;",type:"&amp;GP2&amp;", describe: "&amp;HI2&amp;", links: "&amp;HL2&amp;"},"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links: "https://en.wikipedia.org/wiki/Flag_of_Guyana"},</v>
      </c>
      <c r="HH2" s="44" t="str">
        <f>IF(P2&lt;&gt;"",CHAR(34)&amp;"\n"&amp;P2&amp;CHAR(34),CHAR(34)&amp;CHAR(34))</f>
        <v>"\nRed for zeal and dynamism, gold for mineral wealth, green for agriculture and forests, black for endurance, white for rivers and water."</v>
      </c>
      <c r="HI2" s="44" t="str">
        <f>IF(J2=0,CHAR(34)&amp;CHAR(34),HH2)</f>
        <v>"\nRed for zeal and dynamism, gold for mineral wealth, green for agriculture and forests, black for endurance, white for rivers and water."</v>
      </c>
      <c r="HJ2" s="44" t="str">
        <f>CHAR(34)&amp;O2&amp;CHAR(34)</f>
        <v>"1966 "</v>
      </c>
      <c r="HL2" s="44" t="str">
        <f>CHAR(34)&amp;I2&amp;CHAR(34)</f>
        <v>"https://en.wikipedia.org/wiki/Flag_of_Guyana"</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{"couname":"Guyana","year":"1966 ","region":"rgn_South America","Colors":["cl_GRE","cl_YEL","cl_RED","cl_BLA","cl_WHI"],"Items":["5+Colo","lets06","startG","with_y","year19","NoBand","Diagon","Trside","tcWHYE","NO_BLU","myrGRE","englis","NoStar"],"Flag":"https://i.ibb.co/XY6jnk1/Guyana-Flag.png","HDFlag":"https://upload.wikimedia.org/wikipedia/commons/thumb/9/99/Flag_of_Guyana.svg/2560px-Flag_of_Guyana.svg.png","type":"", "describe": "\nRed for zeal and dynamism, gold for mineral wealth, green for agriculture and forests, black for endurance, white for rivers and water.", "isnew": ".", "links": "https://en.wikipedia.org/wiki/Flag_of_Guyana"},</v>
      </c>
      <c r="HO2" s="71"/>
      <c r="HP2" s="44" t="str" cm="1">
        <f t="array" ref="HP2">IF(_xlfn.TEXTJOIN(", ", TRUE, IF(ISNUMBER(SEARCH("BLA", BL2:BT2)), COLUMN(BL2:BT2) - COLUMN(BL2) + 1, ""))&lt;&gt;"","BLA","")</f>
        <v>BLA</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-5</v>
      </c>
      <c r="IN2" s="69" t="str">
        <f>"http://mkweb.bcgsc.ca/color-summarizer/?url="&amp;D2&amp;"&amp;precision=low&amp;num_clusters="&amp;CG2&amp;"&amp;text=1"</f>
        <v>http://mkweb.bcgsc.ca/color-summarizer/?url=https://i.ibb.co/XY6jnk1/Guyana-Flag.png&amp;precision=low&amp;num_clusters=5&amp;text=1</v>
      </c>
      <c r="IO2" s="44" t="str">
        <f>IF(HP2&lt;&gt;"",CHAR(34)&amp;"black"&amp;CHAR(34),"")</f>
        <v>"black"</v>
      </c>
      <c r="IP2" s="44" t="str">
        <f>IF(HQ2&lt;&gt;"",CHAR(34)&amp;"blue"&amp;CHAR(34),"")</f>
        <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{"url":"http://mkweb.bcgsc.ca/color-summarizer/?url=https://i.ibb.co/XY6jnk1/Guyana-Flag.png&amp;precision=low&amp;num_clusters=5&amp;text=1","name":"Guyana"},</v>
      </c>
      <c r="IY2" s="44">
        <v>94</v>
      </c>
    </row>
    <row r="3" spans="1:259" s="44" customFormat="1" ht="38.4" customHeight="1" thickBot="1" x14ac:dyDescent="0.35">
      <c r="A3" s="84" t="s">
        <v>707</v>
      </c>
      <c r="B3" s="83" t="e" vm="84">
        <v>#VALUE!</v>
      </c>
      <c r="C3" s="39">
        <v>2</v>
      </c>
      <c r="D3" s="70" t="s">
        <v>708</v>
      </c>
      <c r="E3" s="40" t="s">
        <v>709</v>
      </c>
      <c r="F3" s="41" t="s">
        <v>163</v>
      </c>
      <c r="G3" s="42">
        <f>COUNTIF($A$1:$A$8278,A3)</f>
        <v>1</v>
      </c>
      <c r="H3" s="43"/>
      <c r="I3" s="59" t="s">
        <v>710</v>
      </c>
      <c r="J3" s="44" t="str">
        <f>""</f>
        <v/>
      </c>
      <c r="K3" s="45"/>
      <c r="L3" s="46"/>
      <c r="M3" s="46"/>
      <c r="N3" s="47" t="s">
        <v>177</v>
      </c>
      <c r="O3" s="74" t="s">
        <v>233</v>
      </c>
      <c r="P3" s="48" t="s">
        <v>644</v>
      </c>
      <c r="Q3" s="73">
        <v>2</v>
      </c>
      <c r="R3" s="49" t="s">
        <v>177</v>
      </c>
      <c r="S3" s="50">
        <v>3</v>
      </c>
      <c r="T3" s="51" t="s">
        <v>164</v>
      </c>
      <c r="U3" s="52" t="s">
        <v>164</v>
      </c>
      <c r="V3" s="52" t="s">
        <v>165</v>
      </c>
      <c r="W3" s="52" t="s">
        <v>164</v>
      </c>
      <c r="X3" s="52" t="s">
        <v>164</v>
      </c>
      <c r="Y3" s="52" t="s">
        <v>164</v>
      </c>
      <c r="Z3" s="52" t="s">
        <v>164</v>
      </c>
      <c r="AA3" s="52" t="s">
        <v>164</v>
      </c>
      <c r="AB3" s="52" t="s">
        <v>164</v>
      </c>
      <c r="AC3" s="52" t="s">
        <v>164</v>
      </c>
      <c r="AD3" s="52" t="s">
        <v>164</v>
      </c>
      <c r="AE3" s="52" t="s">
        <v>164</v>
      </c>
      <c r="AF3" s="53" t="s">
        <v>164</v>
      </c>
      <c r="AG3" s="53" t="s">
        <v>164</v>
      </c>
      <c r="AH3" s="53" t="s">
        <v>164</v>
      </c>
      <c r="AI3" s="53" t="s">
        <v>164</v>
      </c>
      <c r="AJ3" s="53" t="s">
        <v>164</v>
      </c>
      <c r="AK3" s="53" t="s">
        <v>165</v>
      </c>
      <c r="AL3" s="53" t="s">
        <v>164</v>
      </c>
      <c r="AM3" s="53" t="s">
        <v>164</v>
      </c>
      <c r="AN3" s="53" t="s">
        <v>164</v>
      </c>
      <c r="AO3" s="53" t="s">
        <v>164</v>
      </c>
      <c r="AP3" s="53" t="s">
        <v>164</v>
      </c>
      <c r="AQ3" s="53" t="s">
        <v>164</v>
      </c>
      <c r="AR3" s="53" t="s">
        <v>164</v>
      </c>
      <c r="AS3" s="53" t="s">
        <v>164</v>
      </c>
      <c r="AT3" s="54">
        <v>0</v>
      </c>
      <c r="AU3" s="53" t="s">
        <v>309</v>
      </c>
      <c r="AV3" s="53" t="str">
        <f>IF(LEFT(A3,1)="[",LEFT(A3,5)&amp;AU3&amp;A3,"")</f>
        <v>[GUY]Region[GUY] Cuyuni-Mazaruni</v>
      </c>
      <c r="AW3" s="53" t="str">
        <f>C3&amp;A3</f>
        <v>2[GUY] Cuyuni-Mazaruni</v>
      </c>
      <c r="AX3" s="55"/>
      <c r="AY3" s="55"/>
      <c r="AZ3" s="56"/>
      <c r="BA3" s="56"/>
      <c r="BB3" s="56"/>
      <c r="BC3" s="57"/>
      <c r="BD3" s="58" t="s">
        <v>167</v>
      </c>
      <c r="BE3" s="59"/>
      <c r="BF3" s="58" t="s">
        <v>155</v>
      </c>
      <c r="BG3" s="58" t="s">
        <v>159</v>
      </c>
      <c r="BH3" s="58" t="s">
        <v>153</v>
      </c>
      <c r="BI3" s="58"/>
      <c r="BJ3" s="58"/>
      <c r="BK3" s="59"/>
      <c r="BL3" s="58" t="s">
        <v>155</v>
      </c>
      <c r="BM3" s="58" t="s">
        <v>159</v>
      </c>
      <c r="BN3" s="58" t="s">
        <v>153</v>
      </c>
      <c r="BO3" s="58"/>
      <c r="BP3" s="58"/>
      <c r="BQ3" s="58"/>
      <c r="BR3" s="58"/>
      <c r="BS3" s="58"/>
      <c r="BT3" s="58"/>
      <c r="BU3" s="60"/>
      <c r="BV3" s="61"/>
      <c r="BW3" s="61">
        <v>0</v>
      </c>
      <c r="BX3" s="59"/>
      <c r="CB3" s="5"/>
      <c r="CC3" s="5"/>
      <c r="CD3" s="62">
        <v>0</v>
      </c>
      <c r="CE3" s="62">
        <v>0</v>
      </c>
      <c r="CF3" s="62" t="e">
        <v>#REF!</v>
      </c>
      <c r="CG3" s="75" cm="1">
        <f t="array" ref="CG3">SUMPRODUCT(--(LEN(TRIM(BL3:BT3))&gt;0))</f>
        <v>3</v>
      </c>
      <c r="CH3" s="53" t="str">
        <f>IF(CG3=2,"y","n")</f>
        <v>n</v>
      </c>
      <c r="CI3" s="53" t="str">
        <f>IF(CG3=3,"y","n")</f>
        <v>y</v>
      </c>
      <c r="CJ3" s="53" t="str">
        <f>IF(CG3=4,"y","n")</f>
        <v>n</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"[GUY] Cuyuni-Mazaruni"</v>
      </c>
      <c r="CU3" s="63" t="str">
        <f>CHAR(34)&amp;"rgn_"&amp;R3&amp;CHAR(34)</f>
        <v>"rgn_South America"</v>
      </c>
      <c r="CV3" s="44" t="str">
        <f>CHAR(34)&amp;D3&amp;CHAR(34)</f>
        <v>"https://upload.wikimedia.org/wikipedia/commons/thumb/7/7f/Yellow%2C_white%2C_green_flag.svg/800px-Yellow%2C_white%2C_green_flag.svg.png"</v>
      </c>
      <c r="CW3" s="44" t="str">
        <f t="shared" si="0"/>
        <v/>
      </c>
      <c r="CX3" s="44" t="str">
        <f t="shared" si="0"/>
        <v>"3Color",</v>
      </c>
      <c r="CY3" s="44" t="str">
        <f t="shared" si="0"/>
        <v/>
      </c>
      <c r="CZ3" s="44" t="str">
        <f t="shared" si="0"/>
        <v/>
      </c>
      <c r="DA3" s="44" t="str">
        <f>IF(Q3&gt;1,CHAR(34)&amp;"words2"&amp;CHAR(34)&amp;",","")</f>
        <v>"words2",</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"lets14",</v>
      </c>
      <c r="DE3" s="44" t="str">
        <f>CHAR(34)&amp;"start"&amp;IFERROR(LEFT(SUBSTITUTE(A3,"["&amp;MID(A3,FIND("[",A3)+1,FIND("]",A3)-FIND("[",A3)-1)&amp;"] ",""),1),LEFT(A3,1))&amp;CHAR(34)&amp;","</f>
        <v>"startC",</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"with_y",</v>
      </c>
      <c r="DK3" s="44" t="str">
        <f>IFERROR(IF(SEARCH("z",A3)&gt;0,CHAR(34)&amp;"with_z"&amp;CHAR(34)&amp;",",""),"")</f>
        <v>"with_z",</v>
      </c>
      <c r="DL3" s="44" t="str">
        <f>IF(CG3=2, CHAR(34) &amp; _xlfn.TEXTJOIN("", TRUE, _xlfn._xlws.SORT(HP3:HX3)) &amp; CHAR(34) &amp; ",", "")</f>
        <v/>
      </c>
      <c r="DM3" s="44" t="str" cm="1">
        <f t="array" ref="DM3">IF(CG3=3,CHAR(34) &amp; _xlfn.TEXTJOIN("", TRUE, RIGHT(HP3:HX3, 2)) &amp; CHAR(34) &amp; ",", "")</f>
        <v>"REELHI",</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"Horizo",</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
      </c>
      <c r="EP3" s="44" t="str">
        <f t="shared" si="3"/>
        <v/>
      </c>
      <c r="EQ3" s="44" t="str">
        <f t="shared" si="4"/>
        <v/>
      </c>
      <c r="ER3" s="44" t="str">
        <f t="shared" si="4"/>
        <v>"OnlyBa",</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"NO_BLU",</v>
      </c>
      <c r="FF3" s="44" t="str">
        <f>IF(COUNTIF(BL3:BT3,"WHI")=0,CHAR(34)&amp;"NO_WHI"&amp;CHAR(34)&amp;",", "")</f>
        <v/>
      </c>
      <c r="FG3" s="44" t="str">
        <f>IF(COUNTIF(BL3:BT3,"RED")=0,CHAR(34)&amp;"NO_RED"&amp;CHAR(34)&amp;",", "")</f>
        <v>"NO_RED",</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"BLRENO",</v>
      </c>
      <c r="FP3" s="44" t="str">
        <f>IF(AND(FF3&lt;&gt;"",FF3&lt;&gt;""),CHAR(34)&amp;"WHRENO"&amp;CHAR(34)&amp;",","")</f>
        <v/>
      </c>
      <c r="FQ3" s="44" t="str">
        <f>IF(LEN(BF3)=3,CHAR(34)&amp;"001"&amp;BF3&amp;CHAR(34)&amp;",","")</f>
        <v>"001YEL",</v>
      </c>
      <c r="FR3" s="44" t="str">
        <f>IF(LEN(BG3)=3,CHAR(34)&amp;"002"&amp;BG3&amp;CHAR(34)&amp;",","")</f>
        <v>"002WHI",</v>
      </c>
      <c r="FS3" s="44" t="str">
        <f>IF(LEN(BH3)=3,CHAR(34)&amp;"003"&amp;BH3&amp;CHAR(34)&amp;",","")</f>
        <v>"003GRE",</v>
      </c>
      <c r="FT3" s="44" t="str">
        <f>CHAR(34)&amp;"myr"&amp;BD3&amp;CHAR(34)&amp;","</f>
        <v>"myrEQ",</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"Region"</v>
      </c>
      <c r="GS3" s="44" t="str">
        <f>SUBSTITUTE("["&amp;_xlfn.CONCAT(CW3:GN3)&amp;"]",",]","]")</f>
        <v>["3Color","words2","lets14","startC","with_y","with_z","REELHI","allhor","3Bands","Horizo","OnlyBa","NO_BLU","NO_RED","NO_BLA","BLRENO","001YEL","002WHI","003GRE","myrEQ","NoStar"]</v>
      </c>
      <c r="GT3" s="44" t="str">
        <f t="shared" si="6"/>
        <v>"cl_YEL",</v>
      </c>
      <c r="GU3" s="44" t="str">
        <f t="shared" si="6"/>
        <v>"cl_WHI",</v>
      </c>
      <c r="GV3" s="44" t="str">
        <f t="shared" si="6"/>
        <v>"cl_GRE",</v>
      </c>
      <c r="GW3" s="44" t="str">
        <f t="shared" si="6"/>
        <v/>
      </c>
      <c r="GX3" s="44" t="str">
        <f t="shared" si="6"/>
        <v/>
      </c>
      <c r="GY3" s="44" t="str">
        <f t="shared" si="6"/>
        <v/>
      </c>
      <c r="GZ3" s="44" t="str">
        <f t="shared" si="6"/>
        <v/>
      </c>
      <c r="HA3" s="44" t="str">
        <f t="shared" si="6"/>
        <v/>
      </c>
      <c r="HB3" s="44" t="str">
        <f t="shared" si="6"/>
        <v/>
      </c>
      <c r="HC3" s="44" t="str">
        <f>SUBSTITUTE("["&amp;_xlfn.CONCAT(GT3:HB3)&amp;"]",",]","]")</f>
        <v>["cl_YEL","cl_WHI","cl_GRE"]</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isnew:".", links: "https://en.wikipedia.org/wiki/Cuyuni-Mazaruni"},</v>
      </c>
      <c r="HG3" s="66" t="str">
        <f>"{couname:"&amp;CT3&amp;(IF(HK3&lt;&gt;"",",subtype:"&amp;CHAR(34)&amp;HK3&amp;CHAR(34),""))&amp;",year:"&amp;HJ3&amp;",region:"&amp;CU3&amp;",Colors:"&amp;HC3&amp;",Items:"&amp;GS3&amp;",Flag:"&amp;CV3&amp;",HDFlag:"&amp;CHAR(34)&amp;E3&amp;CHAR(34)&amp;",type:"&amp;GP3&amp;", describe: "&amp;HI3&amp;", links: "&amp;HL3&amp;"},"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links: "https://en.wikipedia.org/wiki/Cuyuni-Mazaruni"},</v>
      </c>
      <c r="HH3" s="44" t="str">
        <f>IF(P3&lt;&gt;"",CHAR(34)&amp;"\n"&amp;P3&amp;CHAR(34),CHAR(34)&amp;CHAR(34))</f>
        <v>"\nN/A"</v>
      </c>
      <c r="HI3" s="44" t="str">
        <f>IF(J3=0,CHAR(34)&amp;CHAR(34),HH3)</f>
        <v>"\nN/A"</v>
      </c>
      <c r="HJ3" s="44" t="str">
        <f>CHAR(34)&amp;O3&amp;CHAR(34)</f>
        <v>"???"</v>
      </c>
      <c r="HL3" s="44" t="str">
        <f>CHAR(34)&amp;I3&amp;CHAR(34)</f>
        <v>"https://en.wikipedia.org/wiki/Cuyuni-Mazaruni"</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{"couname":"[GUY] Cuyuni-Mazaruni","year":"???","region":"rgn_South America","Colors":["cl_YEL","cl_WHI","cl_GRE"],"Items":["3Color","words2","lets14","startC","with_y","with_z","REELHI","allhor","3Bands","Horizo","OnlyBa","NO_BLU","NO_RED","NO_BLA","BLRENO","001YEL","002WHI","003GRE","myrEQ","NoStar"],"Flag":"https://upload.wikimedia.org/wikipedia/commons/thumb/7/7f/Yellow%2C_white%2C_green_flag.svg/800px-Yellow%2C_white%2C_green_flag.svg.png","HDFlag":"https://upload.wikimedia.org/wikipedia/commons/thumb/7/7f/Yellow%2C_white%2C_green_flag.svg/1500px-Yellow%2C_white%2C_green_flag.svg.png","type":"Region", "describe": "\nN/A", "isnew": ".", "links": "https://en.wikipedia.org/wiki/Cuyuni-Mazaruni"},</v>
      </c>
      <c r="HO3" s="71">
        <v>45644</v>
      </c>
      <c r="HP3" s="44" t="str" cm="1">
        <f t="array" ref="HP3">IF(_xlfn.TEXTJOIN(", ", TRUE, IF(ISNUMBER(SEARCH("BLA", BL3:BT3)), COLUMN(BL3:BT3) - COLUMN(BL3) + 1, ""))&lt;&gt;"","BLA","")</f>
        <v/>
      </c>
      <c r="HQ3" s="44" t="str" cm="1">
        <f t="array" ref="HQ3">IF(_xlfn.TEXTJOIN(", ", TRUE, IF(ISNUMBER(SEARCH("BLU", BL3:BT3)), COLUMN(BL3:BT3) - COLUMN(BL3) + 1, ""))&lt;&gt;"","BLU","")</f>
        <v/>
      </c>
      <c r="HR3" s="44" t="str" cm="1">
        <f t="array" ref="HR3">IF(_xlfn.TEXTJOIN(", ", TRUE, IF(ISNUMBER(SEARCH("GRE", BL3:BT3)), COLUMN(BL3:BT3) - COLUMN(BL3) + 1, ""))&lt;&gt;"","GRE","")</f>
        <v>GRE</v>
      </c>
      <c r="HS3" s="44" t="str" cm="1">
        <f t="array" ref="HS3">IF(_xlfn.TEXTJOIN(", ", TRUE, IF(ISNUMBER(SEARCH("RED", BL3:BT3)), COLUMN(BL3:BT3) - COLUMN(BL3) + 1, ""))&lt;&gt;"","RED","")</f>
        <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-3</v>
      </c>
      <c r="IN3" s="69" t="str">
        <f>"http://mkweb.bcgsc.ca/color-summarizer/?url="&amp;D3&amp;"&amp;precision=low&amp;num_clusters="&amp;CG3&amp;"&amp;text=1"</f>
        <v>http://mkweb.bcgsc.ca/color-summarizer/?url=https://upload.wikimedia.org/wikipedia/commons/thumb/7/7f/Yellow%2C_white%2C_green_flag.svg/800px-Yellow%2C_white%2C_green_flag.svg.png&amp;precision=low&amp;num_clusters=3&amp;text=1</v>
      </c>
      <c r="IO3" s="44" t="str">
        <f>IF(HP3&lt;&gt;"",CHAR(34)&amp;"black"&amp;CHAR(34),"")</f>
        <v/>
      </c>
      <c r="IP3" s="44" t="str">
        <f>IF(HQ3&lt;&gt;"",CHAR(34)&amp;"blue"&amp;CHAR(34),"")</f>
        <v/>
      </c>
      <c r="IQ3" s="44" t="str">
        <f>IF(HR3&lt;&gt;"",CHAR(34)&amp;"green"&amp;CHAR(34),"")</f>
        <v>"green"</v>
      </c>
      <c r="IR3" s="44" t="str">
        <f>IF(HS3&lt;&gt;"",CHAR(34)&amp;"red"&amp;CHAR(34),"")</f>
        <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{"url":"http://mkweb.bcgsc.ca/color-summarizer/?url=https://upload.wikimedia.org/wikipedia/commons/thumb/7/7f/Yellow%2C_white%2C_green_flag.svg/800px-Yellow%2C_white%2C_green_flag.svg.png&amp;precision=low&amp;num_clusters=3&amp;text=1","name":"[GUY] Cuyuni-Mazaruni"},</v>
      </c>
      <c r="IY3" s="44">
        <v>1503</v>
      </c>
    </row>
  </sheetData>
  <autoFilter ref="A1:IY3" xr:uid="{A1051193-A95B-4CFB-A73C-F0184620C81F}">
    <sortState xmlns:xlrd2="http://schemas.microsoft.com/office/spreadsheetml/2017/richdata2" ref="A2:IY3">
      <sortCondition ref="AW1:AW3"/>
    </sortState>
  </autoFilter>
  <conditionalFormatting sqref="H1 CW1:GS1 IA1:IB1">
    <cfRule type="cellIs" dxfId="424" priority="77" operator="greaterThan">
      <formula>0</formula>
    </cfRule>
  </conditionalFormatting>
  <conditionalFormatting sqref="H1:H1048576">
    <cfRule type="cellIs" dxfId="423" priority="17" stopIfTrue="1" operator="notEqual">
      <formula>""</formula>
    </cfRule>
  </conditionalFormatting>
  <conditionalFormatting sqref="R2:R3 CU2:CU3">
    <cfRule type="cellIs" dxfId="422" priority="19" operator="greaterThan">
      <formula>0</formula>
    </cfRule>
  </conditionalFormatting>
  <conditionalFormatting sqref="T2:AS3 CH2:CS3">
    <cfRule type="cellIs" dxfId="421" priority="14" stopIfTrue="1" operator="equal">
      <formula>"n"</formula>
    </cfRule>
    <cfRule type="cellIs" dxfId="420" priority="15" stopIfTrue="1" operator="equal">
      <formula>"y"</formula>
    </cfRule>
    <cfRule type="cellIs" dxfId="419" priority="16" operator="greaterThan">
      <formula>0</formula>
    </cfRule>
  </conditionalFormatting>
  <conditionalFormatting sqref="T1:BK1">
    <cfRule type="cellIs" dxfId="418" priority="80" operator="greaterThan">
      <formula>0</formula>
    </cfRule>
  </conditionalFormatting>
  <conditionalFormatting sqref="AZ2:BB3">
    <cfRule type="expression" dxfId="417" priority="13">
      <formula>$AT2=0</formula>
    </cfRule>
  </conditionalFormatting>
  <conditionalFormatting sqref="AZ2:BU3">
    <cfRule type="cellIs" dxfId="416" priority="55" operator="equal">
      <formula>"PIN"</formula>
    </cfRule>
    <cfRule type="cellIs" dxfId="415" priority="56" operator="equal">
      <formula>"ORA"</formula>
    </cfRule>
    <cfRule type="cellIs" dxfId="414" priority="57" operator="equal">
      <formula>"GRA"</formula>
    </cfRule>
    <cfRule type="cellIs" dxfId="413" priority="58" operator="equal">
      <formula>"PUR"</formula>
    </cfRule>
    <cfRule type="cellIs" dxfId="412" priority="59" operator="equal">
      <formula>"BRO"</formula>
    </cfRule>
    <cfRule type="cellIs" dxfId="411" priority="60" operator="equal">
      <formula>"YEL"</formula>
    </cfRule>
    <cfRule type="cellIs" dxfId="410" priority="61" operator="equal">
      <formula>"BLU"</formula>
    </cfRule>
    <cfRule type="cellIs" dxfId="409" priority="62" operator="equal">
      <formula>"WHI"</formula>
    </cfRule>
    <cfRule type="cellIs" dxfId="408" priority="63" operator="equal">
      <formula>"GRE"</formula>
    </cfRule>
    <cfRule type="cellIs" dxfId="407" priority="64" operator="equal">
      <formula>"RED"</formula>
    </cfRule>
    <cfRule type="cellIs" dxfId="406" priority="65" operator="equal">
      <formula>"BLA"</formula>
    </cfRule>
  </conditionalFormatting>
  <conditionalFormatting sqref="BV1:BW1 BV4:BW1048576 BV2:BV3">
    <cfRule type="cellIs" dxfId="405" priority="79" operator="equal">
      <formula>"nc"</formula>
    </cfRule>
  </conditionalFormatting>
  <conditionalFormatting sqref="BX2:CA3 CD2:CF3">
    <cfRule type="cellIs" dxfId="404" priority="18" operator="equal">
      <formula>"y"</formula>
    </cfRule>
    <cfRule type="cellIs" dxfId="403" priority="66" operator="equal">
      <formula>"PIN"</formula>
    </cfRule>
    <cfRule type="cellIs" dxfId="402" priority="67" operator="equal">
      <formula>"ORA"</formula>
    </cfRule>
    <cfRule type="cellIs" dxfId="401" priority="68" operator="equal">
      <formula>"GRA"</formula>
    </cfRule>
    <cfRule type="cellIs" dxfId="400" priority="69" operator="equal">
      <formula>"PUR"</formula>
    </cfRule>
    <cfRule type="cellIs" dxfId="399" priority="70" operator="equal">
      <formula>"BRO"</formula>
    </cfRule>
    <cfRule type="cellIs" dxfId="398" priority="71" operator="equal">
      <formula>"YEL"</formula>
    </cfRule>
    <cfRule type="cellIs" dxfId="397" priority="72" operator="equal">
      <formula>"BLU"</formula>
    </cfRule>
    <cfRule type="cellIs" dxfId="396" priority="73" operator="equal">
      <formula>"WHI"</formula>
    </cfRule>
    <cfRule type="cellIs" dxfId="395" priority="74" operator="equal">
      <formula>"GRE"</formula>
    </cfRule>
    <cfRule type="cellIs" dxfId="394" priority="75" operator="equal">
      <formula>"RED"</formula>
    </cfRule>
    <cfRule type="cellIs" dxfId="393" priority="76" operator="equal">
      <formula>"BLA"</formula>
    </cfRule>
  </conditionalFormatting>
  <conditionalFormatting sqref="BZ2:CA3 CD2:CF3">
    <cfRule type="cellIs" dxfId="392" priority="20" operator="greaterThan">
      <formula>0</formula>
    </cfRule>
  </conditionalFormatting>
  <conditionalFormatting sqref="HF1:HG1">
    <cfRule type="cellIs" dxfId="391" priority="81" operator="greaterThan">
      <formula>0</formula>
    </cfRule>
  </conditionalFormatting>
  <conditionalFormatting sqref="HK1">
    <cfRule type="cellIs" dxfId="390" priority="78" operator="greaterThan">
      <formula>0</formula>
    </cfRule>
  </conditionalFormatting>
  <conditionalFormatting sqref="HP1:HX1">
    <cfRule type="cellIs" dxfId="389" priority="32" operator="equal">
      <formula>"PIN"</formula>
    </cfRule>
    <cfRule type="cellIs" dxfId="388" priority="33" operator="equal">
      <formula>"ORA"</formula>
    </cfRule>
    <cfRule type="cellIs" dxfId="387" priority="34" operator="equal">
      <formula>"GRA"</formula>
    </cfRule>
    <cfRule type="cellIs" dxfId="386" priority="35" operator="equal">
      <formula>"PUR"</formula>
    </cfRule>
    <cfRule type="cellIs" dxfId="385" priority="36" operator="equal">
      <formula>"BRO"</formula>
    </cfRule>
    <cfRule type="cellIs" dxfId="384" priority="37" operator="equal">
      <formula>"YEL"</formula>
    </cfRule>
    <cfRule type="cellIs" dxfId="383" priority="38" operator="equal">
      <formula>"BLU"</formula>
    </cfRule>
    <cfRule type="cellIs" dxfId="382" priority="39" operator="equal">
      <formula>"WHI"</formula>
    </cfRule>
    <cfRule type="cellIs" dxfId="381" priority="40" operator="equal">
      <formula>"GRE"</formula>
    </cfRule>
    <cfRule type="cellIs" dxfId="380" priority="41" operator="equal">
      <formula>"RED"</formula>
    </cfRule>
    <cfRule type="cellIs" dxfId="379" priority="42" operator="equal">
      <formula>"BLA"</formula>
    </cfRule>
  </conditionalFormatting>
  <conditionalFormatting sqref="IC1:IK1">
    <cfRule type="cellIs" dxfId="378" priority="44" operator="equal">
      <formula>"PIN"</formula>
    </cfRule>
    <cfRule type="cellIs" dxfId="377" priority="45" operator="equal">
      <formula>"ORA"</formula>
    </cfRule>
    <cfRule type="cellIs" dxfId="376" priority="46" operator="equal">
      <formula>"GRA"</formula>
    </cfRule>
    <cfRule type="cellIs" dxfId="375" priority="47" operator="equal">
      <formula>"PUR"</formula>
    </cfRule>
    <cfRule type="cellIs" dxfId="374" priority="48" operator="equal">
      <formula>"BRO"</formula>
    </cfRule>
    <cfRule type="cellIs" dxfId="373" priority="49" operator="equal">
      <formula>"YEL"</formula>
    </cfRule>
    <cfRule type="cellIs" dxfId="372" priority="50" operator="equal">
      <formula>"BLU"</formula>
    </cfRule>
    <cfRule type="cellIs" dxfId="371" priority="51" operator="equal">
      <formula>"WHI"</formula>
    </cfRule>
    <cfRule type="cellIs" dxfId="370" priority="52" operator="equal">
      <formula>"GRE"</formula>
    </cfRule>
    <cfRule type="cellIs" dxfId="369" priority="53" operator="equal">
      <formula>"RED"</formula>
    </cfRule>
    <cfRule type="cellIs" dxfId="368" priority="54" operator="equal">
      <formula>"BLA"</formula>
    </cfRule>
  </conditionalFormatting>
  <conditionalFormatting sqref="IC2:IK3">
    <cfRule type="expression" dxfId="367" priority="43">
      <formula>$IL2&gt;0</formula>
    </cfRule>
  </conditionalFormatting>
  <conditionalFormatting sqref="IO1:IW1">
    <cfRule type="cellIs" dxfId="366" priority="21" operator="equal">
      <formula>"PIN"</formula>
    </cfRule>
    <cfRule type="cellIs" dxfId="365" priority="22" operator="equal">
      <formula>"ORA"</formula>
    </cfRule>
    <cfRule type="cellIs" dxfId="364" priority="23" operator="equal">
      <formula>"GRA"</formula>
    </cfRule>
    <cfRule type="cellIs" dxfId="363" priority="24" operator="equal">
      <formula>"PUR"</formula>
    </cfRule>
    <cfRule type="cellIs" dxfId="362" priority="25" operator="equal">
      <formula>"BRO"</formula>
    </cfRule>
    <cfRule type="cellIs" dxfId="361" priority="26" operator="equal">
      <formula>"YEL"</formula>
    </cfRule>
    <cfRule type="cellIs" dxfId="360" priority="27" operator="equal">
      <formula>"BLU"</formula>
    </cfRule>
    <cfRule type="cellIs" dxfId="359" priority="28" operator="equal">
      <formula>"WHI"</formula>
    </cfRule>
    <cfRule type="cellIs" dxfId="358" priority="29" operator="equal">
      <formula>"GRE"</formula>
    </cfRule>
    <cfRule type="cellIs" dxfId="357" priority="30" operator="equal">
      <formula>"RED"</formula>
    </cfRule>
    <cfRule type="cellIs" dxfId="356" priority="31" operator="equal">
      <formula>"BLA"</formula>
    </cfRule>
  </conditionalFormatting>
  <conditionalFormatting sqref="J2:J3">
    <cfRule type="colorScale" priority="2829">
      <colorScale>
        <cfvo type="min"/>
        <cfvo type="percentile" val="50"/>
        <cfvo type="max"/>
        <color rgb="FFF8696B"/>
        <color rgb="FFFFEB84"/>
        <color rgb="FF63BE7B"/>
      </colorScale>
    </cfRule>
  </conditionalFormatting>
  <conditionalFormatting sqref="S2:S3">
    <cfRule type="colorScale" priority="2830">
      <colorScale>
        <cfvo type="min"/>
        <cfvo type="max"/>
        <color rgb="FFFCFCFF"/>
        <color rgb="FF754BFB"/>
      </colorScale>
    </cfRule>
  </conditionalFormatting>
  <conditionalFormatting sqref="AT2:AT3">
    <cfRule type="colorScale" priority="2831">
      <colorScale>
        <cfvo type="min"/>
        <cfvo type="max"/>
        <color rgb="FFFCFCFF"/>
        <color theme="8" tint="0.39997558519241921"/>
      </colorScale>
    </cfRule>
  </conditionalFormatting>
  <conditionalFormatting sqref="CG2:CG3">
    <cfRule type="colorScale" priority="2832">
      <colorScale>
        <cfvo type="min"/>
        <cfvo type="max"/>
        <color rgb="FFFCFCFF"/>
        <color rgb="FF63BE7B"/>
      </colorScale>
    </cfRule>
  </conditionalFormatting>
  <hyperlinks>
    <hyperlink ref="E2" r:id="rId1" xr:uid="{64E8014C-7121-48A5-96B3-82AF6C4665C6}"/>
    <hyperlink ref="A2" r:id="rId2" display="https://fbref.com/en/country/GUY/Guyana-Football" xr:uid="{FE0481E2-F42C-490A-A0A6-1F0BD3AAFE98}"/>
    <hyperlink ref="I3" r:id="rId3" xr:uid="{B629B3E6-D5BD-4987-8FCD-0746D049E08F}"/>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2529" r:id="rId7"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22530" r:id="rId8"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2531" r:id="rId9" name="Button 3">
              <controlPr defaultSize="0" print="0" autoFill="0" autoPict="0" macro="[0]!GoToSheet">
                <anchor moveWithCells="1" sizeWithCells="1">
                  <from>
                    <xdr:col>0</xdr:col>
                    <xdr:colOff>45720</xdr:colOff>
                    <xdr:row>0</xdr:row>
                    <xdr:rowOff>91440</xdr:rowOff>
                  </from>
                  <to>
                    <xdr:col>0</xdr:col>
                    <xdr:colOff>670560</xdr:colOff>
                    <xdr:row>0</xdr:row>
                    <xdr:rowOff>396240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B7791-0D49-4171-A600-14B438A3F469}">
  <sheetPr codeName="Sheet9"/>
  <dimension ref="A1:IY4"/>
  <sheetViews>
    <sheetView zoomScale="70" zoomScaleNormal="70" workbookViewId="0">
      <pane xSplit="5" ySplit="1" topLeftCell="F2" activePane="bottomRight" state="frozen"/>
      <selection pane="topRight" activeCell="F1" sqref="F1"/>
      <selection pane="bottomLeft" activeCell="A2" sqref="A2"/>
      <selection pane="bottomRight" activeCell="B4" sqref="B4"/>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251</v>
      </c>
      <c r="B2" s="83" t="e" vm="85">
        <v>#VALUE!</v>
      </c>
      <c r="C2" s="39">
        <v>1</v>
      </c>
      <c r="D2" s="70" t="s">
        <v>252</v>
      </c>
      <c r="E2" s="40" t="s">
        <v>253</v>
      </c>
      <c r="F2" s="41" t="s">
        <v>163</v>
      </c>
      <c r="G2" s="42">
        <f>COUNTIF($A$1:$A$8283,A2)</f>
        <v>1</v>
      </c>
      <c r="H2" s="43"/>
      <c r="I2" s="59" t="s">
        <v>254</v>
      </c>
      <c r="J2" s="44" t="str">
        <f>""</f>
        <v/>
      </c>
      <c r="K2" s="45">
        <v>34352000</v>
      </c>
      <c r="L2" s="46">
        <v>2500000</v>
      </c>
      <c r="M2" s="46" t="s">
        <v>1972</v>
      </c>
      <c r="N2" s="47" t="s">
        <v>177</v>
      </c>
      <c r="O2" s="74" t="s">
        <v>255</v>
      </c>
      <c r="P2" s="48" t="s">
        <v>256</v>
      </c>
      <c r="Q2" s="73">
        <v>1</v>
      </c>
      <c r="R2" s="49" t="s">
        <v>177</v>
      </c>
      <c r="S2" s="50">
        <v>3</v>
      </c>
      <c r="T2" s="51" t="s">
        <v>164</v>
      </c>
      <c r="U2" s="52" t="s">
        <v>164</v>
      </c>
      <c r="V2" s="52" t="s">
        <v>164</v>
      </c>
      <c r="W2" s="52" t="s">
        <v>165</v>
      </c>
      <c r="X2" s="52" t="s">
        <v>164</v>
      </c>
      <c r="Y2" s="52" t="s">
        <v>164</v>
      </c>
      <c r="Z2" s="52" t="s">
        <v>164</v>
      </c>
      <c r="AA2" s="52" t="s">
        <v>164</v>
      </c>
      <c r="AB2" s="52" t="s">
        <v>164</v>
      </c>
      <c r="AC2" s="52" t="s">
        <v>164</v>
      </c>
      <c r="AD2" s="52" t="s">
        <v>164</v>
      </c>
      <c r="AE2" s="52" t="s">
        <v>164</v>
      </c>
      <c r="AF2" s="53" t="s">
        <v>164</v>
      </c>
      <c r="AG2" s="53" t="s">
        <v>164</v>
      </c>
      <c r="AH2" s="53" t="s">
        <v>164</v>
      </c>
      <c r="AI2" s="53" t="s">
        <v>164</v>
      </c>
      <c r="AJ2" s="53" t="s">
        <v>164</v>
      </c>
      <c r="AK2" s="53" t="s">
        <v>165</v>
      </c>
      <c r="AL2" s="53" t="s">
        <v>164</v>
      </c>
      <c r="AM2" s="53" t="s">
        <v>164</v>
      </c>
      <c r="AN2" s="53" t="s">
        <v>164</v>
      </c>
      <c r="AO2" s="53" t="s">
        <v>164</v>
      </c>
      <c r="AP2" s="53" t="s">
        <v>164</v>
      </c>
      <c r="AQ2" s="53" t="s">
        <v>164</v>
      </c>
      <c r="AR2" s="53" t="s">
        <v>165</v>
      </c>
      <c r="AS2" s="53" t="s">
        <v>164</v>
      </c>
      <c r="AT2" s="54">
        <v>0</v>
      </c>
      <c r="AU2" s="53"/>
      <c r="AV2" s="53" t="str">
        <f>IF(LEFT(A2,1)="[",LEFT(A2,5)&amp;AU2&amp;A2,"")</f>
        <v/>
      </c>
      <c r="AW2" s="53" t="str">
        <f>C2&amp;A2</f>
        <v>1Peru</v>
      </c>
      <c r="AX2" s="55" t="str">
        <f>_xlfn.TEXTJOIN(";",TRUE,AU2:AW2)</f>
        <v>1Peru</v>
      </c>
      <c r="AY2" s="55"/>
      <c r="AZ2" s="56"/>
      <c r="BA2" s="56"/>
      <c r="BB2" s="56"/>
      <c r="BC2" s="57"/>
      <c r="BD2" s="58" t="s">
        <v>154</v>
      </c>
      <c r="BE2" s="59"/>
      <c r="BF2" s="58" t="s">
        <v>154</v>
      </c>
      <c r="BG2" s="58" t="s">
        <v>159</v>
      </c>
      <c r="BH2" s="58" t="s">
        <v>154</v>
      </c>
      <c r="BI2" s="58"/>
      <c r="BJ2" s="58"/>
      <c r="BK2" s="59"/>
      <c r="BL2" s="58" t="s">
        <v>154</v>
      </c>
      <c r="BM2" s="58" t="s">
        <v>159</v>
      </c>
      <c r="BN2" s="58"/>
      <c r="BO2" s="58"/>
      <c r="BP2" s="58"/>
      <c r="BQ2" s="58"/>
      <c r="BR2" s="58"/>
      <c r="BS2" s="58"/>
      <c r="BT2" s="58"/>
      <c r="BU2" s="60"/>
      <c r="BV2" s="61" t="s">
        <v>166</v>
      </c>
      <c r="BW2" s="61" t="s">
        <v>168</v>
      </c>
      <c r="BX2" s="59"/>
      <c r="CB2" s="5" t="s">
        <v>138</v>
      </c>
      <c r="CC2" s="5"/>
      <c r="CD2" s="62">
        <v>0</v>
      </c>
      <c r="CE2" s="62">
        <v>0</v>
      </c>
      <c r="CF2" s="62" t="e">
        <v>#REF!</v>
      </c>
      <c r="CG2" s="75" cm="1">
        <f t="array" ref="CG2">SUMPRODUCT(--(LEN(TRIM(BL2:BT2))&gt;0))</f>
        <v>2</v>
      </c>
      <c r="CH2" s="53" t="str">
        <f>IF(CG2=2,"y","n")</f>
        <v>y</v>
      </c>
      <c r="CI2" s="53" t="str">
        <f>IF(CG2=3,"y","n")</f>
        <v>n</v>
      </c>
      <c r="CJ2" s="53" t="str">
        <f>IF(CG2=4,"y","n")</f>
        <v>n</v>
      </c>
      <c r="CK2" s="53" t="str">
        <f>IF(CG2&gt;4,"y","n")</f>
        <v>n</v>
      </c>
      <c r="CL2" s="53" t="str">
        <f>IF(S2=0,"y","n")</f>
        <v>n</v>
      </c>
      <c r="CM2" s="53" t="str">
        <f>IF(S2=2,"y","n")</f>
        <v>n</v>
      </c>
      <c r="CN2" s="53" t="str">
        <f>IF(S2=3,"y","n")</f>
        <v>y</v>
      </c>
      <c r="CO2" s="53" t="str">
        <f>IF(S2&gt;=4,"y","n")</f>
        <v>n</v>
      </c>
      <c r="CP2" s="53" t="str">
        <f>IF(AT2=0,"y","n")</f>
        <v>y</v>
      </c>
      <c r="CQ2" s="53" t="str">
        <f>IF(AT2=1,"y","n")</f>
        <v>n</v>
      </c>
      <c r="CR2" s="53" t="str">
        <f>IF(AT2=2,"y","n")</f>
        <v>n</v>
      </c>
      <c r="CS2" s="53" t="str">
        <f>IF(AT2&gt;=3,"y","n")</f>
        <v>n</v>
      </c>
      <c r="CT2" s="38" t="str">
        <f>CHAR(34)&amp;A2&amp;CHAR(34)</f>
        <v>"Peru"</v>
      </c>
      <c r="CU2" s="63" t="str">
        <f>CHAR(34)&amp;"rgn_"&amp;R2&amp;CHAR(34)</f>
        <v>"rgn_South America"</v>
      </c>
      <c r="CV2" s="44" t="str">
        <f>CHAR(34)&amp;D2&amp;CHAR(34)</f>
        <v>"https://i.ibb.co/YNcYq42/Peru-Flag.png"</v>
      </c>
      <c r="CW2" s="44" t="str">
        <f t="shared" ref="CW2:CZ4" si="0">IF(CH2="y",CHAR(34)&amp;CH$1&amp;CHAR(34)&amp;",","")</f>
        <v>"2Color",</v>
      </c>
      <c r="CX2" s="44" t="str">
        <f t="shared" si="0"/>
        <v/>
      </c>
      <c r="CY2" s="44" t="str">
        <f t="shared" si="0"/>
        <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"REDWHI",</v>
      </c>
      <c r="DM2" s="44" t="str" cm="1">
        <f t="array" ref="DM2">IF(CG2=3,CHAR(34) &amp; _xlfn.TEXTJOIN("", TRUE, RIGHT(HP2:HX2, 2)) &amp; CHAR(34) &amp; ",", "")</f>
        <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"allver",</v>
      </c>
      <c r="DT2" s="5" t="str">
        <f>IF(V2="y",IF(AND(W2="n",BY2&lt;&gt;"y"),CHAR(34)&amp;"allhor"&amp;CHAR(34)&amp;",",""),"")</f>
        <v/>
      </c>
      <c r="DU2" s="5" t="str">
        <f>IF(BY2="y",IF(AND(W2="n",V2="n"),CHAR(34)&amp;"alldia"&amp;CHAR(34)&amp;",",""),"")</f>
        <v/>
      </c>
      <c r="DV2" s="44" t="str">
        <f>IF(IA2&lt;&gt;"",(IF(IA2="y",CHAR(34)&amp;"largec"&amp;CHAR(34)&amp;",",CHAR(34)&amp;"smallc"&amp;CHAR(34)&amp;",")),"")</f>
        <v/>
      </c>
      <c r="DW2" s="44" t="str">
        <f t="shared" ref="DW2:DZ4" si="1">IF(CL2="y",CHAR(34)&amp;CL$1&amp;CHAR(34)&amp;",","")</f>
        <v/>
      </c>
      <c r="DX2" s="44" t="str">
        <f t="shared" si="1"/>
        <v/>
      </c>
      <c r="DY2" s="44" t="str">
        <f t="shared" si="1"/>
        <v>"3Bands",</v>
      </c>
      <c r="DZ2" s="44" t="str">
        <f t="shared" si="1"/>
        <v/>
      </c>
      <c r="EA2" s="44" t="str">
        <f t="shared" ref="EA2:EE4" si="2">IF(T2="y",CHAR(34)&amp;T$1&amp;CHAR(34)&amp;",","")</f>
        <v/>
      </c>
      <c r="EB2" s="44" t="str">
        <f t="shared" si="2"/>
        <v/>
      </c>
      <c r="EC2" s="44" t="str">
        <f t="shared" si="2"/>
        <v/>
      </c>
      <c r="ED2" s="44" t="str">
        <f t="shared" si="2"/>
        <v>"Vertic",</v>
      </c>
      <c r="EE2" s="44" t="str">
        <f t="shared" si="2"/>
        <v/>
      </c>
      <c r="EF2" s="44" t="str">
        <f>IF(AND(Y2&lt;&gt;"n",Y2&lt;&gt;""),CHAR(34)&amp;Y$1&amp;CHAR(34)&amp;",","")</f>
        <v/>
      </c>
      <c r="EG2" s="44" t="str">
        <f t="shared" ref="EG2:EP4" si="3">IF(Z2="y",CHAR(34)&amp;Z$1&amp;CHAR(34)&amp;",","")</f>
        <v/>
      </c>
      <c r="EH2" s="44" t="str">
        <f t="shared" si="3"/>
        <v/>
      </c>
      <c r="EI2" s="44" t="str">
        <f t="shared" si="3"/>
        <v/>
      </c>
      <c r="EJ2" s="44" t="str">
        <f t="shared" si="3"/>
        <v/>
      </c>
      <c r="EK2" s="44" t="str">
        <f t="shared" si="3"/>
        <v/>
      </c>
      <c r="EL2" s="44" t="str">
        <f t="shared" si="3"/>
        <v/>
      </c>
      <c r="EM2" s="44" t="str">
        <f t="shared" si="3"/>
        <v/>
      </c>
      <c r="EN2" s="44" t="str">
        <f t="shared" si="3"/>
        <v/>
      </c>
      <c r="EO2" s="44" t="str">
        <f t="shared" si="3"/>
        <v/>
      </c>
      <c r="EP2" s="44" t="str">
        <f t="shared" si="3"/>
        <v/>
      </c>
      <c r="EQ2" s="44" t="str">
        <f t="shared" ref="EQ2:EZ4" si="4">IF(AJ2="y",CHAR(34)&amp;AJ$1&amp;CHAR(34)&amp;",","")</f>
        <v/>
      </c>
      <c r="ER2" s="44" t="str">
        <f t="shared" si="4"/>
        <v>"OnlyBa",</v>
      </c>
      <c r="ES2" s="44" t="str">
        <f t="shared" si="4"/>
        <v/>
      </c>
      <c r="ET2" s="44" t="str">
        <f t="shared" si="4"/>
        <v/>
      </c>
      <c r="EU2" s="44" t="str">
        <f t="shared" si="4"/>
        <v/>
      </c>
      <c r="EV2" s="44" t="str">
        <f t="shared" si="4"/>
        <v/>
      </c>
      <c r="EW2" s="44" t="str">
        <f t="shared" si="4"/>
        <v/>
      </c>
      <c r="EX2" s="44" t="str">
        <f t="shared" si="4"/>
        <v/>
      </c>
      <c r="EY2" s="44" t="str">
        <f t="shared" si="4"/>
        <v>"Rotate",</v>
      </c>
      <c r="EZ2" s="44" t="str">
        <f t="shared" si="4"/>
        <v/>
      </c>
      <c r="FA2" s="44" t="str">
        <f>IF(AT2&gt;0,CHAR(34)&amp;"sta"&amp;AZ2&amp;CHAR(34)&amp;",","")</f>
        <v/>
      </c>
      <c r="FB2" s="44" t="str">
        <f>IF(AND(AT2&gt;0,BA2&lt;&gt;""),CHAR(34)&amp;"sta"&amp;BA2&amp;CHAR(34)&amp;",","")</f>
        <v/>
      </c>
      <c r="FC2" s="44" t="str">
        <f>IF(AND(AT2&gt;0,BB2&lt;&gt;""),CHAR(34)&amp;"sta"&amp;BB2&amp;CHAR(34)&amp;",","")</f>
        <v/>
      </c>
      <c r="FD2" s="44" t="str">
        <f>IF(BV2="n",CHAR(34)&amp;"tcWHYE"&amp;CHAR(34)&amp;",",IF(BV2="y",CHAR(34)&amp;FD$1&amp;CHAR(34)&amp;",",""))</f>
        <v/>
      </c>
      <c r="FE2" s="44" t="str">
        <f>IF(COUNTIF(BL2:BT2,"BLU")=0,CHAR(34)&amp;"NO_BLU"&amp;CHAR(34)&amp;",", "")</f>
        <v>"NO_BLU",</v>
      </c>
      <c r="FF2" s="44" t="str">
        <f>IF(COUNTIF(BL2:BT2,"WHI")=0,CHAR(34)&amp;"NO_WHI"&amp;CHAR(34)&amp;",", "")</f>
        <v/>
      </c>
      <c r="FG2" s="44" t="str">
        <f>IF(COUNTIF(BL2:BT2,"RED")=0,CHAR(34)&amp;"NO_RED"&amp;CHAR(34)&amp;",", "")</f>
        <v/>
      </c>
      <c r="FH2" s="44" t="str">
        <f>IF(COUNTIF(BL2:BS2,"GRE")=0,CHAR(34)&amp;"NO_GRE"&amp;CHAR(34)&amp;",", "")</f>
        <v>"NO_GRE",</v>
      </c>
      <c r="FI2" s="44" t="str">
        <f>IF(COUNTIF(BL2:BT2,"YEL")=0,CHAR(34)&amp;"NO_YEL"&amp;CHAR(34)&amp;",", "")</f>
        <v>"NO_YEL",</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"001RED",</v>
      </c>
      <c r="FR2" s="44" t="str">
        <f>IF(LEN(BG2)=3,CHAR(34)&amp;"002"&amp;BG2&amp;CHAR(34)&amp;",","")</f>
        <v>"002WHI",</v>
      </c>
      <c r="FS2" s="44" t="str">
        <f>IF(LEN(BH2)=3,CHAR(34)&amp;"003"&amp;BH2&amp;CHAR(34)&amp;",","")</f>
        <v>"003RED",</v>
      </c>
      <c r="FT2" s="44" t="str">
        <f>CHAR(34)&amp;"myr"&amp;BD2&amp;CHAR(34)&amp;","</f>
        <v>"myrRED",</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"NoStar",</v>
      </c>
      <c r="GK2" s="44" t="str">
        <f>IF(GJ2="",CHAR(34)&amp;"HasSta"&amp;CHAR(34)&amp;",","")</f>
        <v/>
      </c>
      <c r="GL2" s="44" t="str">
        <f t="shared" ref="GL2:GN4" si="5">IF(CQ2="y",CHAR(34)&amp;CQ$1&amp;CHAR(34)&amp;",","")</f>
        <v/>
      </c>
      <c r="GM2" s="44" t="str">
        <f t="shared" si="5"/>
        <v/>
      </c>
      <c r="GN2" s="44" t="str">
        <f t="shared" si="5"/>
        <v/>
      </c>
      <c r="GP2" s="44" t="str">
        <f>CHAR(34)&amp;AU2&amp;CHAR(34)</f>
        <v>""</v>
      </c>
      <c r="GS2" s="44" t="str">
        <f>SUBSTITUTE("["&amp;_xlfn.CONCAT(CW2:GN2)&amp;"]",",]","]")</f>
        <v>["2Color","lets04","startP","REDWHI","year18","year19","allver","3Bands","Vertic","OnlyBa","Rotate","NO_BLU","NO_GRE","NO_YEL","NO_BLA","001RED","002WHI","003RED","myrRED","spanis","NoStar"]</v>
      </c>
      <c r="GT2" s="44" t="str">
        <f t="shared" ref="GT2:HB4" si="6">IF(BL2&lt;&gt;"",CHAR(34)&amp;"cl_"&amp;BL2&amp;CHAR(34)&amp;",","")</f>
        <v>"cl_RED",</v>
      </c>
      <c r="GU2" s="44" t="str">
        <f t="shared" si="6"/>
        <v>"cl_WHI",</v>
      </c>
      <c r="GV2" s="44" t="str">
        <f t="shared" si="6"/>
        <v/>
      </c>
      <c r="GW2" s="44" t="str">
        <f t="shared" si="6"/>
        <v/>
      </c>
      <c r="GX2" s="44" t="str">
        <f t="shared" si="6"/>
        <v/>
      </c>
      <c r="GY2" s="44" t="str">
        <f t="shared" si="6"/>
        <v/>
      </c>
      <c r="GZ2" s="44" t="str">
        <f t="shared" si="6"/>
        <v/>
      </c>
      <c r="HA2" s="44" t="str">
        <f t="shared" si="6"/>
        <v/>
      </c>
      <c r="HB2" s="44" t="str">
        <f t="shared" si="6"/>
        <v/>
      </c>
      <c r="HC2" s="44" t="str">
        <f>SUBSTITUTE("["&amp;_xlfn.CONCAT(GT2:HB2)&amp;"]",",]","]")</f>
        <v>["cl_RED","cl_WHI"]</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links: "https://en.wikipedia.org/wiki/Flag_of_Peru"},</v>
      </c>
      <c r="HG2" s="66" t="str">
        <f>"{couname:"&amp;CT2&amp;(IF(HK2&lt;&gt;"",",subtype:"&amp;CHAR(34)&amp;HK2&amp;CHAR(34),""))&amp;",year:"&amp;HJ2&amp;",region:"&amp;CU2&amp;",Colors:"&amp;HC2&amp;",Items:"&amp;GS2&amp;",Flag:"&amp;CV2&amp;",HDFlag:"&amp;CHAR(34)&amp;E2&amp;CHAR(34)&amp;",type:"&amp;GP2&amp;", describe: "&amp;HI2&amp;", links: "&amp;HL2&amp;"},"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links: "https://en.wikipedia.org/wiki/Flag_of_Peru"},</v>
      </c>
      <c r="HH2" s="44" t="str">
        <f>IF(P2&lt;&gt;"",CHAR(34)&amp;"\n"&amp;P2&amp;CHAR(34),CHAR(34)&amp;CHAR(34))</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I2" s="44" t="str">
        <f>IF(J2=0,CHAR(34)&amp;CHAR(34),HH2)</f>
        <v>"\nRed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v>
      </c>
      <c r="HJ2" s="44" t="str">
        <f>CHAR(34)&amp;O2&amp;CHAR(34)</f>
        <v>"1825, 1950 "</v>
      </c>
      <c r="HL2" s="44" t="str">
        <f>CHAR(34)&amp;I2&amp;CHAR(34)</f>
        <v>"https://en.wikipedia.org/wiki/Flag_of_Peru"</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{"couname":"Peru","year":"1825, 1950 ","region":"rgn_South America","Colors":["cl_RED","cl_WHI"],"Items":["2Color","lets04","startP","REDWHI","year18","year19","allver","3Bands","Vertic","OnlyBa","Rotate","NO_BLU","NO_GRE","NO_YEL","NO_BLA","001RED","002WHI","003RED","myrRED","spanis","NoStar"],"Flag":"https://i.ibb.co/YNcYq42/Peru-Flag.png","HDFlag":"https://upload.wikimedia.org/wikipedia/commons/thumb/c/cf/Flag_of_Peru.svg/2560px-Flag_of_Peru.svg.png","type":"", "describe": "\nRed represents the blood that was spilled by the fallen freedom fighters that fought for the independence of the country. White represents purity and peace. However, the colours are also linked to the Chilean flamingo, or parihuana, a red and white type of flamingo that General San Martín dreamed about during the revolution.", "isnew": ".", "links": "https://en.wikipedia.org/wiki/Flag_of_Peru"},</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-2</v>
      </c>
      <c r="IN2" s="69" t="str">
        <f>"http://mkweb.bcgsc.ca/color-summarizer/?url="&amp;D2&amp;"&amp;precision=low&amp;num_clusters="&amp;CG2&amp;"&amp;text=1"</f>
        <v>http://mkweb.bcgsc.ca/color-summarizer/?url=https://i.ibb.co/YNcYq42/Peru-Flag.png&amp;precision=low&amp;num_clusters=2&amp;text=1</v>
      </c>
      <c r="IO2" s="44" t="str">
        <f>IF(HP2&lt;&gt;"",CHAR(34)&amp;"black"&amp;CHAR(34),"")</f>
        <v/>
      </c>
      <c r="IP2" s="44" t="str">
        <f>IF(HQ2&lt;&gt;"",CHAR(34)&amp;"blue"&amp;CHAR(34),"")</f>
        <v/>
      </c>
      <c r="IQ2" s="44" t="str">
        <f>IF(HR2&lt;&gt;"",CHAR(34)&amp;"green"&amp;CHAR(34),"")</f>
        <v/>
      </c>
      <c r="IR2" s="44" t="str">
        <f>IF(HS2&lt;&gt;"",CHAR(34)&amp;"red"&amp;CHAR(34),"")</f>
        <v>"red"</v>
      </c>
      <c r="IS2" s="44" t="str">
        <f>IF(HT2&lt;&gt;"",CHAR(34)&amp;"yellow"&amp;CHAR(34),"")</f>
        <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{"url":"http://mkweb.bcgsc.ca/color-summarizer/?url=https://i.ibb.co/YNcYq42/Peru-Flag.png&amp;precision=low&amp;num_clusters=2&amp;text=1","name":"Peru"},</v>
      </c>
      <c r="IY2" s="44">
        <v>171</v>
      </c>
    </row>
    <row r="3" spans="1:259" s="44" customFormat="1" ht="38.4" customHeight="1" thickBot="1" x14ac:dyDescent="0.35">
      <c r="A3" s="84" t="s">
        <v>492</v>
      </c>
      <c r="B3" s="83" t="e" vm="86">
        <v>#VALUE!</v>
      </c>
      <c r="C3" s="39">
        <v>2</v>
      </c>
      <c r="D3" s="70" t="s">
        <v>493</v>
      </c>
      <c r="E3" s="40" t="s">
        <v>494</v>
      </c>
      <c r="F3" s="41" t="s">
        <v>163</v>
      </c>
      <c r="G3" s="42">
        <f>COUNTIF($A$1:$A$8283,A3)</f>
        <v>1</v>
      </c>
      <c r="H3" s="43"/>
      <c r="I3" s="59" t="s">
        <v>495</v>
      </c>
      <c r="J3" s="44" t="str">
        <f>""</f>
        <v/>
      </c>
      <c r="K3" s="45"/>
      <c r="L3" s="46"/>
      <c r="M3" s="46"/>
      <c r="N3" s="47" t="s">
        <v>177</v>
      </c>
      <c r="O3" s="74">
        <v>2021</v>
      </c>
      <c r="P3" s="48" t="s">
        <v>496</v>
      </c>
      <c r="Q3" s="73">
        <v>1</v>
      </c>
      <c r="R3" s="49" t="s">
        <v>177</v>
      </c>
      <c r="S3" s="50">
        <v>7</v>
      </c>
      <c r="T3" s="51" t="s">
        <v>164</v>
      </c>
      <c r="U3" s="52" t="s">
        <v>164</v>
      </c>
      <c r="V3" s="52" t="s">
        <v>165</v>
      </c>
      <c r="W3" s="52" t="s">
        <v>164</v>
      </c>
      <c r="X3" s="52" t="s">
        <v>165</v>
      </c>
      <c r="Y3" s="52" t="s">
        <v>164</v>
      </c>
      <c r="Z3" s="52" t="s">
        <v>164</v>
      </c>
      <c r="AA3" s="52" t="s">
        <v>164</v>
      </c>
      <c r="AB3" s="52" t="s">
        <v>164</v>
      </c>
      <c r="AC3" s="52" t="s">
        <v>164</v>
      </c>
      <c r="AD3" s="52" t="s">
        <v>165</v>
      </c>
      <c r="AE3" s="52" t="s">
        <v>164</v>
      </c>
      <c r="AF3" s="53" t="s">
        <v>164</v>
      </c>
      <c r="AG3" s="53" t="s">
        <v>165</v>
      </c>
      <c r="AH3" s="53" t="s">
        <v>165</v>
      </c>
      <c r="AI3" s="53" t="s">
        <v>164</v>
      </c>
      <c r="AJ3" s="53" t="s">
        <v>164</v>
      </c>
      <c r="AK3" s="53" t="s">
        <v>164</v>
      </c>
      <c r="AL3" s="53" t="s">
        <v>164</v>
      </c>
      <c r="AM3" s="53" t="s">
        <v>164</v>
      </c>
      <c r="AN3" s="53" t="s">
        <v>165</v>
      </c>
      <c r="AO3" s="53" t="s">
        <v>164</v>
      </c>
      <c r="AP3" s="53" t="s">
        <v>164</v>
      </c>
      <c r="AQ3" s="53" t="s">
        <v>164</v>
      </c>
      <c r="AR3" s="53" t="s">
        <v>164</v>
      </c>
      <c r="AS3" s="53" t="s">
        <v>164</v>
      </c>
      <c r="AT3" s="54">
        <v>0</v>
      </c>
      <c r="AU3" s="53" t="s">
        <v>475</v>
      </c>
      <c r="AV3" s="53" t="str">
        <f>IF(LEFT(A3,1)="[",LEFT(A3,5)&amp;AU3&amp;A3,"")</f>
        <v>[PER]Department[PER] Cusco</v>
      </c>
      <c r="AW3" s="53" t="str">
        <f>C3&amp;A3</f>
        <v>2[PER] Cusco</v>
      </c>
      <c r="AX3" s="55"/>
      <c r="AY3" s="55"/>
      <c r="AZ3" s="56" t="s">
        <v>234</v>
      </c>
      <c r="BA3" s="56"/>
      <c r="BB3" s="56"/>
      <c r="BC3" s="57"/>
      <c r="BD3" s="58" t="s">
        <v>155</v>
      </c>
      <c r="BE3" s="59"/>
      <c r="BF3" s="58" t="s">
        <v>154</v>
      </c>
      <c r="BG3" s="58" t="s">
        <v>153</v>
      </c>
      <c r="BH3" s="58" t="s">
        <v>158</v>
      </c>
      <c r="BI3" s="58"/>
      <c r="BJ3" s="58"/>
      <c r="BK3" s="59"/>
      <c r="BL3" s="58" t="s">
        <v>234</v>
      </c>
      <c r="BM3" s="58" t="s">
        <v>152</v>
      </c>
      <c r="BN3" s="58" t="s">
        <v>153</v>
      </c>
      <c r="BO3" s="58" t="s">
        <v>154</v>
      </c>
      <c r="BP3" s="58" t="s">
        <v>155</v>
      </c>
      <c r="BQ3" s="58" t="s">
        <v>156</v>
      </c>
      <c r="BR3" s="58" t="s">
        <v>234</v>
      </c>
      <c r="BS3" s="58" t="s">
        <v>158</v>
      </c>
      <c r="BT3" s="58" t="s">
        <v>234</v>
      </c>
      <c r="BU3" s="60"/>
      <c r="BV3" s="61"/>
      <c r="BW3" s="61">
        <v>0</v>
      </c>
      <c r="BX3" s="59"/>
      <c r="CB3" s="5"/>
      <c r="CC3" s="5"/>
      <c r="CD3" s="62">
        <v>0</v>
      </c>
      <c r="CE3" s="62">
        <v>0</v>
      </c>
      <c r="CF3" s="62" t="e">
        <v>#REF!</v>
      </c>
      <c r="CG3" s="75" cm="1">
        <f t="array" ref="CG3">SUMPRODUCT(--(LEN(TRIM(BL3:BT3))&gt;0))</f>
        <v>6</v>
      </c>
      <c r="CH3" s="53" t="str">
        <f>IF(CG3=2,"y","n")</f>
        <v>n</v>
      </c>
      <c r="CI3" s="53" t="str">
        <f>IF(CG3=3,"y","n")</f>
        <v>n</v>
      </c>
      <c r="CJ3" s="53" t="str">
        <f>IF(CG3=4,"y","n")</f>
        <v>n</v>
      </c>
      <c r="CK3" s="53" t="str">
        <f>IF(CG3&gt;4,"y","n")</f>
        <v>y</v>
      </c>
      <c r="CL3" s="53" t="str">
        <f>IF(S3=0,"y","n")</f>
        <v>n</v>
      </c>
      <c r="CM3" s="53" t="str">
        <f>IF(S3=2,"y","n")</f>
        <v>n</v>
      </c>
      <c r="CN3" s="53" t="str">
        <f>IF(S3=3,"y","n")</f>
        <v>n</v>
      </c>
      <c r="CO3" s="53" t="str">
        <f>IF(S3&gt;=4,"y","n")</f>
        <v>y</v>
      </c>
      <c r="CP3" s="53" t="str">
        <f>IF(AT3=0,"y","n")</f>
        <v>y</v>
      </c>
      <c r="CQ3" s="53" t="str">
        <f>IF(AT3=1,"y","n")</f>
        <v>n</v>
      </c>
      <c r="CR3" s="53" t="str">
        <f>IF(AT3=2,"y","n")</f>
        <v>n</v>
      </c>
      <c r="CS3" s="53" t="str">
        <f>IF(AT3&gt;=3,"y","n")</f>
        <v>n</v>
      </c>
      <c r="CT3" s="38" t="str">
        <f>CHAR(34)&amp;A3&amp;CHAR(34)</f>
        <v>"[PER] Cusco"</v>
      </c>
      <c r="CU3" s="63" t="str">
        <f>CHAR(34)&amp;"rgn_"&amp;R3&amp;CHAR(34)</f>
        <v>"rgn_South America"</v>
      </c>
      <c r="CV3" s="44" t="str">
        <f>CHAR(34)&amp;D3&amp;CHAR(34)</f>
        <v>"https://upload.wikimedia.org/wikipedia/commons/thumb/f/ff/Flag_of_Cusco_%282021%29.svg/640px-Flag_of_Cusco_%282021%29.svg.png"</v>
      </c>
      <c r="CW3" s="44" t="str">
        <f t="shared" si="0"/>
        <v/>
      </c>
      <c r="CX3" s="44" t="str">
        <f t="shared" si="0"/>
        <v/>
      </c>
      <c r="CY3" s="44" t="str">
        <f t="shared" si="0"/>
        <v/>
      </c>
      <c r="CZ3" s="44" t="str">
        <f t="shared" si="0"/>
        <v>"5+Colo",</v>
      </c>
      <c r="DA3" s="44" t="str">
        <f>IF(Q3&gt;1,CHAR(34)&amp;"words2"&amp;CHAR(34)&amp;",","")</f>
        <v/>
      </c>
      <c r="DB3" s="44" t="str">
        <f>IF(Q3&gt;2,CHAR(34)&amp;"words3"&amp;CHAR(34)&amp;",","")</f>
        <v/>
      </c>
      <c r="DC3" s="44" t="str">
        <f>IF(Q3=2,CHAR(34)&amp;"exact2"&amp;CHAR(34)&amp;",","")</f>
        <v/>
      </c>
      <c r="DD3" s="44"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"lets05",</v>
      </c>
      <c r="DE3" s="44"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"startC",</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
      </c>
      <c r="DP3" s="5" t="str">
        <f>IF(AND(ISNUMBER(SEARCH("20", O3)), ISERROR(SEARCH("1920", O3))), CHAR(34)&amp;"year00"&amp;CHAR(34)&amp;",", "")</f>
        <v>"year00",</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V3" s="44" t="str">
        <f>IF(IA3&lt;&gt;"",(IF(IA3="y",CHAR(34)&amp;"largec"&amp;CHAR(34)&amp;",",CHAR(34)&amp;"smallc"&amp;CHAR(34)&amp;",")),"")</f>
        <v/>
      </c>
      <c r="DW3" s="44" t="str">
        <f t="shared" si="1"/>
        <v/>
      </c>
      <c r="DX3" s="44" t="str">
        <f t="shared" si="1"/>
        <v/>
      </c>
      <c r="DY3" s="44" t="str">
        <f t="shared" si="1"/>
        <v/>
      </c>
      <c r="DZ3" s="44" t="str">
        <f t="shared" si="1"/>
        <v>"4+Band",</v>
      </c>
      <c r="EA3" s="44" t="str">
        <f t="shared" si="2"/>
        <v/>
      </c>
      <c r="EB3" s="44" t="str">
        <f t="shared" si="2"/>
        <v/>
      </c>
      <c r="EC3" s="44" t="str">
        <f t="shared" si="2"/>
        <v>"Horizo",</v>
      </c>
      <c r="ED3" s="44" t="str">
        <f t="shared" si="2"/>
        <v/>
      </c>
      <c r="EE3" s="44" t="str">
        <f t="shared" si="2"/>
        <v>"Circle",</v>
      </c>
      <c r="EF3" s="44" t="str">
        <f>IF(AND(Y3&lt;&gt;"n",Y3&lt;&gt;""),CHAR(34)&amp;Y$1&amp;CHAR(34)&amp;",","")</f>
        <v/>
      </c>
      <c r="EG3" s="44" t="str">
        <f t="shared" si="3"/>
        <v/>
      </c>
      <c r="EH3" s="44" t="str">
        <f t="shared" si="3"/>
        <v/>
      </c>
      <c r="EI3" s="44" t="str">
        <f t="shared" si="3"/>
        <v/>
      </c>
      <c r="EJ3" s="44" t="str">
        <f t="shared" si="3"/>
        <v/>
      </c>
      <c r="EK3" s="44" t="str">
        <f t="shared" si="3"/>
        <v>"HasSun",</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
      </c>
      <c r="EU3" s="44" t="str">
        <f t="shared" si="4"/>
        <v>"Humans",</v>
      </c>
      <c r="EV3" s="44" t="str">
        <f t="shared" si="4"/>
        <v/>
      </c>
      <c r="EW3" s="44" t="str">
        <f t="shared" si="4"/>
        <v/>
      </c>
      <c r="EX3" s="44" t="str">
        <f t="shared" si="4"/>
        <v/>
      </c>
      <c r="EY3" s="44" t="str">
        <f t="shared" si="4"/>
        <v/>
      </c>
      <c r="EZ3" s="44" t="str">
        <f t="shared" si="4"/>
        <v/>
      </c>
      <c r="FA3" s="44" t="str">
        <f>IF(AT3&gt;0,CHAR(34)&amp;"sta"&amp;AZ3&amp;CHAR(34)&amp;",","")</f>
        <v/>
      </c>
      <c r="FB3" s="44" t="str">
        <f>IF(AND(AT3&gt;0,BA3&lt;&gt;""),CHAR(34)&amp;"sta"&amp;BA3&amp;CHAR(34)&amp;",","")</f>
        <v/>
      </c>
      <c r="FC3" s="44" t="str">
        <f>IF(AND(AT3&gt;0,BB3&lt;&gt;""),CHAR(34)&amp;"sta"&amp;BB3&amp;CHAR(34)&amp;",","")</f>
        <v/>
      </c>
      <c r="FD3" s="44" t="str">
        <f>IF(BV3="n",CHAR(34)&amp;"tcWHYE"&amp;CHAR(34)&amp;",",IF(BV3="y",CHAR(34)&amp;FD$1&amp;CHAR(34)&amp;",",""))</f>
        <v/>
      </c>
      <c r="FE3" s="44" t="str">
        <f>IF(COUNTIF(BL3:BT3,"BLU")=0,CHAR(34)&amp;"NO_BLU"&amp;CHAR(34)&amp;",", "")</f>
        <v/>
      </c>
      <c r="FF3" s="44" t="str">
        <f>IF(COUNTIF(BL3:BT3,"WHI")=0,CHAR(34)&amp;"NO_WHI"&amp;CHAR(34)&amp;",", "")</f>
        <v>"NO_WHI",</v>
      </c>
      <c r="FG3" s="44" t="str">
        <f>IF(COUNTIF(BL3:BT3,"RED")=0,CHAR(34)&amp;"NO_RED"&amp;CHAR(34)&amp;",", "")</f>
        <v/>
      </c>
      <c r="FH3" s="44" t="str">
        <f>IF(COUNTIF(BL3:BS3,"GRE")=0,CHAR(34)&amp;"NO_GRE"&amp;CHAR(34)&amp;",", "")</f>
        <v/>
      </c>
      <c r="FI3" s="44" t="str">
        <f>IF(COUNTIF(BL3:BT3,"YEL")=0,CHAR(34)&amp;"NO_YEL"&amp;CHAR(34)&amp;",", "")</f>
        <v/>
      </c>
      <c r="FJ3" s="44" t="str">
        <f>IF(COUNTIF(BL3:BT3,"BLA")=0,CHAR(34)&amp;"NO_BLA"&amp;CHAR(34)&amp;",", "")</f>
        <v>"NO_BLA",</v>
      </c>
      <c r="FK3" s="44" t="str">
        <f>IF(AND(FH3&lt;&gt;"",FF3&lt;&gt;""),CHAR(34)&amp;"WHGRNO"&amp;CHAR(34)&amp;",","")</f>
        <v/>
      </c>
      <c r="FL3" s="44" t="str">
        <f>IF(AND(FI3&lt;&gt;"",FF3&lt;&gt;""),CHAR(34)&amp;"WHYENO"&amp;CHAR(34)&amp;",","")</f>
        <v/>
      </c>
      <c r="FM3" s="44" t="str">
        <f>IF(AND(FJ3&lt;&gt;"",FF3&lt;&gt;""),CHAR(34)&amp;"BAWHNO"&amp;CHAR(34)&amp;",","")</f>
        <v>"BAWHNO",</v>
      </c>
      <c r="FN3" s="44" t="str">
        <f>IF(AND(FE3&lt;&gt;"",FF3&lt;&gt;""),CHAR(34)&amp;"BLWHNO"&amp;CHAR(34)&amp;",","")</f>
        <v/>
      </c>
      <c r="FO3" s="44" t="str">
        <f>IF(AND(FE3&lt;&gt;"",FG3&lt;&gt;""),CHAR(34)&amp;"BLRENO"&amp;CHAR(34)&amp;",","")</f>
        <v/>
      </c>
      <c r="FP3" s="44" t="str">
        <f>IF(AND(FF3&lt;&gt;"",FF3&lt;&gt;""),CHAR(34)&amp;"WHRENO"&amp;CHAR(34)&amp;",","")</f>
        <v>"WHRENO",</v>
      </c>
      <c r="FQ3" s="44" t="str">
        <f>IF(LEN(BF3)=3,CHAR(34)&amp;"001"&amp;BF3&amp;CHAR(34)&amp;",","")</f>
        <v>"001RED",</v>
      </c>
      <c r="FR3" s="44" t="str">
        <f>IF(LEN(BG3)=3,CHAR(34)&amp;"002"&amp;BG3&amp;CHAR(34)&amp;",","")</f>
        <v>"002GRE",</v>
      </c>
      <c r="FS3" s="44" t="str">
        <f>IF(LEN(BH3)=3,CHAR(34)&amp;"003"&amp;BH3&amp;CHAR(34)&amp;",","")</f>
        <v>"003PUR",</v>
      </c>
      <c r="FT3" s="44" t="str">
        <f>CHAR(34)&amp;"myr"&amp;BD3&amp;CHAR(34)&amp;","</f>
        <v>"myrYEL",</v>
      </c>
      <c r="FU3" s="44" t="str">
        <f>IF(AY3="y",CHAR(34)&amp;"island"&amp;CHAR(34)&amp;",","")</f>
        <v/>
      </c>
      <c r="FV3" s="44" t="str">
        <f>IF(BZ3="y",CHAR(34)&amp;"landlo"&amp;CHAR(34)&amp;",","")</f>
        <v/>
      </c>
      <c r="FW3" s="44" t="str">
        <f>IF(CA3="y",CHAR(34)&amp;"eunion"&amp;CHAR(34)&amp;",","")</f>
        <v/>
      </c>
      <c r="FX3" s="44" t="str">
        <f>SUBSTITUTE(IFERROR(SEARCH("[",A3),IFERROR(IF(AND(CA3&lt;&gt;"y",SEARCH("Europe",R3)&gt;0),CHAR(34)&amp;"noeuni"&amp;CHAR(34)&amp;",",""),"")),"1","")</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C3" s="44" t="str">
        <f>IFERROR(IF(SEARCH("Portuguese",CB3)&gt;0,CHAR(34)&amp;"portug"&amp;CHAR(34)&amp;",",""),"")</f>
        <v/>
      </c>
      <c r="GD3" s="44" t="str">
        <f>IFERROR(IF(SEARCH("German",CB3)&gt;0,CHAR(34)&amp;"german"&amp;CHAR(34)&amp;",",""),"")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"Department"</v>
      </c>
      <c r="GS3" s="44" t="str">
        <f>SUBSTITUTE("["&amp;_xlfn.CONCAT(CW3:GN3)&amp;"]",",]","]")</f>
        <v>["5+Colo","lets05","startC","year00","allhor","4+Band","Horizo","Circle","HasSun","Unequa","Center","Humans","NO_WHI","NO_BLA","BAWHNO","WHRENO","001RED","002GRE","003PUR","myrYEL","NoStar"]</v>
      </c>
      <c r="GT3" s="44" t="str">
        <f t="shared" si="6"/>
        <v/>
      </c>
      <c r="GU3" s="44" t="str">
        <f t="shared" si="6"/>
        <v>"cl_BLU",</v>
      </c>
      <c r="GV3" s="44" t="str">
        <f t="shared" si="6"/>
        <v>"cl_GRE",</v>
      </c>
      <c r="GW3" s="44" t="str">
        <f t="shared" si="6"/>
        <v>"cl_RED",</v>
      </c>
      <c r="GX3" s="44" t="str">
        <f t="shared" si="6"/>
        <v>"cl_YEL",</v>
      </c>
      <c r="GY3" s="44" t="str">
        <f t="shared" si="6"/>
        <v>"cl_ORA",</v>
      </c>
      <c r="GZ3" s="44" t="str">
        <f t="shared" si="6"/>
        <v/>
      </c>
      <c r="HA3" s="44" t="str">
        <f t="shared" si="6"/>
        <v>"cl_PUR",</v>
      </c>
      <c r="HB3" s="44" t="str">
        <f t="shared" si="6"/>
        <v/>
      </c>
      <c r="HC3" s="44" t="str">
        <f>SUBSTITUTE("["&amp;_xlfn.CONCAT(GT3:HB3)&amp;"]",",]","]")</f>
        <v>["cl_BLU","cl_GRE","cl_RED","cl_YEL","cl_ORA","cl_PUR"]</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links: "https://en.wikipedia.org/wiki/Flag_of_Cusco"},</v>
      </c>
      <c r="HG3" s="66" t="str">
        <f>"{couname:"&amp;CT3&amp;(IF(HK3&lt;&gt;"",",subtype:"&amp;CHAR(34)&amp;HK3&amp;CHAR(34),""))&amp;",year:"&amp;HJ3&amp;",region:"&amp;CU3&amp;",Colors:"&amp;HC3&amp;",Items:"&amp;GS3&amp;",Flag:"&amp;CV3&amp;",HDFlag:"&amp;CHAR(34)&amp;E3&amp;CHAR(34)&amp;",type:"&amp;GP3&amp;", describe: "&amp;HI3&amp;", links: "&amp;HL3&amp;"},"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links: "https://en.wikipedia.org/wiki/Flag_of_Cusco"},</v>
      </c>
      <c r="HH3" s="44" t="str">
        <f>IF(P3&lt;&gt;"",CHAR(34)&amp;"\n"&amp;P3&amp;CHAR(34),CHAR(34)&amp;CHAR(34))</f>
        <v>"\nIt's a rainbow flag formed by 7 horizontal stripes. It was first introduced in 1973 and officially adopted in 1978. Since 2021, the flag has also featured the golden Echenique's sun."</v>
      </c>
      <c r="HI3" s="44" t="str">
        <f>IF(J3=0,CHAR(34)&amp;CHAR(34),HH3)</f>
        <v>"\nIt's a rainbow flag formed by 7 horizontal stripes. It was first introduced in 1973 and officially adopted in 1978. Since 2021, the flag has also featured the golden Echenique's sun."</v>
      </c>
      <c r="HJ3" s="44" t="str">
        <f>CHAR(34)&amp;O3&amp;CHAR(34)</f>
        <v>"2021"</v>
      </c>
      <c r="HL3" s="44" t="str">
        <f>CHAR(34)&amp;I3&amp;CHAR(34)</f>
        <v>"https://en.wikipedia.org/wiki/Flag_of_Cusco"</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{"couname":"[PER] Cusco","year":"2021","region":"rgn_South America","Colors":["cl_BLU","cl_GRE","cl_RED","cl_YEL","cl_ORA","cl_PUR"],"Items":["5+Colo","lets05","startC","year00","allhor","4+Band","Horizo","Circle","HasSun","Unequa","Center","Humans","NO_WHI","NO_BLA","BAWHNO","WHRENO","001RED","002GRE","003PUR","myrYEL","NoStar"],"Flag":"https://upload.wikimedia.org/wikipedia/commons/thumb/f/ff/Flag_of_Cusco_%282021%29.svg/640px-Flag_of_Cusco_%282021%29.svg.png","HDFlag":"https://upload.wikimedia.org/wikipedia/commons/thumb/f/ff/Flag_of_Cusco_%282021%29.svg/2560px-Flag_of_Cusco_%282021%29.svg.png","type":"Department", "describe": "\nIt's a rainbow flag formed by 7 horizontal stripes. It was first introduced in 1973 and officially adopted in 1978. Since 2021, the flag has also featured the golden Echenique's sun.", "isnew": ".", "links": "https://en.wikipedia.org/wiki/Flag_of_Cusco"},</v>
      </c>
      <c r="HO3" s="71">
        <v>45576</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ORA</v>
      </c>
      <c r="HV3" s="44" t="str" cm="1">
        <f t="array" ref="HV3">IF(_xlfn.TEXTJOIN(", ", TRUE, IF(ISNUMBER(SEARCH("BRO", BL3:BT3)), COLUMN(BL3:BT3) - COLUMN(BL3) + 1, ""))&lt;&gt;"","BRO","")</f>
        <v/>
      </c>
      <c r="HW3" s="44" t="str" cm="1">
        <f t="array" ref="HW3">IF(_xlfn.TEXTJOIN(", ", TRUE, IF(ISNUMBER(SEARCH("PUR", BL3:BT3)), COLUMN(BL3:BT3) - COLUMN(BL3) + 1, ""))&lt;&gt;"","PUR","")</f>
        <v>PUR</v>
      </c>
      <c r="HX3" s="44" t="str" cm="1">
        <f t="array" ref="HX3">IF(_xlfn.TEXTJOIN(", ", TRUE, IF(ISNUMBER(SEARCH("WHI", BL3:BT3)), COLUMN(BL3:BT3) - COLUMN(BL3) + 1, ""))&lt;&gt;"","WHI","")</f>
        <v/>
      </c>
      <c r="HY3" s="72"/>
      <c r="HZ3" s="72"/>
      <c r="IA3" s="5"/>
      <c r="IB3" s="5"/>
      <c r="IC3" s="68"/>
      <c r="ID3" s="68"/>
      <c r="IE3" s="68"/>
      <c r="IF3" s="68"/>
      <c r="IG3" s="68"/>
      <c r="IH3" s="68"/>
      <c r="II3" s="68"/>
      <c r="IJ3" s="68"/>
      <c r="IK3" s="68"/>
      <c r="IL3" s="44">
        <f>SUM(IC3:IK3)</f>
        <v>0</v>
      </c>
      <c r="IM3" s="42">
        <f>COUNTIF(IC3:IK3,"&gt;0")-CG3</f>
        <v>-6</v>
      </c>
      <c r="IN3" s="69" t="str">
        <f>"http://mkweb.bcgsc.ca/color-summarizer/?url="&amp;D3&amp;"&amp;precision=low&amp;num_clusters="&amp;CG3&amp;"&amp;text=1"</f>
        <v>http://mkweb.bcgsc.ca/color-summarizer/?url=https://upload.wikimedia.org/wikipedia/commons/thumb/f/ff/Flag_of_Cusco_%282021%29.svg/640px-Flag_of_Cusco_%282021%29.svg.png&amp;precision=low&amp;num_clusters=6&amp;text=1</v>
      </c>
      <c r="IO3" s="44" t="str">
        <f>IF(HP3&lt;&gt;"",CHAR(34)&amp;"black"&amp;CHAR(34),"")</f>
        <v/>
      </c>
      <c r="IP3" s="44" t="str">
        <f>IF(HQ3&lt;&gt;"",CHAR(34)&amp;"blue"&amp;CHAR(34),"")</f>
        <v>"blue"</v>
      </c>
      <c r="IQ3" s="44" t="str">
        <f>IF(HR3&lt;&gt;"",CHAR(34)&amp;"green"&amp;CHAR(34),"")</f>
        <v>"green"</v>
      </c>
      <c r="IR3" s="44" t="str">
        <f>IF(HS3&lt;&gt;"",CHAR(34)&amp;"red"&amp;CHAR(34),"")</f>
        <v>"red"</v>
      </c>
      <c r="IS3" s="44" t="str">
        <f>IF(HT3&lt;&gt;"",CHAR(34)&amp;"yellow"&amp;CHAR(34),"")</f>
        <v>"yellow"</v>
      </c>
      <c r="IT3" s="44" t="str">
        <f>IF(HU3&lt;&gt;"",CHAR(34)&amp;"orange"&amp;CHAR(34),"")</f>
        <v>"orange"</v>
      </c>
      <c r="IU3" s="44" t="str">
        <f>IF(HV3&lt;&gt;"",CHAR(34)&amp;"brown"&amp;CHAR(34),"")</f>
        <v/>
      </c>
      <c r="IV3" s="44" t="str">
        <f>IF(HW3&lt;&gt;"",CHAR(34)&amp;"purple"&amp;CHAR(34),"")</f>
        <v>"purple"</v>
      </c>
      <c r="IW3" s="44" t="str">
        <f>IF(HX3&lt;&gt;"",CHAR(34)&amp;"white"&amp;CHAR(34),"")</f>
        <v/>
      </c>
      <c r="IX3" s="44" t="str">
        <f>"{"&amp;CHAR(34)&amp;"url"&amp;CHAR(34)&amp;":"&amp;CHAR(34)&amp;IN3&amp;CHAR(34)&amp;","&amp;CHAR(34)&amp;"name"&amp;CHAR(34)&amp;":"&amp;CHAR(34)&amp;A3&amp;CHAR(34)&amp;"},"</f>
        <v>{"url":"http://mkweb.bcgsc.ca/color-summarizer/?url=https://upload.wikimedia.org/wikipedia/commons/thumb/f/ff/Flag_of_Cusco_%282021%29.svg/640px-Flag_of_Cusco_%282021%29.svg.png&amp;precision=low&amp;num_clusters=6&amp;text=1","name":"[PER] Cusco"},</v>
      </c>
      <c r="IY3" s="44">
        <v>693</v>
      </c>
    </row>
    <row r="4" spans="1:259" s="44" customFormat="1" ht="38.4" customHeight="1" thickBot="1" x14ac:dyDescent="0.35">
      <c r="A4" s="84" t="s">
        <v>487</v>
      </c>
      <c r="B4" s="83" t="e" vm="87">
        <v>#VALUE!</v>
      </c>
      <c r="C4" s="39">
        <v>2</v>
      </c>
      <c r="D4" s="70" t="s">
        <v>488</v>
      </c>
      <c r="E4" s="40" t="s">
        <v>489</v>
      </c>
      <c r="F4" s="41" t="s">
        <v>163</v>
      </c>
      <c r="G4" s="42">
        <f>COUNTIF($A$1:$A$8283,A4)</f>
        <v>1</v>
      </c>
      <c r="H4" s="43"/>
      <c r="I4" s="59" t="s">
        <v>490</v>
      </c>
      <c r="J4" s="44" t="str">
        <f>""</f>
        <v/>
      </c>
      <c r="K4" s="45"/>
      <c r="L4" s="46"/>
      <c r="M4" s="46"/>
      <c r="N4" s="47" t="s">
        <v>177</v>
      </c>
      <c r="O4" s="74" t="s">
        <v>233</v>
      </c>
      <c r="P4" s="48" t="s">
        <v>491</v>
      </c>
      <c r="Q4" s="73">
        <v>1</v>
      </c>
      <c r="R4" s="49" t="s">
        <v>177</v>
      </c>
      <c r="S4" s="50">
        <v>0</v>
      </c>
      <c r="T4" s="51" t="s">
        <v>164</v>
      </c>
      <c r="U4" s="52" t="s">
        <v>164</v>
      </c>
      <c r="V4" s="52" t="s">
        <v>164</v>
      </c>
      <c r="W4" s="52" t="s">
        <v>164</v>
      </c>
      <c r="X4" s="52" t="s">
        <v>164</v>
      </c>
      <c r="Y4" s="52" t="s">
        <v>165</v>
      </c>
      <c r="Z4" s="52" t="s">
        <v>165</v>
      </c>
      <c r="AA4" s="52" t="s">
        <v>164</v>
      </c>
      <c r="AB4" s="52" t="s">
        <v>165</v>
      </c>
      <c r="AC4" s="52" t="s">
        <v>164</v>
      </c>
      <c r="AD4" s="52" t="s">
        <v>164</v>
      </c>
      <c r="AE4" s="52" t="s">
        <v>164</v>
      </c>
      <c r="AF4" s="53" t="s">
        <v>164</v>
      </c>
      <c r="AG4" s="53" t="s">
        <v>164</v>
      </c>
      <c r="AH4" s="53" t="s">
        <v>165</v>
      </c>
      <c r="AI4" s="53" t="s">
        <v>164</v>
      </c>
      <c r="AJ4" s="53" t="s">
        <v>164</v>
      </c>
      <c r="AK4" s="53" t="s">
        <v>164</v>
      </c>
      <c r="AL4" s="53" t="s">
        <v>164</v>
      </c>
      <c r="AM4" s="53" t="s">
        <v>164</v>
      </c>
      <c r="AN4" s="53" t="s">
        <v>164</v>
      </c>
      <c r="AO4" s="53" t="s">
        <v>164</v>
      </c>
      <c r="AP4" s="53" t="s">
        <v>164</v>
      </c>
      <c r="AQ4" s="53" t="s">
        <v>165</v>
      </c>
      <c r="AR4" s="53" t="s">
        <v>164</v>
      </c>
      <c r="AS4" s="53" t="s">
        <v>164</v>
      </c>
      <c r="AT4" s="54">
        <v>2</v>
      </c>
      <c r="AU4" s="53" t="s">
        <v>307</v>
      </c>
      <c r="AV4" s="53" t="str">
        <f>IF(LEFT(A4,1)="[",LEFT(A4,5)&amp;AU4&amp;A4,"")</f>
        <v>[PER]City[PER] Lima</v>
      </c>
      <c r="AW4" s="53" t="str">
        <f>C4&amp;A4</f>
        <v>2[PER] Lima</v>
      </c>
      <c r="AX4" s="55"/>
      <c r="AY4" s="55"/>
      <c r="AZ4" s="56" t="s">
        <v>155</v>
      </c>
      <c r="BA4" s="56"/>
      <c r="BB4" s="56"/>
      <c r="BC4" s="57"/>
      <c r="BD4" s="58" t="s">
        <v>155</v>
      </c>
      <c r="BE4" s="59"/>
      <c r="BF4" s="58" t="s">
        <v>234</v>
      </c>
      <c r="BG4" s="58" t="s">
        <v>234</v>
      </c>
      <c r="BH4" s="58" t="s">
        <v>234</v>
      </c>
      <c r="BI4" s="58"/>
      <c r="BJ4" s="58"/>
      <c r="BK4" s="59"/>
      <c r="BL4" s="58" t="s">
        <v>151</v>
      </c>
      <c r="BM4" s="58" t="s">
        <v>152</v>
      </c>
      <c r="BN4" s="58" t="s">
        <v>234</v>
      </c>
      <c r="BO4" s="58" t="s">
        <v>154</v>
      </c>
      <c r="BP4" s="58" t="s">
        <v>155</v>
      </c>
      <c r="BQ4" s="58" t="s">
        <v>234</v>
      </c>
      <c r="BR4" s="58" t="s">
        <v>234</v>
      </c>
      <c r="BS4" s="58" t="s">
        <v>234</v>
      </c>
      <c r="BT4" s="58" t="s">
        <v>234</v>
      </c>
      <c r="BU4" s="60"/>
      <c r="BV4" s="61"/>
      <c r="BW4" s="61">
        <v>0</v>
      </c>
      <c r="BX4" s="59"/>
      <c r="CB4" s="5"/>
      <c r="CC4" s="5"/>
      <c r="CD4" s="62">
        <v>0</v>
      </c>
      <c r="CE4" s="62">
        <v>0</v>
      </c>
      <c r="CF4" s="62" t="e">
        <v>#REF!</v>
      </c>
      <c r="CG4" s="75" cm="1">
        <f t="array" ref="CG4">SUMPRODUCT(--(LEN(TRIM(BL4:BT4))&gt;0))</f>
        <v>4</v>
      </c>
      <c r="CH4" s="53" t="str">
        <f>IF(CG4=2,"y","n")</f>
        <v>n</v>
      </c>
      <c r="CI4" s="53" t="str">
        <f>IF(CG4=3,"y","n")</f>
        <v>n</v>
      </c>
      <c r="CJ4" s="53" t="str">
        <f>IF(CG4=4,"y","n")</f>
        <v>y</v>
      </c>
      <c r="CK4" s="53" t="str">
        <f>IF(CG4&gt;4,"y","n")</f>
        <v>n</v>
      </c>
      <c r="CL4" s="53" t="str">
        <f>IF(S4=0,"y","n")</f>
        <v>y</v>
      </c>
      <c r="CM4" s="53" t="str">
        <f>IF(S4=2,"y","n")</f>
        <v>n</v>
      </c>
      <c r="CN4" s="53" t="str">
        <f>IF(S4=3,"y","n")</f>
        <v>n</v>
      </c>
      <c r="CO4" s="53" t="str">
        <f>IF(S4&gt;=4,"y","n")</f>
        <v>n</v>
      </c>
      <c r="CP4" s="53" t="str">
        <f>IF(AT4=0,"y","n")</f>
        <v>n</v>
      </c>
      <c r="CQ4" s="53" t="str">
        <f>IF(AT4=1,"y","n")</f>
        <v>n</v>
      </c>
      <c r="CR4" s="53" t="str">
        <f>IF(AT4=2,"y","n")</f>
        <v>y</v>
      </c>
      <c r="CS4" s="53" t="str">
        <f>IF(AT4&gt;=3,"y","n")</f>
        <v>n</v>
      </c>
      <c r="CT4" s="38" t="str">
        <f>CHAR(34)&amp;A4&amp;CHAR(34)</f>
        <v>"[PER] Lima"</v>
      </c>
      <c r="CU4" s="63" t="str">
        <f>CHAR(34)&amp;"rgn_"&amp;R4&amp;CHAR(34)</f>
        <v>"rgn_South America"</v>
      </c>
      <c r="CV4" s="44" t="str">
        <f>CHAR(34)&amp;D4&amp;CHAR(34)</f>
        <v>"https://upload.wikimedia.org/wikipedia/commons/thumb/c/c2/Flag_of_Lima.svg/255px-Flag_of_Lima.svg.png"</v>
      </c>
      <c r="CW4" s="44" t="str">
        <f t="shared" si="0"/>
        <v/>
      </c>
      <c r="CX4" s="44" t="str">
        <f t="shared" si="0"/>
        <v/>
      </c>
      <c r="CY4" s="44" t="str">
        <f t="shared" si="0"/>
        <v>"4Color",</v>
      </c>
      <c r="CZ4" s="44" t="str">
        <f t="shared" si="0"/>
        <v/>
      </c>
      <c r="DA4" s="44" t="str">
        <f>IF(Q4&gt;1,CHAR(34)&amp;"words2"&amp;CHAR(34)&amp;",","")</f>
        <v/>
      </c>
      <c r="DB4" s="44" t="str">
        <f>IF(Q4&gt;2,CHAR(34)&amp;"words3"&amp;CHAR(34)&amp;",","")</f>
        <v/>
      </c>
      <c r="DC4" s="44" t="str">
        <f>IF(Q4=2,CHAR(34)&amp;"exact2"&amp;CHAR(34)&amp;",","")</f>
        <v/>
      </c>
      <c r="DD4" s="44"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"lets04",</v>
      </c>
      <c r="DE4" s="44"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"startL",</v>
      </c>
      <c r="DF4" s="44" t="str">
        <f>IFERROR(IF(SEARCH("tan",A4)&gt;0,CHAR(34)&amp;"withtn"&amp;CHAR(34)&amp;",",""),"")</f>
        <v/>
      </c>
      <c r="DG4" s="44" t="str">
        <f>IFERROR(IF(SEARCH("q",A4)&gt;0,CHAR(34)&amp;"with_q"&amp;CHAR(34)&amp;",",""),"")</f>
        <v/>
      </c>
      <c r="DH4" s="44" t="str">
        <f>IFERROR(IF(SEARCH("v",A4)&gt;0,CHAR(34)&amp;"with_v"&amp;CHAR(34)&amp;",",""),"")</f>
        <v/>
      </c>
      <c r="DI4" s="44" t="str">
        <f>IFERROR(IF(SEARCH("w",A4)&gt;0,CHAR(34)&amp;"with_w"&amp;CHAR(34)&amp;",",""),"")</f>
        <v/>
      </c>
      <c r="DJ4" s="44" t="str">
        <f>IFERROR(IF(SEARCH("y",A4)&gt;0,CHAR(34)&amp;"with_y"&amp;CHAR(34)&amp;",",""),"")</f>
        <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
      </c>
      <c r="DQ4" s="5" t="str">
        <f>IF(CC4="y",CHAR(34)&amp;"soviet"&amp;CHAR(34)&amp;",","")</f>
        <v/>
      </c>
      <c r="DR4" s="5" t="str">
        <f>IF(BY4="y",CHAR(34)&amp;"dgband"&amp;CHAR(34)&amp;",","")</f>
        <v/>
      </c>
      <c r="DS4" s="5" t="str">
        <f>IF(W4="y",IF(AND(V4="n",BY4&lt;&gt;"y"),CHAR(34)&amp;"allver"&amp;CHAR(34)&amp;",",""),"")</f>
        <v/>
      </c>
      <c r="DT4" s="5" t="str">
        <f>IF(V4="y",IF(AND(W4="n",BY4&lt;&gt;"y"),CHAR(34)&amp;"allhor"&amp;CHAR(34)&amp;",",""),"")</f>
        <v/>
      </c>
      <c r="DU4" s="5" t="str">
        <f>IF(BY4="y",IF(AND(W4="n",V4="n"),CHAR(34)&amp;"alldia"&amp;CHAR(34)&amp;",",""),"")</f>
        <v/>
      </c>
      <c r="DV4" s="44" t="str">
        <f>IF(IA4&lt;&gt;"",(IF(IA4="y",CHAR(34)&amp;"largec"&amp;CHAR(34)&amp;",",CHAR(34)&amp;"smallc"&amp;CHAR(34)&amp;",")),"")</f>
        <v/>
      </c>
      <c r="DW4" s="44" t="str">
        <f t="shared" si="1"/>
        <v>"NoBand",</v>
      </c>
      <c r="DX4" s="44" t="str">
        <f t="shared" si="1"/>
        <v/>
      </c>
      <c r="DY4" s="44" t="str">
        <f t="shared" si="1"/>
        <v/>
      </c>
      <c r="DZ4" s="44" t="str">
        <f t="shared" si="1"/>
        <v/>
      </c>
      <c r="EA4" s="44" t="str">
        <f t="shared" si="2"/>
        <v/>
      </c>
      <c r="EB4" s="44" t="str">
        <f t="shared" si="2"/>
        <v/>
      </c>
      <c r="EC4" s="44" t="str">
        <f t="shared" si="2"/>
        <v/>
      </c>
      <c r="ED4" s="44" t="str">
        <f t="shared" si="2"/>
        <v/>
      </c>
      <c r="EE4" s="44" t="str">
        <f t="shared" si="2"/>
        <v/>
      </c>
      <c r="EF4" s="44" t="str">
        <f>IF(AND(Y4&lt;&gt;"n",Y4&lt;&gt;""),CHAR(34)&amp;Y$1&amp;CHAR(34)&amp;",","")</f>
        <v>"Animal",</v>
      </c>
      <c r="EG4" s="44" t="str">
        <f t="shared" si="3"/>
        <v>"Bird",</v>
      </c>
      <c r="EH4" s="44" t="str">
        <f t="shared" si="3"/>
        <v/>
      </c>
      <c r="EI4" s="44" t="str">
        <f t="shared" si="3"/>
        <v>"Texted",</v>
      </c>
      <c r="EJ4" s="44" t="str">
        <f t="shared" si="3"/>
        <v/>
      </c>
      <c r="EK4" s="44" t="str">
        <f t="shared" si="3"/>
        <v/>
      </c>
      <c r="EL4" s="44" t="str">
        <f t="shared" si="3"/>
        <v/>
      </c>
      <c r="EM4" s="44" t="str">
        <f t="shared" si="3"/>
        <v/>
      </c>
      <c r="EN4" s="44" t="str">
        <f t="shared" si="3"/>
        <v/>
      </c>
      <c r="EO4" s="44" t="str">
        <f t="shared" si="3"/>
        <v>"Center",</v>
      </c>
      <c r="EP4" s="44" t="str">
        <f t="shared" si="3"/>
        <v/>
      </c>
      <c r="EQ4" s="44" t="str">
        <f t="shared" si="4"/>
        <v/>
      </c>
      <c r="ER4" s="44" t="str">
        <f t="shared" si="4"/>
        <v/>
      </c>
      <c r="ES4" s="44" t="str">
        <f t="shared" si="4"/>
        <v/>
      </c>
      <c r="ET4" s="44" t="str">
        <f t="shared" si="4"/>
        <v/>
      </c>
      <c r="EU4" s="44" t="str">
        <f t="shared" si="4"/>
        <v/>
      </c>
      <c r="EV4" s="44" t="str">
        <f t="shared" si="4"/>
        <v/>
      </c>
      <c r="EW4" s="44" t="str">
        <f t="shared" si="4"/>
        <v/>
      </c>
      <c r="EX4" s="44" t="str">
        <f t="shared" si="4"/>
        <v>"Crowns",</v>
      </c>
      <c r="EY4" s="44" t="str">
        <f t="shared" si="4"/>
        <v/>
      </c>
      <c r="EZ4" s="44" t="str">
        <f t="shared" si="4"/>
        <v/>
      </c>
      <c r="FA4" s="44" t="str">
        <f>IF(AT4&gt;0,CHAR(34)&amp;"sta"&amp;AZ4&amp;CHAR(34)&amp;",","")</f>
        <v>"staYEL",</v>
      </c>
      <c r="FB4" s="44" t="str">
        <f>IF(AND(AT4&gt;0,BA4&lt;&gt;""),CHAR(34)&amp;"sta"&amp;BA4&amp;CHAR(34)&amp;",","")</f>
        <v/>
      </c>
      <c r="FC4" s="44" t="str">
        <f>IF(AND(AT4&gt;0,BB4&lt;&gt;""),CHAR(34)&amp;"sta"&amp;BB4&amp;CHAR(34)&amp;",","")</f>
        <v/>
      </c>
      <c r="FD4" s="44" t="str">
        <f>IF(BV4="n",CHAR(34)&amp;"tcWHYE"&amp;CHAR(34)&amp;",",IF(BV4="y",CHAR(34)&amp;FD$1&amp;CHAR(34)&amp;",",""))</f>
        <v/>
      </c>
      <c r="FE4" s="44" t="str">
        <f>IF(COUNTIF(BL4:BT4,"BLU")=0,CHAR(34)&amp;"NO_BLU"&amp;CHAR(34)&amp;",", "")</f>
        <v/>
      </c>
      <c r="FF4" s="44" t="str">
        <f>IF(COUNTIF(BL4:BT4,"WHI")=0,CHAR(34)&amp;"NO_WHI"&amp;CHAR(34)&amp;",", "")</f>
        <v>"NO_WHI",</v>
      </c>
      <c r="FG4" s="44" t="str">
        <f>IF(COUNTIF(BL4:BT4,"RED")=0,CHAR(34)&amp;"NO_RED"&amp;CHAR(34)&amp;",", "")</f>
        <v/>
      </c>
      <c r="FH4" s="44" t="str">
        <f>IF(COUNTIF(BL4:BS4,"GRE")=0,CHAR(34)&amp;"NO_GRE"&amp;CHAR(34)&amp;",", "")</f>
        <v>"NO_GRE",</v>
      </c>
      <c r="FI4" s="44" t="str">
        <f>IF(COUNTIF(BL4:BT4,"YEL")=0,CHAR(34)&amp;"NO_YEL"&amp;CHAR(34)&amp;",", "")</f>
        <v/>
      </c>
      <c r="FJ4" s="44" t="str">
        <f>IF(COUNTIF(BL4:BT4,"BLA")=0,CHAR(34)&amp;"NO_BLA"&amp;CHAR(34)&amp;",", "")</f>
        <v/>
      </c>
      <c r="FK4" s="44" t="str">
        <f>IF(AND(FH4&lt;&gt;"",FF4&lt;&gt;""),CHAR(34)&amp;"WHGRNO"&amp;CHAR(34)&amp;",","")</f>
        <v>"WHGRNO",</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"WHRENO",</v>
      </c>
      <c r="FQ4" s="44" t="str">
        <f>IF(LEN(BF4)=3,CHAR(34)&amp;"001"&amp;BF4&amp;CHAR(34)&amp;",","")</f>
        <v/>
      </c>
      <c r="FR4" s="44" t="str">
        <f>IF(LEN(BG4)=3,CHAR(34)&amp;"002"&amp;BG4&amp;CHAR(34)&amp;",","")</f>
        <v/>
      </c>
      <c r="FS4" s="44" t="str">
        <f>IF(LEN(BH4)=3,CHAR(34)&amp;"003"&amp;BH4&amp;CHAR(34)&amp;",","")</f>
        <v/>
      </c>
      <c r="FT4" s="44" t="str">
        <f>CHAR(34)&amp;"myr"&amp;BD4&amp;CHAR(34)&amp;","</f>
        <v>"myrYEL",</v>
      </c>
      <c r="FU4" s="44" t="str">
        <f>IF(AY4="y",CHAR(34)&amp;"island"&amp;CHAR(34)&amp;",","")</f>
        <v/>
      </c>
      <c r="FV4" s="44" t="str">
        <f>IF(BZ4="y",CHAR(34)&amp;"landlo"&amp;CHAR(34)&amp;",","")</f>
        <v/>
      </c>
      <c r="FW4" s="44" t="str">
        <f>IF(CA4="y",CHAR(34)&amp;"eunion"&amp;CHAR(34)&amp;",","")</f>
        <v/>
      </c>
      <c r="FX4" s="44" t="str">
        <f>SUBSTITUTE(IFERROR(SEARCH("[",A4),IFERROR(IF(AND(CA4&lt;&gt;"y",SEARCH("Europe",R4)&gt;0),CHAR(34)&amp;"noeuni"&amp;CHAR(34)&amp;",",""),"")),"1","")</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C4" s="44" t="str">
        <f>IFERROR(IF(SEARCH("Portuguese",CB4)&gt;0,CHAR(34)&amp;"portug"&amp;CHAR(34)&amp;",",""),"")</f>
        <v/>
      </c>
      <c r="GD4" s="44" t="str">
        <f>IFERROR(IF(SEARCH("German",CB4)&gt;0,CHAR(34)&amp;"german"&amp;CHAR(34)&amp;",",""),"")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
      </c>
      <c r="GK4" s="44" t="str">
        <f>IF(GJ4="",CHAR(34)&amp;"HasSta"&amp;CHAR(34)&amp;",","")</f>
        <v>"HasSta",</v>
      </c>
      <c r="GL4" s="44" t="str">
        <f t="shared" si="5"/>
        <v/>
      </c>
      <c r="GM4" s="44" t="str">
        <f t="shared" si="5"/>
        <v>"2Stars",</v>
      </c>
      <c r="GN4" s="44" t="str">
        <f t="shared" si="5"/>
        <v/>
      </c>
      <c r="GP4" s="44" t="str">
        <f>CHAR(34)&amp;AU4&amp;CHAR(34)</f>
        <v>"City"</v>
      </c>
      <c r="GS4" s="44" t="str">
        <f>SUBSTITUTE("["&amp;_xlfn.CONCAT(CW4:GN4)&amp;"]",",]","]")</f>
        <v>["4Color","lets04","startL","NoBand","Animal","Bird","Texted","Center","Crowns","staYEL","NO_WHI","NO_GRE","WHGRNO","WHRENO","myrYEL","HasSta","2Stars"]</v>
      </c>
      <c r="GT4" s="44" t="str">
        <f t="shared" si="6"/>
        <v>"cl_BLA",</v>
      </c>
      <c r="GU4" s="44" t="str">
        <f t="shared" si="6"/>
        <v>"cl_BLU",</v>
      </c>
      <c r="GV4" s="44" t="str">
        <f t="shared" si="6"/>
        <v/>
      </c>
      <c r="GW4" s="44" t="str">
        <f t="shared" si="6"/>
        <v>"cl_RED",</v>
      </c>
      <c r="GX4" s="44" t="str">
        <f t="shared" si="6"/>
        <v>"cl_YEL",</v>
      </c>
      <c r="GY4" s="44" t="str">
        <f t="shared" si="6"/>
        <v/>
      </c>
      <c r="GZ4" s="44" t="str">
        <f t="shared" si="6"/>
        <v/>
      </c>
      <c r="HA4" s="44" t="str">
        <f t="shared" si="6"/>
        <v/>
      </c>
      <c r="HB4" s="44" t="str">
        <f t="shared" si="6"/>
        <v/>
      </c>
      <c r="HC4" s="44" t="str">
        <f>SUBSTITUTE("["&amp;_xlfn.CONCAT(GT4:HB4)&amp;"]",",]","]")</f>
        <v>["cl_BLA","cl_BLU","cl_RED","cl_YEL"]</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links: "https://en.wikipedia.org/wiki/Flag_of_Lima"},</v>
      </c>
      <c r="HG4" s="66" t="str">
        <f>"{couname:"&amp;CT4&amp;(IF(HK4&lt;&gt;"",",subtype:"&amp;CHAR(34)&amp;HK4&amp;CHAR(34),""))&amp;",year:"&amp;HJ4&amp;",region:"&amp;CU4&amp;",Colors:"&amp;HC4&amp;",Items:"&amp;GS4&amp;",Flag:"&amp;CV4&amp;",HDFlag:"&amp;CHAR(34)&amp;E4&amp;CHAR(34)&amp;",type:"&amp;GP4&amp;", describe: "&amp;HI4&amp;", links: "&amp;HL4&amp;"},"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links: "https://en.wikipedia.org/wiki/Flag_of_Lima"},</v>
      </c>
      <c r="HH4" s="44" t="str">
        <f>IF(P4&lt;&gt;"",CHAR(34)&amp;"\n"&amp;P4&amp;CHAR(34),CHAR(34)&amp;CHAR(34))</f>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I4" s="44" t="str">
        <f>IF(J4=0,CHAR(34)&amp;CHAR(34),HH4)</f>
        <v>"\nIt consists of a gold background with the coat of arms in the center. The coat of arms consists of a blue shield with tree crowns and a star, surrounded by a red border with the motto Hoc signum vere regum est, loosely translated from Latin as Truly this is the sign of the king."</v>
      </c>
      <c r="HJ4" s="44" t="str">
        <f>CHAR(34)&amp;O4&amp;CHAR(34)</f>
        <v>"???"</v>
      </c>
      <c r="HL4" s="44" t="str">
        <f>CHAR(34)&amp;I4&amp;CHAR(34)</f>
        <v>"https://en.wikipedia.org/wiki/Flag_of_Lima"</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{"couname":"[PER] Lima","year":"???","region":"rgn_South America","Colors":["cl_BLA","cl_BLU","cl_RED","cl_YEL"],"Items":["4Color","lets04","startL","NoBand","Animal","Bird","Texted","Center","Crowns","staYEL","NO_WHI","NO_GRE","WHGRNO","WHRENO","myrYEL","HasSta","2Stars"],"Flag":"https://upload.wikimedia.org/wikipedia/commons/thumb/c/c2/Flag_of_Lima.svg/255px-Flag_of_Lima.svg.png","HDFlag":"https://upload.wikimedia.org/wikipedia/commons/thumb/c/c2/Flag_of_Lima.svg/2560px-Flag_of_Lima.svg.png","type":"City", "describe": "\nIt consists of a gold background with the coat of arms in the center. The coat of arms consists of a blue shield with tree crowns and a star, surrounded by a red border with the motto Hoc signum vere regum est, loosely translated from Latin as Truly this is the sign of the king.", "isnew": ".", "links": "https://en.wikipedia.org/wiki/Flag_of_Lima"},</v>
      </c>
      <c r="HO4" s="71">
        <v>45576</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
      </c>
      <c r="HY4" s="72"/>
      <c r="HZ4" s="72"/>
      <c r="IA4" s="5"/>
      <c r="IB4" s="5"/>
      <c r="IC4" s="68"/>
      <c r="ID4" s="68"/>
      <c r="IE4" s="68"/>
      <c r="IF4" s="68"/>
      <c r="IG4" s="68"/>
      <c r="IH4" s="68"/>
      <c r="II4" s="68"/>
      <c r="IJ4" s="68"/>
      <c r="IK4" s="68"/>
      <c r="IL4" s="44">
        <f>SUM(IC4:IK4)</f>
        <v>0</v>
      </c>
      <c r="IM4" s="42">
        <f>COUNTIF(IC4:IK4,"&gt;0")-CG4</f>
        <v>-4</v>
      </c>
      <c r="IN4" s="69" t="str">
        <f>"http://mkweb.bcgsc.ca/color-summarizer/?url="&amp;D4&amp;"&amp;precision=low&amp;num_clusters="&amp;CG4&amp;"&amp;text=1"</f>
        <v>http://mkweb.bcgsc.ca/color-summarizer/?url=https://upload.wikimedia.org/wikipedia/commons/thumb/c/c2/Flag_of_Lima.svg/255px-Flag_of_Lima.svg.png&amp;precision=low&amp;num_clusters=4&amp;text=1</v>
      </c>
      <c r="IO4" s="44" t="str">
        <f>IF(HP4&lt;&gt;"",CHAR(34)&amp;"black"&amp;CHAR(34),"")</f>
        <v>"black"</v>
      </c>
      <c r="IP4" s="44" t="str">
        <f>IF(HQ4&lt;&gt;"",CHAR(34)&amp;"blue"&amp;CHAR(34),"")</f>
        <v>"blue"</v>
      </c>
      <c r="IQ4" s="44" t="str">
        <f>IF(HR4&lt;&gt;"",CHAR(34)&amp;"green"&amp;CHAR(34),"")</f>
        <v/>
      </c>
      <c r="IR4" s="44" t="str">
        <f>IF(HS4&lt;&gt;"",CHAR(34)&amp;"red"&amp;CHAR(34),"")</f>
        <v>"red"</v>
      </c>
      <c r="IS4" s="44" t="str">
        <f>IF(HT4&lt;&gt;"",CHAR(34)&amp;"yellow"&amp;CHAR(34),"")</f>
        <v>"yellow"</v>
      </c>
      <c r="IT4" s="44" t="str">
        <f>IF(HU4&lt;&gt;"",CHAR(34)&amp;"orange"&amp;CHAR(34),"")</f>
        <v/>
      </c>
      <c r="IU4" s="44" t="str">
        <f>IF(HV4&lt;&gt;"",CHAR(34)&amp;"brown"&amp;CHAR(34),"")</f>
        <v/>
      </c>
      <c r="IV4" s="44" t="str">
        <f>IF(HW4&lt;&gt;"",CHAR(34)&amp;"purple"&amp;CHAR(34),"")</f>
        <v/>
      </c>
      <c r="IW4" s="44" t="str">
        <f>IF(HX4&lt;&gt;"",CHAR(34)&amp;"white"&amp;CHAR(34),"")</f>
        <v/>
      </c>
      <c r="IX4" s="44" t="str">
        <f>"{"&amp;CHAR(34)&amp;"url"&amp;CHAR(34)&amp;":"&amp;CHAR(34)&amp;IN4&amp;CHAR(34)&amp;","&amp;CHAR(34)&amp;"name"&amp;CHAR(34)&amp;":"&amp;CHAR(34)&amp;A4&amp;CHAR(34)&amp;"},"</f>
        <v>{"url":"http://mkweb.bcgsc.ca/color-summarizer/?url=https://upload.wikimedia.org/wikipedia/commons/thumb/c/c2/Flag_of_Lima.svg/255px-Flag_of_Lima.svg.png&amp;precision=low&amp;num_clusters=4&amp;text=1","name":"[PER] Lima"},</v>
      </c>
      <c r="IY4" s="44">
        <v>692</v>
      </c>
    </row>
  </sheetData>
  <autoFilter ref="A1:IY4" xr:uid="{A1051193-A95B-4CFB-A73C-F0184620C81F}">
    <sortState xmlns:xlrd2="http://schemas.microsoft.com/office/spreadsheetml/2017/richdata2" ref="A2:IY4">
      <sortCondition ref="AW1:AW4"/>
    </sortState>
  </autoFilter>
  <conditionalFormatting sqref="H1 CW1:GS1 IA1:IB1">
    <cfRule type="cellIs" dxfId="355" priority="77" operator="greaterThan">
      <formula>0</formula>
    </cfRule>
  </conditionalFormatting>
  <conditionalFormatting sqref="H1:H1048576">
    <cfRule type="cellIs" dxfId="354" priority="17" stopIfTrue="1" operator="notEqual">
      <formula>""</formula>
    </cfRule>
  </conditionalFormatting>
  <conditionalFormatting sqref="R2:R4 CU2:CU4">
    <cfRule type="cellIs" dxfId="353" priority="19" operator="greaterThan">
      <formula>0</formula>
    </cfRule>
  </conditionalFormatting>
  <conditionalFormatting sqref="T2:AS4 CH2:CS4">
    <cfRule type="cellIs" dxfId="352" priority="14" stopIfTrue="1" operator="equal">
      <formula>"n"</formula>
    </cfRule>
    <cfRule type="cellIs" dxfId="351" priority="15" stopIfTrue="1" operator="equal">
      <formula>"y"</formula>
    </cfRule>
    <cfRule type="cellIs" dxfId="350" priority="16" operator="greaterThan">
      <formula>0</formula>
    </cfRule>
  </conditionalFormatting>
  <conditionalFormatting sqref="T1:BK1">
    <cfRule type="cellIs" dxfId="349" priority="80" operator="greaterThan">
      <formula>0</formula>
    </cfRule>
  </conditionalFormatting>
  <conditionalFormatting sqref="AT4">
    <cfRule type="colorScale" priority="12">
      <colorScale>
        <cfvo type="min"/>
        <cfvo type="max"/>
        <color rgb="FFFCFCFF"/>
        <color theme="8" tint="0.39997558519241921"/>
      </colorScale>
    </cfRule>
  </conditionalFormatting>
  <conditionalFormatting sqref="AZ2:BB4">
    <cfRule type="expression" dxfId="348" priority="13">
      <formula>$AT2=0</formula>
    </cfRule>
  </conditionalFormatting>
  <conditionalFormatting sqref="AZ2:BU4">
    <cfRule type="cellIs" dxfId="347" priority="55" operator="equal">
      <formula>"PIN"</formula>
    </cfRule>
    <cfRule type="cellIs" dxfId="346" priority="56" operator="equal">
      <formula>"ORA"</formula>
    </cfRule>
    <cfRule type="cellIs" dxfId="345" priority="57" operator="equal">
      <formula>"GRA"</formula>
    </cfRule>
    <cfRule type="cellIs" dxfId="344" priority="58" operator="equal">
      <formula>"PUR"</formula>
    </cfRule>
    <cfRule type="cellIs" dxfId="343" priority="59" operator="equal">
      <formula>"BRO"</formula>
    </cfRule>
    <cfRule type="cellIs" dxfId="342" priority="60" operator="equal">
      <formula>"YEL"</formula>
    </cfRule>
    <cfRule type="cellIs" dxfId="341" priority="61" operator="equal">
      <formula>"BLU"</formula>
    </cfRule>
    <cfRule type="cellIs" dxfId="340" priority="62" operator="equal">
      <formula>"WHI"</formula>
    </cfRule>
    <cfRule type="cellIs" dxfId="339" priority="63" operator="equal">
      <formula>"GRE"</formula>
    </cfRule>
    <cfRule type="cellIs" dxfId="338" priority="64" operator="equal">
      <formula>"RED"</formula>
    </cfRule>
    <cfRule type="cellIs" dxfId="337" priority="65" operator="equal">
      <formula>"BLA"</formula>
    </cfRule>
  </conditionalFormatting>
  <conditionalFormatting sqref="AZ4:BU4">
    <cfRule type="cellIs" dxfId="336" priority="1" operator="equal">
      <formula>"PIN"</formula>
    </cfRule>
    <cfRule type="cellIs" dxfId="335" priority="2" operator="equal">
      <formula>"ORA"</formula>
    </cfRule>
    <cfRule type="cellIs" dxfId="334" priority="3" operator="equal">
      <formula>"GRA"</formula>
    </cfRule>
    <cfRule type="cellIs" dxfId="333" priority="4" operator="equal">
      <formula>"PUR"</formula>
    </cfRule>
    <cfRule type="cellIs" dxfId="332" priority="5" operator="equal">
      <formula>"BRO"</formula>
    </cfRule>
    <cfRule type="cellIs" dxfId="331" priority="6" operator="equal">
      <formula>"YEL"</formula>
    </cfRule>
    <cfRule type="cellIs" dxfId="330" priority="7" operator="equal">
      <formula>"BLU"</formula>
    </cfRule>
    <cfRule type="cellIs" dxfId="329" priority="8" operator="equal">
      <formula>"WHI"</formula>
    </cfRule>
    <cfRule type="cellIs" dxfId="328" priority="9" operator="equal">
      <formula>"GRE"</formula>
    </cfRule>
    <cfRule type="cellIs" dxfId="327" priority="10" operator="equal">
      <formula>"RED"</formula>
    </cfRule>
    <cfRule type="cellIs" dxfId="326" priority="11" operator="equal">
      <formula>"BLA"</formula>
    </cfRule>
  </conditionalFormatting>
  <conditionalFormatting sqref="BV1:BW1 BV5:BW1048576 BV2:BV4">
    <cfRule type="cellIs" dxfId="325" priority="79" operator="equal">
      <formula>"nc"</formula>
    </cfRule>
  </conditionalFormatting>
  <conditionalFormatting sqref="BX2:CA4 CD2:CF4">
    <cfRule type="cellIs" dxfId="324" priority="18" operator="equal">
      <formula>"y"</formula>
    </cfRule>
    <cfRule type="cellIs" dxfId="323" priority="66" operator="equal">
      <formula>"PIN"</formula>
    </cfRule>
    <cfRule type="cellIs" dxfId="322" priority="67" operator="equal">
      <formula>"ORA"</formula>
    </cfRule>
    <cfRule type="cellIs" dxfId="321" priority="68" operator="equal">
      <formula>"GRA"</formula>
    </cfRule>
    <cfRule type="cellIs" dxfId="320" priority="69" operator="equal">
      <formula>"PUR"</formula>
    </cfRule>
    <cfRule type="cellIs" dxfId="319" priority="70" operator="equal">
      <formula>"BRO"</formula>
    </cfRule>
    <cfRule type="cellIs" dxfId="318" priority="71" operator="equal">
      <formula>"YEL"</formula>
    </cfRule>
    <cfRule type="cellIs" dxfId="317" priority="72" operator="equal">
      <formula>"BLU"</formula>
    </cfRule>
    <cfRule type="cellIs" dxfId="316" priority="73" operator="equal">
      <formula>"WHI"</formula>
    </cfRule>
    <cfRule type="cellIs" dxfId="315" priority="74" operator="equal">
      <formula>"GRE"</formula>
    </cfRule>
    <cfRule type="cellIs" dxfId="314" priority="75" operator="equal">
      <formula>"RED"</formula>
    </cfRule>
    <cfRule type="cellIs" dxfId="313" priority="76" operator="equal">
      <formula>"BLA"</formula>
    </cfRule>
  </conditionalFormatting>
  <conditionalFormatting sqref="BZ2:CA4 CD2:CF4">
    <cfRule type="cellIs" dxfId="312" priority="20" operator="greaterThan">
      <formula>0</formula>
    </cfRule>
  </conditionalFormatting>
  <conditionalFormatting sqref="HF1:HG1">
    <cfRule type="cellIs" dxfId="311" priority="81" operator="greaterThan">
      <formula>0</formula>
    </cfRule>
  </conditionalFormatting>
  <conditionalFormatting sqref="HK1">
    <cfRule type="cellIs" dxfId="310" priority="78" operator="greaterThan">
      <formula>0</formula>
    </cfRule>
  </conditionalFormatting>
  <conditionalFormatting sqref="HP1:HX1">
    <cfRule type="cellIs" dxfId="309" priority="32" operator="equal">
      <formula>"PIN"</formula>
    </cfRule>
    <cfRule type="cellIs" dxfId="308" priority="33" operator="equal">
      <formula>"ORA"</formula>
    </cfRule>
    <cfRule type="cellIs" dxfId="307" priority="34" operator="equal">
      <formula>"GRA"</formula>
    </cfRule>
    <cfRule type="cellIs" dxfId="306" priority="35" operator="equal">
      <formula>"PUR"</formula>
    </cfRule>
    <cfRule type="cellIs" dxfId="305" priority="36" operator="equal">
      <formula>"BRO"</formula>
    </cfRule>
    <cfRule type="cellIs" dxfId="304" priority="37" operator="equal">
      <formula>"YEL"</formula>
    </cfRule>
    <cfRule type="cellIs" dxfId="303" priority="38" operator="equal">
      <formula>"BLU"</formula>
    </cfRule>
    <cfRule type="cellIs" dxfId="302" priority="39" operator="equal">
      <formula>"WHI"</formula>
    </cfRule>
    <cfRule type="cellIs" dxfId="301" priority="40" operator="equal">
      <formula>"GRE"</formula>
    </cfRule>
    <cfRule type="cellIs" dxfId="300" priority="41" operator="equal">
      <formula>"RED"</formula>
    </cfRule>
    <cfRule type="cellIs" dxfId="299" priority="42" operator="equal">
      <formula>"BLA"</formula>
    </cfRule>
  </conditionalFormatting>
  <conditionalFormatting sqref="IC1:IK1">
    <cfRule type="cellIs" dxfId="298" priority="44" operator="equal">
      <formula>"PIN"</formula>
    </cfRule>
    <cfRule type="cellIs" dxfId="297" priority="45" operator="equal">
      <formula>"ORA"</formula>
    </cfRule>
    <cfRule type="cellIs" dxfId="296" priority="46" operator="equal">
      <formula>"GRA"</formula>
    </cfRule>
    <cfRule type="cellIs" dxfId="295" priority="47" operator="equal">
      <formula>"PUR"</formula>
    </cfRule>
    <cfRule type="cellIs" dxfId="294" priority="48" operator="equal">
      <formula>"BRO"</formula>
    </cfRule>
    <cfRule type="cellIs" dxfId="293" priority="49" operator="equal">
      <formula>"YEL"</formula>
    </cfRule>
    <cfRule type="cellIs" dxfId="292" priority="50" operator="equal">
      <formula>"BLU"</formula>
    </cfRule>
    <cfRule type="cellIs" dxfId="291" priority="51" operator="equal">
      <formula>"WHI"</formula>
    </cfRule>
    <cfRule type="cellIs" dxfId="290" priority="52" operator="equal">
      <formula>"GRE"</formula>
    </cfRule>
    <cfRule type="cellIs" dxfId="289" priority="53" operator="equal">
      <formula>"RED"</formula>
    </cfRule>
    <cfRule type="cellIs" dxfId="288" priority="54" operator="equal">
      <formula>"BLA"</formula>
    </cfRule>
  </conditionalFormatting>
  <conditionalFormatting sqref="IC2:IK4">
    <cfRule type="expression" dxfId="287" priority="43">
      <formula>$IL2&gt;0</formula>
    </cfRule>
  </conditionalFormatting>
  <conditionalFormatting sqref="IO1:IW1">
    <cfRule type="cellIs" dxfId="286" priority="21" operator="equal">
      <formula>"PIN"</formula>
    </cfRule>
    <cfRule type="cellIs" dxfId="285" priority="22" operator="equal">
      <formula>"ORA"</formula>
    </cfRule>
    <cfRule type="cellIs" dxfId="284" priority="23" operator="equal">
      <formula>"GRA"</formula>
    </cfRule>
    <cfRule type="cellIs" dxfId="283" priority="24" operator="equal">
      <formula>"PUR"</formula>
    </cfRule>
    <cfRule type="cellIs" dxfId="282" priority="25" operator="equal">
      <formula>"BRO"</formula>
    </cfRule>
    <cfRule type="cellIs" dxfId="281" priority="26" operator="equal">
      <formula>"YEL"</formula>
    </cfRule>
    <cfRule type="cellIs" dxfId="280" priority="27" operator="equal">
      <formula>"BLU"</formula>
    </cfRule>
    <cfRule type="cellIs" dxfId="279" priority="28" operator="equal">
      <formula>"WHI"</formula>
    </cfRule>
    <cfRule type="cellIs" dxfId="278" priority="29" operator="equal">
      <formula>"GRE"</formula>
    </cfRule>
    <cfRule type="cellIs" dxfId="277" priority="30" operator="equal">
      <formula>"RED"</formula>
    </cfRule>
    <cfRule type="cellIs" dxfId="276" priority="31" operator="equal">
      <formula>"BLA"</formula>
    </cfRule>
  </conditionalFormatting>
  <conditionalFormatting sqref="J2:J4">
    <cfRule type="colorScale" priority="1710">
      <colorScale>
        <cfvo type="min"/>
        <cfvo type="percentile" val="50"/>
        <cfvo type="max"/>
        <color rgb="FFF8696B"/>
        <color rgb="FFFFEB84"/>
        <color rgb="FF63BE7B"/>
      </colorScale>
    </cfRule>
  </conditionalFormatting>
  <conditionalFormatting sqref="S2:S4">
    <cfRule type="colorScale" priority="1711">
      <colorScale>
        <cfvo type="min"/>
        <cfvo type="max"/>
        <color rgb="FFFCFCFF"/>
        <color rgb="FF754BFB"/>
      </colorScale>
    </cfRule>
  </conditionalFormatting>
  <conditionalFormatting sqref="AT2:AT4">
    <cfRule type="colorScale" priority="1712">
      <colorScale>
        <cfvo type="min"/>
        <cfvo type="max"/>
        <color rgb="FFFCFCFF"/>
        <color theme="8" tint="0.39997558519241921"/>
      </colorScale>
    </cfRule>
  </conditionalFormatting>
  <conditionalFormatting sqref="CG2:CG4">
    <cfRule type="colorScale" priority="1713">
      <colorScale>
        <cfvo type="min"/>
        <cfvo type="max"/>
        <color rgb="FFFCFCFF"/>
        <color rgb="FF63BE7B"/>
      </colorScale>
    </cfRule>
  </conditionalFormatting>
  <hyperlinks>
    <hyperlink ref="A2" r:id="rId1" display="https://fbref.com/en/country/PER/Peru-Football" xr:uid="{06D37F10-BB14-4AC7-8819-D1508DB5C5D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4338" r:id="rId6"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4339" r:id="rId7" name="Button 3">
              <controlPr defaultSize="0" print="0" autoFill="0" autoPict="0" macro="[0]!GoToSheet">
                <anchor moveWithCells="1" sizeWithCells="1">
                  <from>
                    <xdr:col>0</xdr:col>
                    <xdr:colOff>0</xdr:colOff>
                    <xdr:row>0</xdr:row>
                    <xdr:rowOff>91440</xdr:rowOff>
                  </from>
                  <to>
                    <xdr:col>0</xdr:col>
                    <xdr:colOff>624840</xdr:colOff>
                    <xdr:row>0</xdr:row>
                    <xdr:rowOff>396240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5EE1E-2B13-4AFD-8F0F-DD47DC3A20B8}">
  <sheetPr codeName="Sheet12"/>
  <dimension ref="A1:IY4"/>
  <sheetViews>
    <sheetView zoomScale="70" zoomScaleNormal="70" workbookViewId="0">
      <pane xSplit="5" ySplit="1" topLeftCell="F2" activePane="bottomRight" state="frozen"/>
      <selection pane="topRight" activeCell="F1" sqref="F1"/>
      <selection pane="bottomLeft" activeCell="A2" sqref="A2"/>
      <selection pane="bottomRight" activeCell="B3" sqref="B3"/>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244</v>
      </c>
      <c r="B2" s="83" t="e" vm="88">
        <v>#VALUE!</v>
      </c>
      <c r="C2" s="39">
        <v>1</v>
      </c>
      <c r="D2" s="70" t="s">
        <v>245</v>
      </c>
      <c r="E2" s="40" t="s">
        <v>246</v>
      </c>
      <c r="F2" s="41" t="s">
        <v>163</v>
      </c>
      <c r="G2" s="42">
        <f>COUNTIF($A$1:$A$8281,A2)</f>
        <v>1</v>
      </c>
      <c r="H2" s="43"/>
      <c r="I2" s="59" t="s">
        <v>247</v>
      </c>
      <c r="J2" s="44" t="str">
        <f>""</f>
        <v/>
      </c>
      <c r="K2" s="45">
        <v>6861000</v>
      </c>
      <c r="L2" s="46">
        <v>1200000</v>
      </c>
      <c r="M2" s="46" t="s">
        <v>1973</v>
      </c>
      <c r="N2" s="47" t="s">
        <v>177</v>
      </c>
      <c r="O2" s="74" t="s">
        <v>248</v>
      </c>
      <c r="P2" s="48" t="s">
        <v>249</v>
      </c>
      <c r="Q2" s="73">
        <v>1</v>
      </c>
      <c r="R2" s="49" t="s">
        <v>177</v>
      </c>
      <c r="S2" s="50">
        <v>3</v>
      </c>
      <c r="T2" s="51" t="s">
        <v>164</v>
      </c>
      <c r="U2" s="52" t="s">
        <v>164</v>
      </c>
      <c r="V2" s="52" t="s">
        <v>165</v>
      </c>
      <c r="W2" s="52" t="s">
        <v>164</v>
      </c>
      <c r="X2" s="52" t="s">
        <v>165</v>
      </c>
      <c r="Y2" s="52" t="s">
        <v>164</v>
      </c>
      <c r="Z2" s="52" t="s">
        <v>164</v>
      </c>
      <c r="AA2" s="52" t="s">
        <v>165</v>
      </c>
      <c r="AB2" s="52" t="s">
        <v>165</v>
      </c>
      <c r="AC2" s="52" t="s">
        <v>164</v>
      </c>
      <c r="AD2" s="52" t="s">
        <v>164</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1</v>
      </c>
      <c r="AU2" s="53"/>
      <c r="AV2" s="53" t="str">
        <f>IF(LEFT(A2,1)="[",LEFT(A2,5)&amp;AU2&amp;A2,"")</f>
        <v/>
      </c>
      <c r="AW2" s="53" t="str">
        <f>C2&amp;A2</f>
        <v>1Paraguay</v>
      </c>
      <c r="AX2" s="55" t="str">
        <f>_xlfn.TEXTJOIN(";",TRUE,AU2:AW2)</f>
        <v>1Paraguay</v>
      </c>
      <c r="AY2" s="55"/>
      <c r="AZ2" s="56" t="s">
        <v>155</v>
      </c>
      <c r="BA2" s="56"/>
      <c r="BB2" s="56"/>
      <c r="BC2" s="57"/>
      <c r="BD2" s="58" t="s">
        <v>167</v>
      </c>
      <c r="BE2" s="59"/>
      <c r="BF2" s="58" t="s">
        <v>154</v>
      </c>
      <c r="BG2" s="58" t="s">
        <v>159</v>
      </c>
      <c r="BH2" s="58" t="s">
        <v>152</v>
      </c>
      <c r="BI2" s="58"/>
      <c r="BJ2" s="58"/>
      <c r="BK2" s="59"/>
      <c r="BL2" s="58" t="s">
        <v>154</v>
      </c>
      <c r="BM2" s="58" t="s">
        <v>159</v>
      </c>
      <c r="BN2" s="58" t="s">
        <v>152</v>
      </c>
      <c r="BO2" s="58" t="s">
        <v>153</v>
      </c>
      <c r="BP2" s="58" t="s">
        <v>155</v>
      </c>
      <c r="BQ2" s="58" t="s">
        <v>151</v>
      </c>
      <c r="BR2" s="58"/>
      <c r="BS2" s="58"/>
      <c r="BT2" s="58"/>
      <c r="BU2" s="60"/>
      <c r="BV2" s="61" t="s">
        <v>165</v>
      </c>
      <c r="BW2" s="61" t="s">
        <v>168</v>
      </c>
      <c r="BX2" s="59"/>
      <c r="BZ2" s="44" t="s">
        <v>165</v>
      </c>
      <c r="CB2" s="5" t="s">
        <v>250</v>
      </c>
      <c r="CC2" s="5"/>
      <c r="CD2" s="62">
        <v>0</v>
      </c>
      <c r="CE2" s="62">
        <v>0</v>
      </c>
      <c r="CF2" s="62" t="e">
        <v>#REF!</v>
      </c>
      <c r="CG2" s="75" cm="1">
        <f t="array" ref="CG2">SUMPRODUCT(--(LEN(TRIM(BL2:BT2))&gt;0))</f>
        <v>6</v>
      </c>
      <c r="CH2" s="53" t="str">
        <f>IF(CG2=2,"y","n")</f>
        <v>n</v>
      </c>
      <c r="CI2" s="53" t="str">
        <f>IF(CG2=3,"y","n")</f>
        <v>n</v>
      </c>
      <c r="CJ2" s="53" t="str">
        <f>IF(CG2=4,"y","n")</f>
        <v>n</v>
      </c>
      <c r="CK2" s="53" t="str">
        <f>IF(CG2&gt;4,"y","n")</f>
        <v>y</v>
      </c>
      <c r="CL2" s="53" t="str">
        <f>IF(S2=0,"y","n")</f>
        <v>n</v>
      </c>
      <c r="CM2" s="53" t="str">
        <f>IF(S2=2,"y","n")</f>
        <v>n</v>
      </c>
      <c r="CN2" s="53" t="str">
        <f>IF(S2=3,"y","n")</f>
        <v>y</v>
      </c>
      <c r="CO2" s="53" t="str">
        <f>IF(S2&gt;=4,"y","n")</f>
        <v>n</v>
      </c>
      <c r="CP2" s="53" t="str">
        <f>IF(AT2=0,"y","n")</f>
        <v>n</v>
      </c>
      <c r="CQ2" s="53" t="str">
        <f>IF(AT2=1,"y","n")</f>
        <v>y</v>
      </c>
      <c r="CR2" s="53" t="str">
        <f>IF(AT2=2,"y","n")</f>
        <v>n</v>
      </c>
      <c r="CS2" s="53" t="str">
        <f>IF(AT2&gt;=3,"y","n")</f>
        <v>n</v>
      </c>
      <c r="CT2" s="38" t="str">
        <f>CHAR(34)&amp;A2&amp;CHAR(34)</f>
        <v>"Paraguay"</v>
      </c>
      <c r="CU2" s="63" t="str">
        <f>CHAR(34)&amp;"rgn_"&amp;R2&amp;CHAR(34)</f>
        <v>"rgn_South America"</v>
      </c>
      <c r="CV2" s="44" t="str">
        <f>CHAR(34)&amp;D2&amp;CHAR(34)</f>
        <v>"https://i.ibb.co/fvh22wm/Paraguay-Flag.png"</v>
      </c>
      <c r="CW2" s="44" t="str">
        <f t="shared" ref="CW2:CZ4" si="0">IF(CH2="y",CHAR(34)&amp;CH$1&amp;CHAR(34)&amp;",","")</f>
        <v/>
      </c>
      <c r="CX2" s="44" t="str">
        <f t="shared" si="0"/>
        <v/>
      </c>
      <c r="CY2" s="44" t="str">
        <f t="shared" si="0"/>
        <v/>
      </c>
      <c r="CZ2" s="44" t="str">
        <f t="shared" si="0"/>
        <v>"5+Colo",</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"startP",</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"with_y",</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"year18",</v>
      </c>
      <c r="DO2" s="44" t="str">
        <f>IF(AND(ISNUMBER(SEARCH("19", O2)), ISERROR(SEARCH("1819", O2)),  ISERROR(SEARCH("1219", O2)),ISERROR(SEARCH("1119", O2)),ISERROR(SEARCH("1190", O2)),ISERROR(SEARCH("2019", O2))), CHAR(34) &amp; "year19" &amp; CHAR(34) &amp; ",", "")</f>
        <v/>
      </c>
      <c r="DP2" s="5" t="str">
        <f>IF(AND(ISNUMBER(SEARCH("20", O2)), ISERROR(SEARCH("1920", O2))), CHAR(34)&amp;"year00"&amp;CHAR(34)&amp;",", "")</f>
        <v>"year00",</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4" si="1">IF(CL2="y",CHAR(34)&amp;CL$1&amp;CHAR(34)&amp;",","")</f>
        <v/>
      </c>
      <c r="DX2" s="44" t="str">
        <f t="shared" si="1"/>
        <v/>
      </c>
      <c r="DY2" s="44" t="str">
        <f t="shared" si="1"/>
        <v>"3Bands",</v>
      </c>
      <c r="DZ2" s="44" t="str">
        <f t="shared" si="1"/>
        <v/>
      </c>
      <c r="EA2" s="44" t="str">
        <f t="shared" ref="EA2:EE4" si="2">IF(T2="y",CHAR(34)&amp;T$1&amp;CHAR(34)&amp;",","")</f>
        <v/>
      </c>
      <c r="EB2" s="44" t="str">
        <f t="shared" si="2"/>
        <v/>
      </c>
      <c r="EC2" s="44" t="str">
        <f t="shared" si="2"/>
        <v>"Horizo",</v>
      </c>
      <c r="ED2" s="44" t="str">
        <f t="shared" si="2"/>
        <v/>
      </c>
      <c r="EE2" s="44" t="str">
        <f t="shared" si="2"/>
        <v>"Circle",</v>
      </c>
      <c r="EF2" s="44" t="str">
        <f>IF(AND(Y2&lt;&gt;"n",Y2&lt;&gt;""),CHAR(34)&amp;Y$1&amp;CHAR(34)&amp;",","")</f>
        <v/>
      </c>
      <c r="EG2" s="44" t="str">
        <f t="shared" ref="EG2:EP4" si="3">IF(Z2="y",CHAR(34)&amp;Z$1&amp;CHAR(34)&amp;",","")</f>
        <v/>
      </c>
      <c r="EH2" s="44" t="str">
        <f t="shared" si="3"/>
        <v>"Plants",</v>
      </c>
      <c r="EI2" s="44" t="str">
        <f t="shared" si="3"/>
        <v>"Texted",</v>
      </c>
      <c r="EJ2" s="44" t="str">
        <f t="shared" si="3"/>
        <v/>
      </c>
      <c r="EK2" s="44" t="str">
        <f t="shared" si="3"/>
        <v/>
      </c>
      <c r="EL2" s="44" t="str">
        <f t="shared" si="3"/>
        <v/>
      </c>
      <c r="EM2" s="44" t="str">
        <f t="shared" si="3"/>
        <v/>
      </c>
      <c r="EN2" s="44" t="str">
        <f t="shared" si="3"/>
        <v/>
      </c>
      <c r="EO2" s="44" t="str">
        <f t="shared" si="3"/>
        <v>"Center",</v>
      </c>
      <c r="EP2" s="44" t="str">
        <f t="shared" si="3"/>
        <v/>
      </c>
      <c r="EQ2" s="44" t="str">
        <f t="shared" ref="EQ2:EZ4"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"staYEL",</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"001RED",</v>
      </c>
      <c r="FR2" s="44" t="str">
        <f>IF(LEN(BG2)=3,CHAR(34)&amp;"002"&amp;BG2&amp;CHAR(34)&amp;",","")</f>
        <v>"002WHI",</v>
      </c>
      <c r="FS2" s="44" t="str">
        <f>IF(LEN(BH2)=3,CHAR(34)&amp;"003"&amp;BH2&amp;CHAR(34)&amp;",","")</f>
        <v>"003BLU",</v>
      </c>
      <c r="FT2" s="44" t="str">
        <f>CHAR(34)&amp;"myr"&amp;BD2&amp;CHAR(34)&amp;","</f>
        <v>"myrEQ",</v>
      </c>
      <c r="FU2" s="44" t="str">
        <f>IF(AY2="y",CHAR(34)&amp;"island"&amp;CHAR(34)&amp;",","")</f>
        <v/>
      </c>
      <c r="FV2" s="44" t="str">
        <f>IF(BZ2="y",CHAR(34)&amp;"landlo"&amp;CHAR(34)&amp;",","")</f>
        <v>"landlo",</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"spanis",</v>
      </c>
      <c r="GC2" s="44" t="str">
        <f>IFERROR(IF(SEARCH("Portuguese",CB2)&gt;0,CHAR(34)&amp;"portug"&amp;CHAR(34)&amp;",",""),"")</f>
        <v/>
      </c>
      <c r="GD2" s="44" t="str">
        <f>IFERROR(IF(SEARCH("German",CB2)&gt;0,CHAR(34)&amp;"german"&amp;CHAR(34)&amp;",",""),"")</f>
        <v/>
      </c>
      <c r="GE2" s="44" t="str">
        <f>IFERROR(IF(SEARCH("Dutch",CB2)&gt;0,CHAR(34)&amp;"dutchs"&amp;CHAR(34)&amp;",",""),"")</f>
        <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 t="shared" ref="GL2:GN4" si="5">IF(CQ2="y",CHAR(34)&amp;CQ$1&amp;CHAR(34)&amp;",","")</f>
        <v>"1Stars",</v>
      </c>
      <c r="GM2" s="44" t="str">
        <f t="shared" si="5"/>
        <v/>
      </c>
      <c r="GN2" s="44" t="str">
        <f t="shared" si="5"/>
        <v/>
      </c>
      <c r="GP2" s="44" t="str">
        <f>CHAR(34)&amp;AU2&amp;CHAR(34)</f>
        <v>""</v>
      </c>
      <c r="GS2" s="44" t="str">
        <f>SUBSTITUTE("["&amp;_xlfn.CONCAT(CW2:GN2)&amp;"]",",]","]")</f>
        <v>["5+Colo","lets08","startP","with_y","year18","year00","allhor","3Bands","Horizo","Circle","Plants","Texted","Center","staYEL","ntWHYE","001RED","002WHI","003BLU","myrEQ","landlo","spanis","HasSta","1Stars"]</v>
      </c>
      <c r="GT2" s="44" t="str">
        <f t="shared" ref="GT2:HB4" si="6">IF(BL2&lt;&gt;"",CHAR(34)&amp;"cl_"&amp;BL2&amp;CHAR(34)&amp;",","")</f>
        <v>"cl_RED",</v>
      </c>
      <c r="GU2" s="44" t="str">
        <f t="shared" si="6"/>
        <v>"cl_WHI",</v>
      </c>
      <c r="GV2" s="44" t="str">
        <f t="shared" si="6"/>
        <v>"cl_BLU",</v>
      </c>
      <c r="GW2" s="44" t="str">
        <f t="shared" si="6"/>
        <v>"cl_GRE",</v>
      </c>
      <c r="GX2" s="44" t="str">
        <f t="shared" si="6"/>
        <v>"cl_YEL",</v>
      </c>
      <c r="GY2" s="44" t="str">
        <f t="shared" si="6"/>
        <v>"cl_BLA",</v>
      </c>
      <c r="GZ2" s="44" t="str">
        <f t="shared" si="6"/>
        <v/>
      </c>
      <c r="HA2" s="44" t="str">
        <f t="shared" si="6"/>
        <v/>
      </c>
      <c r="HB2" s="44" t="str">
        <f t="shared" si="6"/>
        <v/>
      </c>
      <c r="HC2" s="44" t="str">
        <f>SUBSTITUTE("["&amp;_xlfn.CONCAT(GT2:HB2)&amp;"]",",]","]")</f>
        <v>["cl_RED","cl_WHI","cl_BLU","cl_GRE","cl_YEL","cl_BLA"]</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links: "https://en.wikipedia.org/wiki/Flag_of_Paraguay"},</v>
      </c>
      <c r="HG2" s="66" t="str">
        <f>"{couname:"&amp;CT2&amp;(IF(HK2&lt;&gt;"",",subtype:"&amp;CHAR(34)&amp;HK2&amp;CHAR(34),""))&amp;",year:"&amp;HJ2&amp;",region:"&amp;CU2&amp;",Colors:"&amp;HC2&amp;",Items:"&amp;GS2&amp;",Flag:"&amp;CV2&amp;",HDFlag:"&amp;CHAR(34)&amp;E2&amp;CHAR(34)&amp;",type:"&amp;GP2&amp;", describe: "&amp;HI2&amp;", links: "&amp;HL2&amp;"},"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links: "https://en.wikipedia.org/wiki/Flag_of_Paraguay"},</v>
      </c>
      <c r="HH2" s="44" t="str">
        <f>IF(P2&lt;&gt;"",CHAR(34)&amp;"\n"&amp;P2&amp;CHAR(34),CHAR(34)&amp;CHAR(34))</f>
        <v>"\nThe colours of the flag are believed to be inspired from the flag of France to show independence and liberty, and the coat of arms represents the independence of Paraguay."</v>
      </c>
      <c r="HI2" s="44" t="str">
        <f>IF(J2=0,CHAR(34)&amp;CHAR(34),HH2)</f>
        <v>"\nThe colours of the flag are believed to be inspired from the flag of France to show independence and liberty, and the coat of arms represents the independence of Paraguay."</v>
      </c>
      <c r="HJ2" s="44" t="str">
        <f>CHAR(34)&amp;O2&amp;CHAR(34)</f>
        <v>"1842, 2013 "</v>
      </c>
      <c r="HL2" s="44" t="str">
        <f>CHAR(34)&amp;I2&amp;CHAR(34)</f>
        <v>"https://en.wikipedia.org/wiki/Flag_of_Paraguay"</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{"couname":"Paraguay","year":"1842, 2013 ","region":"rgn_South America","Colors":["cl_RED","cl_WHI","cl_BLU","cl_GRE","cl_YEL","cl_BLA"],"Items":["5+Colo","lets08","startP","with_y","year18","year00","allhor","3Bands","Horizo","Circle","Plants","Texted","Center","staYEL","ntWHYE","001RED","002WHI","003BLU","myrEQ","landlo","spanis","HasSta","1Stars"],"Flag":"https://i.ibb.co/fvh22wm/Paraguay-Flag.png","HDFlag":"https://upload.wikimedia.org/wikipedia/commons/thumb/2/27/Flag_of_Paraguay.svg/2560px-Flag_of_Paraguay.svg.png","type":"", "describe": "\nThe colours of the flag are believed to be inspired from the flag of France to show independence and liberty, and the coat of arms represents the independence of Paraguay.", "isnew": ".", "links": "https://en.wikipedia.org/wiki/Flag_of_Paraguay"},</v>
      </c>
      <c r="HO2" s="71"/>
      <c r="HP2" s="44" t="str" cm="1">
        <f t="array" ref="HP2">IF(_xlfn.TEXTJOIN(", ", TRUE, IF(ISNUMBER(SEARCH("BLA", BL2:BT2)), COLUMN(BL2:BT2) - COLUMN(BL2) + 1, ""))&lt;&gt;"","BLA","")</f>
        <v>BLA</v>
      </c>
      <c r="HQ2" s="44" t="str" cm="1">
        <f t="array" ref="HQ2">IF(_xlfn.TEXTJOIN(", ", TRUE, IF(ISNUMBER(SEARCH("BLU", BL2:BT2)), COLUMN(BL2:BT2) - COLUMN(BL2) + 1, ""))&lt;&gt;"","BLU","")</f>
        <v>BLU</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-6</v>
      </c>
      <c r="IN2" s="69" t="str">
        <f>"http://mkweb.bcgsc.ca/color-summarizer/?url="&amp;D2&amp;"&amp;precision=low&amp;num_clusters="&amp;CG2&amp;"&amp;text=1"</f>
        <v>http://mkweb.bcgsc.ca/color-summarizer/?url=https://i.ibb.co/fvh22wm/Paraguay-Flag.png&amp;precision=low&amp;num_clusters=6&amp;text=1</v>
      </c>
      <c r="IO2" s="44" t="str">
        <f>IF(HP2&lt;&gt;"",CHAR(34)&amp;"black"&amp;CHAR(34),"")</f>
        <v>"black"</v>
      </c>
      <c r="IP2" s="44" t="str">
        <f>IF(HQ2&lt;&gt;"",CHAR(34)&amp;"blue"&amp;CHAR(34),"")</f>
        <v>"blue"</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{"url":"http://mkweb.bcgsc.ca/color-summarizer/?url=https://i.ibb.co/fvh22wm/Paraguay-Flag.png&amp;precision=low&amp;num_clusters=6&amp;text=1","name":"Paraguay"},</v>
      </c>
      <c r="IY2" s="44">
        <v>170</v>
      </c>
    </row>
    <row r="3" spans="1:259" s="44" customFormat="1" ht="38.4" customHeight="1" thickBot="1" x14ac:dyDescent="0.35">
      <c r="A3" s="84" t="s">
        <v>589</v>
      </c>
      <c r="B3" s="83" t="e" vm="89">
        <v>#VALUE!</v>
      </c>
      <c r="C3" s="39">
        <v>2</v>
      </c>
      <c r="D3" s="70" t="s">
        <v>590</v>
      </c>
      <c r="E3" s="40" t="s">
        <v>591</v>
      </c>
      <c r="F3" s="41" t="s">
        <v>163</v>
      </c>
      <c r="G3" s="42">
        <f>COUNTIF($A$1:$A$8281,A3)</f>
        <v>1</v>
      </c>
      <c r="H3" s="43"/>
      <c r="I3" s="59" t="s">
        <v>592</v>
      </c>
      <c r="J3" s="44" t="str">
        <f>""</f>
        <v/>
      </c>
      <c r="K3" s="45"/>
      <c r="L3" s="46"/>
      <c r="M3" s="46"/>
      <c r="N3" s="47" t="s">
        <v>177</v>
      </c>
      <c r="O3" s="74">
        <v>1961</v>
      </c>
      <c r="P3" s="48" t="s">
        <v>593</v>
      </c>
      <c r="Q3" s="73">
        <v>1</v>
      </c>
      <c r="R3" s="49" t="s">
        <v>177</v>
      </c>
      <c r="S3" s="50">
        <v>3</v>
      </c>
      <c r="T3" s="51" t="s">
        <v>164</v>
      </c>
      <c r="U3" s="52" t="s">
        <v>165</v>
      </c>
      <c r="V3" s="52" t="s">
        <v>165</v>
      </c>
      <c r="W3" s="52" t="s">
        <v>164</v>
      </c>
      <c r="X3" s="52" t="s">
        <v>164</v>
      </c>
      <c r="Y3" s="52" t="s">
        <v>165</v>
      </c>
      <c r="Z3" s="52" t="s">
        <v>164</v>
      </c>
      <c r="AA3" s="52" t="s">
        <v>165</v>
      </c>
      <c r="AB3" s="52" t="s">
        <v>164</v>
      </c>
      <c r="AC3" s="52" t="s">
        <v>164</v>
      </c>
      <c r="AD3" s="52" t="s">
        <v>164</v>
      </c>
      <c r="AE3" s="52" t="s">
        <v>164</v>
      </c>
      <c r="AF3" s="53" t="s">
        <v>164</v>
      </c>
      <c r="AG3" s="53" t="s">
        <v>165</v>
      </c>
      <c r="AH3" s="53" t="s">
        <v>165</v>
      </c>
      <c r="AI3" s="53" t="s">
        <v>164</v>
      </c>
      <c r="AJ3" s="53" t="s">
        <v>164</v>
      </c>
      <c r="AK3" s="53" t="s">
        <v>164</v>
      </c>
      <c r="AL3" s="53" t="s">
        <v>164</v>
      </c>
      <c r="AM3" s="53" t="s">
        <v>164</v>
      </c>
      <c r="AN3" s="53" t="s">
        <v>165</v>
      </c>
      <c r="AO3" s="53" t="s">
        <v>165</v>
      </c>
      <c r="AP3" s="53" t="s">
        <v>164</v>
      </c>
      <c r="AQ3" s="53" t="s">
        <v>164</v>
      </c>
      <c r="AR3" s="53" t="s">
        <v>164</v>
      </c>
      <c r="AS3" s="53" t="s">
        <v>164</v>
      </c>
      <c r="AT3" s="54">
        <v>0</v>
      </c>
      <c r="AU3" s="53" t="s">
        <v>277</v>
      </c>
      <c r="AV3" s="53" t="str">
        <f>IF(LEFT(A3,1)="[",LEFT(A3,5)&amp;AU3&amp;A3,"")</f>
        <v>[PRY]Capital City[PRY] Asunción</v>
      </c>
      <c r="AW3" s="53" t="str">
        <f>C3&amp;A3</f>
        <v>2[PRY] Asunción</v>
      </c>
      <c r="AX3" s="55"/>
      <c r="AY3" s="55"/>
      <c r="AZ3" s="56" t="s">
        <v>234</v>
      </c>
      <c r="BA3" s="56" t="s">
        <v>234</v>
      </c>
      <c r="BB3" s="56"/>
      <c r="BC3" s="57"/>
      <c r="BD3" s="58" t="s">
        <v>154</v>
      </c>
      <c r="BE3" s="59"/>
      <c r="BF3" s="58" t="s">
        <v>154</v>
      </c>
      <c r="BG3" s="58" t="s">
        <v>159</v>
      </c>
      <c r="BH3" s="58" t="s">
        <v>154</v>
      </c>
      <c r="BI3" s="58"/>
      <c r="BJ3" s="58"/>
      <c r="BK3" s="59"/>
      <c r="BL3" s="58" t="s">
        <v>151</v>
      </c>
      <c r="BM3" s="58" t="s">
        <v>152</v>
      </c>
      <c r="BN3" s="58" t="s">
        <v>234</v>
      </c>
      <c r="BO3" s="58" t="s">
        <v>154</v>
      </c>
      <c r="BP3" s="58" t="s">
        <v>234</v>
      </c>
      <c r="BQ3" s="58" t="s">
        <v>234</v>
      </c>
      <c r="BR3" s="58" t="s">
        <v>234</v>
      </c>
      <c r="BS3" s="58" t="s">
        <v>234</v>
      </c>
      <c r="BT3" s="58" t="s">
        <v>159</v>
      </c>
      <c r="BU3" s="60"/>
      <c r="BV3" s="61"/>
      <c r="BW3" s="61">
        <v>0</v>
      </c>
      <c r="BX3" s="59"/>
      <c r="CB3" s="5"/>
      <c r="CC3" s="5"/>
      <c r="CD3" s="62">
        <v>0</v>
      </c>
      <c r="CE3" s="62">
        <v>0</v>
      </c>
      <c r="CF3" s="62" t="e">
        <v>#REF!</v>
      </c>
      <c r="CG3" s="75" cm="1">
        <f t="array" ref="CG3">SUMPRODUCT(--(LEN(TRIM(BL3:BT3))&gt;0))</f>
        <v>4</v>
      </c>
      <c r="CH3" s="53" t="str">
        <f>IF(CG3=2,"y","n")</f>
        <v>n</v>
      </c>
      <c r="CI3" s="53" t="str">
        <f>IF(CG3=3,"y","n")</f>
        <v>n</v>
      </c>
      <c r="CJ3" s="53" t="str">
        <f>IF(CG3=4,"y","n")</f>
        <v>y</v>
      </c>
      <c r="CK3" s="53" t="str">
        <f>IF(CG3&gt;4,"y","n")</f>
        <v>n</v>
      </c>
      <c r="CL3" s="53" t="str">
        <f>IF(S3=0,"y","n")</f>
        <v>n</v>
      </c>
      <c r="CM3" s="53" t="str">
        <f>IF(S3=2,"y","n")</f>
        <v>n</v>
      </c>
      <c r="CN3" s="53" t="str">
        <f>IF(S3=3,"y","n")</f>
        <v>y</v>
      </c>
      <c r="CO3" s="53" t="str">
        <f>IF(S3&gt;=4,"y","n")</f>
        <v>n</v>
      </c>
      <c r="CP3" s="53" t="str">
        <f>IF(AT3=0,"y","n")</f>
        <v>y</v>
      </c>
      <c r="CQ3" s="53" t="str">
        <f>IF(AT3=1,"y","n")</f>
        <v>n</v>
      </c>
      <c r="CR3" s="53" t="str">
        <f>IF(AT3=2,"y","n")</f>
        <v>n</v>
      </c>
      <c r="CS3" s="53" t="str">
        <f>IF(AT3&gt;=3,"y","n")</f>
        <v>n</v>
      </c>
      <c r="CT3" s="38" t="str">
        <f>CHAR(34)&amp;A3&amp;CHAR(34)</f>
        <v>"[PRY] Asunción"</v>
      </c>
      <c r="CU3" s="63" t="str">
        <f>CHAR(34)&amp;"rgn_"&amp;R3&amp;CHAR(34)</f>
        <v>"rgn_South America"</v>
      </c>
      <c r="CV3" s="44" t="str">
        <f>CHAR(34)&amp;D3&amp;CHAR(34)</f>
        <v>"https://upload.wikimedia.org/wikipedia/commons/thumb/d/d5/Flag_of_Asunci%C3%B3n.svg/320px-Flag_of_Asunci%C3%B3n.svg.png"</v>
      </c>
      <c r="CW3" s="44" t="str">
        <f t="shared" si="0"/>
        <v/>
      </c>
      <c r="CX3" s="44" t="str">
        <f t="shared" si="0"/>
        <v/>
      </c>
      <c r="CY3" s="44" t="str">
        <f t="shared" si="0"/>
        <v>"4Color",</v>
      </c>
      <c r="CZ3" s="44" t="str">
        <f t="shared" si="0"/>
        <v/>
      </c>
      <c r="DA3" s="44" t="str">
        <f>IF(Q3&gt;1,CHAR(34)&amp;"words2"&amp;CHAR(34)&amp;",","")</f>
        <v/>
      </c>
      <c r="DB3" s="44" t="str">
        <f>IF(Q3&gt;2,CHAR(34)&amp;"words3"&amp;CHAR(34)&amp;",","")</f>
        <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4" t="str">
        <f>CHAR(34)&amp;"start"&amp;IFERROR(LEFT(SUBSTITUTE(A3,"["&amp;MID(A3,FIND("[",A3)+1,FIND("]",A3)-FIND("[",A3)-1)&amp;"] ",""),1),LEFT(A3,1))&amp;CHAR(34)&amp;","</f>
        <v>"startA",</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"with_y",</v>
      </c>
      <c r="DK3" s="44" t="str">
        <f>IFERROR(IF(SEARCH("z",A3)&gt;0,CHAR(34)&amp;"with_z"&amp;CHAR(34)&amp;",",""),"")</f>
        <v/>
      </c>
      <c r="DL3" s="44" t="str">
        <f>IF(CG3=2, CHAR(34) &amp; _xlfn.TEXTJOIN("", TRUE, _xlfn._xlws.SORT(HP3:HX3)) &amp; CHAR(34) &amp; ",", "")</f>
        <v/>
      </c>
      <c r="DM3" s="44" t="str" cm="1">
        <f t="array" ref="DM3">IF(CG3=3,CHAR(34) &amp; _xlfn.TEXTJOIN("", TRUE, RIGHT(HP3:HX3, 2)) &amp; CHAR(34) &amp; ",", "")</f>
        <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"Crosse",</v>
      </c>
      <c r="EC3" s="44" t="str">
        <f t="shared" si="2"/>
        <v>"Horizo",</v>
      </c>
      <c r="ED3" s="44" t="str">
        <f t="shared" si="2"/>
        <v/>
      </c>
      <c r="EE3" s="44" t="str">
        <f t="shared" si="2"/>
        <v/>
      </c>
      <c r="EF3" s="44" t="str">
        <f>IF(AND(Y3&lt;&gt;"n",Y3&lt;&gt;""),CHAR(34)&amp;Y$1&amp;CHAR(34)&amp;",","")</f>
        <v>"Animal",</v>
      </c>
      <c r="EG3" s="44" t="str">
        <f t="shared" si="3"/>
        <v/>
      </c>
      <c r="EH3" s="44" t="str">
        <f t="shared" si="3"/>
        <v>"Plants",</v>
      </c>
      <c r="EI3" s="44" t="str">
        <f t="shared" si="3"/>
        <v/>
      </c>
      <c r="EJ3" s="44" t="str">
        <f t="shared" si="3"/>
        <v/>
      </c>
      <c r="EK3" s="44" t="str">
        <f t="shared" si="3"/>
        <v/>
      </c>
      <c r="EL3" s="44" t="str">
        <f t="shared" si="3"/>
        <v/>
      </c>
      <c r="EM3" s="44" t="str">
        <f t="shared" si="3"/>
        <v/>
      </c>
      <c r="EN3" s="44" t="str">
        <f t="shared" si="3"/>
        <v>"Unequa",</v>
      </c>
      <c r="EO3" s="44" t="str">
        <f t="shared" si="3"/>
        <v>"Center",</v>
      </c>
      <c r="EP3" s="44" t="str">
        <f t="shared" si="3"/>
        <v/>
      </c>
      <c r="EQ3" s="44" t="str">
        <f t="shared" si="4"/>
        <v/>
      </c>
      <c r="ER3" s="44" t="str">
        <f t="shared" si="4"/>
        <v/>
      </c>
      <c r="ES3" s="44" t="str">
        <f t="shared" si="4"/>
        <v/>
      </c>
      <c r="ET3" s="44" t="str">
        <f t="shared" si="4"/>
        <v/>
      </c>
      <c r="EU3" s="44" t="str">
        <f t="shared" si="4"/>
        <v>"Humans",</v>
      </c>
      <c r="EV3" s="44" t="str">
        <f t="shared" si="4"/>
        <v>"Builds",</v>
      </c>
      <c r="EW3" s="44" t="str">
        <f t="shared" si="4"/>
        <v/>
      </c>
      <c r="EX3" s="44" t="str">
        <f t="shared" si="4"/>
        <v/>
      </c>
      <c r="EY3" s="44" t="str">
        <f t="shared" si="4"/>
        <v/>
      </c>
      <c r="EZ3" s="44" t="str">
        <f t="shared" si="4"/>
        <v/>
      </c>
      <c r="FA3" s="44" t="str">
        <f>IF(AT3&gt;0,CHAR(34)&amp;"sta"&amp;AZ3&amp;CHAR(34)&amp;",","")</f>
        <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
      </c>
      <c r="FG3" s="44" t="str">
        <f>IF(COUNTIF(BL3:BT3,"RED")=0,CHAR(34)&amp;"NO_RED"&amp;CHAR(34)&amp;",", "")</f>
        <v/>
      </c>
      <c r="FH3" s="44" t="str">
        <f>IF(COUNTIF(BL3:BS3,"GRE")=0,CHAR(34)&amp;"NO_GRE"&amp;CHAR(34)&amp;",", "")</f>
        <v>"NO_GRE",</v>
      </c>
      <c r="FI3" s="44" t="str">
        <f>IF(COUNTIF(BL3:BT3,"YEL")=0,CHAR(34)&amp;"NO_YEL"&amp;CHAR(34)&amp;",", "")</f>
        <v>"NO_YEL",</v>
      </c>
      <c r="FJ3" s="44" t="str">
        <f>IF(COUNTIF(BL3:BT3,"BLA")=0,CHAR(34)&amp;"NO_BLA"&amp;CHAR(34)&amp;",", "")</f>
        <v/>
      </c>
      <c r="FK3" s="44" t="str">
        <f>IF(AND(FH3&lt;&gt;"",FF3&lt;&gt;""),CHAR(34)&amp;"WHGRNO"&amp;CHAR(34)&amp;",","")</f>
        <v/>
      </c>
      <c r="FL3" s="44" t="str">
        <f>IF(AND(FI3&lt;&gt;"",FF3&lt;&gt;""),CHAR(34)&amp;"WHYENO"&amp;CHAR(34)&amp;",","")</f>
        <v/>
      </c>
      <c r="FM3" s="44" t="str">
        <f>IF(AND(FJ3&lt;&gt;"",FF3&lt;&gt;""),CHAR(34)&amp;"BAWHNO"&amp;CHAR(34)&amp;",","")</f>
        <v/>
      </c>
      <c r="FN3" s="44" t="str">
        <f>IF(AND(FE3&lt;&gt;"",FF3&lt;&gt;""),CHAR(34)&amp;"BLWHNO"&amp;CHAR(34)&amp;",","")</f>
        <v/>
      </c>
      <c r="FO3" s="44" t="str">
        <f>IF(AND(FE3&lt;&gt;"",FG3&lt;&gt;""),CHAR(34)&amp;"BLRENO"&amp;CHAR(34)&amp;",","")</f>
        <v/>
      </c>
      <c r="FP3" s="44" t="str">
        <f>IF(AND(FF3&lt;&gt;"",FF3&lt;&gt;""),CHAR(34)&amp;"WHRENO"&amp;CHAR(34)&amp;",","")</f>
        <v/>
      </c>
      <c r="FQ3" s="44" t="str">
        <f>IF(LEN(BF3)=3,CHAR(34)&amp;"001"&amp;BF3&amp;CHAR(34)&amp;",","")</f>
        <v>"001RED",</v>
      </c>
      <c r="FR3" s="44" t="str">
        <f>IF(LEN(BG3)=3,CHAR(34)&amp;"002"&amp;BG3&amp;CHAR(34)&amp;",","")</f>
        <v>"002WHI",</v>
      </c>
      <c r="FS3" s="44" t="str">
        <f>IF(LEN(BH3)=3,CHAR(34)&amp;"003"&amp;BH3&amp;CHAR(34)&amp;",","")</f>
        <v>"003RED",</v>
      </c>
      <c r="FT3" s="44" t="str">
        <f>CHAR(34)&amp;"myr"&amp;BD3&amp;CHAR(34)&amp;","</f>
        <v>"myrRED",</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"NoStar",</v>
      </c>
      <c r="GK3" s="44" t="str">
        <f>IF(GJ3="",CHAR(34)&amp;"HasSta"&amp;CHAR(34)&amp;",","")</f>
        <v/>
      </c>
      <c r="GL3" s="44" t="str">
        <f t="shared" si="5"/>
        <v/>
      </c>
      <c r="GM3" s="44" t="str">
        <f t="shared" si="5"/>
        <v/>
      </c>
      <c r="GN3" s="44" t="str">
        <f t="shared" si="5"/>
        <v/>
      </c>
      <c r="GP3" s="44" t="str">
        <f>CHAR(34)&amp;AU3&amp;CHAR(34)</f>
        <v>"Capital City"</v>
      </c>
      <c r="GS3" s="44" t="str">
        <f>SUBSTITUTE("["&amp;_xlfn.CONCAT(CW3:GN3)&amp;"]",",]","]")</f>
        <v>["4Color","lets08","startA","with_y","year19","allhor","3Bands","Crosse","Horizo","Animal","Plants","Unequa","Center","Humans","Builds","NO_GRE","NO_YEL","001RED","002WHI","003RED","myrRED","NoStar"]</v>
      </c>
      <c r="GT3" s="44" t="str">
        <f t="shared" si="6"/>
        <v>"cl_BLA",</v>
      </c>
      <c r="GU3" s="44" t="str">
        <f t="shared" si="6"/>
        <v>"cl_BLU",</v>
      </c>
      <c r="GV3" s="44" t="str">
        <f t="shared" si="6"/>
        <v/>
      </c>
      <c r="GW3" s="44" t="str">
        <f t="shared" si="6"/>
        <v>"cl_RED",</v>
      </c>
      <c r="GX3" s="44" t="str">
        <f t="shared" si="6"/>
        <v/>
      </c>
      <c r="GY3" s="44" t="str">
        <f t="shared" si="6"/>
        <v/>
      </c>
      <c r="GZ3" s="44" t="str">
        <f t="shared" si="6"/>
        <v/>
      </c>
      <c r="HA3" s="44" t="str">
        <f t="shared" si="6"/>
        <v/>
      </c>
      <c r="HB3" s="44" t="str">
        <f t="shared" si="6"/>
        <v>"cl_WHI",</v>
      </c>
      <c r="HC3" s="44" t="str">
        <f>SUBSTITUTE("["&amp;_xlfn.CONCAT(GT3:HB3)&amp;"]",",]","]")</f>
        <v>["cl_BLA","cl_BLU","cl_RED","cl_WHI"]</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links: "https://www.crwflags.com/fotw/flags/py-as.html"},</v>
      </c>
      <c r="HG3" s="66" t="str">
        <f>"{couname:"&amp;CT3&amp;(IF(HK3&lt;&gt;"",",subtype:"&amp;CHAR(34)&amp;HK3&amp;CHAR(34),""))&amp;",year:"&amp;HJ3&amp;",region:"&amp;CU3&amp;",Colors:"&amp;HC3&amp;",Items:"&amp;GS3&amp;",Flag:"&amp;CV3&amp;",HDFlag:"&amp;CHAR(34)&amp;E3&amp;CHAR(34)&amp;",type:"&amp;GP3&amp;", describe: "&amp;HI3&amp;", links: "&amp;HL3&amp;"},"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links: "https://www.crwflags.com/fotw/flags/py-as.html"},</v>
      </c>
      <c r="HH3" s="44" t="str">
        <f>IF(P3&lt;&gt;"",CHAR(34)&amp;"\n"&amp;P3&amp;CHAR(34),CHAR(34)&amp;CHAR(34))</f>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I3" s="44" t="str">
        <f>IF(J3=0,CHAR(34)&amp;CHAR(34),HH3)</f>
        <v>"\nThe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v>
      </c>
      <c r="HJ3" s="44" t="str">
        <f>CHAR(34)&amp;O3&amp;CHAR(34)</f>
        <v>"1961"</v>
      </c>
      <c r="HL3" s="44" t="str">
        <f>CHAR(34)&amp;I3&amp;CHAR(34)</f>
        <v>"https://www.crwflags.com/fotw/flags/py-as.html"</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{"couname":"[PRY] Asunción","year":"1961","region":"rgn_South America","Colors":["cl_BLA","cl_BLU","cl_RED","cl_WHI"],"Items":["4Color","lets08","startA","with_y","year19","allhor","3Bands","Crosse","Horizo","Animal","Plants","Unequa","Center","Humans","Builds","NO_GRE","NO_YEL","001RED","002WHI","003RED","myrRED","NoStar"],"Flag":"https://upload.wikimedia.org/wikipedia/commons/thumb/d/d5/Flag_of_Asunci%C3%B3n.svg/320px-Flag_of_Asunci%C3%B3n.svg.png","HDFlag":"https://upload.wikimedia.org/wikipedia/commons/thumb/d/d5/Flag_of_Asunci%C3%B3n.svg/640px-Flag_of_Asunci%C3%B3n.svg.png","type":"Capital City", "describe": "\nThe flag of Asunción was adopted in 1961, by municipal decree No. 4635. and first raised in 1961.\n\nThe red color recalls the color of the field of the royal coat of arms of Spain that appeared in the traditional standard (banner) of the Cabildo (City Hall) of Asunción City in colonial times.\n\nIn the central white stripe, the coat of arms of Asunción appears. Since the creation of the flag in 1961, the charges on the arms have experienced some changes in the way they are represented. The changes have been just details, but the same elements are always represented. These cosmetic changes were made in 1965, 1992, and 2001.\n\nThe coat of arms of the city is quartered with the following elements:\n\n-In the first quarter an image of the Virgin Nuestra Señora de la Asunción over a cloud ascending to the sky. That is the Virgin that gives its name to the city of Asunción.\n\n-In the second quarter, an image of San Blas blessing with his right hand and holding his crosier with his left hand. San Blas was a priest and lawyer originally from Paraguay.\n\n-In the third quarter a castle representing the fortification that gave origin to the city and from where several expeditions, that founded other cities, started. The open door and window of the castle stand for the hospitality of the city.\n\n-In the fourth quarter a lion, a leafy tree, and a palm tree. The leafy tree represents the tree of Viscaya, the place where the founder of Asunción Domingo Martínez de Irala was born. The lion stands for the Spaniards' conquistadores who were mainly from the kingdoms of Castile and León. It also stands for the courage of the people of Asunción. Finally, the palm tree represents the native element. The tail of the lion around the palm tree represents the union between the Spanish and the Guarani people.", "isnew": ".", "links": "https://www.crwflags.com/fotw/flags/py-as.html"},</v>
      </c>
      <c r="HO3" s="71">
        <v>45618</v>
      </c>
      <c r="HP3" s="44" t="str" cm="1">
        <f t="array" ref="HP3">IF(_xlfn.TEXTJOIN(", ", TRUE, IF(ISNUMBER(SEARCH("BLA", BL3:BT3)), COLUMN(BL3:BT3) - COLUMN(BL3) + 1, ""))&lt;&gt;"","BLA","")</f>
        <v>BLA</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COUNTIF(IC3:IK3,"&gt;0")-CG3</f>
        <v>-4</v>
      </c>
      <c r="IN3" s="69" t="str">
        <f>"http://mkweb.bcgsc.ca/color-summarizer/?url="&amp;D3&amp;"&amp;precision=low&amp;num_clusters="&amp;CG3&amp;"&amp;text=1"</f>
        <v>http://mkweb.bcgsc.ca/color-summarizer/?url=https://upload.wikimedia.org/wikipedia/commons/thumb/d/d5/Flag_of_Asunci%C3%B3n.svg/320px-Flag_of_Asunci%C3%B3n.svg.png&amp;precision=low&amp;num_clusters=4&amp;text=1</v>
      </c>
      <c r="IO3" s="44" t="str">
        <f>IF(HP3&lt;&gt;"",CHAR(34)&amp;"black"&amp;CHAR(34),"")</f>
        <v>"black"</v>
      </c>
      <c r="IP3" s="44" t="str">
        <f>IF(HQ3&lt;&gt;"",CHAR(34)&amp;"blue"&amp;CHAR(34),"")</f>
        <v>"blue"</v>
      </c>
      <c r="IQ3" s="44" t="str">
        <f>IF(HR3&lt;&gt;"",CHAR(34)&amp;"green"&amp;CHAR(34),"")</f>
        <v/>
      </c>
      <c r="IR3" s="44" t="str">
        <f>IF(HS3&lt;&gt;"",CHAR(34)&amp;"red"&amp;CHAR(34),"")</f>
        <v>"red"</v>
      </c>
      <c r="IS3" s="44" t="str">
        <f>IF(HT3&lt;&gt;"",CHAR(34)&amp;"yellow"&amp;CHAR(34),"")</f>
        <v/>
      </c>
      <c r="IT3" s="44" t="str">
        <f>IF(HU3&lt;&gt;"",CHAR(34)&amp;"orange"&amp;CHAR(34),"")</f>
        <v/>
      </c>
      <c r="IU3" s="44" t="str">
        <f>IF(HV3&lt;&gt;"",CHAR(34)&amp;"brown"&amp;CHAR(34),"")</f>
        <v/>
      </c>
      <c r="IV3" s="44" t="str">
        <f>IF(HW3&lt;&gt;"",CHAR(34)&amp;"purple"&amp;CHAR(34),"")</f>
        <v/>
      </c>
      <c r="IW3" s="44" t="str">
        <f>IF(HX3&lt;&gt;"",CHAR(34)&amp;"white"&amp;CHAR(34),"")</f>
        <v>"white"</v>
      </c>
      <c r="IX3" s="44" t="str">
        <f>"{"&amp;CHAR(34)&amp;"url"&amp;CHAR(34)&amp;":"&amp;CHAR(34)&amp;IN3&amp;CHAR(34)&amp;","&amp;CHAR(34)&amp;"name"&amp;CHAR(34)&amp;":"&amp;CHAR(34)&amp;A3&amp;CHAR(34)&amp;"},"</f>
        <v>{"url":"http://mkweb.bcgsc.ca/color-summarizer/?url=https://upload.wikimedia.org/wikipedia/commons/thumb/d/d5/Flag_of_Asunci%C3%B3n.svg/320px-Flag_of_Asunci%C3%B3n.svg.png&amp;precision=low&amp;num_clusters=4&amp;text=1","name":"[PRY] Asunción"},</v>
      </c>
      <c r="IY3" s="44">
        <v>1083</v>
      </c>
    </row>
    <row r="4" spans="1:259" s="44" customFormat="1" ht="38.4" customHeight="1" thickBot="1" x14ac:dyDescent="0.35">
      <c r="A4" s="84" t="s">
        <v>711</v>
      </c>
      <c r="B4" s="83" t="e" vm="90">
        <v>#VALUE!</v>
      </c>
      <c r="C4" s="39">
        <v>2</v>
      </c>
      <c r="D4" s="70" t="s">
        <v>712</v>
      </c>
      <c r="E4" s="40" t="s">
        <v>712</v>
      </c>
      <c r="F4" s="41" t="s">
        <v>163</v>
      </c>
      <c r="G4" s="42">
        <f>COUNTIF($A$1:$A$8281,A4)</f>
        <v>1</v>
      </c>
      <c r="H4" s="43"/>
      <c r="I4" s="59" t="s">
        <v>247</v>
      </c>
      <c r="J4" s="44" t="str">
        <f>""</f>
        <v/>
      </c>
      <c r="K4" s="45"/>
      <c r="L4" s="46"/>
      <c r="M4" s="46"/>
      <c r="N4" s="47" t="s">
        <v>177</v>
      </c>
      <c r="O4" s="74" t="s">
        <v>248</v>
      </c>
      <c r="P4" s="48" t="s">
        <v>713</v>
      </c>
      <c r="Q4" s="73">
        <v>1</v>
      </c>
      <c r="R4" s="49" t="s">
        <v>177</v>
      </c>
      <c r="S4" s="50">
        <v>3</v>
      </c>
      <c r="T4" s="51" t="s">
        <v>164</v>
      </c>
      <c r="U4" s="52" t="s">
        <v>164</v>
      </c>
      <c r="V4" s="52" t="s">
        <v>165</v>
      </c>
      <c r="W4" s="52" t="s">
        <v>164</v>
      </c>
      <c r="X4" s="52" t="s">
        <v>165</v>
      </c>
      <c r="Y4" s="52" t="s">
        <v>165</v>
      </c>
      <c r="Z4" s="52" t="s">
        <v>164</v>
      </c>
      <c r="AA4" s="52" t="s">
        <v>164</v>
      </c>
      <c r="AB4" s="52" t="s">
        <v>165</v>
      </c>
      <c r="AC4" s="52" t="s">
        <v>164</v>
      </c>
      <c r="AD4" s="52" t="s">
        <v>164</v>
      </c>
      <c r="AE4" s="52" t="s">
        <v>164</v>
      </c>
      <c r="AF4" s="53" t="s">
        <v>164</v>
      </c>
      <c r="AG4" s="53" t="s">
        <v>164</v>
      </c>
      <c r="AH4" s="53" t="s">
        <v>165</v>
      </c>
      <c r="AI4" s="53" t="s">
        <v>164</v>
      </c>
      <c r="AJ4" s="53" t="s">
        <v>164</v>
      </c>
      <c r="AK4" s="53" t="s">
        <v>164</v>
      </c>
      <c r="AL4" s="53" t="s">
        <v>164</v>
      </c>
      <c r="AM4" s="53" t="s">
        <v>164</v>
      </c>
      <c r="AN4" s="53" t="s">
        <v>164</v>
      </c>
      <c r="AO4" s="53" t="s">
        <v>164</v>
      </c>
      <c r="AP4" s="53" t="s">
        <v>164</v>
      </c>
      <c r="AQ4" s="53" t="s">
        <v>164</v>
      </c>
      <c r="AR4" s="53" t="s">
        <v>164</v>
      </c>
      <c r="AS4" s="53" t="s">
        <v>164</v>
      </c>
      <c r="AT4" s="54">
        <v>0</v>
      </c>
      <c r="AU4" s="53" t="s">
        <v>714</v>
      </c>
      <c r="AV4" s="53" t="str">
        <f>IF(LEFT(A4,1)="[",LEFT(A4,5)&amp;AU4&amp;A4,"")</f>
        <v>[PRY]Other[PRY] Paraguay (Reverse)</v>
      </c>
      <c r="AW4" s="53" t="str">
        <f>C4&amp;A4</f>
        <v>2[PRY] Paraguay (Reverse)</v>
      </c>
      <c r="AX4" s="55"/>
      <c r="AY4" s="55"/>
      <c r="AZ4" s="56"/>
      <c r="BA4" s="56"/>
      <c r="BB4" s="56"/>
      <c r="BC4" s="57"/>
      <c r="BD4" s="58" t="s">
        <v>167</v>
      </c>
      <c r="BE4" s="59"/>
      <c r="BF4" s="58" t="s">
        <v>154</v>
      </c>
      <c r="BG4" s="58" t="s">
        <v>159</v>
      </c>
      <c r="BH4" s="58" t="s">
        <v>152</v>
      </c>
      <c r="BI4" s="58"/>
      <c r="BJ4" s="58"/>
      <c r="BK4" s="59"/>
      <c r="BL4" s="58" t="s">
        <v>154</v>
      </c>
      <c r="BM4" s="58" t="s">
        <v>159</v>
      </c>
      <c r="BN4" s="58" t="s">
        <v>152</v>
      </c>
      <c r="BO4" s="58" t="s">
        <v>151</v>
      </c>
      <c r="BP4" s="58" t="s">
        <v>155</v>
      </c>
      <c r="BQ4" s="58" t="s">
        <v>157</v>
      </c>
      <c r="BR4" s="58"/>
      <c r="BS4" s="58"/>
      <c r="BT4" s="58"/>
      <c r="BU4" s="60"/>
      <c r="BV4" s="61"/>
      <c r="BW4" s="61">
        <v>0</v>
      </c>
      <c r="BX4" s="59"/>
      <c r="CB4" s="5"/>
      <c r="CC4" s="5"/>
      <c r="CD4" s="62">
        <v>0</v>
      </c>
      <c r="CE4" s="62">
        <v>0</v>
      </c>
      <c r="CF4" s="62" t="e">
        <v>#REF!</v>
      </c>
      <c r="CG4" s="75" cm="1">
        <f t="array" ref="CG4">SUMPRODUCT(--(LEN(TRIM(BL4:BT4))&gt;0))</f>
        <v>6</v>
      </c>
      <c r="CH4" s="53" t="str">
        <f>IF(CG4=2,"y","n")</f>
        <v>n</v>
      </c>
      <c r="CI4" s="53" t="str">
        <f>IF(CG4=3,"y","n")</f>
        <v>n</v>
      </c>
      <c r="CJ4" s="53" t="str">
        <f>IF(CG4=4,"y","n")</f>
        <v>n</v>
      </c>
      <c r="CK4" s="53" t="str">
        <f>IF(CG4&gt;4,"y","n")</f>
        <v>y</v>
      </c>
      <c r="CL4" s="53" t="str">
        <f>IF(S4=0,"y","n")</f>
        <v>n</v>
      </c>
      <c r="CM4" s="53" t="str">
        <f>IF(S4=2,"y","n")</f>
        <v>n</v>
      </c>
      <c r="CN4" s="53" t="str">
        <f>IF(S4=3,"y","n")</f>
        <v>y</v>
      </c>
      <c r="CO4" s="53" t="str">
        <f>IF(S4&gt;=4,"y","n")</f>
        <v>n</v>
      </c>
      <c r="CP4" s="53" t="str">
        <f>IF(AT4=0,"y","n")</f>
        <v>y</v>
      </c>
      <c r="CQ4" s="53" t="str">
        <f>IF(AT4=1,"y","n")</f>
        <v>n</v>
      </c>
      <c r="CR4" s="53" t="str">
        <f>IF(AT4=2,"y","n")</f>
        <v>n</v>
      </c>
      <c r="CS4" s="53" t="str">
        <f>IF(AT4&gt;=3,"y","n")</f>
        <v>n</v>
      </c>
      <c r="CT4" s="38" t="str">
        <f>CHAR(34)&amp;A4&amp;CHAR(34)</f>
        <v>"[PRY] Paraguay (Reverse)"</v>
      </c>
      <c r="CU4" s="63" t="str">
        <f>CHAR(34)&amp;"rgn_"&amp;R4&amp;CHAR(34)</f>
        <v>"rgn_South America"</v>
      </c>
      <c r="CV4" s="44" t="str">
        <f>CHAR(34)&amp;D4&amp;CHAR(34)</f>
        <v>"https://upload.wikimedia.org/wikipedia/commons/thumb/f/f1/Flag_of_Paraguay_%28reverse%29.svg/2560px-Flag_of_Paraguay_%28reverse%29.svg.png"</v>
      </c>
      <c r="CW4" s="44" t="str">
        <f t="shared" si="0"/>
        <v/>
      </c>
      <c r="CX4" s="44" t="str">
        <f t="shared" si="0"/>
        <v/>
      </c>
      <c r="CY4" s="44" t="str">
        <f t="shared" si="0"/>
        <v/>
      </c>
      <c r="CZ4" s="44" t="str">
        <f t="shared" si="0"/>
        <v>"5+Colo",</v>
      </c>
      <c r="DA4" s="44" t="str">
        <f>IF(Q4&gt;1,CHAR(34)&amp;"words2"&amp;CHAR(34)&amp;",","")</f>
        <v/>
      </c>
      <c r="DB4" s="44" t="str">
        <f>IF(Q4&gt;2,CHAR(34)&amp;"words3"&amp;CHAR(34)&amp;",","")</f>
        <v/>
      </c>
      <c r="DD4" s="44"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"lets17",</v>
      </c>
      <c r="DE4" s="44" t="str">
        <f>CHAR(34)&amp;"start"&amp;IFERROR(LEFT(SUBSTITUTE(A4,"["&amp;MID(A4,FIND("[",A4)+1,FIND("]",A4)-FIND("[",A4)-1)&amp;"] ",""),1),LEFT(A4,1))&amp;CHAR(34)&amp;","</f>
        <v>"startP",</v>
      </c>
      <c r="DF4" s="44" t="str">
        <f>IFERROR(IF(SEARCH("tan",A4)&gt;0,CHAR(34)&amp;"withtn"&amp;CHAR(34)&amp;",",""),"")</f>
        <v/>
      </c>
      <c r="DG4" s="44" t="str">
        <f>IFERROR(IF(SEARCH("q",A4)&gt;0,CHAR(34)&amp;"with_q"&amp;CHAR(34)&amp;",",""),"")</f>
        <v/>
      </c>
      <c r="DH4" s="44" t="str">
        <f>IFERROR(IF(SEARCH("v",A4)&gt;0,CHAR(34)&amp;"with_v"&amp;CHAR(34)&amp;",",""),"")</f>
        <v>"with_v",</v>
      </c>
      <c r="DI4" s="44" t="str">
        <f>IFERROR(IF(SEARCH("w",A4)&gt;0,CHAR(34)&amp;"with_w"&amp;CHAR(34)&amp;",",""),"")</f>
        <v/>
      </c>
      <c r="DJ4" s="44" t="str">
        <f>IFERROR(IF(SEARCH("y",A4)&gt;0,CHAR(34)&amp;"with_y"&amp;CHAR(34)&amp;",",""),"")</f>
        <v>"with_y",</v>
      </c>
      <c r="DK4" s="44" t="str">
        <f>IFERROR(IF(SEARCH("z",A4)&gt;0,CHAR(34)&amp;"with_z"&amp;CHAR(34)&amp;",",""),"")</f>
        <v/>
      </c>
      <c r="DL4" s="44" t="str">
        <f>IF(CG4=2, CHAR(34) &amp; _xlfn.TEXTJOIN("", TRUE, _xlfn._xlws.SORT(HP4:HX4)) &amp; CHAR(34) &amp; ",", "")</f>
        <v/>
      </c>
      <c r="DM4" s="44" t="str" cm="1">
        <f t="array" ref="DM4">IF(CG4=3,CHAR(34) &amp; _xlfn.TEXTJOIN("", TRUE, RIGHT(HP4:HX4, 2)) &amp; CHAR(34) &amp; ",", "")</f>
        <v/>
      </c>
      <c r="DN4" s="44" t="str">
        <f>IF(AND(ISNUMBER(SEARCH("18", O4)), ISERROR(SEARCH("1918", O4)), ISERROR(SEARCH("2018", O4))), CHAR(34) &amp; "year18" &amp; CHAR(34) &amp; ",", "")</f>
        <v>"year18",</v>
      </c>
      <c r="DO4" s="44" t="str">
        <f>IF(AND(ISNUMBER(SEARCH("19", O4)), ISERROR(SEARCH("1819", O4)),  ISERROR(SEARCH("1219", O4)),ISERROR(SEARCH("1119", O4)),ISERROR(SEARCH("1190", O4)),ISERROR(SEARCH("2019", O4))), CHAR(34) &amp; "year19" &amp; CHAR(34) &amp; ",", "")</f>
        <v/>
      </c>
      <c r="DP4" s="5" t="str">
        <f>IF(AND(ISNUMBER(SEARCH("20", O4)), ISERROR(SEARCH("1920", O4))), CHAR(34)&amp;"year00"&amp;CHAR(34)&amp;",", "")</f>
        <v>"year00",</v>
      </c>
      <c r="DQ4" s="5" t="str">
        <f>IF(CC4="y",CHAR(34)&amp;"soviet"&amp;CHAR(34)&amp;",","")</f>
        <v/>
      </c>
      <c r="DR4" s="5" t="str">
        <f>IF(BY4="y",CHAR(34)&amp;"dgband"&amp;CHAR(34)&amp;",","")</f>
        <v/>
      </c>
      <c r="DS4" s="5" t="str">
        <f>IF(W4="y",IF(AND(V4="n",BY4&lt;&gt;"y"),CHAR(34)&amp;"allver"&amp;CHAR(34)&amp;",",""),"")</f>
        <v/>
      </c>
      <c r="DT4" s="5" t="str">
        <f>IF(V4="y",IF(AND(W4="n",BY4&lt;&gt;"y"),CHAR(34)&amp;"allhor"&amp;CHAR(34)&amp;",",""),"")</f>
        <v>"allhor",</v>
      </c>
      <c r="DU4" s="5" t="str">
        <f>IF(BY4="y",IF(AND(W4="n",V4="n"),CHAR(34)&amp;"alldia"&amp;CHAR(34)&amp;",",""),"")</f>
        <v/>
      </c>
      <c r="DW4" s="44" t="str">
        <f t="shared" si="1"/>
        <v/>
      </c>
      <c r="DX4" s="44" t="str">
        <f t="shared" si="1"/>
        <v/>
      </c>
      <c r="DY4" s="44" t="str">
        <f t="shared" si="1"/>
        <v>"3Bands",</v>
      </c>
      <c r="DZ4" s="44" t="str">
        <f t="shared" si="1"/>
        <v/>
      </c>
      <c r="EA4" s="44" t="str">
        <f t="shared" si="2"/>
        <v/>
      </c>
      <c r="EB4" s="44" t="str">
        <f t="shared" si="2"/>
        <v/>
      </c>
      <c r="EC4" s="44" t="str">
        <f t="shared" si="2"/>
        <v>"Horizo",</v>
      </c>
      <c r="ED4" s="44" t="str">
        <f t="shared" si="2"/>
        <v/>
      </c>
      <c r="EE4" s="44" t="str">
        <f t="shared" si="2"/>
        <v>"Circle",</v>
      </c>
      <c r="EF4" s="44" t="str">
        <f>IF(AND(Y4&lt;&gt;"n",Y4&lt;&gt;""),CHAR(34)&amp;Y$1&amp;CHAR(34)&amp;",","")</f>
        <v>"Animal",</v>
      </c>
      <c r="EG4" s="44" t="str">
        <f t="shared" si="3"/>
        <v/>
      </c>
      <c r="EH4" s="44" t="str">
        <f t="shared" si="3"/>
        <v/>
      </c>
      <c r="EI4" s="44" t="str">
        <f t="shared" si="3"/>
        <v>"Texted",</v>
      </c>
      <c r="EJ4" s="44" t="str">
        <f t="shared" si="3"/>
        <v/>
      </c>
      <c r="EK4" s="44" t="str">
        <f t="shared" si="3"/>
        <v/>
      </c>
      <c r="EL4" s="44" t="str">
        <f t="shared" si="3"/>
        <v/>
      </c>
      <c r="EM4" s="44" t="str">
        <f t="shared" si="3"/>
        <v/>
      </c>
      <c r="EN4" s="44" t="str">
        <f t="shared" si="3"/>
        <v/>
      </c>
      <c r="EO4" s="44" t="str">
        <f t="shared" si="3"/>
        <v>"Center",</v>
      </c>
      <c r="EP4" s="44" t="str">
        <f t="shared" si="3"/>
        <v/>
      </c>
      <c r="EQ4" s="44" t="str">
        <f t="shared" si="4"/>
        <v/>
      </c>
      <c r="ER4" s="44" t="str">
        <f t="shared" si="4"/>
        <v/>
      </c>
      <c r="ES4" s="44" t="str">
        <f t="shared" si="4"/>
        <v/>
      </c>
      <c r="ET4" s="44" t="str">
        <f t="shared" si="4"/>
        <v/>
      </c>
      <c r="EU4" s="44" t="str">
        <f t="shared" si="4"/>
        <v/>
      </c>
      <c r="EV4" s="44" t="str">
        <f t="shared" si="4"/>
        <v/>
      </c>
      <c r="EW4" s="44" t="str">
        <f t="shared" si="4"/>
        <v/>
      </c>
      <c r="EX4" s="44" t="str">
        <f t="shared" si="4"/>
        <v/>
      </c>
      <c r="EY4" s="44" t="str">
        <f t="shared" si="4"/>
        <v/>
      </c>
      <c r="EZ4" s="44" t="str">
        <f t="shared" si="4"/>
        <v/>
      </c>
      <c r="FA4" s="44" t="str">
        <f>IF(AT4&gt;0,CHAR(34)&amp;"sta"&amp;AZ4&amp;CHAR(34)&amp;",","")</f>
        <v/>
      </c>
      <c r="FB4" s="44" t="str">
        <f>IF(AND(AT4&gt;0,BA4&lt;&gt;""),CHAR(34)&amp;"sta"&amp;BA4&amp;CHAR(34)&amp;",","")</f>
        <v/>
      </c>
      <c r="FD4" s="44" t="str">
        <f>IF(BV4="n",CHAR(34)&amp;"tcWHYE"&amp;CHAR(34)&amp;",",IF(BV4="y",CHAR(34)&amp;FD$1&amp;CHAR(34)&amp;",",""))</f>
        <v/>
      </c>
      <c r="FE4" s="44" t="str">
        <f>IF(COUNTIF(BL4:BT4,"BLU")=0,CHAR(34)&amp;"NO_BLU"&amp;CHAR(34)&amp;",", "")</f>
        <v/>
      </c>
      <c r="FF4" s="44" t="str">
        <f>IF(COUNTIF(BL4:BT4,"WHI")=0,CHAR(34)&amp;"NO_WHI"&amp;CHAR(34)&amp;",", "")</f>
        <v/>
      </c>
      <c r="FG4" s="44" t="str">
        <f>IF(COUNTIF(BL4:BT4,"RED")=0,CHAR(34)&amp;"NO_RED"&amp;CHAR(34)&amp;",", "")</f>
        <v/>
      </c>
      <c r="FH4" s="44" t="str">
        <f>IF(COUNTIF(BL4:BS4,"GRE")=0,CHAR(34)&amp;"NO_GRE"&amp;CHAR(34)&amp;",", "")</f>
        <v>"NO_GRE",</v>
      </c>
      <c r="FI4" s="44" t="str">
        <f>IF(COUNTIF(BL4:BT4,"YEL")=0,CHAR(34)&amp;"NO_YEL"&amp;CHAR(34)&amp;",", "")</f>
        <v/>
      </c>
      <c r="FJ4" s="44" t="str">
        <f>IF(COUNTIF(BL4:BT4,"BLA")=0,CHAR(34)&amp;"NO_BLA"&amp;CHAR(34)&amp;",", "")</f>
        <v/>
      </c>
      <c r="FK4" s="44" t="str">
        <f>IF(AND(FH4&lt;&gt;"",FF4&lt;&gt;""),CHAR(34)&amp;"WHGRNO"&amp;CHAR(34)&amp;",","")</f>
        <v/>
      </c>
      <c r="FL4" s="44" t="str">
        <f>IF(AND(FI4&lt;&gt;"",FF4&lt;&gt;""),CHAR(34)&amp;"WHYENO"&amp;CHAR(34)&amp;",","")</f>
        <v/>
      </c>
      <c r="FM4" s="44" t="str">
        <f>IF(AND(FJ4&lt;&gt;"",FF4&lt;&gt;""),CHAR(34)&amp;"BAWHNO"&amp;CHAR(34)&amp;",","")</f>
        <v/>
      </c>
      <c r="FN4" s="44" t="str">
        <f>IF(AND(FE4&lt;&gt;"",FF4&lt;&gt;""),CHAR(34)&amp;"BLWHNO"&amp;CHAR(34)&amp;",","")</f>
        <v/>
      </c>
      <c r="FO4" s="44" t="str">
        <f>IF(AND(FE4&lt;&gt;"",FG4&lt;&gt;""),CHAR(34)&amp;"BLRENO"&amp;CHAR(34)&amp;",","")</f>
        <v/>
      </c>
      <c r="FP4" s="44" t="str">
        <f>IF(AND(FF4&lt;&gt;"",FF4&lt;&gt;""),CHAR(34)&amp;"WHRENO"&amp;CHAR(34)&amp;",","")</f>
        <v/>
      </c>
      <c r="FQ4" s="44" t="str">
        <f>IF(LEN(BF4)=3,CHAR(34)&amp;"001"&amp;BF4&amp;CHAR(34)&amp;",","")</f>
        <v>"001RED",</v>
      </c>
      <c r="FR4" s="44" t="str">
        <f>IF(LEN(BG4)=3,CHAR(34)&amp;"002"&amp;BG4&amp;CHAR(34)&amp;",","")</f>
        <v>"002WHI",</v>
      </c>
      <c r="FS4" s="44" t="str">
        <f>IF(LEN(BH4)=3,CHAR(34)&amp;"003"&amp;BH4&amp;CHAR(34)&amp;",","")</f>
        <v>"003BLU",</v>
      </c>
      <c r="FT4" s="44" t="str">
        <f>CHAR(34)&amp;"myr"&amp;BD4&amp;CHAR(34)&amp;","</f>
        <v>"myrEQ",</v>
      </c>
      <c r="FU4" s="44" t="str">
        <f>IF(AY4="y",CHAR(34)&amp;"island"&amp;CHAR(34)&amp;",","")</f>
        <v/>
      </c>
      <c r="FV4" s="44" t="str">
        <f>IF(BZ4="y",CHAR(34)&amp;"landlo"&amp;CHAR(34)&amp;",","")</f>
        <v/>
      </c>
      <c r="FW4" s="44" t="str">
        <f>IF(CA4="y",CHAR(34)&amp;"eunion"&amp;CHAR(34)&amp;",","")</f>
        <v/>
      </c>
      <c r="FY4" s="44" t="str">
        <f>IFERROR(IF(SEARCH("Arabic",CB4)&gt;0,CHAR(34)&amp;"arabic"&amp;CHAR(34)&amp;",",""),"")</f>
        <v/>
      </c>
      <c r="FZ4" s="44" t="str">
        <f>IFERROR(IF(SEARCH("English",CB4)&gt;0,CHAR(34)&amp;"englis"&amp;CHAR(34)&amp;",",""),"")</f>
        <v/>
      </c>
      <c r="GA4" s="44" t="str">
        <f>IFERROR(IF(SEARCH("French",CB4)&gt;0,CHAR(34)&amp;"french"&amp;CHAR(34)&amp;",",""),"")</f>
        <v/>
      </c>
      <c r="GB4" s="44" t="str">
        <f>IFERROR(IF(SEARCH("Spanish",CB4)&gt;0,CHAR(34)&amp;"spanis"&amp;CHAR(34)&amp;",",""),"")</f>
        <v/>
      </c>
      <c r="GE4" s="44" t="str">
        <f>IFERROR(IF(SEARCH("Dutch",CB4)&gt;0,CHAR(34)&amp;"dutchs"&amp;CHAR(34)&amp;",",""),"")</f>
        <v/>
      </c>
      <c r="GF4" s="44" t="str">
        <f>IFERROR(IF(SEARCH("Historical",AU4)&gt;0,CHAR(34)&amp;"histor"&amp;CHAR(34)&amp;",",""),"")</f>
        <v/>
      </c>
      <c r="GG4" s="44" t="str">
        <f>IF(BU4="y",CHAR(34)&amp;"unjack"&amp;CHAR(34)&amp;",","")</f>
        <v/>
      </c>
      <c r="GH4" s="44" t="str">
        <f>IF(CD4=1,CHAR(34)&amp;"southc"&amp;CHAR(34)&amp;",","")</f>
        <v/>
      </c>
      <c r="GI4" s="44" t="str">
        <f>IF(CE4=1,CHAR(34)&amp;"hasmap"&amp;CHAR(34)&amp;",","")</f>
        <v/>
      </c>
      <c r="GJ4" s="44" t="str">
        <f>IF(CP4="y",CHAR(34)&amp;CP$1&amp;CHAR(34)&amp;",","")</f>
        <v>"NoStar",</v>
      </c>
      <c r="GK4" s="44" t="str">
        <f>IF(GJ4="",CHAR(34)&amp;"HasSta"&amp;CHAR(34)&amp;",","")</f>
        <v/>
      </c>
      <c r="GL4" s="44" t="str">
        <f t="shared" si="5"/>
        <v/>
      </c>
      <c r="GM4" s="44" t="str">
        <f t="shared" si="5"/>
        <v/>
      </c>
      <c r="GN4" s="44" t="str">
        <f t="shared" si="5"/>
        <v/>
      </c>
      <c r="GP4" s="44" t="str">
        <f>CHAR(34)&amp;AU4&amp;CHAR(34)</f>
        <v>"Other"</v>
      </c>
      <c r="GS4" s="44" t="str">
        <f>SUBSTITUTE("["&amp;_xlfn.CONCAT(CW4:GN4)&amp;"]",",]","]")</f>
        <v>["5+Colo","lets17","startP","with_v","with_y","year18","year00","allhor","3Bands","Horizo","Circle","Animal","Texted","Center","NO_GRE","001RED","002WHI","003BLU","myrEQ","NoStar"]</v>
      </c>
      <c r="GT4" s="44" t="str">
        <f t="shared" si="6"/>
        <v>"cl_RED",</v>
      </c>
      <c r="GU4" s="44" t="str">
        <f t="shared" si="6"/>
        <v>"cl_WHI",</v>
      </c>
      <c r="GV4" s="44" t="str">
        <f t="shared" si="6"/>
        <v>"cl_BLU",</v>
      </c>
      <c r="GW4" s="44" t="str">
        <f t="shared" si="6"/>
        <v>"cl_BLA",</v>
      </c>
      <c r="GX4" s="44" t="str">
        <f t="shared" si="6"/>
        <v>"cl_YEL",</v>
      </c>
      <c r="GY4" s="44" t="str">
        <f t="shared" si="6"/>
        <v>"cl_BRO",</v>
      </c>
      <c r="GZ4" s="44" t="str">
        <f t="shared" si="6"/>
        <v/>
      </c>
      <c r="HA4" s="44" t="str">
        <f t="shared" si="6"/>
        <v/>
      </c>
      <c r="HB4" s="44" t="str">
        <f t="shared" si="6"/>
        <v/>
      </c>
      <c r="HC4" s="44" t="str">
        <f>SUBSTITUTE("["&amp;_xlfn.CONCAT(GT4:HB4)&amp;"]",",]","]")</f>
        <v>["cl_RED","cl_WHI","cl_BLU","cl_BLA","cl_YEL","cl_BRO"]</v>
      </c>
      <c r="HE4" s="64"/>
      <c r="HF4" s="65" t="str">
        <f>"{couname:"&amp;CT4&amp;(IF(HK4&lt;&gt;"",",subtype:"&amp;CHAR(34)&amp;HK4&amp;CHAR(34),""))&amp;",year:"&amp;HJ4&amp;",region:"&amp;CU4&amp;",Colors:"&amp;HC4&amp;",Items:"&amp;GS4&amp;",Flag:"&amp;CV4&amp;",HDFlag:"&amp;CHAR(34)&amp;E4&amp;CHAR(34)&amp;",type:"&amp;GP4&amp;", describe: "&amp;HH4&amp;", isnew:"&amp;CHAR(34)&amp;F4&amp;CHAR(34)&amp;", links: "&amp;HL4&amp;"},"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links: "https://en.wikipedia.org/wiki/Flag_of_Paraguay"},</v>
      </c>
      <c r="HG4" s="66" t="str">
        <f>"{couname:"&amp;CT4&amp;(IF(HK4&lt;&gt;"",",subtype:"&amp;CHAR(34)&amp;HK4&amp;CHAR(34),""))&amp;",year:"&amp;HJ4&amp;",region:"&amp;CU4&amp;",Colors:"&amp;HC4&amp;",Items:"&amp;GS4&amp;",Flag:"&amp;CV4&amp;",HDFlag:"&amp;CHAR(34)&amp;E4&amp;CHAR(34)&amp;",type:"&amp;GP4&amp;", describe: "&amp;HI4&amp;", links: "&amp;HL4&amp;"},"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links: "https://en.wikipedia.org/wiki/Flag_of_Paraguay"},</v>
      </c>
      <c r="HH4" s="44" t="str">
        <f>IF(P4&lt;&gt;"",CHAR(34)&amp;"\n"&amp;P4&amp;CHAR(34),CHAR(34)&amp;CHAR(34))</f>
        <v>"\nThe emblem on the reverse side is the seal of the treasury: a yellow lion below a red Phrygian cap on the top of a pole (symbolising courage) and the words Paz y Justicia ('Peace and Justice')."</v>
      </c>
      <c r="HI4" s="44" t="str">
        <f>IF(J4=0,CHAR(34)&amp;CHAR(34),HH4)</f>
        <v>"\nThe emblem on the reverse side is the seal of the treasury: a yellow lion below a red Phrygian cap on the top of a pole (symbolising courage) and the words Paz y Justicia ('Peace and Justice')."</v>
      </c>
      <c r="HJ4" s="44" t="str">
        <f>CHAR(34)&amp;O4&amp;CHAR(34)</f>
        <v>"1842, 2013 "</v>
      </c>
      <c r="HL4" s="44" t="str">
        <f>CHAR(34)&amp;I4&amp;CHAR(34)</f>
        <v>"https://en.wikipedia.org/wiki/Flag_of_Paraguay"</v>
      </c>
      <c r="HM4" s="65"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N4" s="67"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{"couname":"[PRY] Paraguay (Reverse)","year":"1842, 2013 ","region":"rgn_South America","Colors":["cl_RED","cl_WHI","cl_BLU","cl_BLA","cl_YEL","cl_BRO"],"Items":["5+Colo","lets17","startP","with_v","with_y","year18","year00","allhor","3Bands","Horizo","Circle","Animal","Texted","Center","NO_GRE","001RED","002WHI","003BLU","myrEQ","NoStar"],"Flag":"https://upload.wikimedia.org/wikipedia/commons/thumb/f/f1/Flag_of_Paraguay_%28reverse%29.svg/2560px-Flag_of_Paraguay_%28reverse%29.svg.png","HDFlag":"https://upload.wikimedia.org/wikipedia/commons/thumb/f/f1/Flag_of_Paraguay_%28reverse%29.svg/2560px-Flag_of_Paraguay_%28reverse%29.svg.png","type":"Other", "describe": "\nThe emblem on the reverse side is the seal of the treasury: a yellow lion below a red Phrygian cap on the top of a pole (symbolising courage) and the words Paz y Justicia ('Peace and Justice').", "isnew": ".", "links": "https://en.wikipedia.org/wiki/Flag_of_Paraguay"},</v>
      </c>
      <c r="HO4" s="71">
        <v>45596</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BRO</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M4" s="42">
        <f>COUNTIF(IC4:IK4,"&gt;0")-CG4</f>
        <v>-6</v>
      </c>
      <c r="IN4" s="69" t="str">
        <f>"http://mkweb.bcgsc.ca/color-summarizer/?url="&amp;D4&amp;"&amp;precision=low&amp;num_clusters="&amp;CG4&amp;"&amp;text=1"</f>
        <v>http://mkweb.bcgsc.ca/color-summarizer/?url=https://upload.wikimedia.org/wikipedia/commons/thumb/f/f1/Flag_of_Paraguay_%28reverse%29.svg/2560px-Flag_of_Paraguay_%28reverse%29.svg.png&amp;precision=low&amp;num_clusters=6&amp;text=1</v>
      </c>
      <c r="IO4" s="44" t="str">
        <f>IF(HP4&lt;&gt;"",CHAR(34)&amp;"black"&amp;CHAR(34),"")</f>
        <v>"black"</v>
      </c>
      <c r="IP4" s="44" t="str">
        <f>IF(HQ4&lt;&gt;"",CHAR(34)&amp;"blue"&amp;CHAR(34),"")</f>
        <v>"blue"</v>
      </c>
      <c r="IQ4" s="44" t="str">
        <f>IF(HR4&lt;&gt;"",CHAR(34)&amp;"green"&amp;CHAR(34),"")</f>
        <v/>
      </c>
      <c r="IR4" s="44" t="str">
        <f>IF(HS4&lt;&gt;"",CHAR(34)&amp;"red"&amp;CHAR(34),"")</f>
        <v>"red"</v>
      </c>
      <c r="IS4" s="44" t="str">
        <f>IF(HT4&lt;&gt;"",CHAR(34)&amp;"yellow"&amp;CHAR(34),"")</f>
        <v>"yellow"</v>
      </c>
      <c r="IT4" s="44" t="str">
        <f>IF(HU4&lt;&gt;"",CHAR(34)&amp;"orange"&amp;CHAR(34),"")</f>
        <v/>
      </c>
      <c r="IU4" s="44" t="str">
        <f>IF(HV4&lt;&gt;"",CHAR(34)&amp;"brown"&amp;CHAR(34),"")</f>
        <v>"brown"</v>
      </c>
      <c r="IV4" s="44" t="str">
        <f>IF(HW4&lt;&gt;"",CHAR(34)&amp;"purple"&amp;CHAR(34),"")</f>
        <v/>
      </c>
      <c r="IW4" s="44" t="str">
        <f>IF(HX4&lt;&gt;"",CHAR(34)&amp;"white"&amp;CHAR(34),"")</f>
        <v>"white"</v>
      </c>
      <c r="IX4" s="44" t="str">
        <f>"{"&amp;CHAR(34)&amp;"url"&amp;CHAR(34)&amp;":"&amp;CHAR(34)&amp;IN4&amp;CHAR(34)&amp;","&amp;CHAR(34)&amp;"name"&amp;CHAR(34)&amp;":"&amp;CHAR(34)&amp;A4&amp;CHAR(34)&amp;"},"</f>
        <v>{"url":"http://mkweb.bcgsc.ca/color-summarizer/?url=https://upload.wikimedia.org/wikipedia/commons/thumb/f/f1/Flag_of_Paraguay_%28reverse%29.svg/2560px-Flag_of_Paraguay_%28reverse%29.svg.png&amp;precision=low&amp;num_clusters=6&amp;text=1","name":"[PRY] Paraguay (Reverse)"},</v>
      </c>
      <c r="IY4" s="44">
        <v>1391</v>
      </c>
    </row>
  </sheetData>
  <autoFilter ref="A1:IY4" xr:uid="{A1051193-A95B-4CFB-A73C-F0184620C81F}">
    <sortState xmlns:xlrd2="http://schemas.microsoft.com/office/spreadsheetml/2017/richdata2" ref="A2:IY4">
      <sortCondition ref="AW1:AW4"/>
    </sortState>
  </autoFilter>
  <conditionalFormatting sqref="H1 CW1:GS1 IA1:IB1">
    <cfRule type="cellIs" dxfId="275" priority="77" operator="greaterThan">
      <formula>0</formula>
    </cfRule>
  </conditionalFormatting>
  <conditionalFormatting sqref="H1:H1048576">
    <cfRule type="cellIs" dxfId="274" priority="17" stopIfTrue="1" operator="notEqual">
      <formula>""</formula>
    </cfRule>
  </conditionalFormatting>
  <conditionalFormatting sqref="R2:R4 CU2:CU4">
    <cfRule type="cellIs" dxfId="273" priority="19" operator="greaterThan">
      <formula>0</formula>
    </cfRule>
  </conditionalFormatting>
  <conditionalFormatting sqref="T2:AS4 CH2:CS4">
    <cfRule type="cellIs" dxfId="272" priority="14" stopIfTrue="1" operator="equal">
      <formula>"n"</formula>
    </cfRule>
    <cfRule type="cellIs" dxfId="271" priority="15" stopIfTrue="1" operator="equal">
      <formula>"y"</formula>
    </cfRule>
    <cfRule type="cellIs" dxfId="270" priority="16" operator="greaterThan">
      <formula>0</formula>
    </cfRule>
  </conditionalFormatting>
  <conditionalFormatting sqref="T1:BK1">
    <cfRule type="cellIs" dxfId="269" priority="80" operator="greaterThan">
      <formula>0</formula>
    </cfRule>
  </conditionalFormatting>
  <conditionalFormatting sqref="AZ2:BB4">
    <cfRule type="expression" dxfId="268" priority="13">
      <formula>$AT2=0</formula>
    </cfRule>
  </conditionalFormatting>
  <conditionalFormatting sqref="AZ2:BU4">
    <cfRule type="cellIs" dxfId="267" priority="55" operator="equal">
      <formula>"PIN"</formula>
    </cfRule>
    <cfRule type="cellIs" dxfId="266" priority="56" operator="equal">
      <formula>"ORA"</formula>
    </cfRule>
    <cfRule type="cellIs" dxfId="265" priority="57" operator="equal">
      <formula>"GRA"</formula>
    </cfRule>
    <cfRule type="cellIs" dxfId="264" priority="58" operator="equal">
      <formula>"PUR"</formula>
    </cfRule>
    <cfRule type="cellIs" dxfId="263" priority="59" operator="equal">
      <formula>"BRO"</formula>
    </cfRule>
    <cfRule type="cellIs" dxfId="262" priority="60" operator="equal">
      <formula>"YEL"</formula>
    </cfRule>
    <cfRule type="cellIs" dxfId="261" priority="61" operator="equal">
      <formula>"BLU"</formula>
    </cfRule>
    <cfRule type="cellIs" dxfId="260" priority="62" operator="equal">
      <formula>"WHI"</formula>
    </cfRule>
    <cfRule type="cellIs" dxfId="259" priority="63" operator="equal">
      <formula>"GRE"</formula>
    </cfRule>
    <cfRule type="cellIs" dxfId="258" priority="64" operator="equal">
      <formula>"RED"</formula>
    </cfRule>
    <cfRule type="cellIs" dxfId="257" priority="65" operator="equal">
      <formula>"BLA"</formula>
    </cfRule>
  </conditionalFormatting>
  <conditionalFormatting sqref="BV1:BW1 BV5:BW1048576 BV2:BV4">
    <cfRule type="cellIs" dxfId="256" priority="79" operator="equal">
      <formula>"nc"</formula>
    </cfRule>
  </conditionalFormatting>
  <conditionalFormatting sqref="BX2:CA4 CD2:CF4">
    <cfRule type="cellIs" dxfId="255" priority="18" operator="equal">
      <formula>"y"</formula>
    </cfRule>
    <cfRule type="cellIs" dxfId="254" priority="66" operator="equal">
      <formula>"PIN"</formula>
    </cfRule>
    <cfRule type="cellIs" dxfId="253" priority="67" operator="equal">
      <formula>"ORA"</formula>
    </cfRule>
    <cfRule type="cellIs" dxfId="252" priority="68" operator="equal">
      <formula>"GRA"</formula>
    </cfRule>
    <cfRule type="cellIs" dxfId="251" priority="69" operator="equal">
      <formula>"PUR"</formula>
    </cfRule>
    <cfRule type="cellIs" dxfId="250" priority="70" operator="equal">
      <formula>"BRO"</formula>
    </cfRule>
    <cfRule type="cellIs" dxfId="249" priority="71" operator="equal">
      <formula>"YEL"</formula>
    </cfRule>
    <cfRule type="cellIs" dxfId="248" priority="72" operator="equal">
      <formula>"BLU"</formula>
    </cfRule>
    <cfRule type="cellIs" dxfId="247" priority="73" operator="equal">
      <formula>"WHI"</formula>
    </cfRule>
    <cfRule type="cellIs" dxfId="246" priority="74" operator="equal">
      <formula>"GRE"</formula>
    </cfRule>
    <cfRule type="cellIs" dxfId="245" priority="75" operator="equal">
      <formula>"RED"</formula>
    </cfRule>
    <cfRule type="cellIs" dxfId="244" priority="76" operator="equal">
      <formula>"BLA"</formula>
    </cfRule>
  </conditionalFormatting>
  <conditionalFormatting sqref="BZ2:CA4 CD2:CF4">
    <cfRule type="cellIs" dxfId="243" priority="20" operator="greaterThan">
      <formula>0</formula>
    </cfRule>
  </conditionalFormatting>
  <conditionalFormatting sqref="HF1:HG1">
    <cfRule type="cellIs" dxfId="242" priority="81" operator="greaterThan">
      <formula>0</formula>
    </cfRule>
  </conditionalFormatting>
  <conditionalFormatting sqref="HK1">
    <cfRule type="cellIs" dxfId="241" priority="78" operator="greaterThan">
      <formula>0</formula>
    </cfRule>
  </conditionalFormatting>
  <conditionalFormatting sqref="HP1:HX1">
    <cfRule type="cellIs" dxfId="240" priority="32" operator="equal">
      <formula>"PIN"</formula>
    </cfRule>
    <cfRule type="cellIs" dxfId="239" priority="33" operator="equal">
      <formula>"ORA"</formula>
    </cfRule>
    <cfRule type="cellIs" dxfId="238" priority="34" operator="equal">
      <formula>"GRA"</formula>
    </cfRule>
    <cfRule type="cellIs" dxfId="237" priority="35" operator="equal">
      <formula>"PUR"</formula>
    </cfRule>
    <cfRule type="cellIs" dxfId="236" priority="36" operator="equal">
      <formula>"BRO"</formula>
    </cfRule>
    <cfRule type="cellIs" dxfId="235" priority="37" operator="equal">
      <formula>"YEL"</formula>
    </cfRule>
    <cfRule type="cellIs" dxfId="234" priority="38" operator="equal">
      <formula>"BLU"</formula>
    </cfRule>
    <cfRule type="cellIs" dxfId="233" priority="39" operator="equal">
      <formula>"WHI"</formula>
    </cfRule>
    <cfRule type="cellIs" dxfId="232" priority="40" operator="equal">
      <formula>"GRE"</formula>
    </cfRule>
    <cfRule type="cellIs" dxfId="231" priority="41" operator="equal">
      <formula>"RED"</formula>
    </cfRule>
    <cfRule type="cellIs" dxfId="230" priority="42" operator="equal">
      <formula>"BLA"</formula>
    </cfRule>
  </conditionalFormatting>
  <conditionalFormatting sqref="IC1:IK1">
    <cfRule type="cellIs" dxfId="229" priority="44" operator="equal">
      <formula>"PIN"</formula>
    </cfRule>
    <cfRule type="cellIs" dxfId="228" priority="45" operator="equal">
      <formula>"ORA"</formula>
    </cfRule>
    <cfRule type="cellIs" dxfId="227" priority="46" operator="equal">
      <formula>"GRA"</formula>
    </cfRule>
    <cfRule type="cellIs" dxfId="226" priority="47" operator="equal">
      <formula>"PUR"</formula>
    </cfRule>
    <cfRule type="cellIs" dxfId="225" priority="48" operator="equal">
      <formula>"BRO"</formula>
    </cfRule>
    <cfRule type="cellIs" dxfId="224" priority="49" operator="equal">
      <formula>"YEL"</formula>
    </cfRule>
    <cfRule type="cellIs" dxfId="223" priority="50" operator="equal">
      <formula>"BLU"</formula>
    </cfRule>
    <cfRule type="cellIs" dxfId="222" priority="51" operator="equal">
      <formula>"WHI"</formula>
    </cfRule>
    <cfRule type="cellIs" dxfId="221" priority="52" operator="equal">
      <formula>"GRE"</formula>
    </cfRule>
    <cfRule type="cellIs" dxfId="220" priority="53" operator="equal">
      <formula>"RED"</formula>
    </cfRule>
    <cfRule type="cellIs" dxfId="219" priority="54" operator="equal">
      <formula>"BLA"</formula>
    </cfRule>
  </conditionalFormatting>
  <conditionalFormatting sqref="IC2:IK4">
    <cfRule type="expression" dxfId="218" priority="43">
      <formula>$IL2&gt;0</formula>
    </cfRule>
  </conditionalFormatting>
  <conditionalFormatting sqref="IO1:IW1">
    <cfRule type="cellIs" dxfId="217" priority="21" operator="equal">
      <formula>"PIN"</formula>
    </cfRule>
    <cfRule type="cellIs" dxfId="216" priority="22" operator="equal">
      <formula>"ORA"</formula>
    </cfRule>
    <cfRule type="cellIs" dxfId="215" priority="23" operator="equal">
      <formula>"GRA"</formula>
    </cfRule>
    <cfRule type="cellIs" dxfId="214" priority="24" operator="equal">
      <formula>"PUR"</formula>
    </cfRule>
    <cfRule type="cellIs" dxfId="213" priority="25" operator="equal">
      <formula>"BRO"</formula>
    </cfRule>
    <cfRule type="cellIs" dxfId="212" priority="26" operator="equal">
      <formula>"YEL"</formula>
    </cfRule>
    <cfRule type="cellIs" dxfId="211" priority="27" operator="equal">
      <formula>"BLU"</formula>
    </cfRule>
    <cfRule type="cellIs" dxfId="210" priority="28" operator="equal">
      <formula>"WHI"</formula>
    </cfRule>
    <cfRule type="cellIs" dxfId="209" priority="29" operator="equal">
      <formula>"GRE"</formula>
    </cfRule>
    <cfRule type="cellIs" dxfId="208" priority="30" operator="equal">
      <formula>"RED"</formula>
    </cfRule>
    <cfRule type="cellIs" dxfId="207" priority="31" operator="equal">
      <formula>"BLA"</formula>
    </cfRule>
  </conditionalFormatting>
  <conditionalFormatting sqref="J2:J4">
    <cfRule type="colorScale" priority="2322">
      <colorScale>
        <cfvo type="min"/>
        <cfvo type="percentile" val="50"/>
        <cfvo type="max"/>
        <color rgb="FFF8696B"/>
        <color rgb="FFFFEB84"/>
        <color rgb="FF63BE7B"/>
      </colorScale>
    </cfRule>
  </conditionalFormatting>
  <conditionalFormatting sqref="S2:S4">
    <cfRule type="colorScale" priority="2323">
      <colorScale>
        <cfvo type="min"/>
        <cfvo type="max"/>
        <color rgb="FFFCFCFF"/>
        <color rgb="FF754BFB"/>
      </colorScale>
    </cfRule>
  </conditionalFormatting>
  <conditionalFormatting sqref="AT2:AT4">
    <cfRule type="colorScale" priority="2324">
      <colorScale>
        <cfvo type="min"/>
        <cfvo type="max"/>
        <color rgb="FFFCFCFF"/>
        <color theme="8" tint="0.39997558519241921"/>
      </colorScale>
    </cfRule>
  </conditionalFormatting>
  <conditionalFormatting sqref="CG2:CG4">
    <cfRule type="colorScale" priority="2325">
      <colorScale>
        <cfvo type="min"/>
        <cfvo type="max"/>
        <color rgb="FFFCFCFF"/>
        <color rgb="FF63BE7B"/>
      </colorScale>
    </cfRule>
  </conditionalFormatting>
  <hyperlinks>
    <hyperlink ref="A2" r:id="rId1" display="https://fbref.com/en/country/PAR/Paraguay-Football" xr:uid="{C2692E35-A9C3-4547-ACD2-1042FD11B5BA}"/>
    <hyperlink ref="I4" r:id="rId2" xr:uid="{57036A1B-B95A-4A9C-BC65-37C252BC6E33}"/>
    <hyperlink ref="E4" r:id="rId3" xr:uid="{1DBBCEB9-6680-43B0-950C-C36705BEB74B}"/>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8433" r:id="rId7"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18434" r:id="rId8"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18435" r:id="rId9" name="Button 3">
              <controlPr defaultSize="0" print="0" autoFill="0" autoPict="0" macro="[0]!GoToSheet">
                <anchor moveWithCells="1" sizeWithCells="1">
                  <from>
                    <xdr:col>0</xdr:col>
                    <xdr:colOff>53340</xdr:colOff>
                    <xdr:row>0</xdr:row>
                    <xdr:rowOff>68580</xdr:rowOff>
                  </from>
                  <to>
                    <xdr:col>0</xdr:col>
                    <xdr:colOff>678180</xdr:colOff>
                    <xdr:row>0</xdr:row>
                    <xdr:rowOff>373380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BDCA-7958-4586-87E6-FE8CAC10C46B}">
  <sheetPr codeName="Sheet14"/>
  <dimension ref="A1:IY3"/>
  <sheetViews>
    <sheetView zoomScale="70" zoomScaleNormal="70" workbookViewId="0">
      <pane xSplit="5" ySplit="1" topLeftCell="F2" activePane="bottomRight" state="frozen"/>
      <selection pane="topRight" activeCell="F1" sqref="F1"/>
      <selection pane="bottomLeft" activeCell="A2" sqref="A2"/>
      <selection pane="bottomRight" activeCell="B2" sqref="B2"/>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258</v>
      </c>
      <c r="B2" s="83" t="e" vm="91">
        <v>#VALUE!</v>
      </c>
      <c r="C2" s="39">
        <v>1</v>
      </c>
      <c r="D2" s="70" t="s">
        <v>259</v>
      </c>
      <c r="E2" s="40" t="s">
        <v>260</v>
      </c>
      <c r="F2" s="41" t="s">
        <v>163</v>
      </c>
      <c r="G2" s="42">
        <f>COUNTIF($A$1:$A$8282,A2)</f>
        <v>1</v>
      </c>
      <c r="H2" s="43"/>
      <c r="I2" s="59" t="s">
        <v>261</v>
      </c>
      <c r="J2" s="44" t="str">
        <f>""</f>
        <v/>
      </c>
      <c r="K2" s="45">
        <v>623326</v>
      </c>
      <c r="L2" s="46">
        <v>279000</v>
      </c>
      <c r="M2" s="46" t="s">
        <v>1962</v>
      </c>
      <c r="N2" s="47" t="s">
        <v>177</v>
      </c>
      <c r="O2" s="74" t="s">
        <v>170</v>
      </c>
      <c r="P2" s="48" t="s">
        <v>262</v>
      </c>
      <c r="Q2" s="73">
        <v>1</v>
      </c>
      <c r="R2" s="49" t="s">
        <v>177</v>
      </c>
      <c r="S2" s="50">
        <v>5</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165</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1</v>
      </c>
      <c r="AU2" s="53"/>
      <c r="AV2" s="53" t="str">
        <f>IF(LEFT(A2,1)="[",LEFT(A2,5)&amp;AU2&amp;A2,"")</f>
        <v/>
      </c>
      <c r="AW2" s="53" t="str">
        <f>C2&amp;A2</f>
        <v>1Suriname</v>
      </c>
      <c r="AX2" s="55" t="str">
        <f>_xlfn.TEXTJOIN(";",TRUE,AU2:AW2)</f>
        <v>1Suriname</v>
      </c>
      <c r="AY2" s="55"/>
      <c r="AZ2" s="56" t="s">
        <v>155</v>
      </c>
      <c r="BA2" s="56"/>
      <c r="BB2" s="56"/>
      <c r="BC2" s="57"/>
      <c r="BD2" s="58" t="s">
        <v>153</v>
      </c>
      <c r="BE2" s="59"/>
      <c r="BF2" s="58" t="s">
        <v>153</v>
      </c>
      <c r="BG2" s="58" t="s">
        <v>154</v>
      </c>
      <c r="BH2" s="58" t="s">
        <v>153</v>
      </c>
      <c r="BI2" s="58" t="s">
        <v>159</v>
      </c>
      <c r="BJ2" s="58"/>
      <c r="BK2" s="59"/>
      <c r="BL2" s="58" t="s">
        <v>153</v>
      </c>
      <c r="BM2" s="58" t="s">
        <v>159</v>
      </c>
      <c r="BN2" s="58" t="s">
        <v>154</v>
      </c>
      <c r="BO2" s="58" t="s">
        <v>155</v>
      </c>
      <c r="BP2" s="58"/>
      <c r="BQ2" s="58"/>
      <c r="BR2" s="58"/>
      <c r="BS2" s="58"/>
      <c r="BT2" s="58"/>
      <c r="BU2" s="60"/>
      <c r="BV2" s="61" t="s">
        <v>165</v>
      </c>
      <c r="BW2" s="61" t="s">
        <v>168</v>
      </c>
      <c r="BX2" s="59"/>
      <c r="CB2" s="5" t="s">
        <v>141</v>
      </c>
      <c r="CC2" s="5"/>
      <c r="CD2" s="62">
        <v>0</v>
      </c>
      <c r="CE2" s="62">
        <v>0</v>
      </c>
      <c r="CF2" s="62" t="e">
        <v>#REF!</v>
      </c>
      <c r="CG2" s="75" cm="1">
        <f t="array" ref="CG2">SUMPRODUCT(--(LEN(TRIM(BL2:BT2))&gt;0))</f>
        <v>4</v>
      </c>
      <c r="CH2" s="53" t="str">
        <f>IF(CG2=2,"y","n")</f>
        <v>n</v>
      </c>
      <c r="CI2" s="53" t="str">
        <f>IF(CG2=3,"y","n")</f>
        <v>n</v>
      </c>
      <c r="CJ2" s="53" t="str">
        <f>IF(CG2=4,"y","n")</f>
        <v>y</v>
      </c>
      <c r="CK2" s="53" t="str">
        <f>IF(CG2&gt;4,"y","n")</f>
        <v>n</v>
      </c>
      <c r="CL2" s="53" t="str">
        <f>IF(S2=0,"y","n")</f>
        <v>n</v>
      </c>
      <c r="CM2" s="53" t="str">
        <f>IF(S2=2,"y","n")</f>
        <v>n</v>
      </c>
      <c r="CN2" s="53" t="str">
        <f>IF(S2=3,"y","n")</f>
        <v>n</v>
      </c>
      <c r="CO2" s="53" t="str">
        <f>IF(S2&gt;=4,"y","n")</f>
        <v>y</v>
      </c>
      <c r="CP2" s="53" t="str">
        <f>IF(AT2=0,"y","n")</f>
        <v>n</v>
      </c>
      <c r="CQ2" s="53" t="str">
        <f>IF(AT2=1,"y","n")</f>
        <v>y</v>
      </c>
      <c r="CR2" s="53" t="str">
        <f>IF(AT2=2,"y","n")</f>
        <v>n</v>
      </c>
      <c r="CS2" s="53" t="str">
        <f>IF(AT2&gt;=3,"y","n")</f>
        <v>n</v>
      </c>
      <c r="CT2" s="38" t="str">
        <f>CHAR(34)&amp;A2&amp;CHAR(34)</f>
        <v>"Suriname"</v>
      </c>
      <c r="CU2" s="63" t="str">
        <f>CHAR(34)&amp;"rgn_"&amp;R2&amp;CHAR(34)</f>
        <v>"rgn_South America"</v>
      </c>
      <c r="CV2" s="44" t="str">
        <f>CHAR(34)&amp;D2&amp;CHAR(34)</f>
        <v>"https://i.ibb.co/5Ks9qPr/Suriname-Flag.png"</v>
      </c>
      <c r="CW2" s="44" t="str">
        <f t="shared" ref="CW2:CZ3" si="0">IF(CH2="y",CHAR(34)&amp;CH$1&amp;CHAR(34)&amp;",","")</f>
        <v/>
      </c>
      <c r="CX2" s="44" t="str">
        <f t="shared" si="0"/>
        <v/>
      </c>
      <c r="CY2" s="44" t="str">
        <f t="shared" si="0"/>
        <v>"4Color",</v>
      </c>
      <c r="CZ2" s="44" t="str">
        <f t="shared" si="0"/>
        <v/>
      </c>
      <c r="DA2" s="44" t="str">
        <f>IF(Q2&gt;1,CHAR(34)&amp;"words2"&amp;CHAR(34)&amp;",","")</f>
        <v/>
      </c>
      <c r="DB2" s="44" t="str">
        <f>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4" t="str">
        <f>IFERROR(IF(SEARCH("tan",A2)&gt;0,CHAR(34)&amp;"withtn"&amp;CHAR(34)&amp;",",""),"")</f>
        <v/>
      </c>
      <c r="DG2" s="44" t="str">
        <f>IFERROR(IF(SEARCH("q",A2)&gt;0,CHAR(34)&amp;"with_q"&amp;CHAR(34)&amp;",",""),"")</f>
        <v/>
      </c>
      <c r="DH2" s="44" t="str">
        <f>IFERROR(IF(SEARCH("v",A2)&gt;0,CHAR(34)&amp;"with_v"&amp;CHAR(34)&amp;",",""),"")</f>
        <v/>
      </c>
      <c r="DI2" s="44" t="str">
        <f>IFERROR(IF(SEARCH("w",A2)&gt;0,CHAR(34)&amp;"with_w"&amp;CHAR(34)&amp;",",""),"")</f>
        <v/>
      </c>
      <c r="DJ2" s="44" t="str">
        <f>IFERROR(IF(SEARCH("y",A2)&gt;0,CHAR(34)&amp;"with_y"&amp;CHAR(34)&amp;",",""),"")</f>
        <v/>
      </c>
      <c r="DK2" s="44" t="str">
        <f>IFERROR(IF(SEARCH("z",A2)&gt;0,CHAR(34)&amp;"with_z"&amp;CHAR(34)&amp;",",""),"")</f>
        <v/>
      </c>
      <c r="DL2" s="44" t="str">
        <f>IF(CG2=2, CHAR(34) &amp; _xlfn.TEXTJOIN("", TRUE, _xlfn._xlws.SORT(HP2:HX2)) &amp; CHAR(34) &amp; ",", "")</f>
        <v/>
      </c>
      <c r="DM2" s="44" t="str" cm="1">
        <f t="array" ref="DM2">IF(CG2=3,CHAR(34) &amp; _xlfn.TEXTJOIN("", TRUE, RIGHT(HP2:HX2, 2)) &amp; CHAR(34) &amp; ",", "")</f>
        <v/>
      </c>
      <c r="DN2" s="44" t="str">
        <f>IF(AND(ISNUMBER(SEARCH("18", O2)), ISERROR(SEARCH("1918", O2)), ISERROR(SEARCH("2018", O2))), CHAR(34) &amp; "year18" &amp; CHAR(34) &amp; ",", "")</f>
        <v/>
      </c>
      <c r="DO2" s="44" t="str">
        <f>IF(AND(ISNUMBER(SEARCH("19", O2)), ISERROR(SEARCH("1819", O2)),  ISERROR(SEARCH("1219", O2)),ISERROR(SEARCH("1119", O2)),ISERROR(SEARCH("1190", O2)),ISERROR(SEARCH("2019", O2))), CHAR(34) &amp; "year19" &amp; CHAR(34) &amp; ",", "")</f>
        <v>"year19",</v>
      </c>
      <c r="DP2" s="5" t="str">
        <f>IF(AND(ISNUMBER(SEARCH("20", O2)), ISERROR(SEARCH("1920", O2))), CHAR(34)&amp;"year00"&amp;CHAR(34)&amp;",", "")</f>
        <v/>
      </c>
      <c r="DQ2" s="5" t="str">
        <f>IF(CC2="y",CHAR(34)&amp;"soviet"&amp;CHAR(34)&amp;",","")</f>
        <v/>
      </c>
      <c r="DR2" s="5" t="str">
        <f>IF(BY2="y",CHAR(34)&amp;"dgband"&amp;CHAR(34)&amp;",","")</f>
        <v/>
      </c>
      <c r="DS2" s="5" t="str">
        <f>IF(W2="y",IF(AND(V2="n",BY2&lt;&gt;"y"),CHAR(34)&amp;"allver"&amp;CHAR(34)&amp;",",""),"")</f>
        <v/>
      </c>
      <c r="DT2" s="5" t="str">
        <f>IF(V2="y",IF(AND(W2="n",BY2&lt;&gt;"y"),CHAR(34)&amp;"allhor"&amp;CHAR(34)&amp;",",""),"")</f>
        <v>"allhor",</v>
      </c>
      <c r="DU2" s="5" t="str">
        <f>IF(BY2="y",IF(AND(W2="n",V2="n"),CHAR(34)&amp;"alldia"&amp;CHAR(34)&amp;",",""),"")</f>
        <v/>
      </c>
      <c r="DV2" s="44" t="str">
        <f>IF(IA2&lt;&gt;"",(IF(IA2="y",CHAR(34)&amp;"largec"&amp;CHAR(34)&amp;",",CHAR(34)&amp;"smallc"&amp;CHAR(34)&amp;",")),"")</f>
        <v/>
      </c>
      <c r="DW2" s="44" t="str">
        <f t="shared" ref="DW2:DZ3" si="1">IF(CL2="y",CHAR(34)&amp;CL$1&amp;CHAR(34)&amp;",","")</f>
        <v/>
      </c>
      <c r="DX2" s="44" t="str">
        <f t="shared" si="1"/>
        <v/>
      </c>
      <c r="DY2" s="44" t="str">
        <f t="shared" si="1"/>
        <v/>
      </c>
      <c r="DZ2" s="44" t="str">
        <f t="shared" si="1"/>
        <v>"4+Band",</v>
      </c>
      <c r="EA2" s="44" t="str">
        <f t="shared" ref="EA2:EE3" si="2">IF(T2="y",CHAR(34)&amp;T$1&amp;CHAR(34)&amp;",","")</f>
        <v/>
      </c>
      <c r="EB2" s="44" t="str">
        <f t="shared" si="2"/>
        <v/>
      </c>
      <c r="EC2" s="44" t="str">
        <f t="shared" si="2"/>
        <v>"Horizo",</v>
      </c>
      <c r="ED2" s="44" t="str">
        <f t="shared" si="2"/>
        <v/>
      </c>
      <c r="EE2" s="44" t="str">
        <f t="shared" si="2"/>
        <v/>
      </c>
      <c r="EF2" s="44" t="str">
        <f>IF(AND(Y2&lt;&gt;"n",Y2&lt;&gt;""),CHAR(34)&amp;Y$1&amp;CHAR(34)&amp;",","")</f>
        <v/>
      </c>
      <c r="EG2" s="44" t="str">
        <f t="shared" ref="EG2:EP3" si="3">IF(Z2="y",CHAR(34)&amp;Z$1&amp;CHAR(34)&amp;",","")</f>
        <v/>
      </c>
      <c r="EH2" s="44" t="str">
        <f t="shared" si="3"/>
        <v/>
      </c>
      <c r="EI2" s="44" t="str">
        <f t="shared" si="3"/>
        <v/>
      </c>
      <c r="EJ2" s="44" t="str">
        <f t="shared" si="3"/>
        <v/>
      </c>
      <c r="EK2" s="44" t="str">
        <f t="shared" si="3"/>
        <v/>
      </c>
      <c r="EL2" s="44" t="str">
        <f t="shared" si="3"/>
        <v/>
      </c>
      <c r="EM2" s="44" t="str">
        <f t="shared" si="3"/>
        <v/>
      </c>
      <c r="EN2" s="44" t="str">
        <f t="shared" si="3"/>
        <v>"Unequa",</v>
      </c>
      <c r="EO2" s="44" t="str">
        <f t="shared" si="3"/>
        <v>"Center",</v>
      </c>
      <c r="EP2" s="44" t="str">
        <f t="shared" si="3"/>
        <v/>
      </c>
      <c r="EQ2" s="44" t="str">
        <f t="shared" ref="EQ2:EZ3" si="4">IF(AJ2="y",CHAR(34)&amp;AJ$1&amp;CHAR(34)&amp;",","")</f>
        <v/>
      </c>
      <c r="ER2" s="44" t="str">
        <f t="shared" si="4"/>
        <v/>
      </c>
      <c r="ES2" s="44" t="str">
        <f t="shared" si="4"/>
        <v/>
      </c>
      <c r="ET2" s="44" t="str">
        <f t="shared" si="4"/>
        <v/>
      </c>
      <c r="EU2" s="44" t="str">
        <f t="shared" si="4"/>
        <v/>
      </c>
      <c r="EV2" s="44" t="str">
        <f t="shared" si="4"/>
        <v/>
      </c>
      <c r="EW2" s="44" t="str">
        <f t="shared" si="4"/>
        <v/>
      </c>
      <c r="EX2" s="44" t="str">
        <f t="shared" si="4"/>
        <v/>
      </c>
      <c r="EY2" s="44" t="str">
        <f t="shared" si="4"/>
        <v/>
      </c>
      <c r="EZ2" s="44" t="str">
        <f t="shared" si="4"/>
        <v/>
      </c>
      <c r="FA2" s="44" t="str">
        <f>IF(AT2&gt;0,CHAR(34)&amp;"sta"&amp;AZ2&amp;CHAR(34)&amp;",","")</f>
        <v>"staYEL",</v>
      </c>
      <c r="FB2" s="44" t="str">
        <f>IF(AND(AT2&gt;0,BA2&lt;&gt;""),CHAR(34)&amp;"sta"&amp;BA2&amp;CHAR(34)&amp;",","")</f>
        <v/>
      </c>
      <c r="FC2" s="44" t="str">
        <f>IF(AND(AT2&gt;0,BB2&lt;&gt;""),CHAR(34)&amp;"sta"&amp;BB2&amp;CHAR(34)&amp;",","")</f>
        <v/>
      </c>
      <c r="FD2" s="44" t="str">
        <f>IF(BV2="n",CHAR(34)&amp;"tcWHYE"&amp;CHAR(34)&amp;",",IF(BV2="y",CHAR(34)&amp;FD$1&amp;CHAR(34)&amp;",",""))</f>
        <v>"ntWHYE",</v>
      </c>
      <c r="FE2" s="44" t="str">
        <f>IF(COUNTIF(BL2:BT2,"BLU")=0,CHAR(34)&amp;"NO_BLU"&amp;CHAR(34)&amp;",", "")</f>
        <v>"NO_BLU",</v>
      </c>
      <c r="FF2" s="44" t="str">
        <f>IF(COUNTIF(BL2:BT2,"WHI")=0,CHAR(34)&amp;"NO_WHI"&amp;CHAR(34)&amp;",", "")</f>
        <v/>
      </c>
      <c r="FG2" s="44" t="str">
        <f>IF(COUNTIF(BL2:BT2,"RED")=0,CHAR(34)&amp;"NO_RED"&amp;CHAR(34)&amp;",", "")</f>
        <v/>
      </c>
      <c r="FH2" s="44" t="str">
        <f>IF(COUNTIF(BL2:BS2,"GRE")=0,CHAR(34)&amp;"NO_GRE"&amp;CHAR(34)&amp;",", "")</f>
        <v/>
      </c>
      <c r="FI2" s="44" t="str">
        <f>IF(COUNTIF(BL2:BT2,"YEL")=0,CHAR(34)&amp;"NO_YEL"&amp;CHAR(34)&amp;",", "")</f>
        <v/>
      </c>
      <c r="FJ2" s="44" t="str">
        <f>IF(COUNTIF(BL2:BT2,"BLA")=0,CHAR(34)&amp;"NO_BLA"&amp;CHAR(34)&amp;",", "")</f>
        <v>"NO_BLA",</v>
      </c>
      <c r="FK2" s="44" t="str">
        <f>IF(AND(FH2&lt;&gt;"",FF2&lt;&gt;""),CHAR(34)&amp;"WHGRNO"&amp;CHAR(34)&amp;",","")</f>
        <v/>
      </c>
      <c r="FL2" s="44" t="str">
        <f>IF(AND(FI2&lt;&gt;"",FF2&lt;&gt;""),CHAR(34)&amp;"WHYENO"&amp;CHAR(34)&amp;",","")</f>
        <v/>
      </c>
      <c r="FM2" s="44" t="str">
        <f>IF(AND(FJ2&lt;&gt;"",FF2&lt;&gt;""),CHAR(34)&amp;"BAWHNO"&amp;CHAR(34)&amp;",","")</f>
        <v/>
      </c>
      <c r="FN2" s="44" t="str">
        <f>IF(AND(FE2&lt;&gt;"",FF2&lt;&gt;""),CHAR(34)&amp;"BLWHNO"&amp;CHAR(34)&amp;",","")</f>
        <v/>
      </c>
      <c r="FO2" s="44" t="str">
        <f>IF(AND(FE2&lt;&gt;"",FG2&lt;&gt;""),CHAR(34)&amp;"BLRENO"&amp;CHAR(34)&amp;",","")</f>
        <v/>
      </c>
      <c r="FP2" s="44" t="str">
        <f>IF(AND(FF2&lt;&gt;"",FF2&lt;&gt;""),CHAR(34)&amp;"WHRENO"&amp;CHAR(34)&amp;",","")</f>
        <v/>
      </c>
      <c r="FQ2" s="44" t="str">
        <f>IF(LEN(BF2)=3,CHAR(34)&amp;"001"&amp;BF2&amp;CHAR(34)&amp;",","")</f>
        <v>"001GRE",</v>
      </c>
      <c r="FR2" s="44" t="str">
        <f>IF(LEN(BG2)=3,CHAR(34)&amp;"002"&amp;BG2&amp;CHAR(34)&amp;",","")</f>
        <v>"002RED",</v>
      </c>
      <c r="FS2" s="44" t="str">
        <f>IF(LEN(BH2)=3,CHAR(34)&amp;"003"&amp;BH2&amp;CHAR(34)&amp;",","")</f>
        <v>"003GRE",</v>
      </c>
      <c r="FT2" s="44" t="str">
        <f>CHAR(34)&amp;"myr"&amp;BD2&amp;CHAR(34)&amp;","</f>
        <v>"myrGRE",</v>
      </c>
      <c r="FU2" s="44" t="str">
        <f>IF(AY2="y",CHAR(34)&amp;"island"&amp;CHAR(34)&amp;",","")</f>
        <v/>
      </c>
      <c r="FV2" s="44" t="str">
        <f>IF(BZ2="y",CHAR(34)&amp;"landlo"&amp;CHAR(34)&amp;",","")</f>
        <v/>
      </c>
      <c r="FW2" s="44" t="str">
        <f>IF(CA2="y",CHAR(34)&amp;"eunion"&amp;CHAR(34)&amp;",","")</f>
        <v/>
      </c>
      <c r="FX2" s="44" t="str">
        <f>SUBSTITUTE(IFERROR(SEARCH("[",A2),IFERROR(IF(AND(CA2&lt;&gt;"y",SEARCH("Europe",R2)&gt;0),CHAR(34)&amp;"noeuni"&amp;CHAR(34)&amp;",",""),"")),"1","")</f>
        <v/>
      </c>
      <c r="FY2" s="44" t="str">
        <f>IFERROR(IF(SEARCH("Arabic",CB2)&gt;0,CHAR(34)&amp;"arabic"&amp;CHAR(34)&amp;",",""),"")</f>
        <v/>
      </c>
      <c r="FZ2" s="44" t="str">
        <f>IFERROR(IF(SEARCH("English",CB2)&gt;0,CHAR(34)&amp;"englis"&amp;CHAR(34)&amp;",",""),"")</f>
        <v/>
      </c>
      <c r="GA2" s="44" t="str">
        <f>IFERROR(IF(SEARCH("French",CB2)&gt;0,CHAR(34)&amp;"french"&amp;CHAR(34)&amp;",",""),"")</f>
        <v/>
      </c>
      <c r="GB2" s="44" t="str">
        <f>IFERROR(IF(SEARCH("Spanish",CB2)&gt;0,CHAR(34)&amp;"spanis"&amp;CHAR(34)&amp;",",""),"")</f>
        <v/>
      </c>
      <c r="GC2" s="44" t="str">
        <f>IFERROR(IF(SEARCH("Portuguese",CB2)&gt;0,CHAR(34)&amp;"portug"&amp;CHAR(34)&amp;",",""),"")</f>
        <v/>
      </c>
      <c r="GD2" s="44" t="str">
        <f>IFERROR(IF(SEARCH("German",CB2)&gt;0,CHAR(34)&amp;"german"&amp;CHAR(34)&amp;",",""),"")</f>
        <v/>
      </c>
      <c r="GE2" s="44" t="str">
        <f>IFERROR(IF(SEARCH("Dutch",CB2)&gt;0,CHAR(34)&amp;"dutchs"&amp;CHAR(34)&amp;",",""),"")</f>
        <v>"dutchs",</v>
      </c>
      <c r="GF2" s="44" t="str">
        <f>IFERROR(IF(SEARCH("Histor",AU2)&gt;0,CHAR(34)&amp;"histor"&amp;CHAR(34)&amp;",",""),"")</f>
        <v/>
      </c>
      <c r="GG2" s="44" t="str">
        <f>IF(BU2="y",CHAR(34)&amp;"unjack"&amp;CHAR(34)&amp;",","")</f>
        <v/>
      </c>
      <c r="GH2" s="44" t="str">
        <f>IF(CD2=1,CHAR(34)&amp;"southc"&amp;CHAR(34)&amp;",","")</f>
        <v/>
      </c>
      <c r="GI2" s="44" t="str">
        <f>IF(CE2=1,CHAR(34)&amp;"hasmap"&amp;CHAR(34)&amp;",","")</f>
        <v/>
      </c>
      <c r="GJ2" s="44" t="str">
        <f>IF(CP2="y",CHAR(34)&amp;CP$1&amp;CHAR(34)&amp;",","")</f>
        <v/>
      </c>
      <c r="GK2" s="44" t="str">
        <f>IF(GJ2="",CHAR(34)&amp;"HasSta"&amp;CHAR(34)&amp;",","")</f>
        <v>"HasSta",</v>
      </c>
      <c r="GL2" s="44" t="str">
        <f t="shared" ref="GL2:GN3" si="5">IF(CQ2="y",CHAR(34)&amp;CQ$1&amp;CHAR(34)&amp;",","")</f>
        <v>"1Stars",</v>
      </c>
      <c r="GM2" s="44" t="str">
        <f t="shared" si="5"/>
        <v/>
      </c>
      <c r="GN2" s="44" t="str">
        <f t="shared" si="5"/>
        <v/>
      </c>
      <c r="GP2" s="44" t="str">
        <f>CHAR(34)&amp;AU2&amp;CHAR(34)</f>
        <v>""</v>
      </c>
      <c r="GS2" s="44" t="str">
        <f>SUBSTITUTE("["&amp;_xlfn.CONCAT(CW2:GN2)&amp;"]",",]","]")</f>
        <v>["4Color","lets08","startS","year19","allhor","4+Band","Horizo","Unequa","Center","staYEL","ntWHYE","NO_BLU","NO_BLA","001GRE","002RED","003GRE","myrGRE","dutchs","HasSta","1Stars"]</v>
      </c>
      <c r="GT2" s="44" t="str">
        <f t="shared" ref="GT2:HB3" si="6">IF(BL2&lt;&gt;"",CHAR(34)&amp;"cl_"&amp;BL2&amp;CHAR(34)&amp;",","")</f>
        <v>"cl_GRE",</v>
      </c>
      <c r="GU2" s="44" t="str">
        <f t="shared" si="6"/>
        <v>"cl_WHI",</v>
      </c>
      <c r="GV2" s="44" t="str">
        <f t="shared" si="6"/>
        <v>"cl_RED",</v>
      </c>
      <c r="GW2" s="44" t="str">
        <f t="shared" si="6"/>
        <v>"cl_YEL",</v>
      </c>
      <c r="GX2" s="44" t="str">
        <f t="shared" si="6"/>
        <v/>
      </c>
      <c r="GY2" s="44" t="str">
        <f t="shared" si="6"/>
        <v/>
      </c>
      <c r="GZ2" s="44" t="str">
        <f t="shared" si="6"/>
        <v/>
      </c>
      <c r="HA2" s="44" t="str">
        <f t="shared" si="6"/>
        <v/>
      </c>
      <c r="HB2" s="44" t="str">
        <f t="shared" si="6"/>
        <v/>
      </c>
      <c r="HC2" s="44" t="str">
        <f>SUBSTITUTE("["&amp;_xlfn.CONCAT(GT2:HB2)&amp;"]",",]","]")</f>
        <v>["cl_GRE","cl_WHI","cl_RED","cl_YEL"]</v>
      </c>
      <c r="HE2" s="64"/>
      <c r="HF2" s="65" t="str">
        <f>"{couname:"&amp;CT2&amp;(IF(HK2&lt;&gt;"",",subtype:"&amp;CHAR(34)&amp;HK2&amp;CHAR(34),""))&amp;",year:"&amp;HJ2&amp;",region:"&amp;CU2&amp;",Colors:"&amp;HC2&amp;",Items:"&amp;GS2&amp;",Flag:"&amp;CV2&amp;",HDFlag:"&amp;CHAR(34)&amp;E2&amp;CHAR(34)&amp;",type:"&amp;GP2&amp;", describe: "&amp;HH2&amp;", isnew:"&amp;CHAR(34)&amp;F2&amp;CHAR(34)&amp;", links: "&amp;HL2&amp;"},"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links: "https://en.wikipedia.org/wiki/Flag_of_Suriname"},</v>
      </c>
      <c r="HG2" s="66" t="str">
        <f>"{couname:"&amp;CT2&amp;(IF(HK2&lt;&gt;"",",subtype:"&amp;CHAR(34)&amp;HK2&amp;CHAR(34),""))&amp;",year:"&amp;HJ2&amp;",region:"&amp;CU2&amp;",Colors:"&amp;HC2&amp;",Items:"&amp;GS2&amp;",Flag:"&amp;CV2&amp;",HDFlag:"&amp;CHAR(34)&amp;E2&amp;CHAR(34)&amp;",type:"&amp;GP2&amp;", describe: "&amp;HI2&amp;", links: "&amp;HL2&amp;"},"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links: "https://en.wikipedia.org/wiki/Flag_of_Suriname"},</v>
      </c>
      <c r="HH2" s="44" t="str">
        <f>IF(P2&lt;&gt;"",CHAR(34)&amp;"\n"&amp;P2&amp;CHAR(34),CHAR(34)&amp;CHAR(34))</f>
        <v>"\nThe color red represents progress, white represents freedom and justice and the green represents the fertility of the land. The yellow star represents unity and a golden future."</v>
      </c>
      <c r="HI2" s="44" t="str">
        <f>IF(J2=0,CHAR(34)&amp;CHAR(34),HH2)</f>
        <v>"\nThe color red represents progress, white represents freedom and justice and the green represents the fertility of the land. The yellow star represents unity and a golden future."</v>
      </c>
      <c r="HJ2" s="44" t="str">
        <f>CHAR(34)&amp;O2&amp;CHAR(34)</f>
        <v>"1975 "</v>
      </c>
      <c r="HL2" s="44" t="str">
        <f>CHAR(34)&amp;I2&amp;CHAR(34)</f>
        <v>"https://en.wikipedia.org/wiki/Flag_of_Suriname"</v>
      </c>
      <c r="HM2" s="65"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N2" s="67"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{"couname":"Suriname","year":"1975 ","region":"rgn_South America","Colors":["cl_GRE","cl_WHI","cl_RED","cl_YEL"],"Items":["4Color","lets08","startS","year19","allhor","4+Band","Horizo","Unequa","Center","staYEL","ntWHYE","NO_BLU","NO_BLA","001GRE","002RED","003GRE","myrGRE","dutchs","HasSta","1Stars"],"Flag":"https://i.ibb.co/5Ks9qPr/Suriname-Flag.png","HDFlag":"https://upload.wikimedia.org/wikipedia/commons/thumb/6/60/Flag_of_Suriname.svg/2560px-Flag_of_Suriname.svg.png","type":"", "describe": "\nThe color red represents progress, white represents freedom and justice and the green represents the fertility of the land. The yellow star represents unity and a golden future.", "isnew": ".", "links": "https://en.wikipedia.org/wiki/Flag_of_Suriname"},</v>
      </c>
      <c r="HO2" s="71"/>
      <c r="HP2" s="44" t="str" cm="1">
        <f t="array" ref="HP2">IF(_xlfn.TEXTJOIN(", ", TRUE, IF(ISNUMBER(SEARCH("BLA", BL2:BT2)), COLUMN(BL2:BT2) - COLUMN(BL2) + 1, ""))&lt;&gt;"","BLA","")</f>
        <v/>
      </c>
      <c r="HQ2" s="44" t="str" cm="1">
        <f t="array" ref="HQ2">IF(_xlfn.TEXTJOIN(", ", TRUE, IF(ISNUMBER(SEARCH("BLU", BL2:BT2)), COLUMN(BL2:BT2) - COLUMN(BL2) + 1, ""))&lt;&gt;"","BLU","")</f>
        <v/>
      </c>
      <c r="HR2" s="44" t="str" cm="1">
        <f t="array" ref="HR2">IF(_xlfn.TEXTJOIN(", ", TRUE, IF(ISNUMBER(SEARCH("GRE", BL2:BT2)), COLUMN(BL2:BT2) - COLUMN(BL2) + 1, ""))&lt;&gt;"","GRE","")</f>
        <v>GRE</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COUNTIF(IC2:IK2,"&gt;0")-CG2</f>
        <v>-4</v>
      </c>
      <c r="IN2" s="69" t="str">
        <f>"http://mkweb.bcgsc.ca/color-summarizer/?url="&amp;D2&amp;"&amp;precision=low&amp;num_clusters="&amp;CG2&amp;"&amp;text=1"</f>
        <v>http://mkweb.bcgsc.ca/color-summarizer/?url=https://i.ibb.co/5Ks9qPr/Suriname-Flag.png&amp;precision=low&amp;num_clusters=4&amp;text=1</v>
      </c>
      <c r="IO2" s="44" t="str">
        <f>IF(HP2&lt;&gt;"",CHAR(34)&amp;"black"&amp;CHAR(34),"")</f>
        <v/>
      </c>
      <c r="IP2" s="44" t="str">
        <f>IF(HQ2&lt;&gt;"",CHAR(34)&amp;"blue"&amp;CHAR(34),"")</f>
        <v/>
      </c>
      <c r="IQ2" s="44" t="str">
        <f>IF(HR2&lt;&gt;"",CHAR(34)&amp;"green"&amp;CHAR(34),"")</f>
        <v>"green"</v>
      </c>
      <c r="IR2" s="44" t="str">
        <f>IF(HS2&lt;&gt;"",CHAR(34)&amp;"red"&amp;CHAR(34),"")</f>
        <v>"red"</v>
      </c>
      <c r="IS2" s="44" t="str">
        <f>IF(HT2&lt;&gt;"",CHAR(34)&amp;"yellow"&amp;CHAR(34),"")</f>
        <v>"yellow"</v>
      </c>
      <c r="IT2" s="44" t="str">
        <f>IF(HU2&lt;&gt;"",CHAR(34)&amp;"orange"&amp;CHAR(34),"")</f>
        <v/>
      </c>
      <c r="IU2" s="44" t="str">
        <f>IF(HV2&lt;&gt;"",CHAR(34)&amp;"brown"&amp;CHAR(34),"")</f>
        <v/>
      </c>
      <c r="IV2" s="44" t="str">
        <f>IF(HW2&lt;&gt;"",CHAR(34)&amp;"purple"&amp;CHAR(34),"")</f>
        <v/>
      </c>
      <c r="IW2" s="44" t="str">
        <f>IF(HX2&lt;&gt;"",CHAR(34)&amp;"white"&amp;CHAR(34),"")</f>
        <v>"white"</v>
      </c>
      <c r="IX2" s="44" t="str">
        <f>"{"&amp;CHAR(34)&amp;"url"&amp;CHAR(34)&amp;":"&amp;CHAR(34)&amp;IN2&amp;CHAR(34)&amp;","&amp;CHAR(34)&amp;"name"&amp;CHAR(34)&amp;":"&amp;CHAR(34)&amp;A2&amp;CHAR(34)&amp;"},"</f>
        <v>{"url":"http://mkweb.bcgsc.ca/color-summarizer/?url=https://i.ibb.co/5Ks9qPr/Suriname-Flag.png&amp;precision=low&amp;num_clusters=4&amp;text=1","name":"Suriname"},</v>
      </c>
      <c r="IY2" s="44">
        <v>210</v>
      </c>
    </row>
    <row r="3" spans="1:259" s="44" customFormat="1" ht="38.4" customHeight="1" thickBot="1" x14ac:dyDescent="0.35">
      <c r="A3" s="85" t="s">
        <v>715</v>
      </c>
      <c r="B3" s="83" t="e" vm="92">
        <v>#VALUE!</v>
      </c>
      <c r="C3" s="39">
        <v>3</v>
      </c>
      <c r="D3" s="70" t="s">
        <v>716</v>
      </c>
      <c r="E3" s="40" t="s">
        <v>717</v>
      </c>
      <c r="F3" s="41" t="s">
        <v>163</v>
      </c>
      <c r="G3" s="42">
        <f>COUNTIF($A$1:$A$8282,A3)</f>
        <v>1</v>
      </c>
      <c r="H3" s="43"/>
      <c r="I3" s="59" t="s">
        <v>718</v>
      </c>
      <c r="J3" s="44" t="str">
        <f>""</f>
        <v/>
      </c>
      <c r="K3" s="45"/>
      <c r="L3" s="46"/>
      <c r="M3" s="46"/>
      <c r="N3" s="47" t="s">
        <v>177</v>
      </c>
      <c r="O3" s="74" t="s">
        <v>486</v>
      </c>
      <c r="P3" s="48" t="s">
        <v>719</v>
      </c>
      <c r="Q3" s="73">
        <v>5</v>
      </c>
      <c r="R3" s="49" t="s">
        <v>177</v>
      </c>
      <c r="S3" s="50">
        <v>3</v>
      </c>
      <c r="T3" s="51" t="s">
        <v>164</v>
      </c>
      <c r="U3" s="52" t="s">
        <v>164</v>
      </c>
      <c r="V3" s="52" t="s">
        <v>165</v>
      </c>
      <c r="W3" s="52" t="s">
        <v>164</v>
      </c>
      <c r="X3" s="52" t="s">
        <v>164</v>
      </c>
      <c r="Y3" s="52" t="s">
        <v>164</v>
      </c>
      <c r="Z3" s="52" t="s">
        <v>164</v>
      </c>
      <c r="AA3" s="52" t="s">
        <v>164</v>
      </c>
      <c r="AB3" s="52" t="s">
        <v>164</v>
      </c>
      <c r="AC3" s="52" t="s">
        <v>164</v>
      </c>
      <c r="AD3" s="52" t="s">
        <v>164</v>
      </c>
      <c r="AE3" s="52" t="s">
        <v>164</v>
      </c>
      <c r="AF3" s="53" t="s">
        <v>164</v>
      </c>
      <c r="AG3" s="53" t="s">
        <v>164</v>
      </c>
      <c r="AH3" s="53" t="s">
        <v>165</v>
      </c>
      <c r="AI3" s="53" t="s">
        <v>164</v>
      </c>
      <c r="AJ3" s="53" t="s">
        <v>164</v>
      </c>
      <c r="AK3" s="53" t="s">
        <v>164</v>
      </c>
      <c r="AL3" s="53" t="s">
        <v>164</v>
      </c>
      <c r="AM3" s="53" t="s">
        <v>164</v>
      </c>
      <c r="AN3" s="53" t="s">
        <v>164</v>
      </c>
      <c r="AO3" s="53" t="s">
        <v>164</v>
      </c>
      <c r="AP3" s="53" t="s">
        <v>164</v>
      </c>
      <c r="AQ3" s="53" t="s">
        <v>164</v>
      </c>
      <c r="AR3" s="53" t="s">
        <v>164</v>
      </c>
      <c r="AS3" s="53" t="s">
        <v>164</v>
      </c>
      <c r="AT3" s="54">
        <v>1</v>
      </c>
      <c r="AU3" s="53" t="s">
        <v>702</v>
      </c>
      <c r="AV3" s="53" t="str">
        <f>IF(LEFT(A3,1)="[",LEFT(A3,5)&amp;AU3&amp;A3,"")</f>
        <v>[SUR]Army[SUR] People's Armed Forces of Suriname</v>
      </c>
      <c r="AW3" s="53" t="str">
        <f>C3&amp;A3</f>
        <v>3[SUR] People's Armed Forces of Suriname</v>
      </c>
      <c r="AX3" s="55"/>
      <c r="AY3" s="55"/>
      <c r="AZ3" s="56" t="s">
        <v>155</v>
      </c>
      <c r="BA3" s="56"/>
      <c r="BB3" s="56"/>
      <c r="BC3" s="57"/>
      <c r="BD3" s="58" t="s">
        <v>152</v>
      </c>
      <c r="BE3" s="59"/>
      <c r="BF3" s="58" t="s">
        <v>152</v>
      </c>
      <c r="BG3" s="58" t="s">
        <v>154</v>
      </c>
      <c r="BH3" s="58" t="s">
        <v>152</v>
      </c>
      <c r="BI3" s="58"/>
      <c r="BJ3" s="58"/>
      <c r="BK3" s="59"/>
      <c r="BL3" s="58" t="s">
        <v>152</v>
      </c>
      <c r="BM3" s="58" t="s">
        <v>154</v>
      </c>
      <c r="BN3" s="58" t="s">
        <v>155</v>
      </c>
      <c r="BO3" s="58"/>
      <c r="BP3" s="58"/>
      <c r="BQ3" s="58"/>
      <c r="BR3" s="58"/>
      <c r="BS3" s="58"/>
      <c r="BT3" s="58"/>
      <c r="BU3" s="60"/>
      <c r="BV3" s="61"/>
      <c r="BW3" s="61">
        <v>0</v>
      </c>
      <c r="BX3" s="59"/>
      <c r="CB3" s="5"/>
      <c r="CC3" s="5"/>
      <c r="CD3" s="62">
        <v>0</v>
      </c>
      <c r="CE3" s="62">
        <v>0</v>
      </c>
      <c r="CF3" s="62" t="e">
        <v>#REF!</v>
      </c>
      <c r="CG3" s="75" cm="1">
        <f t="array" ref="CG3">SUMPRODUCT(--(LEN(TRIM(BL3:BT3))&gt;0))</f>
        <v>3</v>
      </c>
      <c r="CH3" s="53" t="str">
        <f>IF(CG3=2,"y","n")</f>
        <v>n</v>
      </c>
      <c r="CI3" s="53" t="str">
        <f>IF(CG3=3,"y","n")</f>
        <v>y</v>
      </c>
      <c r="CJ3" s="53" t="str">
        <f>IF(CG3=4,"y","n")</f>
        <v>n</v>
      </c>
      <c r="CK3" s="53" t="str">
        <f>IF(CG3&gt;4,"y","n")</f>
        <v>n</v>
      </c>
      <c r="CL3" s="53" t="str">
        <f>IF(S3=0,"y","n")</f>
        <v>n</v>
      </c>
      <c r="CM3" s="53" t="str">
        <f>IF(S3=2,"y","n")</f>
        <v>n</v>
      </c>
      <c r="CN3" s="53" t="str">
        <f>IF(S3=3,"y","n")</f>
        <v>y</v>
      </c>
      <c r="CO3" s="53" t="str">
        <f>IF(S3&gt;=4,"y","n")</f>
        <v>n</v>
      </c>
      <c r="CP3" s="53" t="str">
        <f>IF(AT3=0,"y","n")</f>
        <v>n</v>
      </c>
      <c r="CQ3" s="53" t="str">
        <f>IF(AT3=1,"y","n")</f>
        <v>y</v>
      </c>
      <c r="CR3" s="53" t="str">
        <f>IF(AT3=2,"y","n")</f>
        <v>n</v>
      </c>
      <c r="CS3" s="53" t="str">
        <f>IF(AT3&gt;=3,"y","n")</f>
        <v>n</v>
      </c>
      <c r="CT3" s="38" t="str">
        <f>CHAR(34)&amp;A3&amp;CHAR(34)</f>
        <v>"[SUR] People's Armed Forces of Suriname"</v>
      </c>
      <c r="CU3" s="63" t="str">
        <f>CHAR(34)&amp;"rgn_"&amp;R3&amp;CHAR(34)</f>
        <v>"rgn_South America"</v>
      </c>
      <c r="CV3" s="44" t="str">
        <f>CHAR(34)&amp;D3&amp;CHAR(34)</f>
        <v>"https://upload.wikimedia.org/wikipedia/commons/thumb/7/78/People%27s_Armed_Forces_of_Suriname_flag.png/640px-People%27s_Armed_Forces_of_Suriname_flag.png"</v>
      </c>
      <c r="CW3" s="44" t="str">
        <f t="shared" si="0"/>
        <v/>
      </c>
      <c r="CX3" s="44" t="str">
        <f t="shared" si="0"/>
        <v>"3Color",</v>
      </c>
      <c r="CY3" s="44" t="str">
        <f t="shared" si="0"/>
        <v/>
      </c>
      <c r="CZ3" s="44" t="str">
        <f t="shared" si="0"/>
        <v/>
      </c>
      <c r="DA3" s="44" t="str">
        <f>IF(Q3&gt;1,CHAR(34)&amp;"words2"&amp;CHAR(34)&amp;",","")</f>
        <v>"words2",</v>
      </c>
      <c r="DB3" s="44" t="str">
        <f>IF(Q3&gt;2,CHAR(34)&amp;"words3"&amp;CHAR(34)&amp;",","")</f>
        <v>"words3",</v>
      </c>
      <c r="DD3" s="44"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"lets29",</v>
      </c>
      <c r="DE3" s="44" t="str">
        <f>CHAR(34)&amp;"start"&amp;IFERROR(LEFT(SUBSTITUTE(A3,"["&amp;MID(A3,FIND("[",A3)+1,FIND("]",A3)-FIND("[",A3)-1)&amp;"] ",""),1),LEFT(A3,1))&amp;CHAR(34)&amp;","</f>
        <v>"startP",</v>
      </c>
      <c r="DF3" s="44" t="str">
        <f>IFERROR(IF(SEARCH("tan",A3)&gt;0,CHAR(34)&amp;"withtn"&amp;CHAR(34)&amp;",",""),"")</f>
        <v/>
      </c>
      <c r="DG3" s="44" t="str">
        <f>IFERROR(IF(SEARCH("q",A3)&gt;0,CHAR(34)&amp;"with_q"&amp;CHAR(34)&amp;",",""),"")</f>
        <v/>
      </c>
      <c r="DH3" s="44" t="str">
        <f>IFERROR(IF(SEARCH("v",A3)&gt;0,CHAR(34)&amp;"with_v"&amp;CHAR(34)&amp;",",""),"")</f>
        <v/>
      </c>
      <c r="DI3" s="44" t="str">
        <f>IFERROR(IF(SEARCH("w",A3)&gt;0,CHAR(34)&amp;"with_w"&amp;CHAR(34)&amp;",",""),"")</f>
        <v/>
      </c>
      <c r="DJ3" s="44" t="str">
        <f>IFERROR(IF(SEARCH("y",A3)&gt;0,CHAR(34)&amp;"with_y"&amp;CHAR(34)&amp;",",""),"")</f>
        <v/>
      </c>
      <c r="DK3" s="44" t="str">
        <f>IFERROR(IF(SEARCH("z",A3)&gt;0,CHAR(34)&amp;"with_z"&amp;CHAR(34)&amp;",",""),"")</f>
        <v/>
      </c>
      <c r="DL3" s="44" t="str">
        <f>IF(CG3=2, CHAR(34) &amp; _xlfn.TEXTJOIN("", TRUE, _xlfn._xlws.SORT(HP3:HX3)) &amp; CHAR(34) &amp; ",", "")</f>
        <v/>
      </c>
      <c r="DM3" s="44" t="str" cm="1">
        <f t="array" ref="DM3">IF(CG3=3,CHAR(34) &amp; _xlfn.TEXTJOIN("", TRUE, RIGHT(HP3:HX3, 2)) &amp; CHAR(34) &amp; ",", "")</f>
        <v>"LUEDEL",</v>
      </c>
      <c r="DN3" s="44" t="str">
        <f>IF(AND(ISNUMBER(SEARCH("18", O3)), ISERROR(SEARCH("1918", O3)), ISERROR(SEARCH("2018", O3))), CHAR(34) &amp; "year18" &amp; CHAR(34) &amp; ",", "")</f>
        <v/>
      </c>
      <c r="DO3" s="44" t="str">
        <f>IF(AND(ISNUMBER(SEARCH("19", O3)), ISERROR(SEARCH("1819", O3)),  ISERROR(SEARCH("1219", O3)),ISERROR(SEARCH("1119", O3)),ISERROR(SEARCH("1190", O3)),ISERROR(SEARCH("2019", O3))), CHAR(34) &amp; "year19" &amp; CHAR(34) &amp; ",", "")</f>
        <v>"year19",</v>
      </c>
      <c r="DP3" s="5" t="str">
        <f>IF(AND(ISNUMBER(SEARCH("20", O3)), ISERROR(SEARCH("1920", O3))), CHAR(34)&amp;"year00"&amp;CHAR(34)&amp;",", "")</f>
        <v/>
      </c>
      <c r="DQ3" s="5" t="str">
        <f>IF(CC3="y",CHAR(34)&amp;"soviet"&amp;CHAR(34)&amp;",","")</f>
        <v/>
      </c>
      <c r="DR3" s="5" t="str">
        <f>IF(BY3="y",CHAR(34)&amp;"dgband"&amp;CHAR(34)&amp;",","")</f>
        <v/>
      </c>
      <c r="DS3" s="5" t="str">
        <f>IF(W3="y",IF(AND(V3="n",BY3&lt;&gt;"y"),CHAR(34)&amp;"allver"&amp;CHAR(34)&amp;",",""),"")</f>
        <v/>
      </c>
      <c r="DT3" s="5" t="str">
        <f>IF(V3="y",IF(AND(W3="n",BY3&lt;&gt;"y"),CHAR(34)&amp;"allhor"&amp;CHAR(34)&amp;",",""),"")</f>
        <v>"allhor",</v>
      </c>
      <c r="DU3" s="5" t="str">
        <f>IF(BY3="y",IF(AND(W3="n",V3="n"),CHAR(34)&amp;"alldia"&amp;CHAR(34)&amp;",",""),"")</f>
        <v/>
      </c>
      <c r="DW3" s="44" t="str">
        <f t="shared" si="1"/>
        <v/>
      </c>
      <c r="DX3" s="44" t="str">
        <f t="shared" si="1"/>
        <v/>
      </c>
      <c r="DY3" s="44" t="str">
        <f t="shared" si="1"/>
        <v>"3Bands",</v>
      </c>
      <c r="DZ3" s="44" t="str">
        <f t="shared" si="1"/>
        <v/>
      </c>
      <c r="EA3" s="44" t="str">
        <f t="shared" si="2"/>
        <v/>
      </c>
      <c r="EB3" s="44" t="str">
        <f t="shared" si="2"/>
        <v/>
      </c>
      <c r="EC3" s="44" t="str">
        <f t="shared" si="2"/>
        <v>"Horizo",</v>
      </c>
      <c r="ED3" s="44" t="str">
        <f t="shared" si="2"/>
        <v/>
      </c>
      <c r="EE3" s="44" t="str">
        <f t="shared" si="2"/>
        <v/>
      </c>
      <c r="EF3" s="44" t="str">
        <f>IF(AND(Y3&lt;&gt;"n",Y3&lt;&gt;""),CHAR(34)&amp;Y$1&amp;CHAR(34)&amp;",","")</f>
        <v/>
      </c>
      <c r="EG3" s="44" t="str">
        <f t="shared" si="3"/>
        <v/>
      </c>
      <c r="EH3" s="44" t="str">
        <f t="shared" si="3"/>
        <v/>
      </c>
      <c r="EI3" s="44" t="str">
        <f t="shared" si="3"/>
        <v/>
      </c>
      <c r="EJ3" s="44" t="str">
        <f t="shared" si="3"/>
        <v/>
      </c>
      <c r="EK3" s="44" t="str">
        <f t="shared" si="3"/>
        <v/>
      </c>
      <c r="EL3" s="44" t="str">
        <f t="shared" si="3"/>
        <v/>
      </c>
      <c r="EM3" s="44" t="str">
        <f t="shared" si="3"/>
        <v/>
      </c>
      <c r="EN3" s="44" t="str">
        <f t="shared" si="3"/>
        <v/>
      </c>
      <c r="EO3" s="44" t="str">
        <f t="shared" si="3"/>
        <v>"Center",</v>
      </c>
      <c r="EP3" s="44" t="str">
        <f t="shared" si="3"/>
        <v/>
      </c>
      <c r="EQ3" s="44" t="str">
        <f t="shared" si="4"/>
        <v/>
      </c>
      <c r="ER3" s="44" t="str">
        <f t="shared" si="4"/>
        <v/>
      </c>
      <c r="ES3" s="44" t="str">
        <f t="shared" si="4"/>
        <v/>
      </c>
      <c r="ET3" s="44" t="str">
        <f t="shared" si="4"/>
        <v/>
      </c>
      <c r="EU3" s="44" t="str">
        <f t="shared" si="4"/>
        <v/>
      </c>
      <c r="EV3" s="44" t="str">
        <f t="shared" si="4"/>
        <v/>
      </c>
      <c r="EW3" s="44" t="str">
        <f t="shared" si="4"/>
        <v/>
      </c>
      <c r="EX3" s="44" t="str">
        <f t="shared" si="4"/>
        <v/>
      </c>
      <c r="EY3" s="44" t="str">
        <f t="shared" si="4"/>
        <v/>
      </c>
      <c r="EZ3" s="44" t="str">
        <f t="shared" si="4"/>
        <v/>
      </c>
      <c r="FA3" s="44" t="str">
        <f>IF(AT3&gt;0,CHAR(34)&amp;"sta"&amp;AZ3&amp;CHAR(34)&amp;",","")</f>
        <v>"staYEL",</v>
      </c>
      <c r="FB3" s="44" t="str">
        <f>IF(AND(AT3&gt;0,BA3&lt;&gt;""),CHAR(34)&amp;"sta"&amp;BA3&amp;CHAR(34)&amp;",","")</f>
        <v/>
      </c>
      <c r="FD3" s="44" t="str">
        <f>IF(BV3="n",CHAR(34)&amp;"tcWHYE"&amp;CHAR(34)&amp;",",IF(BV3="y",CHAR(34)&amp;FD$1&amp;CHAR(34)&amp;",",""))</f>
        <v/>
      </c>
      <c r="FE3" s="44" t="str">
        <f>IF(COUNTIF(BL3:BT3,"BLU")=0,CHAR(34)&amp;"NO_BLU"&amp;CHAR(34)&amp;",", "")</f>
        <v/>
      </c>
      <c r="FF3" s="44" t="str">
        <f>IF(COUNTIF(BL3:BT3,"WHI")=0,CHAR(34)&amp;"NO_WHI"&amp;CHAR(34)&amp;",", "")</f>
        <v>"NO_WHI",</v>
      </c>
      <c r="FG3" s="44" t="str">
        <f>IF(COUNTIF(BL3:BT3,"RED")=0,CHAR(34)&amp;"NO_RED"&amp;CHAR(34)&amp;",", "")</f>
        <v/>
      </c>
      <c r="FH3" s="44" t="str">
        <f>IF(COUNTIF(BL3:BS3,"GRE")=0,CHAR(34)&amp;"NO_GRE"&amp;CHAR(34)&amp;",", "")</f>
        <v>"NO_GRE",</v>
      </c>
      <c r="FI3" s="44" t="str">
        <f>IF(COUNTIF(BL3:BT3,"YEL")=0,CHAR(34)&amp;"NO_YEL"&amp;CHAR(34)&amp;",", "")</f>
        <v/>
      </c>
      <c r="FJ3" s="44" t="str">
        <f>IF(COUNTIF(BL3:BT3,"BLA")=0,CHAR(34)&amp;"NO_BLA"&amp;CHAR(34)&amp;",", "")</f>
        <v>"NO_BLA",</v>
      </c>
      <c r="FK3" s="44" t="str">
        <f>IF(AND(FH3&lt;&gt;"",FF3&lt;&gt;""),CHAR(34)&amp;"WHGRNO"&amp;CHAR(34)&amp;",","")</f>
        <v>"WHGRNO",</v>
      </c>
      <c r="FL3" s="44" t="str">
        <f>IF(AND(FI3&lt;&gt;"",FF3&lt;&gt;""),CHAR(34)&amp;"WHYENO"&amp;CHAR(34)&amp;",","")</f>
        <v/>
      </c>
      <c r="FM3" s="44" t="str">
        <f>IF(AND(FJ3&lt;&gt;"",FF3&lt;&gt;""),CHAR(34)&amp;"BAWHNO"&amp;CHAR(34)&amp;",","")</f>
        <v>"BAWHNO",</v>
      </c>
      <c r="FN3" s="44" t="str">
        <f>IF(AND(FE3&lt;&gt;"",FF3&lt;&gt;""),CHAR(34)&amp;"BLWHNO"&amp;CHAR(34)&amp;",","")</f>
        <v/>
      </c>
      <c r="FO3" s="44" t="str">
        <f>IF(AND(FE3&lt;&gt;"",FG3&lt;&gt;""),CHAR(34)&amp;"BLRENO"&amp;CHAR(34)&amp;",","")</f>
        <v/>
      </c>
      <c r="FP3" s="44" t="str">
        <f>IF(AND(FF3&lt;&gt;"",FF3&lt;&gt;""),CHAR(34)&amp;"WHRENO"&amp;CHAR(34)&amp;",","")</f>
        <v>"WHRENO",</v>
      </c>
      <c r="FQ3" s="44" t="str">
        <f>IF(LEN(BF3)=3,CHAR(34)&amp;"001"&amp;BF3&amp;CHAR(34)&amp;",","")</f>
        <v>"001BLU",</v>
      </c>
      <c r="FR3" s="44" t="str">
        <f>IF(LEN(BG3)=3,CHAR(34)&amp;"002"&amp;BG3&amp;CHAR(34)&amp;",","")</f>
        <v>"002RED",</v>
      </c>
      <c r="FS3" s="44" t="str">
        <f>IF(LEN(BH3)=3,CHAR(34)&amp;"003"&amp;BH3&amp;CHAR(34)&amp;",","")</f>
        <v>"003BLU",</v>
      </c>
      <c r="FT3" s="44" t="str">
        <f>CHAR(34)&amp;"myr"&amp;BD3&amp;CHAR(34)&amp;","</f>
        <v>"myrBLU",</v>
      </c>
      <c r="FU3" s="44" t="str">
        <f>IF(AY3="y",CHAR(34)&amp;"island"&amp;CHAR(34)&amp;",","")</f>
        <v/>
      </c>
      <c r="FV3" s="44" t="str">
        <f>IF(BZ3="y",CHAR(34)&amp;"landlo"&amp;CHAR(34)&amp;",","")</f>
        <v/>
      </c>
      <c r="FW3" s="44" t="str">
        <f>IF(CA3="y",CHAR(34)&amp;"eunion"&amp;CHAR(34)&amp;",","")</f>
        <v/>
      </c>
      <c r="FY3" s="44" t="str">
        <f>IFERROR(IF(SEARCH("Arabic",CB3)&gt;0,CHAR(34)&amp;"arabic"&amp;CHAR(34)&amp;",",""),"")</f>
        <v/>
      </c>
      <c r="FZ3" s="44" t="str">
        <f>IFERROR(IF(SEARCH("English",CB3)&gt;0,CHAR(34)&amp;"englis"&amp;CHAR(34)&amp;",",""),"")</f>
        <v/>
      </c>
      <c r="GA3" s="44" t="str">
        <f>IFERROR(IF(SEARCH("French",CB3)&gt;0,CHAR(34)&amp;"french"&amp;CHAR(34)&amp;",",""),"")</f>
        <v/>
      </c>
      <c r="GB3" s="44" t="str">
        <f>IFERROR(IF(SEARCH("Spanish",CB3)&gt;0,CHAR(34)&amp;"spanis"&amp;CHAR(34)&amp;",",""),"")</f>
        <v/>
      </c>
      <c r="GE3" s="44" t="str">
        <f>IFERROR(IF(SEARCH("Dutch",CB3)&gt;0,CHAR(34)&amp;"dutchs"&amp;CHAR(34)&amp;",",""),"")</f>
        <v/>
      </c>
      <c r="GF3" s="44" t="str">
        <f>IFERROR(IF(SEARCH("Historical",AU3)&gt;0,CHAR(34)&amp;"histor"&amp;CHAR(34)&amp;",",""),"")</f>
        <v/>
      </c>
      <c r="GG3" s="44" t="str">
        <f>IF(BU3="y",CHAR(34)&amp;"unjack"&amp;CHAR(34)&amp;",","")</f>
        <v/>
      </c>
      <c r="GH3" s="44" t="str">
        <f>IF(CD3=1,CHAR(34)&amp;"southc"&amp;CHAR(34)&amp;",","")</f>
        <v/>
      </c>
      <c r="GI3" s="44" t="str">
        <f>IF(CE3=1,CHAR(34)&amp;"hasmap"&amp;CHAR(34)&amp;",","")</f>
        <v/>
      </c>
      <c r="GJ3" s="44" t="str">
        <f>IF(CP3="y",CHAR(34)&amp;CP$1&amp;CHAR(34)&amp;",","")</f>
        <v/>
      </c>
      <c r="GK3" s="44" t="str">
        <f>IF(GJ3="",CHAR(34)&amp;"HasSta"&amp;CHAR(34)&amp;",","")</f>
        <v>"HasSta",</v>
      </c>
      <c r="GL3" s="44" t="str">
        <f t="shared" si="5"/>
        <v>"1Stars",</v>
      </c>
      <c r="GM3" s="44" t="str">
        <f t="shared" si="5"/>
        <v/>
      </c>
      <c r="GN3" s="44" t="str">
        <f t="shared" si="5"/>
        <v/>
      </c>
      <c r="GP3" s="44" t="str">
        <f>CHAR(34)&amp;AU3&amp;CHAR(34)</f>
        <v>"Army"</v>
      </c>
      <c r="GS3" s="44" t="str">
        <f>SUBSTITUTE("["&amp;_xlfn.CONCAT(CW3:GN3)&amp;"]",",]","]")</f>
        <v>["3Color","words2","words3","lets29","startP","LUEDEL","year19","allhor","3Bands","Horizo","Center","staYEL","NO_WHI","NO_GRE","NO_BLA","WHGRNO","BAWHNO","WHRENO","001BLU","002RED","003BLU","myrBLU","HasSta","1Stars"]</v>
      </c>
      <c r="GT3" s="44" t="str">
        <f t="shared" si="6"/>
        <v>"cl_BLU",</v>
      </c>
      <c r="GU3" s="44" t="str">
        <f t="shared" si="6"/>
        <v>"cl_RED",</v>
      </c>
      <c r="GV3" s="44" t="str">
        <f t="shared" si="6"/>
        <v>"cl_YEL",</v>
      </c>
      <c r="GW3" s="44" t="str">
        <f t="shared" si="6"/>
        <v/>
      </c>
      <c r="GX3" s="44" t="str">
        <f t="shared" si="6"/>
        <v/>
      </c>
      <c r="GY3" s="44" t="str">
        <f t="shared" si="6"/>
        <v/>
      </c>
      <c r="GZ3" s="44" t="str">
        <f t="shared" si="6"/>
        <v/>
      </c>
      <c r="HA3" s="44" t="str">
        <f t="shared" si="6"/>
        <v/>
      </c>
      <c r="HB3" s="44" t="str">
        <f t="shared" si="6"/>
        <v/>
      </c>
      <c r="HC3" s="44" t="str">
        <f>SUBSTITUTE("["&amp;_xlfn.CONCAT(GT3:HB3)&amp;"]",",]","]")</f>
        <v>["cl_BLU","cl_RED","cl_YEL"]</v>
      </c>
      <c r="HE3" s="64"/>
      <c r="HF3" s="65" t="str">
        <f>"{couname:"&amp;CT3&amp;(IF(HK3&lt;&gt;"",",subtype:"&amp;CHAR(34)&amp;HK3&amp;CHAR(34),""))&amp;",year:"&amp;HJ3&amp;",region:"&amp;CU3&amp;",Colors:"&amp;HC3&amp;",Items:"&amp;GS3&amp;",Flag:"&amp;CV3&amp;",HDFlag:"&amp;CHAR(34)&amp;E3&amp;CHAR(34)&amp;",type:"&amp;GP3&amp;", describe: "&amp;HH3&amp;", isnew:"&amp;CHAR(34)&amp;F3&amp;CHAR(34)&amp;", links: "&amp;HL3&amp;"},"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links: "https://en.wikipedia.org/wiki/List_of_Surinamese_flags"},</v>
      </c>
      <c r="HG3" s="66" t="str">
        <f>"{couname:"&amp;CT3&amp;(IF(HK3&lt;&gt;"",",subtype:"&amp;CHAR(34)&amp;HK3&amp;CHAR(34),""))&amp;",year:"&amp;HJ3&amp;",region:"&amp;CU3&amp;",Colors:"&amp;HC3&amp;",Items:"&amp;GS3&amp;",Flag:"&amp;CV3&amp;",HDFlag:"&amp;CHAR(34)&amp;E3&amp;CHAR(34)&amp;",type:"&amp;GP3&amp;", describe: "&amp;HI3&amp;", links: "&amp;HL3&amp;"},"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links: "https://en.wikipedia.org/wiki/List_of_Surinamese_flags"},</v>
      </c>
      <c r="HH3" s="44" t="str">
        <f>IF(P3&lt;&gt;"",CHAR(34)&amp;"\n"&amp;P3&amp;CHAR(34),CHAR(34)&amp;CHAR(34))</f>
        <v>"\nA horizontal tricolour of blue, red and blue with the large yellow five-pointed star centered on the red band."</v>
      </c>
      <c r="HI3" s="44" t="str">
        <f>IF(J3=0,CHAR(34)&amp;CHAR(34),HH3)</f>
        <v>"\nA horizontal tricolour of blue, red and blue with the large yellow five-pointed star centered on the red band."</v>
      </c>
      <c r="HJ3" s="44" t="str">
        <f>CHAR(34)&amp;O3&amp;CHAR(34)</f>
        <v>"1975"</v>
      </c>
      <c r="HL3" s="44" t="str">
        <f>CHAR(34)&amp;I3&amp;CHAR(34)</f>
        <v>"https://en.wikipedia.org/wiki/List_of_Surinamese_flags"</v>
      </c>
      <c r="HM3" s="65"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N3" s="67"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{"couname":"[SUR] People's Armed Forces of Suriname","year":"1975","region":"rgn_South America","Colors":["cl_BLU","cl_RED","cl_YEL"],"Items":["3Color","words2","words3","lets29","startP","LUEDEL","year19","allhor","3Bands","Horizo","Center","staYEL","NO_WHI","NO_GRE","NO_BLA","WHGRNO","BAWHNO","WHRENO","001BLU","002RED","003BLU","myrBLU","HasSta","1Stars"],"Flag":"https://upload.wikimedia.org/wikipedia/commons/thumb/7/78/People%27s_Armed_Forces_of_Suriname_flag.png/640px-People%27s_Armed_Forces_of_Suriname_flag.png","HDFlag":"https://upload.wikimedia.org/wikipedia/commons/7/78/People%27s_Armed_Forces_of_Suriname_flag.png","type":"Army", "describe": "\nA horizontal tricolour of blue, red and blue with the large yellow five-pointed star centered on the red band.", "isnew": ".", "links": "https://en.wikipedia.org/wiki/List_of_Surinamese_flags"},</v>
      </c>
      <c r="HO3" s="71">
        <v>45644</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
      </c>
      <c r="HY3" s="72"/>
      <c r="HZ3" s="72"/>
      <c r="IA3" s="5"/>
      <c r="IB3" s="5"/>
      <c r="IC3" s="68"/>
      <c r="ID3" s="68"/>
      <c r="IE3" s="68"/>
      <c r="IF3" s="68"/>
      <c r="IG3" s="68"/>
      <c r="IH3" s="68"/>
      <c r="II3" s="68"/>
      <c r="IJ3" s="68"/>
      <c r="IK3" s="68"/>
      <c r="IM3" s="42">
        <f>COUNTIF(IC3:IK3,"&gt;0")-CG3</f>
        <v>-3</v>
      </c>
      <c r="IN3" s="69" t="str">
        <f>"http://mkweb.bcgsc.ca/color-summarizer/?url="&amp;D3&amp;"&amp;precision=low&amp;num_clusters="&amp;CG3&amp;"&amp;text=1"</f>
        <v>http://mkweb.bcgsc.ca/color-summarizer/?url=https://upload.wikimedia.org/wikipedia/commons/thumb/7/78/People%27s_Armed_Forces_of_Suriname_flag.png/640px-People%27s_Armed_Forces_of_Suriname_flag.png&amp;precision=low&amp;num_clusters=3&amp;text=1</v>
      </c>
      <c r="IO3" s="44" t="str">
        <f>IF(HP3&lt;&gt;"",CHAR(34)&amp;"black"&amp;CHAR(34),"")</f>
        <v/>
      </c>
      <c r="IP3" s="44" t="str">
        <f>IF(HQ3&lt;&gt;"",CHAR(34)&amp;"blue"&amp;CHAR(34),"")</f>
        <v>"blue"</v>
      </c>
      <c r="IQ3" s="44" t="str">
        <f>IF(HR3&lt;&gt;"",CHAR(34)&amp;"green"&amp;CHAR(34),"")</f>
        <v/>
      </c>
      <c r="IR3" s="44" t="str">
        <f>IF(HS3&lt;&gt;"",CHAR(34)&amp;"red"&amp;CHAR(34),"")</f>
        <v>"red"</v>
      </c>
      <c r="IS3" s="44" t="str">
        <f>IF(HT3&lt;&gt;"",CHAR(34)&amp;"yellow"&amp;CHAR(34),"")</f>
        <v>"yellow"</v>
      </c>
      <c r="IT3" s="44" t="str">
        <f>IF(HU3&lt;&gt;"",CHAR(34)&amp;"orange"&amp;CHAR(34),"")</f>
        <v/>
      </c>
      <c r="IU3" s="44" t="str">
        <f>IF(HV3&lt;&gt;"",CHAR(34)&amp;"brown"&amp;CHAR(34),"")</f>
        <v/>
      </c>
      <c r="IV3" s="44" t="str">
        <f>IF(HW3&lt;&gt;"",CHAR(34)&amp;"purple"&amp;CHAR(34),"")</f>
        <v/>
      </c>
      <c r="IW3" s="44" t="str">
        <f>IF(HX3&lt;&gt;"",CHAR(34)&amp;"white"&amp;CHAR(34),"")</f>
        <v/>
      </c>
      <c r="IX3" s="44" t="str">
        <f>"{"&amp;CHAR(34)&amp;"url"&amp;CHAR(34)&amp;":"&amp;CHAR(34)&amp;IN3&amp;CHAR(34)&amp;","&amp;CHAR(34)&amp;"name"&amp;CHAR(34)&amp;":"&amp;CHAR(34)&amp;A3&amp;CHAR(34)&amp;"},"</f>
        <v>{"url":"http://mkweb.bcgsc.ca/color-summarizer/?url=https://upload.wikimedia.org/wikipedia/commons/thumb/7/78/People%27s_Armed_Forces_of_Suriname_flag.png/640px-People%27s_Armed_Forces_of_Suriname_flag.png&amp;precision=low&amp;num_clusters=3&amp;text=1","name":"[SUR] People's Armed Forces of Suriname"},</v>
      </c>
      <c r="IY3" s="44">
        <v>1503</v>
      </c>
    </row>
  </sheetData>
  <autoFilter ref="A1:IY3" xr:uid="{A1051193-A95B-4CFB-A73C-F0184620C81F}">
    <sortState xmlns:xlrd2="http://schemas.microsoft.com/office/spreadsheetml/2017/richdata2" ref="A2:IY3">
      <sortCondition ref="AW1:AW3"/>
    </sortState>
  </autoFilter>
  <conditionalFormatting sqref="H1 CW1:GS1 IA1:IB1">
    <cfRule type="cellIs" dxfId="206" priority="77" operator="greaterThan">
      <formula>0</formula>
    </cfRule>
  </conditionalFormatting>
  <conditionalFormatting sqref="H1:H1048576">
    <cfRule type="cellIs" dxfId="205" priority="17" stopIfTrue="1" operator="notEqual">
      <formula>""</formula>
    </cfRule>
  </conditionalFormatting>
  <conditionalFormatting sqref="R2:R3 CU2:CU3">
    <cfRule type="cellIs" dxfId="204" priority="19" operator="greaterThan">
      <formula>0</formula>
    </cfRule>
  </conditionalFormatting>
  <conditionalFormatting sqref="T2:AS3 CH2:CS3">
    <cfRule type="cellIs" dxfId="203" priority="14" stopIfTrue="1" operator="equal">
      <formula>"n"</formula>
    </cfRule>
    <cfRule type="cellIs" dxfId="202" priority="15" stopIfTrue="1" operator="equal">
      <formula>"y"</formula>
    </cfRule>
    <cfRule type="cellIs" dxfId="201" priority="16" operator="greaterThan">
      <formula>0</formula>
    </cfRule>
  </conditionalFormatting>
  <conditionalFormatting sqref="T1:BK1">
    <cfRule type="cellIs" dxfId="200" priority="80" operator="greaterThan">
      <formula>0</formula>
    </cfRule>
  </conditionalFormatting>
  <conditionalFormatting sqref="AZ2:BB3">
    <cfRule type="expression" dxfId="199" priority="13">
      <formula>$AT2=0</formula>
    </cfRule>
  </conditionalFormatting>
  <conditionalFormatting sqref="AZ2:BU3">
    <cfRule type="cellIs" dxfId="198" priority="55" operator="equal">
      <formula>"PIN"</formula>
    </cfRule>
    <cfRule type="cellIs" dxfId="197" priority="56" operator="equal">
      <formula>"ORA"</formula>
    </cfRule>
    <cfRule type="cellIs" dxfId="196" priority="57" operator="equal">
      <formula>"GRA"</formula>
    </cfRule>
    <cfRule type="cellIs" dxfId="195" priority="58" operator="equal">
      <formula>"PUR"</formula>
    </cfRule>
    <cfRule type="cellIs" dxfId="194" priority="59" operator="equal">
      <formula>"BRO"</formula>
    </cfRule>
    <cfRule type="cellIs" dxfId="193" priority="60" operator="equal">
      <formula>"YEL"</formula>
    </cfRule>
    <cfRule type="cellIs" dxfId="192" priority="61" operator="equal">
      <formula>"BLU"</formula>
    </cfRule>
    <cfRule type="cellIs" dxfId="191" priority="62" operator="equal">
      <formula>"WHI"</formula>
    </cfRule>
    <cfRule type="cellIs" dxfId="190" priority="63" operator="equal">
      <formula>"GRE"</formula>
    </cfRule>
    <cfRule type="cellIs" dxfId="189" priority="64" operator="equal">
      <formula>"RED"</formula>
    </cfRule>
    <cfRule type="cellIs" dxfId="188" priority="65" operator="equal">
      <formula>"BLA"</formula>
    </cfRule>
  </conditionalFormatting>
  <conditionalFormatting sqref="BV1:BW1 BV4:BW1048576 BV2:BV3">
    <cfRule type="cellIs" dxfId="187" priority="79" operator="equal">
      <formula>"nc"</formula>
    </cfRule>
  </conditionalFormatting>
  <conditionalFormatting sqref="BX2:CA3 CD2:CF3">
    <cfRule type="cellIs" dxfId="186" priority="18" operator="equal">
      <formula>"y"</formula>
    </cfRule>
    <cfRule type="cellIs" dxfId="185" priority="66" operator="equal">
      <formula>"PIN"</formula>
    </cfRule>
    <cfRule type="cellIs" dxfId="184" priority="67" operator="equal">
      <formula>"ORA"</formula>
    </cfRule>
    <cfRule type="cellIs" dxfId="183" priority="68" operator="equal">
      <formula>"GRA"</formula>
    </cfRule>
    <cfRule type="cellIs" dxfId="182" priority="69" operator="equal">
      <formula>"PUR"</formula>
    </cfRule>
    <cfRule type="cellIs" dxfId="181" priority="70" operator="equal">
      <formula>"BRO"</formula>
    </cfRule>
    <cfRule type="cellIs" dxfId="180" priority="71" operator="equal">
      <formula>"YEL"</formula>
    </cfRule>
    <cfRule type="cellIs" dxfId="179" priority="72" operator="equal">
      <formula>"BLU"</formula>
    </cfRule>
    <cfRule type="cellIs" dxfId="178" priority="73" operator="equal">
      <formula>"WHI"</formula>
    </cfRule>
    <cfRule type="cellIs" dxfId="177" priority="74" operator="equal">
      <formula>"GRE"</formula>
    </cfRule>
    <cfRule type="cellIs" dxfId="176" priority="75" operator="equal">
      <formula>"RED"</formula>
    </cfRule>
    <cfRule type="cellIs" dxfId="175" priority="76" operator="equal">
      <formula>"BLA"</formula>
    </cfRule>
  </conditionalFormatting>
  <conditionalFormatting sqref="BZ2:CA3 CD2:CF3">
    <cfRule type="cellIs" dxfId="174" priority="20" operator="greaterThan">
      <formula>0</formula>
    </cfRule>
  </conditionalFormatting>
  <conditionalFormatting sqref="HF1:HG1">
    <cfRule type="cellIs" dxfId="173" priority="81" operator="greaterThan">
      <formula>0</formula>
    </cfRule>
  </conditionalFormatting>
  <conditionalFormatting sqref="HK1">
    <cfRule type="cellIs" dxfId="172" priority="78" operator="greaterThan">
      <formula>0</formula>
    </cfRule>
  </conditionalFormatting>
  <conditionalFormatting sqref="HP1:HX1">
    <cfRule type="cellIs" dxfId="171" priority="32" operator="equal">
      <formula>"PIN"</formula>
    </cfRule>
    <cfRule type="cellIs" dxfId="170" priority="33" operator="equal">
      <formula>"ORA"</formula>
    </cfRule>
    <cfRule type="cellIs" dxfId="169" priority="34" operator="equal">
      <formula>"GRA"</formula>
    </cfRule>
    <cfRule type="cellIs" dxfId="168" priority="35" operator="equal">
      <formula>"PUR"</formula>
    </cfRule>
    <cfRule type="cellIs" dxfId="167" priority="36" operator="equal">
      <formula>"BRO"</formula>
    </cfRule>
    <cfRule type="cellIs" dxfId="166" priority="37" operator="equal">
      <formula>"YEL"</formula>
    </cfRule>
    <cfRule type="cellIs" dxfId="165" priority="38" operator="equal">
      <formula>"BLU"</formula>
    </cfRule>
    <cfRule type="cellIs" dxfId="164" priority="39" operator="equal">
      <formula>"WHI"</formula>
    </cfRule>
    <cfRule type="cellIs" dxfId="163" priority="40" operator="equal">
      <formula>"GRE"</formula>
    </cfRule>
    <cfRule type="cellIs" dxfId="162" priority="41" operator="equal">
      <formula>"RED"</formula>
    </cfRule>
    <cfRule type="cellIs" dxfId="161" priority="42" operator="equal">
      <formula>"BLA"</formula>
    </cfRule>
  </conditionalFormatting>
  <conditionalFormatting sqref="IC1:IK1">
    <cfRule type="cellIs" dxfId="160" priority="44" operator="equal">
      <formula>"PIN"</formula>
    </cfRule>
    <cfRule type="cellIs" dxfId="159" priority="45" operator="equal">
      <formula>"ORA"</formula>
    </cfRule>
    <cfRule type="cellIs" dxfId="158" priority="46" operator="equal">
      <formula>"GRA"</formula>
    </cfRule>
    <cfRule type="cellIs" dxfId="157" priority="47" operator="equal">
      <formula>"PUR"</formula>
    </cfRule>
    <cfRule type="cellIs" dxfId="156" priority="48" operator="equal">
      <formula>"BRO"</formula>
    </cfRule>
    <cfRule type="cellIs" dxfId="155" priority="49" operator="equal">
      <formula>"YEL"</formula>
    </cfRule>
    <cfRule type="cellIs" dxfId="154" priority="50" operator="equal">
      <formula>"BLU"</formula>
    </cfRule>
    <cfRule type="cellIs" dxfId="153" priority="51" operator="equal">
      <formula>"WHI"</formula>
    </cfRule>
    <cfRule type="cellIs" dxfId="152" priority="52" operator="equal">
      <formula>"GRE"</formula>
    </cfRule>
    <cfRule type="cellIs" dxfId="151" priority="53" operator="equal">
      <formula>"RED"</formula>
    </cfRule>
    <cfRule type="cellIs" dxfId="150" priority="54" operator="equal">
      <formula>"BLA"</formula>
    </cfRule>
  </conditionalFormatting>
  <conditionalFormatting sqref="IC2:IK3">
    <cfRule type="expression" dxfId="149" priority="43">
      <formula>$IL2&gt;0</formula>
    </cfRule>
  </conditionalFormatting>
  <conditionalFormatting sqref="IO1:IW1">
    <cfRule type="cellIs" dxfId="148" priority="21" operator="equal">
      <formula>"PIN"</formula>
    </cfRule>
    <cfRule type="cellIs" dxfId="147" priority="22" operator="equal">
      <formula>"ORA"</formula>
    </cfRule>
    <cfRule type="cellIs" dxfId="146" priority="23" operator="equal">
      <formula>"GRA"</formula>
    </cfRule>
    <cfRule type="cellIs" dxfId="145" priority="24" operator="equal">
      <formula>"PUR"</formula>
    </cfRule>
    <cfRule type="cellIs" dxfId="144" priority="25" operator="equal">
      <formula>"BRO"</formula>
    </cfRule>
    <cfRule type="cellIs" dxfId="143" priority="26" operator="equal">
      <formula>"YEL"</formula>
    </cfRule>
    <cfRule type="cellIs" dxfId="142" priority="27" operator="equal">
      <formula>"BLU"</formula>
    </cfRule>
    <cfRule type="cellIs" dxfId="141" priority="28" operator="equal">
      <formula>"WHI"</formula>
    </cfRule>
    <cfRule type="cellIs" dxfId="140" priority="29" operator="equal">
      <formula>"GRE"</formula>
    </cfRule>
    <cfRule type="cellIs" dxfId="139" priority="30" operator="equal">
      <formula>"RED"</formula>
    </cfRule>
    <cfRule type="cellIs" dxfId="138" priority="31" operator="equal">
      <formula>"BLA"</formula>
    </cfRule>
  </conditionalFormatting>
  <conditionalFormatting sqref="J2:J3">
    <cfRule type="colorScale" priority="2490">
      <colorScale>
        <cfvo type="min"/>
        <cfvo type="percentile" val="50"/>
        <cfvo type="max"/>
        <color rgb="FFF8696B"/>
        <color rgb="FFFFEB84"/>
        <color rgb="FF63BE7B"/>
      </colorScale>
    </cfRule>
  </conditionalFormatting>
  <conditionalFormatting sqref="S2:S3">
    <cfRule type="colorScale" priority="2491">
      <colorScale>
        <cfvo type="min"/>
        <cfvo type="max"/>
        <color rgb="FFFCFCFF"/>
        <color rgb="FF754BFB"/>
      </colorScale>
    </cfRule>
  </conditionalFormatting>
  <conditionalFormatting sqref="AT2:AT3">
    <cfRule type="colorScale" priority="2492">
      <colorScale>
        <cfvo type="min"/>
        <cfvo type="max"/>
        <color rgb="FFFCFCFF"/>
        <color theme="8" tint="0.39997558519241921"/>
      </colorScale>
    </cfRule>
  </conditionalFormatting>
  <conditionalFormatting sqref="CG2:CG3">
    <cfRule type="colorScale" priority="2493">
      <colorScale>
        <cfvo type="min"/>
        <cfvo type="max"/>
        <color rgb="FFFCFCFF"/>
        <color rgb="FF63BE7B"/>
      </colorScale>
    </cfRule>
  </conditionalFormatting>
  <hyperlinks>
    <hyperlink ref="A2" r:id="rId1" display="https://fbref.com/en/country/SUR/Suriname-Football" xr:uid="{3716B1B8-69F4-4332-94A9-542E9BB6E29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81" r:id="rId5"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20482" r:id="rId6"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20483" r:id="rId7" name="Button 3">
              <controlPr defaultSize="0" print="0" autoFill="0" autoPict="0" macro="[0]!GoToSheet">
                <anchor moveWithCells="1" sizeWithCells="1">
                  <from>
                    <xdr:col>0</xdr:col>
                    <xdr:colOff>0</xdr:colOff>
                    <xdr:row>0</xdr:row>
                    <xdr:rowOff>53340</xdr:rowOff>
                  </from>
                  <to>
                    <xdr:col>0</xdr:col>
                    <xdr:colOff>632460</xdr:colOff>
                    <xdr:row>0</xdr:row>
                    <xdr:rowOff>358140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74EC6-555D-4757-AD19-7EAFC7B7228A}">
  <sheetPr codeName="Sheet7"/>
  <dimension ref="A1:IY9"/>
  <sheetViews>
    <sheetView zoomScale="85" zoomScaleNormal="85" workbookViewId="0">
      <pane xSplit="5" ySplit="1" topLeftCell="F2" activePane="bottomRight" state="frozen"/>
      <selection pane="topRight" activeCell="F1" sqref="F1"/>
      <selection pane="bottomLeft" activeCell="A2" sqref="A2"/>
      <selection pane="bottomRight" activeCell="B8" sqref="B8"/>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264</v>
      </c>
      <c r="B2" s="83" t="e" vm="93">
        <v>#VALUE!</v>
      </c>
      <c r="C2" s="39">
        <v>1</v>
      </c>
      <c r="D2" s="70" t="s">
        <v>265</v>
      </c>
      <c r="E2" s="40" t="s">
        <v>266</v>
      </c>
      <c r="F2" s="41" t="s">
        <v>163</v>
      </c>
      <c r="G2" s="42">
        <f t="shared" ref="G2:G9" si="0">COUNTIF($A$1:$A$8288,A2)</f>
        <v>1</v>
      </c>
      <c r="H2" s="43"/>
      <c r="I2" s="59" t="s">
        <v>267</v>
      </c>
      <c r="J2" s="44" t="str">
        <f>""</f>
        <v/>
      </c>
      <c r="K2" s="45">
        <v>3423108</v>
      </c>
      <c r="L2" s="46">
        <v>3835000</v>
      </c>
      <c r="M2" s="46" t="s">
        <v>1961</v>
      </c>
      <c r="N2" s="47" t="s">
        <v>177</v>
      </c>
      <c r="O2" s="74" t="s">
        <v>268</v>
      </c>
      <c r="P2" s="48" t="s">
        <v>269</v>
      </c>
      <c r="Q2" s="73">
        <v>1</v>
      </c>
      <c r="R2" s="49" t="s">
        <v>177</v>
      </c>
      <c r="S2" s="50">
        <v>9</v>
      </c>
      <c r="T2" s="51" t="s">
        <v>164</v>
      </c>
      <c r="U2" s="52" t="s">
        <v>164</v>
      </c>
      <c r="V2" s="52" t="s">
        <v>165</v>
      </c>
      <c r="W2" s="52" t="s">
        <v>164</v>
      </c>
      <c r="X2" s="52" t="s">
        <v>165</v>
      </c>
      <c r="Y2" s="52" t="s">
        <v>164</v>
      </c>
      <c r="Z2" s="52" t="s">
        <v>164</v>
      </c>
      <c r="AA2" s="52" t="s">
        <v>164</v>
      </c>
      <c r="AB2" s="52" t="s">
        <v>164</v>
      </c>
      <c r="AC2" s="52" t="s">
        <v>164</v>
      </c>
      <c r="AD2" s="52" t="s">
        <v>165</v>
      </c>
      <c r="AE2" s="52" t="s">
        <v>164</v>
      </c>
      <c r="AF2" s="53" t="s">
        <v>164</v>
      </c>
      <c r="AG2" s="53" t="s">
        <v>164</v>
      </c>
      <c r="AH2" s="53" t="s">
        <v>164</v>
      </c>
      <c r="AI2" s="53" t="s">
        <v>165</v>
      </c>
      <c r="AJ2" s="53" t="s">
        <v>164</v>
      </c>
      <c r="AK2" s="53" t="s">
        <v>164</v>
      </c>
      <c r="AL2" s="53" t="s">
        <v>164</v>
      </c>
      <c r="AM2" s="53" t="s">
        <v>164</v>
      </c>
      <c r="AN2" s="53" t="s">
        <v>165</v>
      </c>
      <c r="AO2" s="53" t="s">
        <v>164</v>
      </c>
      <c r="AP2" s="53" t="s">
        <v>164</v>
      </c>
      <c r="AQ2" s="53" t="s">
        <v>164</v>
      </c>
      <c r="AR2" s="53" t="s">
        <v>164</v>
      </c>
      <c r="AS2" s="53" t="s">
        <v>164</v>
      </c>
      <c r="AT2" s="54">
        <v>0</v>
      </c>
      <c r="AU2" s="53"/>
      <c r="AV2" s="53" t="str">
        <f t="shared" ref="AV2:AV9" si="1">IF(LEFT(A2,1)="[",LEFT(A2,5)&amp;AU2&amp;A2,"")</f>
        <v/>
      </c>
      <c r="AW2" s="53" t="str">
        <f t="shared" ref="AW2:AW9" si="2">C2&amp;A2</f>
        <v>1Uruguay</v>
      </c>
      <c r="AX2" s="55" t="str">
        <f>_xlfn.TEXTJOIN(";",TRUE,AU2:AW2)</f>
        <v>1Uruguay</v>
      </c>
      <c r="AY2" s="55"/>
      <c r="AZ2" s="56"/>
      <c r="BA2" s="56"/>
      <c r="BB2" s="56"/>
      <c r="BC2" s="57"/>
      <c r="BD2" s="58" t="s">
        <v>159</v>
      </c>
      <c r="BE2" s="59"/>
      <c r="BF2" s="58" t="s">
        <v>159</v>
      </c>
      <c r="BG2" s="58" t="s">
        <v>159</v>
      </c>
      <c r="BH2" s="58" t="s">
        <v>159</v>
      </c>
      <c r="BI2" s="58" t="s">
        <v>152</v>
      </c>
      <c r="BJ2" s="58"/>
      <c r="BK2" s="59"/>
      <c r="BL2" s="58" t="s">
        <v>152</v>
      </c>
      <c r="BM2" s="58" t="s">
        <v>159</v>
      </c>
      <c r="BN2" s="58" t="s">
        <v>155</v>
      </c>
      <c r="BO2" s="58"/>
      <c r="BP2" s="58"/>
      <c r="BQ2" s="58"/>
      <c r="BR2" s="58"/>
      <c r="BS2" s="58"/>
      <c r="BT2" s="58"/>
      <c r="BU2" s="60" t="s">
        <v>164</v>
      </c>
      <c r="BV2" s="61" t="s">
        <v>164</v>
      </c>
      <c r="BW2" s="61">
        <v>0</v>
      </c>
      <c r="BX2" s="59"/>
      <c r="CB2" s="5" t="s">
        <v>138</v>
      </c>
      <c r="CC2" s="5"/>
      <c r="CD2" s="62">
        <v>0</v>
      </c>
      <c r="CE2" s="62">
        <v>0</v>
      </c>
      <c r="CF2" s="62" t="e">
        <v>#REF!</v>
      </c>
      <c r="CG2" s="75" cm="1">
        <f t="array" ref="CG2">SUMPRODUCT(--(LEN(TRIM(BL2:BT2))&gt;0))</f>
        <v>3</v>
      </c>
      <c r="CH2" s="53" t="str">
        <f t="shared" ref="CH2:CH9" si="3">IF(CG2=2,"y","n")</f>
        <v>n</v>
      </c>
      <c r="CI2" s="53" t="str">
        <f t="shared" ref="CI2:CI9" si="4">IF(CG2=3,"y","n")</f>
        <v>y</v>
      </c>
      <c r="CJ2" s="53" t="str">
        <f t="shared" ref="CJ2:CJ9" si="5">IF(CG2=4,"y","n")</f>
        <v>n</v>
      </c>
      <c r="CK2" s="53" t="str">
        <f t="shared" ref="CK2:CK9" si="6">IF(CG2&gt;4,"y","n")</f>
        <v>n</v>
      </c>
      <c r="CL2" s="53" t="str">
        <f t="shared" ref="CL2:CL9" si="7">IF(S2=0,"y","n")</f>
        <v>n</v>
      </c>
      <c r="CM2" s="53" t="str">
        <f t="shared" ref="CM2:CM9" si="8">IF(S2=2,"y","n")</f>
        <v>n</v>
      </c>
      <c r="CN2" s="53" t="str">
        <f t="shared" ref="CN2:CN9" si="9">IF(S2=3,"y","n")</f>
        <v>n</v>
      </c>
      <c r="CO2" s="53" t="str">
        <f t="shared" ref="CO2:CO9" si="10">IF(S2&gt;=4,"y","n")</f>
        <v>y</v>
      </c>
      <c r="CP2" s="53" t="str">
        <f t="shared" ref="CP2:CP9" si="11">IF(AT2=0,"y","n")</f>
        <v>y</v>
      </c>
      <c r="CQ2" s="53" t="str">
        <f t="shared" ref="CQ2:CQ9" si="12">IF(AT2=1,"y","n")</f>
        <v>n</v>
      </c>
      <c r="CR2" s="53" t="str">
        <f t="shared" ref="CR2:CR9" si="13">IF(AT2=2,"y","n")</f>
        <v>n</v>
      </c>
      <c r="CS2" s="53" t="str">
        <f t="shared" ref="CS2:CS9" si="14">IF(AT2&gt;=3,"y","n")</f>
        <v>n</v>
      </c>
      <c r="CT2" s="38" t="str">
        <f t="shared" ref="CT2:CT9" si="15">CHAR(34)&amp;A2&amp;CHAR(34)</f>
        <v>"Uruguay"</v>
      </c>
      <c r="CU2" s="63" t="str">
        <f t="shared" ref="CU2:CU9" si="16">CHAR(34)&amp;"rgn_"&amp;R2&amp;CHAR(34)</f>
        <v>"rgn_South America"</v>
      </c>
      <c r="CV2" s="44" t="str">
        <f t="shared" ref="CV2:CV9" si="17">CHAR(34)&amp;D2&amp;CHAR(34)</f>
        <v>"https://i.ibb.co/cLPFZhg/Uruguay-Flag.png"</v>
      </c>
      <c r="CW2" s="44" t="str">
        <f t="shared" ref="CW2:CZ9" si="18">IF(CH2="y",CHAR(34)&amp;CH$1&amp;CHAR(34)&amp;",","")</f>
        <v/>
      </c>
      <c r="CX2" s="44" t="str">
        <f t="shared" si="18"/>
        <v>"3Color",</v>
      </c>
      <c r="CY2" s="44" t="str">
        <f t="shared" si="18"/>
        <v/>
      </c>
      <c r="CZ2" s="44" t="str">
        <f t="shared" si="18"/>
        <v/>
      </c>
      <c r="DA2" s="44" t="str">
        <f t="shared" ref="DA2:DA9" si="19">IF(Q2&gt;1,CHAR(34)&amp;"words2"&amp;CHAR(34)&amp;",","")</f>
        <v/>
      </c>
      <c r="DB2" s="44" t="str">
        <f t="shared" ref="DB2:DB9" si="20">IF(Q2&gt;2,CHAR(34)&amp;"words3"&amp;CHAR(34)&amp;",","")</f>
        <v/>
      </c>
      <c r="DC2" s="44" t="str">
        <f t="shared" ref="DC2:DC8" si="21">IF(Q2=2,CHAR(34)&amp;"exact2"&amp;CHAR(34)&amp;",","")</f>
        <v/>
      </c>
      <c r="DD2" s="44" t="str">
        <f t="shared" ref="DD2:DD8" si="22">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"lets07",</v>
      </c>
      <c r="DE2" s="44" t="str">
        <f t="shared" ref="DE2:DE8" si="23">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"startU",</v>
      </c>
      <c r="DF2" s="44" t="str">
        <f t="shared" ref="DF2:DF9" si="24">IFERROR(IF(SEARCH("tan",A2)&gt;0,CHAR(34)&amp;"withtn"&amp;CHAR(34)&amp;",",""),"")</f>
        <v/>
      </c>
      <c r="DG2" s="44" t="str">
        <f t="shared" ref="DG2:DG9" si="25">IFERROR(IF(SEARCH("q",A2)&gt;0,CHAR(34)&amp;"with_q"&amp;CHAR(34)&amp;",",""),"")</f>
        <v/>
      </c>
      <c r="DH2" s="44" t="str">
        <f t="shared" ref="DH2:DH9" si="26">IFERROR(IF(SEARCH("v",A2)&gt;0,CHAR(34)&amp;"with_v"&amp;CHAR(34)&amp;",",""),"")</f>
        <v/>
      </c>
      <c r="DI2" s="44" t="str">
        <f t="shared" ref="DI2:DI9" si="27">IFERROR(IF(SEARCH("w",A2)&gt;0,CHAR(34)&amp;"with_w"&amp;CHAR(34)&amp;",",""),"")</f>
        <v/>
      </c>
      <c r="DJ2" s="44" t="str">
        <f t="shared" ref="DJ2:DJ9" si="28">IFERROR(IF(SEARCH("y",A2)&gt;0,CHAR(34)&amp;"with_y"&amp;CHAR(34)&amp;",",""),"")</f>
        <v>"with_y",</v>
      </c>
      <c r="DK2" s="44" t="str">
        <f t="shared" ref="DK2:DK9" si="29">IFERROR(IF(SEARCH("z",A2)&gt;0,CHAR(34)&amp;"with_z"&amp;CHAR(34)&amp;",",""),"")</f>
        <v/>
      </c>
      <c r="DL2" s="44" t="str">
        <f t="shared" ref="DL2:DL9" si="30">IF(CG2=2, CHAR(34) &amp; _xlfn.TEXTJOIN("", TRUE, _xlfn._xlws.SORT(HP2:HX2)) &amp; CHAR(34) &amp; ",", "")</f>
        <v/>
      </c>
      <c r="DM2" s="44" t="str" cm="1">
        <f t="array" ref="DM2">IF(CG2=3,CHAR(34) &amp; _xlfn.TEXTJOIN("", TRUE, RIGHT(HP2:HX2, 2)) &amp; CHAR(34) &amp; ",", "")</f>
        <v>"LUELHI",</v>
      </c>
      <c r="DN2" s="44" t="str">
        <f t="shared" ref="DN2:DN9" si="31">IF(AND(ISNUMBER(SEARCH("18", O2)), ISERROR(SEARCH("1918", O2)), ISERROR(SEARCH("2018", O2))), CHAR(34) &amp; "year18" &amp; CHAR(34) &amp; ",", "")</f>
        <v>"year18",</v>
      </c>
      <c r="DO2" s="44" t="str">
        <f t="shared" ref="DO2:DO9" si="32">IF(AND(ISNUMBER(SEARCH("19", O2)), ISERROR(SEARCH("1819", O2)),  ISERROR(SEARCH("1219", O2)),ISERROR(SEARCH("1119", O2)),ISERROR(SEARCH("1190", O2)),ISERROR(SEARCH("2019", O2))), CHAR(34) &amp; "year19" &amp; CHAR(34) &amp; ",", "")</f>
        <v/>
      </c>
      <c r="DP2" s="5" t="str">
        <f t="shared" ref="DP2:DP9" si="33">IF(AND(ISNUMBER(SEARCH("20", O2)), ISERROR(SEARCH("1920", O2))), CHAR(34)&amp;"year00"&amp;CHAR(34)&amp;",", "")</f>
        <v/>
      </c>
      <c r="DQ2" s="5" t="str">
        <f t="shared" ref="DQ2:DQ9" si="34">IF(CC2="y",CHAR(34)&amp;"soviet"&amp;CHAR(34)&amp;",","")</f>
        <v/>
      </c>
      <c r="DR2" s="5" t="str">
        <f t="shared" ref="DR2:DR9" si="35">IF(BY2="y",CHAR(34)&amp;"dgband"&amp;CHAR(34)&amp;",","")</f>
        <v/>
      </c>
      <c r="DS2" s="5" t="str">
        <f t="shared" ref="DS2:DS9" si="36">IF(W2="y",IF(AND(V2="n",BY2&lt;&gt;"y"),CHAR(34)&amp;"allver"&amp;CHAR(34)&amp;",",""),"")</f>
        <v/>
      </c>
      <c r="DT2" s="5" t="str">
        <f t="shared" ref="DT2:DT9" si="37">IF(V2="y",IF(AND(W2="n",BY2&lt;&gt;"y"),CHAR(34)&amp;"allhor"&amp;CHAR(34)&amp;",",""),"")</f>
        <v>"allhor",</v>
      </c>
      <c r="DU2" s="5" t="str">
        <f t="shared" ref="DU2:DU9" si="38">IF(BY2="y",IF(AND(W2="n",V2="n"),CHAR(34)&amp;"alldia"&amp;CHAR(34)&amp;",",""),"")</f>
        <v/>
      </c>
      <c r="DV2" s="44" t="str">
        <f t="shared" ref="DV2:DV8" si="39">IF(IA2&lt;&gt;"",(IF(IA2="y",CHAR(34)&amp;"largec"&amp;CHAR(34)&amp;",",CHAR(34)&amp;"smallc"&amp;CHAR(34)&amp;",")),"")</f>
        <v/>
      </c>
      <c r="DW2" s="44" t="str">
        <f t="shared" ref="DW2:DZ9" si="40">IF(CL2="y",CHAR(34)&amp;CL$1&amp;CHAR(34)&amp;",","")</f>
        <v/>
      </c>
      <c r="DX2" s="44" t="str">
        <f t="shared" si="40"/>
        <v/>
      </c>
      <c r="DY2" s="44" t="str">
        <f t="shared" si="40"/>
        <v/>
      </c>
      <c r="DZ2" s="44" t="str">
        <f t="shared" si="40"/>
        <v>"4+Band",</v>
      </c>
      <c r="EA2" s="44" t="str">
        <f t="shared" ref="EA2:EE9" si="41">IF(T2="y",CHAR(34)&amp;T$1&amp;CHAR(34)&amp;",","")</f>
        <v/>
      </c>
      <c r="EB2" s="44" t="str">
        <f t="shared" si="41"/>
        <v/>
      </c>
      <c r="EC2" s="44" t="str">
        <f t="shared" si="41"/>
        <v>"Horizo",</v>
      </c>
      <c r="ED2" s="44" t="str">
        <f t="shared" si="41"/>
        <v/>
      </c>
      <c r="EE2" s="44" t="str">
        <f t="shared" si="41"/>
        <v>"Circle",</v>
      </c>
      <c r="EF2" s="44" t="str">
        <f t="shared" ref="EF2:EF9" si="42">IF(AND(Y2&lt;&gt;"n",Y2&lt;&gt;""),CHAR(34)&amp;Y$1&amp;CHAR(34)&amp;",","")</f>
        <v/>
      </c>
      <c r="EG2" s="44" t="str">
        <f t="shared" ref="EG2:EP9" si="43">IF(Z2="y",CHAR(34)&amp;Z$1&amp;CHAR(34)&amp;",","")</f>
        <v/>
      </c>
      <c r="EH2" s="44" t="str">
        <f t="shared" si="43"/>
        <v/>
      </c>
      <c r="EI2" s="44" t="str">
        <f t="shared" si="43"/>
        <v/>
      </c>
      <c r="EJ2" s="44" t="str">
        <f t="shared" si="43"/>
        <v/>
      </c>
      <c r="EK2" s="44" t="str">
        <f t="shared" si="43"/>
        <v>"HasSun",</v>
      </c>
      <c r="EL2" s="44" t="str">
        <f t="shared" si="43"/>
        <v/>
      </c>
      <c r="EM2" s="44" t="str">
        <f t="shared" si="43"/>
        <v/>
      </c>
      <c r="EN2" s="44" t="str">
        <f t="shared" si="43"/>
        <v/>
      </c>
      <c r="EO2" s="44" t="str">
        <f t="shared" si="43"/>
        <v/>
      </c>
      <c r="EP2" s="44" t="str">
        <f t="shared" si="43"/>
        <v>"Canton",</v>
      </c>
      <c r="EQ2" s="44" t="str">
        <f t="shared" ref="EQ2:EZ9" si="44">IF(AJ2="y",CHAR(34)&amp;AJ$1&amp;CHAR(34)&amp;",","")</f>
        <v/>
      </c>
      <c r="ER2" s="44" t="str">
        <f t="shared" si="44"/>
        <v/>
      </c>
      <c r="ES2" s="44" t="str">
        <f t="shared" si="44"/>
        <v/>
      </c>
      <c r="ET2" s="44" t="str">
        <f t="shared" si="44"/>
        <v/>
      </c>
      <c r="EU2" s="44" t="str">
        <f t="shared" si="44"/>
        <v>"Humans",</v>
      </c>
      <c r="EV2" s="44" t="str">
        <f t="shared" si="44"/>
        <v/>
      </c>
      <c r="EW2" s="44" t="str">
        <f t="shared" si="44"/>
        <v/>
      </c>
      <c r="EX2" s="44" t="str">
        <f t="shared" si="44"/>
        <v/>
      </c>
      <c r="EY2" s="44" t="str">
        <f t="shared" si="44"/>
        <v/>
      </c>
      <c r="EZ2" s="44" t="str">
        <f t="shared" si="44"/>
        <v/>
      </c>
      <c r="FA2" s="44" t="str">
        <f t="shared" ref="FA2:FA9" si="45">IF(AT2&gt;0,CHAR(34)&amp;"sta"&amp;AZ2&amp;CHAR(34)&amp;",","")</f>
        <v/>
      </c>
      <c r="FB2" s="44" t="str">
        <f t="shared" ref="FB2:FB9" si="46">IF(AND(AT2&gt;0,BA2&lt;&gt;""),CHAR(34)&amp;"sta"&amp;BA2&amp;CHAR(34)&amp;",","")</f>
        <v/>
      </c>
      <c r="FC2" s="44" t="str">
        <f t="shared" ref="FC2:FC8" si="47">IF(AND(AT2&gt;0,BB2&lt;&gt;""),CHAR(34)&amp;"sta"&amp;BB2&amp;CHAR(34)&amp;",","")</f>
        <v/>
      </c>
      <c r="FD2" s="44" t="str">
        <f t="shared" ref="FD2:FD9" si="48">IF(BV2="n",CHAR(34)&amp;"tcWHYE"&amp;CHAR(34)&amp;",",IF(BV2="y",CHAR(34)&amp;FD$1&amp;CHAR(34)&amp;",",""))</f>
        <v>"tcWHYE",</v>
      </c>
      <c r="FE2" s="44" t="str">
        <f t="shared" ref="FE2:FE9" si="49">IF(COUNTIF(BL2:BT2,"BLU")=0,CHAR(34)&amp;"NO_BLU"&amp;CHAR(34)&amp;",", "")</f>
        <v/>
      </c>
      <c r="FF2" s="44" t="str">
        <f t="shared" ref="FF2:FF9" si="50">IF(COUNTIF(BL2:BT2,"WHI")=0,CHAR(34)&amp;"NO_WHI"&amp;CHAR(34)&amp;",", "")</f>
        <v/>
      </c>
      <c r="FG2" s="44" t="str">
        <f t="shared" ref="FG2:FG9" si="51">IF(COUNTIF(BL2:BT2,"RED")=0,CHAR(34)&amp;"NO_RED"&amp;CHAR(34)&amp;",", "")</f>
        <v>"NO_RED",</v>
      </c>
      <c r="FH2" s="44" t="str">
        <f t="shared" ref="FH2:FH9" si="52">IF(COUNTIF(BL2:BS2,"GRE")=0,CHAR(34)&amp;"NO_GRE"&amp;CHAR(34)&amp;",", "")</f>
        <v>"NO_GRE",</v>
      </c>
      <c r="FI2" s="44" t="str">
        <f t="shared" ref="FI2:FI9" si="53">IF(COUNTIF(BL2:BT2,"YEL")=0,CHAR(34)&amp;"NO_YEL"&amp;CHAR(34)&amp;",", "")</f>
        <v/>
      </c>
      <c r="FJ2" s="44" t="str">
        <f t="shared" ref="FJ2:FJ9" si="54">IF(COUNTIF(BL2:BT2,"BLA")=0,CHAR(34)&amp;"NO_BLA"&amp;CHAR(34)&amp;",", "")</f>
        <v>"NO_BLA",</v>
      </c>
      <c r="FK2" s="44" t="str">
        <f t="shared" ref="FK2:FK9" si="55">IF(AND(FH2&lt;&gt;"",FF2&lt;&gt;""),CHAR(34)&amp;"WHGRNO"&amp;CHAR(34)&amp;",","")</f>
        <v/>
      </c>
      <c r="FL2" s="44" t="str">
        <f t="shared" ref="FL2:FL9" si="56">IF(AND(FI2&lt;&gt;"",FF2&lt;&gt;""),CHAR(34)&amp;"WHYENO"&amp;CHAR(34)&amp;",","")</f>
        <v/>
      </c>
      <c r="FM2" s="44" t="str">
        <f t="shared" ref="FM2:FM9" si="57">IF(AND(FJ2&lt;&gt;"",FF2&lt;&gt;""),CHAR(34)&amp;"BAWHNO"&amp;CHAR(34)&amp;",","")</f>
        <v/>
      </c>
      <c r="FN2" s="44" t="str">
        <f t="shared" ref="FN2:FN9" si="58">IF(AND(FE2&lt;&gt;"",FF2&lt;&gt;""),CHAR(34)&amp;"BLWHNO"&amp;CHAR(34)&amp;",","")</f>
        <v/>
      </c>
      <c r="FO2" s="44" t="str">
        <f t="shared" ref="FO2:FO9" si="59">IF(AND(FE2&lt;&gt;"",FG2&lt;&gt;""),CHAR(34)&amp;"BLRENO"&amp;CHAR(34)&amp;",","")</f>
        <v/>
      </c>
      <c r="FP2" s="44" t="str">
        <f t="shared" ref="FP2:FP9" si="60">IF(AND(FF2&lt;&gt;"",FF2&lt;&gt;""),CHAR(34)&amp;"WHRENO"&amp;CHAR(34)&amp;",","")</f>
        <v/>
      </c>
      <c r="FQ2" s="44" t="str">
        <f t="shared" ref="FQ2:FQ9" si="61">IF(LEN(BF2)=3,CHAR(34)&amp;"001"&amp;BF2&amp;CHAR(34)&amp;",","")</f>
        <v>"001WHI",</v>
      </c>
      <c r="FR2" s="44" t="str">
        <f t="shared" ref="FR2:FR9" si="62">IF(LEN(BG2)=3,CHAR(34)&amp;"002"&amp;BG2&amp;CHAR(34)&amp;",","")</f>
        <v>"002WHI",</v>
      </c>
      <c r="FS2" s="44" t="str">
        <f t="shared" ref="FS2:FS9" si="63">IF(LEN(BH2)=3,CHAR(34)&amp;"003"&amp;BH2&amp;CHAR(34)&amp;",","")</f>
        <v>"003WHI",</v>
      </c>
      <c r="FT2" s="44" t="str">
        <f t="shared" ref="FT2:FT9" si="64">CHAR(34)&amp;"myr"&amp;BD2&amp;CHAR(34)&amp;","</f>
        <v>"myrWHI",</v>
      </c>
      <c r="FU2" s="44" t="str">
        <f t="shared" ref="FU2:FU9" si="65">IF(AY2="y",CHAR(34)&amp;"island"&amp;CHAR(34)&amp;",","")</f>
        <v/>
      </c>
      <c r="FV2" s="44" t="str">
        <f t="shared" ref="FV2:FV9" si="66">IF(BZ2="y",CHAR(34)&amp;"landlo"&amp;CHAR(34)&amp;",","")</f>
        <v/>
      </c>
      <c r="FW2" s="44" t="str">
        <f t="shared" ref="FW2:FW9" si="67">IF(CA2="y",CHAR(34)&amp;"eunion"&amp;CHAR(34)&amp;",","")</f>
        <v/>
      </c>
      <c r="FX2" s="44" t="str">
        <f t="shared" ref="FX2:FX8" si="68">SUBSTITUTE(IFERROR(SEARCH("[",A2),IFERROR(IF(AND(CA2&lt;&gt;"y",SEARCH("Europe",R2)&gt;0),CHAR(34)&amp;"noeuni"&amp;CHAR(34)&amp;",",""),"")),"1","")</f>
        <v/>
      </c>
      <c r="FY2" s="44" t="str">
        <f t="shared" ref="FY2:FY9" si="69">IFERROR(IF(SEARCH("Arabic",CB2)&gt;0,CHAR(34)&amp;"arabic"&amp;CHAR(34)&amp;",",""),"")</f>
        <v/>
      </c>
      <c r="FZ2" s="44" t="str">
        <f t="shared" ref="FZ2:FZ9" si="70">IFERROR(IF(SEARCH("English",CB2)&gt;0,CHAR(34)&amp;"englis"&amp;CHAR(34)&amp;",",""),"")</f>
        <v/>
      </c>
      <c r="GA2" s="44" t="str">
        <f t="shared" ref="GA2:GA9" si="71">IFERROR(IF(SEARCH("French",CB2)&gt;0,CHAR(34)&amp;"french"&amp;CHAR(34)&amp;",",""),"")</f>
        <v/>
      </c>
      <c r="GB2" s="44" t="str">
        <f t="shared" ref="GB2:GB9" si="72">IFERROR(IF(SEARCH("Spanish",CB2)&gt;0,CHAR(34)&amp;"spanis"&amp;CHAR(34)&amp;",",""),"")</f>
        <v>"spanis",</v>
      </c>
      <c r="GC2" s="44" t="str">
        <f t="shared" ref="GC2:GC8" si="73">IFERROR(IF(SEARCH("Portuguese",CB2)&gt;0,CHAR(34)&amp;"portug"&amp;CHAR(34)&amp;",",""),"")</f>
        <v/>
      </c>
      <c r="GD2" s="44" t="str">
        <f t="shared" ref="GD2:GD8" si="74">IFERROR(IF(SEARCH("German",CB2)&gt;0,CHAR(34)&amp;"german"&amp;CHAR(34)&amp;",",""),"")</f>
        <v/>
      </c>
      <c r="GE2" s="44" t="str">
        <f t="shared" ref="GE2:GE9" si="75">IFERROR(IF(SEARCH("Dutch",CB2)&gt;0,CHAR(34)&amp;"dutchs"&amp;CHAR(34)&amp;",",""),"")</f>
        <v/>
      </c>
      <c r="GF2" s="44" t="str">
        <f>IFERROR(IF(SEARCH("Histor",AU2)&gt;0,CHAR(34)&amp;"histor"&amp;CHAR(34)&amp;",",""),"")</f>
        <v/>
      </c>
      <c r="GG2" s="44" t="str">
        <f t="shared" ref="GG2:GG9" si="76">IF(BU2="y",CHAR(34)&amp;"unjack"&amp;CHAR(34)&amp;",","")</f>
        <v/>
      </c>
      <c r="GH2" s="44" t="str">
        <f t="shared" ref="GH2:GH9" si="77">IF(CD2=1,CHAR(34)&amp;"southc"&amp;CHAR(34)&amp;",","")</f>
        <v/>
      </c>
      <c r="GI2" s="44" t="str">
        <f t="shared" ref="GI2:GI9" si="78">IF(CE2=1,CHAR(34)&amp;"hasmap"&amp;CHAR(34)&amp;",","")</f>
        <v/>
      </c>
      <c r="GJ2" s="44" t="str">
        <f t="shared" ref="GJ2:GJ9" si="79">IF(CP2="y",CHAR(34)&amp;CP$1&amp;CHAR(34)&amp;",","")</f>
        <v>"NoStar",</v>
      </c>
      <c r="GK2" s="44" t="str">
        <f t="shared" ref="GK2:GK9" si="80">IF(GJ2="",CHAR(34)&amp;"HasSta"&amp;CHAR(34)&amp;",","")</f>
        <v/>
      </c>
      <c r="GL2" s="44" t="str">
        <f t="shared" ref="GL2:GN9" si="81">IF(CQ2="y",CHAR(34)&amp;CQ$1&amp;CHAR(34)&amp;",","")</f>
        <v/>
      </c>
      <c r="GM2" s="44" t="str">
        <f t="shared" si="81"/>
        <v/>
      </c>
      <c r="GN2" s="44" t="str">
        <f t="shared" si="81"/>
        <v/>
      </c>
      <c r="GP2" s="44" t="str">
        <f t="shared" ref="GP2:GP9" si="82">CHAR(34)&amp;AU2&amp;CHAR(34)</f>
        <v>""</v>
      </c>
      <c r="GS2" s="44" t="str">
        <f t="shared" ref="GS2:GS9" si="83">SUBSTITUTE("["&amp;_xlfn.CONCAT(CW2:GN2)&amp;"]",",]","]")</f>
        <v>["3Color","lets07","startU","with_y","LUELHI","year18","allhor","4+Band","Horizo","Circle","HasSun","Canton","Humans","tcWHYE","NO_RED","NO_GRE","NO_BLA","001WHI","002WHI","003WHI","myrWHI","spanis","NoStar"]</v>
      </c>
      <c r="GT2" s="44" t="str">
        <f t="shared" ref="GT2:HB9" si="84">IF(BL2&lt;&gt;"",CHAR(34)&amp;"cl_"&amp;BL2&amp;CHAR(34)&amp;",","")</f>
        <v>"cl_BLU",</v>
      </c>
      <c r="GU2" s="44" t="str">
        <f t="shared" si="84"/>
        <v>"cl_WHI",</v>
      </c>
      <c r="GV2" s="44" t="str">
        <f t="shared" si="84"/>
        <v>"cl_YEL",</v>
      </c>
      <c r="GW2" s="44" t="str">
        <f t="shared" si="84"/>
        <v/>
      </c>
      <c r="GX2" s="44" t="str">
        <f t="shared" si="84"/>
        <v/>
      </c>
      <c r="GY2" s="44" t="str">
        <f t="shared" si="84"/>
        <v/>
      </c>
      <c r="GZ2" s="44" t="str">
        <f t="shared" si="84"/>
        <v/>
      </c>
      <c r="HA2" s="44" t="str">
        <f t="shared" si="84"/>
        <v/>
      </c>
      <c r="HB2" s="44" t="str">
        <f t="shared" si="84"/>
        <v/>
      </c>
      <c r="HC2" s="44" t="str">
        <f t="shared" ref="HC2:HC9" si="85">SUBSTITUTE("["&amp;_xlfn.CONCAT(GT2:HB2)&amp;"]",",]","]")</f>
        <v>["cl_BLU","cl_WHI","cl_YEL"]</v>
      </c>
      <c r="HE2" s="64"/>
      <c r="HF2" s="65" t="str">
        <f t="shared" ref="HF2:HF9" si="86">"{couname:"&amp;CT2&amp;(IF(HK2&lt;&gt;"",",subtype:"&amp;CHAR(34)&amp;HK2&amp;CHAR(34),""))&amp;",year:"&amp;HJ2&amp;",region:"&amp;CU2&amp;",Colors:"&amp;HC2&amp;",Items:"&amp;GS2&amp;",Flag:"&amp;CV2&amp;",HDFlag:"&amp;CHAR(34)&amp;E2&amp;CHAR(34)&amp;",type:"&amp;GP2&amp;", describe: "&amp;HH2&amp;", isnew:"&amp;CHAR(34)&amp;F2&amp;CHAR(34)&amp;", links: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links: "https://en.wikipedia.org/wiki/Flag_of_Uruguay"},</v>
      </c>
      <c r="HG2" s="66" t="str">
        <f t="shared" ref="HG2:HG9" si="87">"{couname:"&amp;CT2&amp;(IF(HK2&lt;&gt;"",",subtype:"&amp;CHAR(34)&amp;HK2&amp;CHAR(34),""))&amp;",year:"&amp;HJ2&amp;",region:"&amp;CU2&amp;",Colors:"&amp;HC2&amp;",Items:"&amp;GS2&amp;",Flag:"&amp;CV2&amp;",HDFlag:"&amp;CHAR(34)&amp;E2&amp;CHAR(34)&amp;",type:"&amp;GP2&amp;", describe: "&amp;HI2&amp;", links: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links: "https://en.wikipedia.org/wiki/Flag_of_Uruguay"},</v>
      </c>
      <c r="HH2" s="44" t="str">
        <f t="shared" ref="HH2:HH9" si="88">IF(P2&lt;&gt;"",CHAR(34)&amp;"\n"&amp;P2&amp;CHAR(34),CHAR(34)&amp;CHAR(34))</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I2" s="44" t="str">
        <f t="shared" ref="HI2:HI9" si="89">IF(J2=0,CHAR(34)&amp;CHAR(34),HH2)</f>
        <v>"\nThe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v>
      </c>
      <c r="HJ2" s="44" t="str">
        <f t="shared" ref="HJ2:HJ9" si="90">CHAR(34)&amp;O2&amp;CHAR(34)</f>
        <v>"1828, 1830 "</v>
      </c>
      <c r="HL2" s="44" t="str">
        <f t="shared" ref="HL2:HL9" si="91">CHAR(34)&amp;I2&amp;CHAR(34)</f>
        <v>"https://en.wikipedia.org/wiki/Flag_of_Uruguay"</v>
      </c>
      <c r="HM2" s="65" t="str">
        <f t="shared" ref="HM2:HM9" si="9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N2" s="67" t="str">
        <f t="shared" ref="HN2:HN9" si="9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{"couname":"Uruguay","year":"1828, 1830 ","region":"rgn_South America","Colors":["cl_BLU","cl_WHI","cl_YEL"],"Items":["3Color","lets07","startU","with_y","LUELHI","year18","allhor","4+Band","Horizo","Circle","HasSun","Canton","Humans","tcWHYE","NO_RED","NO_GRE","NO_BLA","001WHI","002WHI","003WHI","myrWHI","spanis","NoStar"],"Flag":"https://i.ibb.co/cLPFZhg/Uruguay-Flag.png","HDFlag":"https://upload.wikimedia.org/wikipedia/commons/thumb/f/fe/Flag_of_Uruguay.svg/2560px-Flag_of_Uruguay.svg.png","type":"", "describe": "\nThe horizontal stripes on the flag represent the nine original departments of Uruguay, based on the U.S. flag, where the stripes represent the original 13 colonies. The first flag designed in 1828 had 9 light blue stripes; this number was reduced to 4 in 1830 due to visibility problems from distance. The stripes of blue and white were inspired by the flag of Argentina, making the flag of Uruguay part of both the Stars and Stripes and Belgrano flag families.\n\nThe golden Sun of May represents the May Revolution of 1810; the Sun of May is a figurative sun that represents Inti, the sun god and mythological founder of the Incan Empire. It also appears in the flag of Argentina and the coat of arms of Bolivia.", "isnew": ".", "links": "https://en.wikipedia.org/wiki/Flag_of_Uruguay"},</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 t="shared" ref="IL2:IL8" si="94">SUM(IC2:IK2)</f>
        <v>0</v>
      </c>
      <c r="IM2" s="42">
        <f t="shared" ref="IM2:IM9" si="95">COUNTIF(IC2:IK2,"&gt;0")-CG2</f>
        <v>-3</v>
      </c>
      <c r="IN2" s="69" t="str">
        <f t="shared" ref="IN2:IN9" si="96">"http://mkweb.bcgsc.ca/color-summarizer/?url="&amp;D2&amp;"&amp;precision=low&amp;num_clusters="&amp;CG2&amp;"&amp;text=1"</f>
        <v>http://mkweb.bcgsc.ca/color-summarizer/?url=https://i.ibb.co/cLPFZhg/Uruguay-Flag.png&amp;precision=low&amp;num_clusters=3&amp;text=1</v>
      </c>
      <c r="IO2" s="44" t="str">
        <f t="shared" ref="IO2:IO9" si="97">IF(HP2&lt;&gt;"",CHAR(34)&amp;"black"&amp;CHAR(34),"")</f>
        <v/>
      </c>
      <c r="IP2" s="44" t="str">
        <f t="shared" ref="IP2:IP9" si="98">IF(HQ2&lt;&gt;"",CHAR(34)&amp;"blue"&amp;CHAR(34),"")</f>
        <v>"blue"</v>
      </c>
      <c r="IQ2" s="44" t="str">
        <f t="shared" ref="IQ2:IQ9" si="99">IF(HR2&lt;&gt;"",CHAR(34)&amp;"green"&amp;CHAR(34),"")</f>
        <v/>
      </c>
      <c r="IR2" s="44" t="str">
        <f t="shared" ref="IR2:IR9" si="100">IF(HS2&lt;&gt;"",CHAR(34)&amp;"red"&amp;CHAR(34),"")</f>
        <v/>
      </c>
      <c r="IS2" s="44" t="str">
        <f t="shared" ref="IS2:IS9" si="101">IF(HT2&lt;&gt;"",CHAR(34)&amp;"yellow"&amp;CHAR(34),"")</f>
        <v>"yellow"</v>
      </c>
      <c r="IT2" s="44" t="str">
        <f t="shared" ref="IT2:IT9" si="102">IF(HU2&lt;&gt;"",CHAR(34)&amp;"orange"&amp;CHAR(34),"")</f>
        <v/>
      </c>
      <c r="IU2" s="44" t="str">
        <f t="shared" ref="IU2:IU9" si="103">IF(HV2&lt;&gt;"",CHAR(34)&amp;"brown"&amp;CHAR(34),"")</f>
        <v/>
      </c>
      <c r="IV2" s="44" t="str">
        <f t="shared" ref="IV2:IV9" si="104">IF(HW2&lt;&gt;"",CHAR(34)&amp;"purple"&amp;CHAR(34),"")</f>
        <v/>
      </c>
      <c r="IW2" s="44" t="str">
        <f t="shared" ref="IW2:IW9" si="105">IF(HX2&lt;&gt;"",CHAR(34)&amp;"white"&amp;CHAR(34),"")</f>
        <v>"white"</v>
      </c>
      <c r="IX2" s="44" t="str">
        <f t="shared" ref="IX2:IX9" si="106">"{"&amp;CHAR(34)&amp;"url"&amp;CHAR(34)&amp;":"&amp;CHAR(34)&amp;IN2&amp;CHAR(34)&amp;","&amp;CHAR(34)&amp;"name"&amp;CHAR(34)&amp;":"&amp;CHAR(34)&amp;A2&amp;CHAR(34)&amp;"},"</f>
        <v>{"url":"http://mkweb.bcgsc.ca/color-summarizer/?url=https://i.ibb.co/cLPFZhg/Uruguay-Flag.png&amp;precision=low&amp;num_clusters=3&amp;text=1","name":"Uruguay"},</v>
      </c>
      <c r="IY2" s="44">
        <v>233</v>
      </c>
    </row>
    <row r="3" spans="1:259" s="44" customFormat="1" ht="38.4" customHeight="1" thickBot="1" x14ac:dyDescent="0.35">
      <c r="A3" s="84" t="s">
        <v>516</v>
      </c>
      <c r="B3" s="83" t="e" vm="94">
        <v>#VALUE!</v>
      </c>
      <c r="C3" s="39">
        <v>2</v>
      </c>
      <c r="D3" s="70" t="s">
        <v>517</v>
      </c>
      <c r="E3" s="40" t="s">
        <v>518</v>
      </c>
      <c r="F3" s="41" t="s">
        <v>163</v>
      </c>
      <c r="G3" s="42">
        <f t="shared" si="0"/>
        <v>1</v>
      </c>
      <c r="H3" s="43"/>
      <c r="I3" s="59" t="s">
        <v>519</v>
      </c>
      <c r="J3" s="44" t="str">
        <f>""</f>
        <v/>
      </c>
      <c r="K3" s="45"/>
      <c r="L3" s="46"/>
      <c r="M3" s="46"/>
      <c r="N3" s="47" t="s">
        <v>177</v>
      </c>
      <c r="O3" s="74">
        <v>1952</v>
      </c>
      <c r="P3" s="48" t="s">
        <v>520</v>
      </c>
      <c r="Q3" s="73">
        <v>1</v>
      </c>
      <c r="R3" s="49" t="s">
        <v>177</v>
      </c>
      <c r="S3" s="50">
        <v>4</v>
      </c>
      <c r="T3" s="51" t="s">
        <v>165</v>
      </c>
      <c r="U3" s="52" t="s">
        <v>164</v>
      </c>
      <c r="V3" s="52" t="s">
        <v>165</v>
      </c>
      <c r="W3" s="52" t="s">
        <v>164</v>
      </c>
      <c r="X3" s="52" t="s">
        <v>164</v>
      </c>
      <c r="Y3" s="52" t="s">
        <v>164</v>
      </c>
      <c r="Z3" s="52" t="s">
        <v>164</v>
      </c>
      <c r="AA3" s="52" t="s">
        <v>164</v>
      </c>
      <c r="AB3" s="52" t="s">
        <v>164</v>
      </c>
      <c r="AC3" s="52" t="s">
        <v>164</v>
      </c>
      <c r="AD3" s="52" t="s">
        <v>164</v>
      </c>
      <c r="AE3" s="52" t="s">
        <v>164</v>
      </c>
      <c r="AF3" s="53" t="s">
        <v>164</v>
      </c>
      <c r="AG3" s="53" t="s">
        <v>165</v>
      </c>
      <c r="AH3" s="53" t="s">
        <v>164</v>
      </c>
      <c r="AI3" s="53" t="s">
        <v>164</v>
      </c>
      <c r="AJ3" s="53" t="s">
        <v>164</v>
      </c>
      <c r="AK3" s="53" t="s">
        <v>165</v>
      </c>
      <c r="AL3" s="53" t="s">
        <v>164</v>
      </c>
      <c r="AM3" s="53" t="s">
        <v>164</v>
      </c>
      <c r="AN3" s="53" t="s">
        <v>164</v>
      </c>
      <c r="AO3" s="53" t="s">
        <v>164</v>
      </c>
      <c r="AP3" s="53" t="s">
        <v>164</v>
      </c>
      <c r="AQ3" s="53" t="s">
        <v>164</v>
      </c>
      <c r="AR3" s="53" t="s">
        <v>165</v>
      </c>
      <c r="AS3" s="53" t="s">
        <v>164</v>
      </c>
      <c r="AT3" s="54">
        <v>0</v>
      </c>
      <c r="AU3" s="53" t="s">
        <v>521</v>
      </c>
      <c r="AV3" s="53" t="str">
        <f t="shared" si="1"/>
        <v>[URU]National Symbol[URU] Artigas</v>
      </c>
      <c r="AW3" s="53" t="str">
        <f t="shared" si="2"/>
        <v>2[URU] Artigas</v>
      </c>
      <c r="AX3" s="55"/>
      <c r="AY3" s="55"/>
      <c r="AZ3" s="56" t="s">
        <v>234</v>
      </c>
      <c r="BA3" s="56"/>
      <c r="BB3" s="56"/>
      <c r="BC3" s="57"/>
      <c r="BD3" s="58" t="s">
        <v>152</v>
      </c>
      <c r="BE3" s="59"/>
      <c r="BF3" s="58" t="s">
        <v>152</v>
      </c>
      <c r="BG3" s="58" t="s">
        <v>159</v>
      </c>
      <c r="BH3" s="58" t="s">
        <v>152</v>
      </c>
      <c r="BI3" s="58" t="s">
        <v>154</v>
      </c>
      <c r="BJ3" s="58"/>
      <c r="BK3" s="59"/>
      <c r="BL3" s="58" t="s">
        <v>234</v>
      </c>
      <c r="BM3" s="58" t="s">
        <v>152</v>
      </c>
      <c r="BN3" s="58" t="s">
        <v>234</v>
      </c>
      <c r="BO3" s="58" t="s">
        <v>154</v>
      </c>
      <c r="BP3" s="58" t="s">
        <v>234</v>
      </c>
      <c r="BQ3" s="58" t="s">
        <v>234</v>
      </c>
      <c r="BR3" s="58" t="s">
        <v>234</v>
      </c>
      <c r="BS3" s="58" t="s">
        <v>234</v>
      </c>
      <c r="BT3" s="58" t="s">
        <v>159</v>
      </c>
      <c r="BU3" s="60"/>
      <c r="BV3" s="61"/>
      <c r="BW3" s="61">
        <v>0</v>
      </c>
      <c r="BX3" s="59"/>
      <c r="BY3" s="44" t="s">
        <v>165</v>
      </c>
      <c r="CB3" s="5"/>
      <c r="CC3" s="5"/>
      <c r="CD3" s="62">
        <v>0</v>
      </c>
      <c r="CE3" s="62">
        <v>0</v>
      </c>
      <c r="CF3" s="62" t="e">
        <v>#REF!</v>
      </c>
      <c r="CG3" s="75" cm="1">
        <f t="array" ref="CG3">SUMPRODUCT(--(LEN(TRIM(BL3:BT3))&gt;0))</f>
        <v>3</v>
      </c>
      <c r="CH3" s="53" t="str">
        <f t="shared" si="3"/>
        <v>n</v>
      </c>
      <c r="CI3" s="53" t="str">
        <f t="shared" si="4"/>
        <v>y</v>
      </c>
      <c r="CJ3" s="53" t="str">
        <f t="shared" si="5"/>
        <v>n</v>
      </c>
      <c r="CK3" s="53" t="str">
        <f t="shared" si="6"/>
        <v>n</v>
      </c>
      <c r="CL3" s="53" t="str">
        <f t="shared" si="7"/>
        <v>n</v>
      </c>
      <c r="CM3" s="53" t="str">
        <f t="shared" si="8"/>
        <v>n</v>
      </c>
      <c r="CN3" s="53" t="str">
        <f t="shared" si="9"/>
        <v>n</v>
      </c>
      <c r="CO3" s="53" t="str">
        <f t="shared" si="10"/>
        <v>y</v>
      </c>
      <c r="CP3" s="53" t="str">
        <f t="shared" si="11"/>
        <v>y</v>
      </c>
      <c r="CQ3" s="53" t="str">
        <f t="shared" si="12"/>
        <v>n</v>
      </c>
      <c r="CR3" s="53" t="str">
        <f t="shared" si="13"/>
        <v>n</v>
      </c>
      <c r="CS3" s="53" t="str">
        <f t="shared" si="14"/>
        <v>n</v>
      </c>
      <c r="CT3" s="38" t="str">
        <f t="shared" si="15"/>
        <v>"[URU] Artigas"</v>
      </c>
      <c r="CU3" s="63" t="str">
        <f t="shared" si="16"/>
        <v>"rgn_South America"</v>
      </c>
      <c r="CV3" s="44" t="str">
        <f t="shared" si="17"/>
        <v>"https://upload.wikimedia.org/wikipedia/commons/thumb/d/d1/Flag_of_Artigas.svg/640px-Flag_of_Artigas.svg.png"</v>
      </c>
      <c r="CW3" s="44" t="str">
        <f t="shared" si="18"/>
        <v/>
      </c>
      <c r="CX3" s="44" t="str">
        <f t="shared" si="18"/>
        <v>"3Color",</v>
      </c>
      <c r="CY3" s="44" t="str">
        <f t="shared" si="18"/>
        <v/>
      </c>
      <c r="CZ3" s="44" t="str">
        <f t="shared" si="18"/>
        <v/>
      </c>
      <c r="DA3" s="44" t="str">
        <f t="shared" si="19"/>
        <v/>
      </c>
      <c r="DB3" s="44" t="str">
        <f t="shared" si="20"/>
        <v/>
      </c>
      <c r="DC3" s="44" t="str">
        <f t="shared" si="21"/>
        <v/>
      </c>
      <c r="DD3" s="44" t="str">
        <f t="shared" si="22"/>
        <v>"lets07",</v>
      </c>
      <c r="DE3" s="44" t="str">
        <f t="shared" si="23"/>
        <v>"startA",</v>
      </c>
      <c r="DF3" s="44" t="str">
        <f t="shared" si="24"/>
        <v/>
      </c>
      <c r="DG3" s="44" t="str">
        <f t="shared" si="25"/>
        <v/>
      </c>
      <c r="DH3" s="44" t="str">
        <f t="shared" si="26"/>
        <v/>
      </c>
      <c r="DI3" s="44" t="str">
        <f t="shared" si="27"/>
        <v/>
      </c>
      <c r="DJ3" s="44" t="str">
        <f t="shared" si="28"/>
        <v/>
      </c>
      <c r="DK3" s="44" t="str">
        <f t="shared" si="29"/>
        <v/>
      </c>
      <c r="DL3" s="44" t="str">
        <f t="shared" si="30"/>
        <v/>
      </c>
      <c r="DM3" s="44" t="str" cm="1">
        <f t="array" ref="DM3">IF(CG3=3,CHAR(34) &amp; _xlfn.TEXTJOIN("", TRUE, RIGHT(HP3:HX3, 2)) &amp; CHAR(34) &amp; ",", "")</f>
        <v>"LUEDHI",</v>
      </c>
      <c r="DN3" s="44" t="str">
        <f t="shared" si="31"/>
        <v/>
      </c>
      <c r="DO3" s="44" t="str">
        <f t="shared" si="32"/>
        <v>"year19",</v>
      </c>
      <c r="DP3" s="5" t="str">
        <f t="shared" si="33"/>
        <v/>
      </c>
      <c r="DQ3" s="5" t="str">
        <f t="shared" si="34"/>
        <v/>
      </c>
      <c r="DR3" s="5" t="str">
        <f t="shared" si="35"/>
        <v>"dgband",</v>
      </c>
      <c r="DS3" s="5" t="str">
        <f t="shared" si="36"/>
        <v/>
      </c>
      <c r="DT3" s="5" t="str">
        <f t="shared" si="37"/>
        <v/>
      </c>
      <c r="DU3" s="5" t="str">
        <f t="shared" si="38"/>
        <v/>
      </c>
      <c r="DV3" s="44" t="str">
        <f t="shared" si="39"/>
        <v/>
      </c>
      <c r="DW3" s="44" t="str">
        <f t="shared" si="40"/>
        <v/>
      </c>
      <c r="DX3" s="44" t="str">
        <f t="shared" si="40"/>
        <v/>
      </c>
      <c r="DY3" s="44" t="str">
        <f t="shared" si="40"/>
        <v/>
      </c>
      <c r="DZ3" s="44" t="str">
        <f t="shared" si="40"/>
        <v>"4+Band",</v>
      </c>
      <c r="EA3" s="44" t="str">
        <f t="shared" si="41"/>
        <v>"Diagon",</v>
      </c>
      <c r="EB3" s="44" t="str">
        <f t="shared" si="41"/>
        <v/>
      </c>
      <c r="EC3" s="44" t="str">
        <f t="shared" si="41"/>
        <v>"Horizo",</v>
      </c>
      <c r="ED3" s="44" t="str">
        <f t="shared" si="41"/>
        <v/>
      </c>
      <c r="EE3" s="44" t="str">
        <f t="shared" si="41"/>
        <v/>
      </c>
      <c r="EF3" s="44" t="str">
        <f t="shared" si="42"/>
        <v/>
      </c>
      <c r="EG3" s="44" t="str">
        <f t="shared" si="43"/>
        <v/>
      </c>
      <c r="EH3" s="44" t="str">
        <f t="shared" si="43"/>
        <v/>
      </c>
      <c r="EI3" s="44" t="str">
        <f t="shared" si="43"/>
        <v/>
      </c>
      <c r="EJ3" s="44" t="str">
        <f t="shared" si="43"/>
        <v/>
      </c>
      <c r="EK3" s="44" t="str">
        <f t="shared" si="43"/>
        <v/>
      </c>
      <c r="EL3" s="44" t="str">
        <f t="shared" si="43"/>
        <v/>
      </c>
      <c r="EM3" s="44" t="str">
        <f t="shared" si="43"/>
        <v/>
      </c>
      <c r="EN3" s="44" t="str">
        <f t="shared" si="43"/>
        <v>"Unequa",</v>
      </c>
      <c r="EO3" s="44" t="str">
        <f t="shared" si="43"/>
        <v/>
      </c>
      <c r="EP3" s="44" t="str">
        <f t="shared" si="43"/>
        <v/>
      </c>
      <c r="EQ3" s="44" t="str">
        <f t="shared" si="44"/>
        <v/>
      </c>
      <c r="ER3" s="44" t="str">
        <f t="shared" si="44"/>
        <v>"OnlyBa",</v>
      </c>
      <c r="ES3" s="44" t="str">
        <f t="shared" si="44"/>
        <v/>
      </c>
      <c r="ET3" s="44" t="str">
        <f t="shared" si="44"/>
        <v/>
      </c>
      <c r="EU3" s="44" t="str">
        <f t="shared" si="44"/>
        <v/>
      </c>
      <c r="EV3" s="44" t="str">
        <f t="shared" si="44"/>
        <v/>
      </c>
      <c r="EW3" s="44" t="str">
        <f t="shared" si="44"/>
        <v/>
      </c>
      <c r="EX3" s="44" t="str">
        <f t="shared" si="44"/>
        <v/>
      </c>
      <c r="EY3" s="44" t="str">
        <f t="shared" si="44"/>
        <v>"Rotate",</v>
      </c>
      <c r="EZ3" s="44" t="str">
        <f t="shared" si="44"/>
        <v/>
      </c>
      <c r="FA3" s="44" t="str">
        <f t="shared" si="45"/>
        <v/>
      </c>
      <c r="FB3" s="44" t="str">
        <f t="shared" si="46"/>
        <v/>
      </c>
      <c r="FC3" s="44" t="str">
        <f t="shared" si="47"/>
        <v/>
      </c>
      <c r="FD3" s="44" t="str">
        <f t="shared" si="48"/>
        <v/>
      </c>
      <c r="FE3" s="44" t="str">
        <f t="shared" si="49"/>
        <v/>
      </c>
      <c r="FF3" s="44" t="str">
        <f t="shared" si="50"/>
        <v/>
      </c>
      <c r="FG3" s="44" t="str">
        <f t="shared" si="51"/>
        <v/>
      </c>
      <c r="FH3" s="44" t="str">
        <f t="shared" si="52"/>
        <v>"NO_GRE",</v>
      </c>
      <c r="FI3" s="44" t="str">
        <f t="shared" si="53"/>
        <v>"NO_YEL",</v>
      </c>
      <c r="FJ3" s="44" t="str">
        <f t="shared" si="54"/>
        <v>"NO_BLA",</v>
      </c>
      <c r="FK3" s="44" t="str">
        <f t="shared" si="55"/>
        <v/>
      </c>
      <c r="FL3" s="44" t="str">
        <f t="shared" si="56"/>
        <v/>
      </c>
      <c r="FM3" s="44" t="str">
        <f t="shared" si="57"/>
        <v/>
      </c>
      <c r="FN3" s="44" t="str">
        <f t="shared" si="58"/>
        <v/>
      </c>
      <c r="FO3" s="44" t="str">
        <f t="shared" si="59"/>
        <v/>
      </c>
      <c r="FP3" s="44" t="str">
        <f t="shared" si="60"/>
        <v/>
      </c>
      <c r="FQ3" s="44" t="str">
        <f t="shared" si="61"/>
        <v>"001BLU",</v>
      </c>
      <c r="FR3" s="44" t="str">
        <f t="shared" si="62"/>
        <v>"002WHI",</v>
      </c>
      <c r="FS3" s="44" t="str">
        <f t="shared" si="63"/>
        <v>"003BLU",</v>
      </c>
      <c r="FT3" s="44" t="str">
        <f t="shared" si="64"/>
        <v>"myrBLU",</v>
      </c>
      <c r="FU3" s="44" t="str">
        <f t="shared" si="65"/>
        <v/>
      </c>
      <c r="FV3" s="44" t="str">
        <f t="shared" si="66"/>
        <v/>
      </c>
      <c r="FW3" s="44" t="str">
        <f t="shared" si="67"/>
        <v/>
      </c>
      <c r="FX3" s="44" t="str">
        <f t="shared" si="68"/>
        <v/>
      </c>
      <c r="FY3" s="44" t="str">
        <f t="shared" si="69"/>
        <v/>
      </c>
      <c r="FZ3" s="44" t="str">
        <f t="shared" si="70"/>
        <v/>
      </c>
      <c r="GA3" s="44" t="str">
        <f t="shared" si="71"/>
        <v/>
      </c>
      <c r="GB3" s="44" t="str">
        <f t="shared" si="72"/>
        <v/>
      </c>
      <c r="GC3" s="44" t="str">
        <f t="shared" si="73"/>
        <v/>
      </c>
      <c r="GD3" s="44" t="str">
        <f t="shared" si="74"/>
        <v/>
      </c>
      <c r="GE3" s="44" t="str">
        <f t="shared" si="75"/>
        <v/>
      </c>
      <c r="GF3" s="44" t="str">
        <f t="shared" ref="GF3:GF9" si="107">IFERROR(IF(SEARCH("Historical",AU3)&gt;0,CHAR(34)&amp;"histor"&amp;CHAR(34)&amp;",",""),"")</f>
        <v/>
      </c>
      <c r="GG3" s="44" t="str">
        <f t="shared" si="76"/>
        <v/>
      </c>
      <c r="GH3" s="44" t="str">
        <f t="shared" si="77"/>
        <v/>
      </c>
      <c r="GI3" s="44" t="str">
        <f t="shared" si="78"/>
        <v/>
      </c>
      <c r="GJ3" s="44" t="str">
        <f t="shared" si="79"/>
        <v>"NoStar",</v>
      </c>
      <c r="GK3" s="44" t="str">
        <f t="shared" si="80"/>
        <v/>
      </c>
      <c r="GL3" s="44" t="str">
        <f t="shared" si="81"/>
        <v/>
      </c>
      <c r="GM3" s="44" t="str">
        <f t="shared" si="81"/>
        <v/>
      </c>
      <c r="GN3" s="44" t="str">
        <f t="shared" si="81"/>
        <v/>
      </c>
      <c r="GP3" s="44" t="str">
        <f t="shared" si="82"/>
        <v>"National Symbol"</v>
      </c>
      <c r="GS3" s="44" t="str">
        <f t="shared" si="83"/>
        <v>["3Color","lets07","startA","LUEDHI","year19","dgband","4+Band","Diagon","Horizo","Unequa","OnlyBa","Rotate","NO_GRE","NO_YEL","NO_BLA","001BLU","002WHI","003BLU","myrBLU","NoStar"]</v>
      </c>
      <c r="GT3" s="44" t="str">
        <f t="shared" si="84"/>
        <v/>
      </c>
      <c r="GU3" s="44" t="str">
        <f t="shared" si="84"/>
        <v>"cl_BLU",</v>
      </c>
      <c r="GV3" s="44" t="str">
        <f t="shared" si="84"/>
        <v/>
      </c>
      <c r="GW3" s="44" t="str">
        <f t="shared" si="84"/>
        <v>"cl_RED",</v>
      </c>
      <c r="GX3" s="44" t="str">
        <f t="shared" si="84"/>
        <v/>
      </c>
      <c r="GY3" s="44" t="str">
        <f t="shared" si="84"/>
        <v/>
      </c>
      <c r="GZ3" s="44" t="str">
        <f t="shared" si="84"/>
        <v/>
      </c>
      <c r="HA3" s="44" t="str">
        <f t="shared" si="84"/>
        <v/>
      </c>
      <c r="HB3" s="44" t="str">
        <f t="shared" si="84"/>
        <v>"cl_WHI",</v>
      </c>
      <c r="HC3" s="44" t="str">
        <f t="shared" si="85"/>
        <v>["cl_BLU","cl_RED","cl_WHI"]</v>
      </c>
      <c r="HE3" s="64"/>
      <c r="HF3" s="65" t="str">
        <f t="shared" si="86"/>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links: "https://en.wikipedia.org/wiki/Flag_of_Artigas"},</v>
      </c>
      <c r="HG3" s="66" t="str">
        <f t="shared" si="87"/>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links: "https://en.wikipedia.org/wiki/Flag_of_Artigas"},</v>
      </c>
      <c r="HH3" s="44" t="str">
        <f t="shared" si="88"/>
        <v>"\nIt has three horizontal stripes inspired by the Belgrano's flag, the top and bottom being blue, and the central one white. On top of them, it is crossed by a diagonal red stripe, a symbol of federalism."</v>
      </c>
      <c r="HI3" s="44" t="str">
        <f t="shared" si="89"/>
        <v>"\nIt has three horizontal stripes inspired by the Belgrano's flag, the top and bottom being blue, and the central one white. On top of them, it is crossed by a diagonal red stripe, a symbol of federalism."</v>
      </c>
      <c r="HJ3" s="44" t="str">
        <f t="shared" si="90"/>
        <v>"1952"</v>
      </c>
      <c r="HL3" s="44" t="str">
        <f t="shared" si="91"/>
        <v>"https://en.wikipedia.org/wiki/Flag_of_Artigas"</v>
      </c>
      <c r="HM3" s="65" t="str">
        <f t="shared" si="92"/>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N3" s="67" t="str">
        <f t="shared" si="93"/>
        <v>{"couname":"[URU] Artigas","year":"1952","region":"rgn_South America","Colors":["cl_BLU","cl_RED","cl_WHI"],"Items":["3Color","lets07","startA","LUEDHI","year19","dgband","4+Band","Diagon","Horizo","Unequa","OnlyBa","Rotate","NO_GRE","NO_YEL","NO_BLA","001BLU","002WHI","003BLU","myrBLU","NoStar"],"Flag":"https://upload.wikimedia.org/wikipedia/commons/thumb/d/d1/Flag_of_Artigas.svg/640px-Flag_of_Artigas.svg.png","HDFlag":"https://upload.wikimedia.org/wikipedia/commons/thumb/d/d1/Flag_of_Artigas.svg/2560px-Flag_of_Artigas.svg.png","type":"National Symbol", "describe": "\nIt has three horizontal stripes inspired by the Belgrano's flag, the top and bottom being blue, and the central one white. On top of them, it is crossed by a diagonal red stripe, a symbol of federalism.", "isnew": ".", "links": "https://en.wikipedia.org/wiki/Flag_of_Artigas"},</v>
      </c>
      <c r="HO3" s="71">
        <v>45576</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
      </c>
      <c r="HS3" s="44" t="str" cm="1">
        <f t="array" ref="HS3">IF(_xlfn.TEXTJOIN(", ", TRUE, IF(ISNUMBER(SEARCH("RED", BL3:BT3)), COLUMN(BL3:BT3) - COLUMN(BL3) + 1, ""))&lt;&gt;"","RED","")</f>
        <v>RED</v>
      </c>
      <c r="HT3" s="44" t="str" cm="1">
        <f t="array" ref="HT3">IF(_xlfn.TEXTJOIN(", ", TRUE, IF(ISNUMBER(SEARCH("YEL", BL3:BT3)), COLUMN(BL3:BT3) - COLUMN(BL3) + 1, ""))&lt;&gt;"","YEL","")</f>
        <v/>
      </c>
      <c r="HU3" s="44" t="str" cm="1">
        <f t="array" ref="HU3">IF(_xlfn.TEXTJOIN(", ", TRUE, IF(ISNUMBER(SEARCH("ORA", BL3:BT3)), COLUMN(BL3:BT3) - COLUMN(BL3) + 1, ""))&lt;&gt;"","ORA","")</f>
        <v/>
      </c>
      <c r="HV3" s="44" t="str" cm="1">
        <f t="array" ref="HV3">IF(_xlfn.TEXTJOIN(", ", TRUE, IF(ISNUMBER(SEARCH("BRO", BL3:BT3)), COLUMN(BL3:BT3) - COLUMN(BL3) + 1, ""))&lt;&gt;"","BRO","")</f>
        <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L3" s="44">
        <f t="shared" si="94"/>
        <v>0</v>
      </c>
      <c r="IM3" s="42">
        <f t="shared" si="95"/>
        <v>-3</v>
      </c>
      <c r="IN3" s="69" t="str">
        <f t="shared" si="96"/>
        <v>http://mkweb.bcgsc.ca/color-summarizer/?url=https://upload.wikimedia.org/wikipedia/commons/thumb/d/d1/Flag_of_Artigas.svg/640px-Flag_of_Artigas.svg.png&amp;precision=low&amp;num_clusters=3&amp;text=1</v>
      </c>
      <c r="IO3" s="44" t="str">
        <f t="shared" si="97"/>
        <v/>
      </c>
      <c r="IP3" s="44" t="str">
        <f t="shared" si="98"/>
        <v>"blue"</v>
      </c>
      <c r="IQ3" s="44" t="str">
        <f t="shared" si="99"/>
        <v/>
      </c>
      <c r="IR3" s="44" t="str">
        <f t="shared" si="100"/>
        <v>"red"</v>
      </c>
      <c r="IS3" s="44" t="str">
        <f t="shared" si="101"/>
        <v/>
      </c>
      <c r="IT3" s="44" t="str">
        <f t="shared" si="102"/>
        <v/>
      </c>
      <c r="IU3" s="44" t="str">
        <f t="shared" si="103"/>
        <v/>
      </c>
      <c r="IV3" s="44" t="str">
        <f t="shared" si="104"/>
        <v/>
      </c>
      <c r="IW3" s="44" t="str">
        <f t="shared" si="105"/>
        <v>"white"</v>
      </c>
      <c r="IX3" s="44" t="str">
        <f t="shared" si="106"/>
        <v>{"url":"http://mkweb.bcgsc.ca/color-summarizer/?url=https://upload.wikimedia.org/wikipedia/commons/thumb/d/d1/Flag_of_Artigas.svg/640px-Flag_of_Artigas.svg.png&amp;precision=low&amp;num_clusters=3&amp;text=1","name":"[URU] Artigas"},</v>
      </c>
      <c r="IY3" s="44">
        <v>843</v>
      </c>
    </row>
    <row r="4" spans="1:259" s="44" customFormat="1" ht="38.4" customHeight="1" thickBot="1" x14ac:dyDescent="0.35">
      <c r="A4" s="84" t="s">
        <v>498</v>
      </c>
      <c r="B4" s="83" t="e" vm="95">
        <v>#VALUE!</v>
      </c>
      <c r="C4" s="39">
        <v>2</v>
      </c>
      <c r="D4" s="70" t="s">
        <v>499</v>
      </c>
      <c r="E4" s="40" t="s">
        <v>499</v>
      </c>
      <c r="F4" s="41" t="s">
        <v>163</v>
      </c>
      <c r="G4" s="42">
        <f t="shared" si="0"/>
        <v>1</v>
      </c>
      <c r="H4" s="43"/>
      <c r="I4" s="59" t="s">
        <v>500</v>
      </c>
      <c r="J4" s="44" t="str">
        <f>""</f>
        <v/>
      </c>
      <c r="K4" s="45"/>
      <c r="L4" s="46"/>
      <c r="M4" s="46"/>
      <c r="N4" s="47" t="s">
        <v>177</v>
      </c>
      <c r="O4" s="74">
        <v>2010</v>
      </c>
      <c r="P4" s="48" t="s">
        <v>501</v>
      </c>
      <c r="Q4" s="73">
        <v>1</v>
      </c>
      <c r="R4" s="49" t="s">
        <v>177</v>
      </c>
      <c r="S4" s="50">
        <v>19</v>
      </c>
      <c r="T4" s="51" t="s">
        <v>165</v>
      </c>
      <c r="U4" s="52" t="s">
        <v>164</v>
      </c>
      <c r="V4" s="52" t="s">
        <v>165</v>
      </c>
      <c r="W4" s="52" t="s">
        <v>164</v>
      </c>
      <c r="X4" s="52" t="s">
        <v>164</v>
      </c>
      <c r="Y4" s="52" t="s">
        <v>164</v>
      </c>
      <c r="Z4" s="52" t="s">
        <v>164</v>
      </c>
      <c r="AA4" s="52" t="s">
        <v>164</v>
      </c>
      <c r="AB4" s="52" t="s">
        <v>164</v>
      </c>
      <c r="AC4" s="52" t="s">
        <v>164</v>
      </c>
      <c r="AD4" s="52" t="s">
        <v>164</v>
      </c>
      <c r="AE4" s="52" t="s">
        <v>164</v>
      </c>
      <c r="AF4" s="53" t="s">
        <v>164</v>
      </c>
      <c r="AG4" s="53" t="s">
        <v>165</v>
      </c>
      <c r="AH4" s="53" t="s">
        <v>165</v>
      </c>
      <c r="AI4" s="53" t="s">
        <v>164</v>
      </c>
      <c r="AJ4" s="53" t="s">
        <v>164</v>
      </c>
      <c r="AK4" s="53" t="s">
        <v>164</v>
      </c>
      <c r="AL4" s="53" t="s">
        <v>164</v>
      </c>
      <c r="AM4" s="53" t="s">
        <v>164</v>
      </c>
      <c r="AN4" s="53" t="s">
        <v>164</v>
      </c>
      <c r="AO4" s="53" t="s">
        <v>164</v>
      </c>
      <c r="AP4" s="53" t="s">
        <v>164</v>
      </c>
      <c r="AQ4" s="53" t="s">
        <v>164</v>
      </c>
      <c r="AR4" s="53" t="s">
        <v>165</v>
      </c>
      <c r="AS4" s="53" t="s">
        <v>164</v>
      </c>
      <c r="AT4" s="54">
        <v>0</v>
      </c>
      <c r="AU4" s="53" t="s">
        <v>475</v>
      </c>
      <c r="AV4" s="53" t="str">
        <f t="shared" si="1"/>
        <v>[URU]Department[URU] Canelones</v>
      </c>
      <c r="AW4" s="53" t="str">
        <f t="shared" si="2"/>
        <v>2[URU] Canelones</v>
      </c>
      <c r="AX4" s="55"/>
      <c r="AY4" s="55"/>
      <c r="AZ4" s="56" t="s">
        <v>234</v>
      </c>
      <c r="BA4" s="56" t="s">
        <v>234</v>
      </c>
      <c r="BB4" s="56"/>
      <c r="BC4" s="57"/>
      <c r="BD4" s="58" t="s">
        <v>159</v>
      </c>
      <c r="BE4" s="59"/>
      <c r="BF4" s="58" t="s">
        <v>159</v>
      </c>
      <c r="BG4" s="58" t="s">
        <v>152</v>
      </c>
      <c r="BH4" s="58" t="s">
        <v>159</v>
      </c>
      <c r="BI4" s="58"/>
      <c r="BJ4" s="58"/>
      <c r="BK4" s="59"/>
      <c r="BL4" s="58" t="s">
        <v>234</v>
      </c>
      <c r="BM4" s="58" t="s">
        <v>152</v>
      </c>
      <c r="BN4" s="58" t="s">
        <v>234</v>
      </c>
      <c r="BO4" s="58" t="s">
        <v>154</v>
      </c>
      <c r="BP4" s="58" t="s">
        <v>234</v>
      </c>
      <c r="BQ4" s="58" t="s">
        <v>234</v>
      </c>
      <c r="BR4" s="58" t="s">
        <v>234</v>
      </c>
      <c r="BS4" s="58" t="s">
        <v>234</v>
      </c>
      <c r="BT4" s="58" t="s">
        <v>159</v>
      </c>
      <c r="BU4" s="60"/>
      <c r="BV4" s="61"/>
      <c r="BW4" s="61">
        <v>0</v>
      </c>
      <c r="BX4" s="59"/>
      <c r="BY4" s="44" t="s">
        <v>165</v>
      </c>
      <c r="CB4" s="5"/>
      <c r="CC4" s="5"/>
      <c r="CD4" s="62">
        <v>0</v>
      </c>
      <c r="CE4" s="62">
        <v>0</v>
      </c>
      <c r="CF4" s="62" t="e">
        <v>#REF!</v>
      </c>
      <c r="CG4" s="75" cm="1">
        <f t="array" ref="CG4">SUMPRODUCT(--(LEN(TRIM(BL4:BT4))&gt;0))</f>
        <v>3</v>
      </c>
      <c r="CH4" s="53" t="str">
        <f t="shared" si="3"/>
        <v>n</v>
      </c>
      <c r="CI4" s="53" t="str">
        <f t="shared" si="4"/>
        <v>y</v>
      </c>
      <c r="CJ4" s="53" t="str">
        <f t="shared" si="5"/>
        <v>n</v>
      </c>
      <c r="CK4" s="53" t="str">
        <f t="shared" si="6"/>
        <v>n</v>
      </c>
      <c r="CL4" s="53" t="str">
        <f t="shared" si="7"/>
        <v>n</v>
      </c>
      <c r="CM4" s="53" t="str">
        <f t="shared" si="8"/>
        <v>n</v>
      </c>
      <c r="CN4" s="53" t="str">
        <f t="shared" si="9"/>
        <v>n</v>
      </c>
      <c r="CO4" s="53" t="str">
        <f t="shared" si="10"/>
        <v>y</v>
      </c>
      <c r="CP4" s="53" t="str">
        <f t="shared" si="11"/>
        <v>y</v>
      </c>
      <c r="CQ4" s="53" t="str">
        <f t="shared" si="12"/>
        <v>n</v>
      </c>
      <c r="CR4" s="53" t="str">
        <f t="shared" si="13"/>
        <v>n</v>
      </c>
      <c r="CS4" s="53" t="str">
        <f t="shared" si="14"/>
        <v>n</v>
      </c>
      <c r="CT4" s="38" t="str">
        <f t="shared" si="15"/>
        <v>"[URU] Canelones"</v>
      </c>
      <c r="CU4" s="63" t="str">
        <f t="shared" si="16"/>
        <v>"rgn_South America"</v>
      </c>
      <c r="CV4" s="44" t="str">
        <f t="shared" si="17"/>
        <v>"https://upload.wikimedia.org/wikipedia/commons/thumb/6/6f/Flag_of_Canelones_Department.svg/640px-Flag_of_Canelones_Department.svg.png"</v>
      </c>
      <c r="CW4" s="44" t="str">
        <f t="shared" si="18"/>
        <v/>
      </c>
      <c r="CX4" s="44" t="str">
        <f t="shared" si="18"/>
        <v>"3Color",</v>
      </c>
      <c r="CY4" s="44" t="str">
        <f t="shared" si="18"/>
        <v/>
      </c>
      <c r="CZ4" s="44" t="str">
        <f t="shared" si="18"/>
        <v/>
      </c>
      <c r="DA4" s="44" t="str">
        <f t="shared" si="19"/>
        <v/>
      </c>
      <c r="DB4" s="44" t="str">
        <f t="shared" si="20"/>
        <v/>
      </c>
      <c r="DC4" s="44" t="str">
        <f t="shared" si="21"/>
        <v/>
      </c>
      <c r="DD4" s="44" t="str">
        <f t="shared" si="22"/>
        <v>"lets09",</v>
      </c>
      <c r="DE4" s="44" t="str">
        <f t="shared" si="23"/>
        <v>"startC",</v>
      </c>
      <c r="DF4" s="44" t="str">
        <f t="shared" si="24"/>
        <v/>
      </c>
      <c r="DG4" s="44" t="str">
        <f t="shared" si="25"/>
        <v/>
      </c>
      <c r="DH4" s="44" t="str">
        <f t="shared" si="26"/>
        <v/>
      </c>
      <c r="DI4" s="44" t="str">
        <f t="shared" si="27"/>
        <v/>
      </c>
      <c r="DJ4" s="44" t="str">
        <f t="shared" si="28"/>
        <v/>
      </c>
      <c r="DK4" s="44" t="str">
        <f t="shared" si="29"/>
        <v/>
      </c>
      <c r="DL4" s="44" t="str">
        <f t="shared" si="30"/>
        <v/>
      </c>
      <c r="DM4" s="44" t="str" cm="1">
        <f t="array" ref="DM4">IF(CG4=3,CHAR(34) &amp; _xlfn.TEXTJOIN("", TRUE, RIGHT(HP4:HX4, 2)) &amp; CHAR(34) &amp; ",", "")</f>
        <v>"LUEDHI",</v>
      </c>
      <c r="DN4" s="44" t="str">
        <f t="shared" si="31"/>
        <v/>
      </c>
      <c r="DO4" s="44" t="str">
        <f t="shared" si="32"/>
        <v/>
      </c>
      <c r="DP4" s="5" t="str">
        <f t="shared" si="33"/>
        <v>"year00",</v>
      </c>
      <c r="DQ4" s="5" t="str">
        <f t="shared" si="34"/>
        <v/>
      </c>
      <c r="DR4" s="5" t="str">
        <f t="shared" si="35"/>
        <v>"dgband",</v>
      </c>
      <c r="DS4" s="5" t="str">
        <f t="shared" si="36"/>
        <v/>
      </c>
      <c r="DT4" s="5" t="str">
        <f t="shared" si="37"/>
        <v/>
      </c>
      <c r="DU4" s="5" t="str">
        <f t="shared" si="38"/>
        <v/>
      </c>
      <c r="DV4" s="44" t="str">
        <f t="shared" si="39"/>
        <v/>
      </c>
      <c r="DW4" s="44" t="str">
        <f t="shared" si="40"/>
        <v/>
      </c>
      <c r="DX4" s="44" t="str">
        <f t="shared" si="40"/>
        <v/>
      </c>
      <c r="DY4" s="44" t="str">
        <f t="shared" si="40"/>
        <v/>
      </c>
      <c r="DZ4" s="44" t="str">
        <f t="shared" si="40"/>
        <v>"4+Band",</v>
      </c>
      <c r="EA4" s="44" t="str">
        <f t="shared" si="41"/>
        <v>"Diagon",</v>
      </c>
      <c r="EB4" s="44" t="str">
        <f t="shared" si="41"/>
        <v/>
      </c>
      <c r="EC4" s="44" t="str">
        <f t="shared" si="41"/>
        <v>"Horizo",</v>
      </c>
      <c r="ED4" s="44" t="str">
        <f t="shared" si="41"/>
        <v/>
      </c>
      <c r="EE4" s="44" t="str">
        <f t="shared" si="41"/>
        <v/>
      </c>
      <c r="EF4" s="44" t="str">
        <f t="shared" si="42"/>
        <v/>
      </c>
      <c r="EG4" s="44" t="str">
        <f t="shared" si="43"/>
        <v/>
      </c>
      <c r="EH4" s="44" t="str">
        <f t="shared" si="43"/>
        <v/>
      </c>
      <c r="EI4" s="44" t="str">
        <f t="shared" si="43"/>
        <v/>
      </c>
      <c r="EJ4" s="44" t="str">
        <f t="shared" si="43"/>
        <v/>
      </c>
      <c r="EK4" s="44" t="str">
        <f t="shared" si="43"/>
        <v/>
      </c>
      <c r="EL4" s="44" t="str">
        <f t="shared" si="43"/>
        <v/>
      </c>
      <c r="EM4" s="44" t="str">
        <f t="shared" si="43"/>
        <v/>
      </c>
      <c r="EN4" s="44" t="str">
        <f t="shared" si="43"/>
        <v>"Unequa",</v>
      </c>
      <c r="EO4" s="44" t="str">
        <f t="shared" si="43"/>
        <v>"Center",</v>
      </c>
      <c r="EP4" s="44" t="str">
        <f t="shared" si="43"/>
        <v/>
      </c>
      <c r="EQ4" s="44" t="str">
        <f t="shared" si="44"/>
        <v/>
      </c>
      <c r="ER4" s="44" t="str">
        <f t="shared" si="44"/>
        <v/>
      </c>
      <c r="ES4" s="44" t="str">
        <f t="shared" si="44"/>
        <v/>
      </c>
      <c r="ET4" s="44" t="str">
        <f t="shared" si="44"/>
        <v/>
      </c>
      <c r="EU4" s="44" t="str">
        <f t="shared" si="44"/>
        <v/>
      </c>
      <c r="EV4" s="44" t="str">
        <f t="shared" si="44"/>
        <v/>
      </c>
      <c r="EW4" s="44" t="str">
        <f t="shared" si="44"/>
        <v/>
      </c>
      <c r="EX4" s="44" t="str">
        <f t="shared" si="44"/>
        <v/>
      </c>
      <c r="EY4" s="44" t="str">
        <f t="shared" si="44"/>
        <v>"Rotate",</v>
      </c>
      <c r="EZ4" s="44" t="str">
        <f t="shared" si="44"/>
        <v/>
      </c>
      <c r="FA4" s="44" t="str">
        <f t="shared" si="45"/>
        <v/>
      </c>
      <c r="FB4" s="44" t="str">
        <f t="shared" si="46"/>
        <v/>
      </c>
      <c r="FC4" s="44" t="str">
        <f t="shared" si="47"/>
        <v/>
      </c>
      <c r="FD4" s="44" t="str">
        <f t="shared" si="48"/>
        <v/>
      </c>
      <c r="FE4" s="44" t="str">
        <f t="shared" si="49"/>
        <v/>
      </c>
      <c r="FF4" s="44" t="str">
        <f t="shared" si="50"/>
        <v/>
      </c>
      <c r="FG4" s="44" t="str">
        <f t="shared" si="51"/>
        <v/>
      </c>
      <c r="FH4" s="44" t="str">
        <f t="shared" si="52"/>
        <v>"NO_GRE",</v>
      </c>
      <c r="FI4" s="44" t="str">
        <f t="shared" si="53"/>
        <v>"NO_YEL",</v>
      </c>
      <c r="FJ4" s="44" t="str">
        <f t="shared" si="54"/>
        <v>"NO_BLA",</v>
      </c>
      <c r="FK4" s="44" t="str">
        <f t="shared" si="55"/>
        <v/>
      </c>
      <c r="FL4" s="44" t="str">
        <f t="shared" si="56"/>
        <v/>
      </c>
      <c r="FM4" s="44" t="str">
        <f t="shared" si="57"/>
        <v/>
      </c>
      <c r="FN4" s="44" t="str">
        <f t="shared" si="58"/>
        <v/>
      </c>
      <c r="FO4" s="44" t="str">
        <f t="shared" si="59"/>
        <v/>
      </c>
      <c r="FP4" s="44" t="str">
        <f t="shared" si="60"/>
        <v/>
      </c>
      <c r="FQ4" s="44" t="str">
        <f t="shared" si="61"/>
        <v>"001WHI",</v>
      </c>
      <c r="FR4" s="44" t="str">
        <f t="shared" si="62"/>
        <v>"002BLU",</v>
      </c>
      <c r="FS4" s="44" t="str">
        <f t="shared" si="63"/>
        <v>"003WHI",</v>
      </c>
      <c r="FT4" s="44" t="str">
        <f t="shared" si="64"/>
        <v>"myrWHI",</v>
      </c>
      <c r="FU4" s="44" t="str">
        <f t="shared" si="65"/>
        <v/>
      </c>
      <c r="FV4" s="44" t="str">
        <f t="shared" si="66"/>
        <v/>
      </c>
      <c r="FW4" s="44" t="str">
        <f t="shared" si="67"/>
        <v/>
      </c>
      <c r="FX4" s="44" t="str">
        <f t="shared" si="68"/>
        <v/>
      </c>
      <c r="FY4" s="44" t="str">
        <f t="shared" si="69"/>
        <v/>
      </c>
      <c r="FZ4" s="44" t="str">
        <f t="shared" si="70"/>
        <v/>
      </c>
      <c r="GA4" s="44" t="str">
        <f t="shared" si="71"/>
        <v/>
      </c>
      <c r="GB4" s="44" t="str">
        <f t="shared" si="72"/>
        <v/>
      </c>
      <c r="GC4" s="44" t="str">
        <f t="shared" si="73"/>
        <v/>
      </c>
      <c r="GD4" s="44" t="str">
        <f t="shared" si="74"/>
        <v/>
      </c>
      <c r="GE4" s="44" t="str">
        <f t="shared" si="75"/>
        <v/>
      </c>
      <c r="GF4" s="44" t="str">
        <f t="shared" si="107"/>
        <v/>
      </c>
      <c r="GG4" s="44" t="str">
        <f t="shared" si="76"/>
        <v/>
      </c>
      <c r="GH4" s="44" t="str">
        <f t="shared" si="77"/>
        <v/>
      </c>
      <c r="GI4" s="44" t="str">
        <f t="shared" si="78"/>
        <v/>
      </c>
      <c r="GJ4" s="44" t="str">
        <f t="shared" si="79"/>
        <v>"NoStar",</v>
      </c>
      <c r="GK4" s="44" t="str">
        <f t="shared" si="80"/>
        <v/>
      </c>
      <c r="GL4" s="44" t="str">
        <f t="shared" si="81"/>
        <v/>
      </c>
      <c r="GM4" s="44" t="str">
        <f t="shared" si="81"/>
        <v/>
      </c>
      <c r="GN4" s="44" t="str">
        <f t="shared" si="81"/>
        <v/>
      </c>
      <c r="GP4" s="44" t="str">
        <f t="shared" si="82"/>
        <v>"Department"</v>
      </c>
      <c r="GS4" s="44" t="str">
        <f t="shared" si="83"/>
        <v>["3Color","lets09","startC","LUEDHI","year00","dgband","4+Band","Diagon","Horizo","Unequa","Center","Rotate","NO_GRE","NO_YEL","NO_BLA","001WHI","002BLU","003WHI","myrWHI","NoStar"]</v>
      </c>
      <c r="GT4" s="44" t="str">
        <f t="shared" si="84"/>
        <v/>
      </c>
      <c r="GU4" s="44" t="str">
        <f t="shared" si="84"/>
        <v>"cl_BLU",</v>
      </c>
      <c r="GV4" s="44" t="str">
        <f t="shared" si="84"/>
        <v/>
      </c>
      <c r="GW4" s="44" t="str">
        <f t="shared" si="84"/>
        <v>"cl_RED",</v>
      </c>
      <c r="GX4" s="44" t="str">
        <f t="shared" si="84"/>
        <v/>
      </c>
      <c r="GY4" s="44" t="str">
        <f t="shared" si="84"/>
        <v/>
      </c>
      <c r="GZ4" s="44" t="str">
        <f t="shared" si="84"/>
        <v/>
      </c>
      <c r="HA4" s="44" t="str">
        <f t="shared" si="84"/>
        <v/>
      </c>
      <c r="HB4" s="44" t="str">
        <f t="shared" si="84"/>
        <v>"cl_WHI",</v>
      </c>
      <c r="HC4" s="44" t="str">
        <f t="shared" si="85"/>
        <v>["cl_BLU","cl_RED","cl_WHI"]</v>
      </c>
      <c r="HE4" s="64"/>
      <c r="HF4" s="65" t="str">
        <f t="shared" si="86"/>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links: "https://vexillology.fandom.com/wiki/Canelones_Department"},</v>
      </c>
      <c r="HG4" s="66" t="str">
        <f t="shared" si="87"/>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links: "https://vexillology.fandom.com/wiki/Canelones_Department"},</v>
      </c>
      <c r="HH4" s="44" t="str">
        <f t="shared" si="88"/>
        <v>"\nHas a white field with nine blue stripes representing the first flag and a red stripe running through the banner, just like the band that crosses the Artigas flag, for would therefore be a combination of the first flag with the flag of Artigas."</v>
      </c>
      <c r="HI4" s="44" t="str">
        <f t="shared" si="89"/>
        <v>"\nHas a white field with nine blue stripes representing the first flag and a red stripe running through the banner, just like the band that crosses the Artigas flag, for would therefore be a combination of the first flag with the flag of Artigas."</v>
      </c>
      <c r="HJ4" s="44" t="str">
        <f t="shared" si="90"/>
        <v>"2010"</v>
      </c>
      <c r="HL4" s="44" t="str">
        <f t="shared" si="91"/>
        <v>"https://vexillology.fandom.com/wiki/Canelones_Department"</v>
      </c>
      <c r="HM4" s="65" t="str">
        <f t="shared" si="92"/>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N4" s="67" t="str">
        <f t="shared" si="93"/>
        <v>{"couname":"[URU] Canelones","year":"2010","region":"rgn_South America","Colors":["cl_BLU","cl_RED","cl_WHI"],"Items":["3Color","lets09","startC","LUEDHI","year00","dgband","4+Band","Diagon","Horizo","Unequa","Center","Rotate","NO_GRE","NO_YEL","NO_BLA","001WHI","002BLU","003WHI","myrWHI","NoStar"],"Flag":"https://upload.wikimedia.org/wikipedia/commons/thumb/6/6f/Flag_of_Canelones_Department.svg/640px-Flag_of_Canelones_Department.svg.png","HDFlag":"https://upload.wikimedia.org/wikipedia/commons/thumb/6/6f/Flag_of_Canelones_Department.svg/640px-Flag_of_Canelones_Department.svg.png","type":"Department", "describe": "\nHas a white field with nine blue stripes representing the first flag and a red stripe running through the banner, just like the band that crosses the Artigas flag, for would therefore be a combination of the first flag with the flag of Artigas.", "isnew": ".", "links": "https://vexillology.fandom.com/wiki/Canelones_Department"},</v>
      </c>
      <c r="HO4" s="71">
        <v>45583</v>
      </c>
      <c r="HP4" s="44" t="str" cm="1">
        <f t="array" ref="HP4">IF(_xlfn.TEXTJOIN(", ", TRUE, IF(ISNUMBER(SEARCH("BLA", BL4:BT4)), COLUMN(BL4:BT4) - COLUMN(BL4) + 1, ""))&lt;&gt;"","BLA","")</f>
        <v/>
      </c>
      <c r="HQ4" s="44" t="str" cm="1">
        <f t="array" ref="HQ4">IF(_xlfn.TEXTJOIN(", ", TRUE, IF(ISNUMBER(SEARCH("BLU", BL4:BT4)), COLUMN(BL4:BT4) - COLUMN(BL4) + 1, ""))&lt;&gt;"","BLU","")</f>
        <v>BLU</v>
      </c>
      <c r="HR4" s="44" t="str" cm="1">
        <f t="array" ref="HR4">IF(_xlfn.TEXTJOIN(", ", TRUE, IF(ISNUMBER(SEARCH("GRE", BL4:BT4)), COLUMN(BL4:BT4) - COLUMN(BL4) + 1, ""))&lt;&gt;"","GRE","")</f>
        <v/>
      </c>
      <c r="HS4" s="44" t="str" cm="1">
        <f t="array" ref="HS4">IF(_xlfn.TEXTJOIN(", ", TRUE, IF(ISNUMBER(SEARCH("RED", BL4:BT4)), COLUMN(BL4:BT4) - COLUMN(BL4) + 1, ""))&lt;&gt;"","RED","")</f>
        <v>RED</v>
      </c>
      <c r="HT4" s="44" t="str" cm="1">
        <f t="array" ref="HT4">IF(_xlfn.TEXTJOIN(", ", TRUE, IF(ISNUMBER(SEARCH("YEL", BL4:BT4)), COLUMN(BL4:BT4) - COLUMN(BL4) + 1, ""))&lt;&gt;"","YEL","")</f>
        <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WHI</v>
      </c>
      <c r="HY4" s="72"/>
      <c r="HZ4" s="72"/>
      <c r="IA4" s="5"/>
      <c r="IB4" s="5"/>
      <c r="IC4" s="68"/>
      <c r="ID4" s="68"/>
      <c r="IE4" s="68"/>
      <c r="IF4" s="68"/>
      <c r="IG4" s="68"/>
      <c r="IH4" s="68"/>
      <c r="II4" s="68"/>
      <c r="IJ4" s="68"/>
      <c r="IK4" s="68"/>
      <c r="IL4" s="44">
        <f t="shared" si="94"/>
        <v>0</v>
      </c>
      <c r="IM4" s="42">
        <f t="shared" si="95"/>
        <v>-3</v>
      </c>
      <c r="IN4" s="69" t="str">
        <f t="shared" si="96"/>
        <v>http://mkweb.bcgsc.ca/color-summarizer/?url=https://upload.wikimedia.org/wikipedia/commons/thumb/6/6f/Flag_of_Canelones_Department.svg/640px-Flag_of_Canelones_Department.svg.png&amp;precision=low&amp;num_clusters=3&amp;text=1</v>
      </c>
      <c r="IO4" s="44" t="str">
        <f t="shared" si="97"/>
        <v/>
      </c>
      <c r="IP4" s="44" t="str">
        <f t="shared" si="98"/>
        <v>"blue"</v>
      </c>
      <c r="IQ4" s="44" t="str">
        <f t="shared" si="99"/>
        <v/>
      </c>
      <c r="IR4" s="44" t="str">
        <f t="shared" si="100"/>
        <v>"red"</v>
      </c>
      <c r="IS4" s="44" t="str">
        <f t="shared" si="101"/>
        <v/>
      </c>
      <c r="IT4" s="44" t="str">
        <f t="shared" si="102"/>
        <v/>
      </c>
      <c r="IU4" s="44" t="str">
        <f t="shared" si="103"/>
        <v/>
      </c>
      <c r="IV4" s="44" t="str">
        <f t="shared" si="104"/>
        <v/>
      </c>
      <c r="IW4" s="44" t="str">
        <f t="shared" si="105"/>
        <v>"white"</v>
      </c>
      <c r="IX4" s="44" t="str">
        <f t="shared" si="106"/>
        <v>{"url":"http://mkweb.bcgsc.ca/color-summarizer/?url=https://upload.wikimedia.org/wikipedia/commons/thumb/6/6f/Flag_of_Canelones_Department.svg/640px-Flag_of_Canelones_Department.svg.png&amp;precision=low&amp;num_clusters=3&amp;text=1","name":"[URU] Canelones"},</v>
      </c>
      <c r="IY4" s="44">
        <v>839</v>
      </c>
    </row>
    <row r="5" spans="1:259" s="44" customFormat="1" ht="38.4" customHeight="1" thickBot="1" x14ac:dyDescent="0.35">
      <c r="A5" s="84" t="s">
        <v>502</v>
      </c>
      <c r="B5" s="83" t="e" vm="96">
        <v>#VALUE!</v>
      </c>
      <c r="C5" s="39">
        <v>2</v>
      </c>
      <c r="D5" s="70" t="s">
        <v>503</v>
      </c>
      <c r="E5" s="40" t="s">
        <v>504</v>
      </c>
      <c r="F5" s="41" t="s">
        <v>163</v>
      </c>
      <c r="G5" s="42">
        <f t="shared" si="0"/>
        <v>1</v>
      </c>
      <c r="H5" s="43"/>
      <c r="I5" s="59" t="s">
        <v>505</v>
      </c>
      <c r="J5" s="44" t="str">
        <f>""</f>
        <v/>
      </c>
      <c r="K5" s="45"/>
      <c r="L5" s="46"/>
      <c r="M5" s="46"/>
      <c r="N5" s="47" t="s">
        <v>177</v>
      </c>
      <c r="O5" s="74">
        <v>2018</v>
      </c>
      <c r="P5" s="48" t="s">
        <v>506</v>
      </c>
      <c r="Q5" s="73">
        <v>2</v>
      </c>
      <c r="R5" s="49" t="s">
        <v>177</v>
      </c>
      <c r="S5" s="50">
        <v>7</v>
      </c>
      <c r="T5" s="51" t="s">
        <v>164</v>
      </c>
      <c r="U5" s="52" t="s">
        <v>164</v>
      </c>
      <c r="V5" s="52" t="s">
        <v>165</v>
      </c>
      <c r="W5" s="52" t="s">
        <v>164</v>
      </c>
      <c r="X5" s="52" t="s">
        <v>164</v>
      </c>
      <c r="Y5" s="52" t="s">
        <v>164</v>
      </c>
      <c r="Z5" s="52" t="s">
        <v>164</v>
      </c>
      <c r="AA5" s="52" t="s">
        <v>164</v>
      </c>
      <c r="AB5" s="52" t="s">
        <v>164</v>
      </c>
      <c r="AC5" s="52" t="s">
        <v>164</v>
      </c>
      <c r="AD5" s="52" t="s">
        <v>164</v>
      </c>
      <c r="AE5" s="52" t="s">
        <v>164</v>
      </c>
      <c r="AF5" s="53" t="s">
        <v>164</v>
      </c>
      <c r="AG5" s="53" t="s">
        <v>165</v>
      </c>
      <c r="AH5" s="53" t="s">
        <v>164</v>
      </c>
      <c r="AI5" s="53" t="s">
        <v>164</v>
      </c>
      <c r="AJ5" s="53" t="s">
        <v>164</v>
      </c>
      <c r="AK5" s="53" t="s">
        <v>165</v>
      </c>
      <c r="AL5" s="53" t="s">
        <v>164</v>
      </c>
      <c r="AM5" s="53" t="s">
        <v>164</v>
      </c>
      <c r="AN5" s="53" t="s">
        <v>164</v>
      </c>
      <c r="AO5" s="53" t="s">
        <v>164</v>
      </c>
      <c r="AP5" s="53" t="s">
        <v>164</v>
      </c>
      <c r="AQ5" s="53" t="s">
        <v>164</v>
      </c>
      <c r="AR5" s="53" t="s">
        <v>165</v>
      </c>
      <c r="AS5" s="53" t="s">
        <v>164</v>
      </c>
      <c r="AT5" s="54">
        <v>0</v>
      </c>
      <c r="AU5" s="53" t="s">
        <v>475</v>
      </c>
      <c r="AV5" s="53" t="str">
        <f t="shared" si="1"/>
        <v>[URU]Department[URU] Cerro Largo</v>
      </c>
      <c r="AW5" s="53" t="str">
        <f t="shared" si="2"/>
        <v>2[URU] Cerro Largo</v>
      </c>
      <c r="AX5" s="55"/>
      <c r="AY5" s="55"/>
      <c r="AZ5" s="56" t="s">
        <v>234</v>
      </c>
      <c r="BA5" s="56" t="s">
        <v>234</v>
      </c>
      <c r="BB5" s="56"/>
      <c r="BC5" s="57"/>
      <c r="BD5" s="58" t="s">
        <v>152</v>
      </c>
      <c r="BE5" s="59"/>
      <c r="BF5" s="58" t="s">
        <v>152</v>
      </c>
      <c r="BG5" s="58" t="s">
        <v>159</v>
      </c>
      <c r="BH5" s="58" t="s">
        <v>152</v>
      </c>
      <c r="BI5" s="58"/>
      <c r="BJ5" s="58"/>
      <c r="BK5" s="59"/>
      <c r="BL5" s="58" t="s">
        <v>234</v>
      </c>
      <c r="BM5" s="58" t="s">
        <v>152</v>
      </c>
      <c r="BN5" s="58" t="s">
        <v>234</v>
      </c>
      <c r="BO5" s="58" t="s">
        <v>234</v>
      </c>
      <c r="BP5" s="58" t="s">
        <v>234</v>
      </c>
      <c r="BQ5" s="58" t="s">
        <v>234</v>
      </c>
      <c r="BR5" s="58" t="s">
        <v>234</v>
      </c>
      <c r="BS5" s="58" t="s">
        <v>234</v>
      </c>
      <c r="BT5" s="58" t="s">
        <v>159</v>
      </c>
      <c r="BU5" s="60"/>
      <c r="BV5" s="61"/>
      <c r="BW5" s="61">
        <v>0</v>
      </c>
      <c r="BX5" s="59"/>
      <c r="CB5" s="5"/>
      <c r="CC5" s="5"/>
      <c r="CD5" s="62">
        <v>0</v>
      </c>
      <c r="CE5" s="62">
        <v>0</v>
      </c>
      <c r="CF5" s="62" t="e">
        <v>#REF!</v>
      </c>
      <c r="CG5" s="75" cm="1">
        <f t="array" ref="CG5">SUMPRODUCT(--(LEN(TRIM(BL5:BT5))&gt;0))</f>
        <v>2</v>
      </c>
      <c r="CH5" s="53" t="str">
        <f t="shared" si="3"/>
        <v>y</v>
      </c>
      <c r="CI5" s="53" t="str">
        <f t="shared" si="4"/>
        <v>n</v>
      </c>
      <c r="CJ5" s="53" t="str">
        <f t="shared" si="5"/>
        <v>n</v>
      </c>
      <c r="CK5" s="53" t="str">
        <f t="shared" si="6"/>
        <v>n</v>
      </c>
      <c r="CL5" s="53" t="str">
        <f t="shared" si="7"/>
        <v>n</v>
      </c>
      <c r="CM5" s="53" t="str">
        <f t="shared" si="8"/>
        <v>n</v>
      </c>
      <c r="CN5" s="53" t="str">
        <f t="shared" si="9"/>
        <v>n</v>
      </c>
      <c r="CO5" s="53" t="str">
        <f t="shared" si="10"/>
        <v>y</v>
      </c>
      <c r="CP5" s="53" t="str">
        <f t="shared" si="11"/>
        <v>y</v>
      </c>
      <c r="CQ5" s="53" t="str">
        <f t="shared" si="12"/>
        <v>n</v>
      </c>
      <c r="CR5" s="53" t="str">
        <f t="shared" si="13"/>
        <v>n</v>
      </c>
      <c r="CS5" s="53" t="str">
        <f t="shared" si="14"/>
        <v>n</v>
      </c>
      <c r="CT5" s="38" t="str">
        <f t="shared" si="15"/>
        <v>"[URU] Cerro Largo"</v>
      </c>
      <c r="CU5" s="63" t="str">
        <f t="shared" si="16"/>
        <v>"rgn_South America"</v>
      </c>
      <c r="CV5" s="44" t="str">
        <f t="shared" si="17"/>
        <v>"https://upload.wikimedia.org/wikipedia/commons/thumb/2/2f/Flag_of_Cerro_Largo_Department.svg/640px-Flag_of_Cerro_Largo_Department.svg.png"</v>
      </c>
      <c r="CW5" s="44" t="str">
        <f t="shared" si="18"/>
        <v>"2Color",</v>
      </c>
      <c r="CX5" s="44" t="str">
        <f t="shared" si="18"/>
        <v/>
      </c>
      <c r="CY5" s="44" t="str">
        <f t="shared" si="18"/>
        <v/>
      </c>
      <c r="CZ5" s="44" t="str">
        <f t="shared" si="18"/>
        <v/>
      </c>
      <c r="DA5" s="44" t="str">
        <f t="shared" si="19"/>
        <v>"words2",</v>
      </c>
      <c r="DB5" s="44" t="str">
        <f t="shared" si="20"/>
        <v/>
      </c>
      <c r="DC5" s="44" t="str">
        <f t="shared" si="21"/>
        <v>"exact2",</v>
      </c>
      <c r="DD5" s="44" t="str">
        <f t="shared" si="22"/>
        <v>"lets10",</v>
      </c>
      <c r="DE5" s="44" t="str">
        <f t="shared" si="23"/>
        <v>"startC",</v>
      </c>
      <c r="DF5" s="44" t="str">
        <f t="shared" si="24"/>
        <v/>
      </c>
      <c r="DG5" s="44" t="str">
        <f t="shared" si="25"/>
        <v/>
      </c>
      <c r="DH5" s="44" t="str">
        <f t="shared" si="26"/>
        <v/>
      </c>
      <c r="DI5" s="44" t="str">
        <f t="shared" si="27"/>
        <v/>
      </c>
      <c r="DJ5" s="44" t="str">
        <f t="shared" si="28"/>
        <v/>
      </c>
      <c r="DK5" s="44" t="str">
        <f t="shared" si="29"/>
        <v/>
      </c>
      <c r="DL5" s="44" t="str">
        <f t="shared" si="30"/>
        <v>"BLUWHI",</v>
      </c>
      <c r="DM5" s="44" t="str" cm="1">
        <f t="array" ref="DM5">IF(CG5=3,CHAR(34) &amp; _xlfn.TEXTJOIN("", TRUE, RIGHT(HP5:HX5, 2)) &amp; CHAR(34) &amp; ",", "")</f>
        <v/>
      </c>
      <c r="DN5" s="44" t="str">
        <f t="shared" si="31"/>
        <v/>
      </c>
      <c r="DO5" s="44" t="str">
        <f t="shared" si="32"/>
        <v/>
      </c>
      <c r="DP5" s="5" t="str">
        <f t="shared" si="33"/>
        <v>"year00",</v>
      </c>
      <c r="DQ5" s="5" t="str">
        <f t="shared" si="34"/>
        <v/>
      </c>
      <c r="DR5" s="5" t="str">
        <f t="shared" si="35"/>
        <v/>
      </c>
      <c r="DS5" s="5" t="str">
        <f t="shared" si="36"/>
        <v/>
      </c>
      <c r="DT5" s="5" t="str">
        <f t="shared" si="37"/>
        <v>"allhor",</v>
      </c>
      <c r="DU5" s="5" t="str">
        <f t="shared" si="38"/>
        <v/>
      </c>
      <c r="DV5" s="44" t="str">
        <f t="shared" si="39"/>
        <v/>
      </c>
      <c r="DW5" s="44" t="str">
        <f t="shared" si="40"/>
        <v/>
      </c>
      <c r="DX5" s="44" t="str">
        <f t="shared" si="40"/>
        <v/>
      </c>
      <c r="DY5" s="44" t="str">
        <f t="shared" si="40"/>
        <v/>
      </c>
      <c r="DZ5" s="44" t="str">
        <f t="shared" si="40"/>
        <v>"4+Band",</v>
      </c>
      <c r="EA5" s="44" t="str">
        <f t="shared" si="41"/>
        <v/>
      </c>
      <c r="EB5" s="44" t="str">
        <f t="shared" si="41"/>
        <v/>
      </c>
      <c r="EC5" s="44" t="str">
        <f t="shared" si="41"/>
        <v>"Horizo",</v>
      </c>
      <c r="ED5" s="44" t="str">
        <f t="shared" si="41"/>
        <v/>
      </c>
      <c r="EE5" s="44" t="str">
        <f t="shared" si="41"/>
        <v/>
      </c>
      <c r="EF5" s="44" t="str">
        <f t="shared" si="42"/>
        <v/>
      </c>
      <c r="EG5" s="44" t="str">
        <f t="shared" si="43"/>
        <v/>
      </c>
      <c r="EH5" s="44" t="str">
        <f t="shared" si="43"/>
        <v/>
      </c>
      <c r="EI5" s="44" t="str">
        <f t="shared" si="43"/>
        <v/>
      </c>
      <c r="EJ5" s="44" t="str">
        <f t="shared" si="43"/>
        <v/>
      </c>
      <c r="EK5" s="44" t="str">
        <f t="shared" si="43"/>
        <v/>
      </c>
      <c r="EL5" s="44" t="str">
        <f t="shared" si="43"/>
        <v/>
      </c>
      <c r="EM5" s="44" t="str">
        <f t="shared" si="43"/>
        <v/>
      </c>
      <c r="EN5" s="44" t="str">
        <f t="shared" si="43"/>
        <v>"Unequa",</v>
      </c>
      <c r="EO5" s="44" t="str">
        <f t="shared" si="43"/>
        <v/>
      </c>
      <c r="EP5" s="44" t="str">
        <f t="shared" si="43"/>
        <v/>
      </c>
      <c r="EQ5" s="44" t="str">
        <f t="shared" si="44"/>
        <v/>
      </c>
      <c r="ER5" s="44" t="str">
        <f t="shared" si="44"/>
        <v>"OnlyBa",</v>
      </c>
      <c r="ES5" s="44" t="str">
        <f t="shared" si="44"/>
        <v/>
      </c>
      <c r="ET5" s="44" t="str">
        <f t="shared" si="44"/>
        <v/>
      </c>
      <c r="EU5" s="44" t="str">
        <f t="shared" si="44"/>
        <v/>
      </c>
      <c r="EV5" s="44" t="str">
        <f t="shared" si="44"/>
        <v/>
      </c>
      <c r="EW5" s="44" t="str">
        <f t="shared" si="44"/>
        <v/>
      </c>
      <c r="EX5" s="44" t="str">
        <f t="shared" si="44"/>
        <v/>
      </c>
      <c r="EY5" s="44" t="str">
        <f t="shared" si="44"/>
        <v>"Rotate",</v>
      </c>
      <c r="EZ5" s="44" t="str">
        <f t="shared" si="44"/>
        <v/>
      </c>
      <c r="FA5" s="44" t="str">
        <f t="shared" si="45"/>
        <v/>
      </c>
      <c r="FB5" s="44" t="str">
        <f t="shared" si="46"/>
        <v/>
      </c>
      <c r="FC5" s="44" t="str">
        <f t="shared" si="47"/>
        <v/>
      </c>
      <c r="FD5" s="44" t="str">
        <f t="shared" si="48"/>
        <v/>
      </c>
      <c r="FE5" s="44" t="str">
        <f t="shared" si="49"/>
        <v/>
      </c>
      <c r="FF5" s="44" t="str">
        <f t="shared" si="50"/>
        <v/>
      </c>
      <c r="FG5" s="44" t="str">
        <f t="shared" si="51"/>
        <v>"NO_RED",</v>
      </c>
      <c r="FH5" s="44" t="str">
        <f t="shared" si="52"/>
        <v>"NO_GRE",</v>
      </c>
      <c r="FI5" s="44" t="str">
        <f t="shared" si="53"/>
        <v>"NO_YEL",</v>
      </c>
      <c r="FJ5" s="44" t="str">
        <f t="shared" si="54"/>
        <v>"NO_BLA",</v>
      </c>
      <c r="FK5" s="44" t="str">
        <f t="shared" si="55"/>
        <v/>
      </c>
      <c r="FL5" s="44" t="str">
        <f t="shared" si="56"/>
        <v/>
      </c>
      <c r="FM5" s="44" t="str">
        <f t="shared" si="57"/>
        <v/>
      </c>
      <c r="FN5" s="44" t="str">
        <f t="shared" si="58"/>
        <v/>
      </c>
      <c r="FO5" s="44" t="str">
        <f t="shared" si="59"/>
        <v/>
      </c>
      <c r="FP5" s="44" t="str">
        <f t="shared" si="60"/>
        <v/>
      </c>
      <c r="FQ5" s="44" t="str">
        <f t="shared" si="61"/>
        <v>"001BLU",</v>
      </c>
      <c r="FR5" s="44" t="str">
        <f t="shared" si="62"/>
        <v>"002WHI",</v>
      </c>
      <c r="FS5" s="44" t="str">
        <f t="shared" si="63"/>
        <v>"003BLU",</v>
      </c>
      <c r="FT5" s="44" t="str">
        <f t="shared" si="64"/>
        <v>"myrBLU",</v>
      </c>
      <c r="FU5" s="44" t="str">
        <f t="shared" si="65"/>
        <v/>
      </c>
      <c r="FV5" s="44" t="str">
        <f t="shared" si="66"/>
        <v/>
      </c>
      <c r="FW5" s="44" t="str">
        <f t="shared" si="67"/>
        <v/>
      </c>
      <c r="FX5" s="44" t="str">
        <f t="shared" si="68"/>
        <v/>
      </c>
      <c r="FY5" s="44" t="str">
        <f t="shared" si="69"/>
        <v/>
      </c>
      <c r="FZ5" s="44" t="str">
        <f t="shared" si="70"/>
        <v/>
      </c>
      <c r="GA5" s="44" t="str">
        <f t="shared" si="71"/>
        <v/>
      </c>
      <c r="GB5" s="44" t="str">
        <f t="shared" si="72"/>
        <v/>
      </c>
      <c r="GC5" s="44" t="str">
        <f t="shared" si="73"/>
        <v/>
      </c>
      <c r="GD5" s="44" t="str">
        <f t="shared" si="74"/>
        <v/>
      </c>
      <c r="GE5" s="44" t="str">
        <f t="shared" si="75"/>
        <v/>
      </c>
      <c r="GF5" s="44" t="str">
        <f t="shared" si="107"/>
        <v/>
      </c>
      <c r="GG5" s="44" t="str">
        <f t="shared" si="76"/>
        <v/>
      </c>
      <c r="GH5" s="44" t="str">
        <f t="shared" si="77"/>
        <v/>
      </c>
      <c r="GI5" s="44" t="str">
        <f t="shared" si="78"/>
        <v/>
      </c>
      <c r="GJ5" s="44" t="str">
        <f t="shared" si="79"/>
        <v>"NoStar",</v>
      </c>
      <c r="GK5" s="44" t="str">
        <f t="shared" si="80"/>
        <v/>
      </c>
      <c r="GL5" s="44" t="str">
        <f t="shared" si="81"/>
        <v/>
      </c>
      <c r="GM5" s="44" t="str">
        <f t="shared" si="81"/>
        <v/>
      </c>
      <c r="GN5" s="44" t="str">
        <f t="shared" si="81"/>
        <v/>
      </c>
      <c r="GP5" s="44" t="str">
        <f t="shared" si="82"/>
        <v>"Department"</v>
      </c>
      <c r="GS5" s="44" t="str">
        <f t="shared" si="83"/>
        <v>["2Color","words2","exact2","lets10","startC","BLUWHI","year00","allhor","4+Band","Horizo","Unequa","OnlyBa","Rotate","NO_RED","NO_GRE","NO_YEL","NO_BLA","001BLU","002WHI","003BLU","myrBLU","NoStar"]</v>
      </c>
      <c r="GT5" s="44" t="str">
        <f t="shared" si="84"/>
        <v/>
      </c>
      <c r="GU5" s="44" t="str">
        <f t="shared" si="84"/>
        <v>"cl_BLU",</v>
      </c>
      <c r="GV5" s="44" t="str">
        <f t="shared" si="84"/>
        <v/>
      </c>
      <c r="GW5" s="44" t="str">
        <f t="shared" si="84"/>
        <v/>
      </c>
      <c r="GX5" s="44" t="str">
        <f t="shared" si="84"/>
        <v/>
      </c>
      <c r="GY5" s="44" t="str">
        <f t="shared" si="84"/>
        <v/>
      </c>
      <c r="GZ5" s="44" t="str">
        <f t="shared" si="84"/>
        <v/>
      </c>
      <c r="HA5" s="44" t="str">
        <f t="shared" si="84"/>
        <v/>
      </c>
      <c r="HB5" s="44" t="str">
        <f t="shared" si="84"/>
        <v>"cl_WHI",</v>
      </c>
      <c r="HC5" s="44" t="str">
        <f t="shared" si="85"/>
        <v>["cl_BLU","cl_WHI"]</v>
      </c>
      <c r="HE5" s="64"/>
      <c r="HF5" s="65" t="str">
        <f t="shared" si="86"/>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links: "https://vexillology.fandom.com/wiki/Cerro_Largo_Department"},</v>
      </c>
      <c r="HG5" s="66" t="str">
        <f t="shared" si="87"/>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links: "https://vexillology.fandom.com/wiki/Cerro_Largo_Department"},</v>
      </c>
      <c r="HH5" s="44" t="str">
        <f t="shared" si="88"/>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I5" s="44" t="str">
        <f t="shared" si="89"/>
        <v>"\nThe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v>
      </c>
      <c r="HJ5" s="44" t="str">
        <f t="shared" si="90"/>
        <v>"2018"</v>
      </c>
      <c r="HL5" s="44" t="str">
        <f t="shared" si="91"/>
        <v>"https://vexillology.fandom.com/wiki/Cerro_Largo_Department"</v>
      </c>
      <c r="HM5" s="65" t="str">
        <f t="shared" si="92"/>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N5" s="67" t="str">
        <f t="shared" si="93"/>
        <v>{"couname":"[URU] Cerro Largo","year":"2018","region":"rgn_South America","Colors":["cl_BLU","cl_WHI"],"Items":["2Color","words2","exact2","lets10","startC","BLUWHI","year00","allhor","4+Band","Horizo","Unequa","OnlyBa","Rotate","NO_RED","NO_GRE","NO_YEL","NO_BLA","001BLU","002WHI","003BLU","myrBLU","NoStar"],"Flag":"https://upload.wikimedia.org/wikipedia/commons/thumb/2/2f/Flag_of_Cerro_Largo_Department.svg/640px-Flag_of_Cerro_Largo_Department.svg.png","HDFlag":"https://upload.wikimedia.org/wikipedia/commons/thumb/2/2f/Flag_of_Cerro_Largo_Department.svg/2560px-Flag_of_Cerro_Largo_Department.svg.png","type":"Department", "describe": "\nThe flag of the Cerro Largo department is white and blue, and is based on the flag of the Insurgentes Orientales that flew during the first siege of Montevideo (1811), in charge of the eastern forces of José Artigas. On this flag a blue field, synonymous with trust and security, which represents heaven and symbolizes the virtue of justice, three white stripes extend, purity of intent, integrity, yearning for peace and symbolizes the virtue of hope.", "isnew": ".", "links": "https://vexillology.fandom.com/wiki/Cerro_Largo_Department"},</v>
      </c>
      <c r="HO5" s="71">
        <v>45583</v>
      </c>
      <c r="HP5" s="44" t="str" cm="1">
        <f t="array" ref="HP5">IF(_xlfn.TEXTJOIN(", ", TRUE, IF(ISNUMBER(SEARCH("BLA", BL5:BT5)), COLUMN(BL5:BT5) - COLUMN(BL5) + 1, ""))&lt;&gt;"","BLA","")</f>
        <v/>
      </c>
      <c r="HQ5" s="44" t="str" cm="1">
        <f t="array" ref="HQ5">IF(_xlfn.TEXTJOIN(", ", TRUE, IF(ISNUMBER(SEARCH("BLU", BL5:BT5)), COLUMN(BL5:BT5) - COLUMN(BL5) + 1, ""))&lt;&gt;"","BLU","")</f>
        <v>BLU</v>
      </c>
      <c r="HR5" s="44" t="str" cm="1">
        <f t="array" ref="HR5">IF(_xlfn.TEXTJOIN(", ", TRUE, IF(ISNUMBER(SEARCH("GRE", BL5:BT5)), COLUMN(BL5:BT5) - COLUMN(BL5) + 1, ""))&lt;&gt;"","GRE","")</f>
        <v/>
      </c>
      <c r="HS5" s="44" t="str" cm="1">
        <f t="array" ref="HS5">IF(_xlfn.TEXTJOIN(", ", TRUE, IF(ISNUMBER(SEARCH("RED", BL5:BT5)), COLUMN(BL5:BT5) - COLUMN(BL5) + 1, ""))&lt;&gt;"","RED","")</f>
        <v/>
      </c>
      <c r="HT5" s="44" t="str" cm="1">
        <f t="array" ref="HT5">IF(_xlfn.TEXTJOIN(", ", TRUE, IF(ISNUMBER(SEARCH("YEL", BL5:BT5)), COLUMN(BL5:BT5) - COLUMN(BL5) + 1, ""))&lt;&gt;"","YEL","")</f>
        <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L5" s="44">
        <f t="shared" si="94"/>
        <v>0</v>
      </c>
      <c r="IM5" s="42">
        <f t="shared" si="95"/>
        <v>-2</v>
      </c>
      <c r="IN5" s="69" t="str">
        <f t="shared" si="96"/>
        <v>http://mkweb.bcgsc.ca/color-summarizer/?url=https://upload.wikimedia.org/wikipedia/commons/thumb/2/2f/Flag_of_Cerro_Largo_Department.svg/640px-Flag_of_Cerro_Largo_Department.svg.png&amp;precision=low&amp;num_clusters=2&amp;text=1</v>
      </c>
      <c r="IO5" s="44" t="str">
        <f t="shared" si="97"/>
        <v/>
      </c>
      <c r="IP5" s="44" t="str">
        <f t="shared" si="98"/>
        <v>"blue"</v>
      </c>
      <c r="IQ5" s="44" t="str">
        <f t="shared" si="99"/>
        <v/>
      </c>
      <c r="IR5" s="44" t="str">
        <f t="shared" si="100"/>
        <v/>
      </c>
      <c r="IS5" s="44" t="str">
        <f t="shared" si="101"/>
        <v/>
      </c>
      <c r="IT5" s="44" t="str">
        <f t="shared" si="102"/>
        <v/>
      </c>
      <c r="IU5" s="44" t="str">
        <f t="shared" si="103"/>
        <v/>
      </c>
      <c r="IV5" s="44" t="str">
        <f t="shared" si="104"/>
        <v/>
      </c>
      <c r="IW5" s="44" t="str">
        <f t="shared" si="105"/>
        <v>"white"</v>
      </c>
      <c r="IX5" s="44" t="str">
        <f t="shared" si="106"/>
        <v>{"url":"http://mkweb.bcgsc.ca/color-summarizer/?url=https://upload.wikimedia.org/wikipedia/commons/thumb/2/2f/Flag_of_Cerro_Largo_Department.svg/640px-Flag_of_Cerro_Largo_Department.svg.png&amp;precision=low&amp;num_clusters=2&amp;text=1","name":"[URU] Cerro Largo"},</v>
      </c>
      <c r="IY5" s="44">
        <v>840</v>
      </c>
    </row>
    <row r="6" spans="1:259" s="44" customFormat="1" ht="38.4" customHeight="1" thickBot="1" x14ac:dyDescent="0.35">
      <c r="A6" s="84" t="s">
        <v>507</v>
      </c>
      <c r="B6" s="83" t="e" vm="97">
        <v>#VALUE!</v>
      </c>
      <c r="C6" s="39">
        <v>2</v>
      </c>
      <c r="D6" s="70" t="s">
        <v>508</v>
      </c>
      <c r="E6" s="40" t="s">
        <v>509</v>
      </c>
      <c r="F6" s="41" t="s">
        <v>163</v>
      </c>
      <c r="G6" s="42">
        <f t="shared" si="0"/>
        <v>1</v>
      </c>
      <c r="H6" s="43"/>
      <c r="I6" s="59" t="s">
        <v>510</v>
      </c>
      <c r="J6" s="44" t="str">
        <f>""</f>
        <v/>
      </c>
      <c r="K6" s="45"/>
      <c r="L6" s="46"/>
      <c r="M6" s="46"/>
      <c r="N6" s="47" t="s">
        <v>177</v>
      </c>
      <c r="O6" s="74">
        <v>2000</v>
      </c>
      <c r="P6" s="48" t="s">
        <v>511</v>
      </c>
      <c r="Q6" s="73">
        <v>1</v>
      </c>
      <c r="R6" s="49" t="s">
        <v>177</v>
      </c>
      <c r="S6" s="50">
        <v>0</v>
      </c>
      <c r="T6" s="51" t="s">
        <v>164</v>
      </c>
      <c r="U6" s="52" t="s">
        <v>164</v>
      </c>
      <c r="V6" s="52" t="s">
        <v>165</v>
      </c>
      <c r="W6" s="52" t="s">
        <v>164</v>
      </c>
      <c r="X6" s="52" t="s">
        <v>165</v>
      </c>
      <c r="Y6" s="52" t="s">
        <v>164</v>
      </c>
      <c r="Z6" s="52" t="s">
        <v>164</v>
      </c>
      <c r="AA6" s="52" t="s">
        <v>164</v>
      </c>
      <c r="AB6" s="52" t="s">
        <v>164</v>
      </c>
      <c r="AC6" s="52" t="s">
        <v>164</v>
      </c>
      <c r="AD6" s="52" t="s">
        <v>164</v>
      </c>
      <c r="AE6" s="52" t="s">
        <v>164</v>
      </c>
      <c r="AF6" s="53" t="s">
        <v>164</v>
      </c>
      <c r="AG6" s="53" t="s">
        <v>164</v>
      </c>
      <c r="AH6" s="53" t="s">
        <v>165</v>
      </c>
      <c r="AI6" s="53" t="s">
        <v>164</v>
      </c>
      <c r="AJ6" s="53" t="s">
        <v>164</v>
      </c>
      <c r="AK6" s="53" t="s">
        <v>164</v>
      </c>
      <c r="AL6" s="53" t="s">
        <v>164</v>
      </c>
      <c r="AM6" s="53" t="s">
        <v>165</v>
      </c>
      <c r="AN6" s="53" t="s">
        <v>164</v>
      </c>
      <c r="AO6" s="53" t="s">
        <v>164</v>
      </c>
      <c r="AP6" s="53" t="s">
        <v>164</v>
      </c>
      <c r="AQ6" s="53" t="s">
        <v>164</v>
      </c>
      <c r="AR6" s="53" t="s">
        <v>164</v>
      </c>
      <c r="AS6" s="53" t="s">
        <v>164</v>
      </c>
      <c r="AT6" s="54">
        <v>19</v>
      </c>
      <c r="AU6" s="53" t="s">
        <v>475</v>
      </c>
      <c r="AV6" s="53" t="str">
        <f t="shared" si="1"/>
        <v>[URU]Department[URU] Durazno</v>
      </c>
      <c r="AW6" s="53" t="str">
        <f t="shared" si="2"/>
        <v>2[URU] Durazno</v>
      </c>
      <c r="AX6" s="55"/>
      <c r="AY6" s="55"/>
      <c r="AZ6" s="56" t="s">
        <v>155</v>
      </c>
      <c r="BA6" s="56"/>
      <c r="BB6" s="56"/>
      <c r="BC6" s="57"/>
      <c r="BD6" s="58" t="s">
        <v>152</v>
      </c>
      <c r="BE6" s="59"/>
      <c r="BF6" s="58" t="s">
        <v>234</v>
      </c>
      <c r="BG6" s="58" t="s">
        <v>234</v>
      </c>
      <c r="BH6" s="58" t="s">
        <v>234</v>
      </c>
      <c r="BI6" s="58"/>
      <c r="BJ6" s="58"/>
      <c r="BK6" s="59"/>
      <c r="BL6" s="58" t="s">
        <v>234</v>
      </c>
      <c r="BM6" s="58" t="s">
        <v>152</v>
      </c>
      <c r="BN6" s="58" t="s">
        <v>234</v>
      </c>
      <c r="BO6" s="58" t="s">
        <v>234</v>
      </c>
      <c r="BP6" s="58" t="s">
        <v>155</v>
      </c>
      <c r="BQ6" s="58" t="s">
        <v>234</v>
      </c>
      <c r="BR6" s="58" t="s">
        <v>234</v>
      </c>
      <c r="BS6" s="58" t="s">
        <v>234</v>
      </c>
      <c r="BT6" s="58" t="s">
        <v>234</v>
      </c>
      <c r="BU6" s="60"/>
      <c r="BV6" s="61"/>
      <c r="BW6" s="61">
        <v>0</v>
      </c>
      <c r="BX6" s="59"/>
      <c r="CB6" s="5"/>
      <c r="CC6" s="5"/>
      <c r="CD6" s="62">
        <v>0</v>
      </c>
      <c r="CE6" s="62">
        <v>0</v>
      </c>
      <c r="CF6" s="62" t="e">
        <v>#REF!</v>
      </c>
      <c r="CG6" s="75" cm="1">
        <f t="array" ref="CG6">SUMPRODUCT(--(LEN(TRIM(BL6:BT6))&gt;0))</f>
        <v>2</v>
      </c>
      <c r="CH6" s="53" t="str">
        <f t="shared" si="3"/>
        <v>y</v>
      </c>
      <c r="CI6" s="53" t="str">
        <f t="shared" si="4"/>
        <v>n</v>
      </c>
      <c r="CJ6" s="53" t="str">
        <f t="shared" si="5"/>
        <v>n</v>
      </c>
      <c r="CK6" s="53" t="str">
        <f t="shared" si="6"/>
        <v>n</v>
      </c>
      <c r="CL6" s="53" t="str">
        <f t="shared" si="7"/>
        <v>y</v>
      </c>
      <c r="CM6" s="53" t="str">
        <f t="shared" si="8"/>
        <v>n</v>
      </c>
      <c r="CN6" s="53" t="str">
        <f t="shared" si="9"/>
        <v>n</v>
      </c>
      <c r="CO6" s="53" t="str">
        <f t="shared" si="10"/>
        <v>n</v>
      </c>
      <c r="CP6" s="53" t="str">
        <f t="shared" si="11"/>
        <v>n</v>
      </c>
      <c r="CQ6" s="53" t="str">
        <f t="shared" si="12"/>
        <v>n</v>
      </c>
      <c r="CR6" s="53" t="str">
        <f t="shared" si="13"/>
        <v>n</v>
      </c>
      <c r="CS6" s="53" t="str">
        <f t="shared" si="14"/>
        <v>y</v>
      </c>
      <c r="CT6" s="38" t="str">
        <f t="shared" si="15"/>
        <v>"[URU] Durazno"</v>
      </c>
      <c r="CU6" s="63" t="str">
        <f t="shared" si="16"/>
        <v>"rgn_South America"</v>
      </c>
      <c r="CV6" s="44" t="str">
        <f t="shared" si="17"/>
        <v>"https://upload.wikimedia.org/wikipedia/commons/thumb/5/5c/Flag_of_Durazno_Department.svg/1024px-Flag_of_Durazno_Department.svg.png"</v>
      </c>
      <c r="CW6" s="44" t="str">
        <f t="shared" si="18"/>
        <v>"2Color",</v>
      </c>
      <c r="CX6" s="44" t="str">
        <f t="shared" si="18"/>
        <v/>
      </c>
      <c r="CY6" s="44" t="str">
        <f t="shared" si="18"/>
        <v/>
      </c>
      <c r="CZ6" s="44" t="str">
        <f t="shared" si="18"/>
        <v/>
      </c>
      <c r="DA6" s="44" t="str">
        <f t="shared" si="19"/>
        <v/>
      </c>
      <c r="DB6" s="44" t="str">
        <f t="shared" si="20"/>
        <v/>
      </c>
      <c r="DC6" s="44" t="str">
        <f t="shared" si="21"/>
        <v/>
      </c>
      <c r="DD6" s="44" t="str">
        <f t="shared" si="22"/>
        <v>"lets07",</v>
      </c>
      <c r="DE6" s="44" t="str">
        <f t="shared" si="23"/>
        <v>"startD",</v>
      </c>
      <c r="DF6" s="44" t="str">
        <f t="shared" si="24"/>
        <v/>
      </c>
      <c r="DG6" s="44" t="str">
        <f t="shared" si="25"/>
        <v/>
      </c>
      <c r="DH6" s="44" t="str">
        <f t="shared" si="26"/>
        <v/>
      </c>
      <c r="DI6" s="44" t="str">
        <f t="shared" si="27"/>
        <v/>
      </c>
      <c r="DJ6" s="44" t="str">
        <f t="shared" si="28"/>
        <v/>
      </c>
      <c r="DK6" s="44" t="str">
        <f t="shared" si="29"/>
        <v>"with_z",</v>
      </c>
      <c r="DL6" s="44" t="str">
        <f t="shared" si="30"/>
        <v>"BLUYEL",</v>
      </c>
      <c r="DM6" s="44" t="str" cm="1">
        <f t="array" ref="DM6">IF(CG6=3,CHAR(34) &amp; _xlfn.TEXTJOIN("", TRUE, RIGHT(HP6:HX6, 2)) &amp; CHAR(34) &amp; ",", "")</f>
        <v/>
      </c>
      <c r="DN6" s="44" t="str">
        <f t="shared" si="31"/>
        <v/>
      </c>
      <c r="DO6" s="44" t="str">
        <f t="shared" si="32"/>
        <v/>
      </c>
      <c r="DP6" s="5" t="str">
        <f t="shared" si="33"/>
        <v>"year00",</v>
      </c>
      <c r="DQ6" s="5" t="str">
        <f t="shared" si="34"/>
        <v/>
      </c>
      <c r="DR6" s="5" t="str">
        <f t="shared" si="35"/>
        <v/>
      </c>
      <c r="DS6" s="5" t="str">
        <f t="shared" si="36"/>
        <v/>
      </c>
      <c r="DT6" s="5" t="str">
        <f t="shared" si="37"/>
        <v>"allhor",</v>
      </c>
      <c r="DU6" s="5" t="str">
        <f t="shared" si="38"/>
        <v/>
      </c>
      <c r="DV6" s="44" t="str">
        <f t="shared" si="39"/>
        <v/>
      </c>
      <c r="DW6" s="44" t="str">
        <f t="shared" si="40"/>
        <v>"NoBand",</v>
      </c>
      <c r="DX6" s="44" t="str">
        <f t="shared" si="40"/>
        <v/>
      </c>
      <c r="DY6" s="44" t="str">
        <f t="shared" si="40"/>
        <v/>
      </c>
      <c r="DZ6" s="44" t="str">
        <f t="shared" si="40"/>
        <v/>
      </c>
      <c r="EA6" s="44" t="str">
        <f t="shared" si="41"/>
        <v/>
      </c>
      <c r="EB6" s="44" t="str">
        <f t="shared" si="41"/>
        <v/>
      </c>
      <c r="EC6" s="44" t="str">
        <f t="shared" si="41"/>
        <v>"Horizo",</v>
      </c>
      <c r="ED6" s="44" t="str">
        <f t="shared" si="41"/>
        <v/>
      </c>
      <c r="EE6" s="44" t="str">
        <f t="shared" si="41"/>
        <v>"Circle",</v>
      </c>
      <c r="EF6" s="44" t="str">
        <f t="shared" si="42"/>
        <v/>
      </c>
      <c r="EG6" s="44" t="str">
        <f t="shared" si="43"/>
        <v/>
      </c>
      <c r="EH6" s="44" t="str">
        <f t="shared" si="43"/>
        <v/>
      </c>
      <c r="EI6" s="44" t="str">
        <f t="shared" si="43"/>
        <v/>
      </c>
      <c r="EJ6" s="44" t="str">
        <f t="shared" si="43"/>
        <v/>
      </c>
      <c r="EK6" s="44" t="str">
        <f t="shared" si="43"/>
        <v/>
      </c>
      <c r="EL6" s="44" t="str">
        <f t="shared" si="43"/>
        <v/>
      </c>
      <c r="EM6" s="44" t="str">
        <f t="shared" si="43"/>
        <v/>
      </c>
      <c r="EN6" s="44" t="str">
        <f t="shared" si="43"/>
        <v/>
      </c>
      <c r="EO6" s="44" t="str">
        <f t="shared" si="43"/>
        <v>"Center",</v>
      </c>
      <c r="EP6" s="44" t="str">
        <f t="shared" si="43"/>
        <v/>
      </c>
      <c r="EQ6" s="44" t="str">
        <f t="shared" si="44"/>
        <v/>
      </c>
      <c r="ER6" s="44" t="str">
        <f t="shared" si="44"/>
        <v/>
      </c>
      <c r="ES6" s="44" t="str">
        <f t="shared" si="44"/>
        <v/>
      </c>
      <c r="ET6" s="44" t="str">
        <f t="shared" si="44"/>
        <v>"Geogrh",</v>
      </c>
      <c r="EU6" s="44" t="str">
        <f t="shared" si="44"/>
        <v/>
      </c>
      <c r="EV6" s="44" t="str">
        <f t="shared" si="44"/>
        <v/>
      </c>
      <c r="EW6" s="44" t="str">
        <f t="shared" si="44"/>
        <v/>
      </c>
      <c r="EX6" s="44" t="str">
        <f t="shared" si="44"/>
        <v/>
      </c>
      <c r="EY6" s="44" t="str">
        <f t="shared" si="44"/>
        <v/>
      </c>
      <c r="EZ6" s="44" t="str">
        <f t="shared" si="44"/>
        <v/>
      </c>
      <c r="FA6" s="44" t="str">
        <f t="shared" si="45"/>
        <v>"staYEL",</v>
      </c>
      <c r="FB6" s="44" t="str">
        <f t="shared" si="46"/>
        <v/>
      </c>
      <c r="FC6" s="44" t="str">
        <f t="shared" si="47"/>
        <v/>
      </c>
      <c r="FD6" s="44" t="str">
        <f t="shared" si="48"/>
        <v/>
      </c>
      <c r="FE6" s="44" t="str">
        <f t="shared" si="49"/>
        <v/>
      </c>
      <c r="FF6" s="44" t="str">
        <f t="shared" si="50"/>
        <v>"NO_WHI",</v>
      </c>
      <c r="FG6" s="44" t="str">
        <f t="shared" si="51"/>
        <v>"NO_RED",</v>
      </c>
      <c r="FH6" s="44" t="str">
        <f t="shared" si="52"/>
        <v>"NO_GRE",</v>
      </c>
      <c r="FI6" s="44" t="str">
        <f t="shared" si="53"/>
        <v/>
      </c>
      <c r="FJ6" s="44" t="str">
        <f t="shared" si="54"/>
        <v>"NO_BLA",</v>
      </c>
      <c r="FK6" s="44" t="str">
        <f t="shared" si="55"/>
        <v>"WHGRNO",</v>
      </c>
      <c r="FL6" s="44" t="str">
        <f t="shared" si="56"/>
        <v/>
      </c>
      <c r="FM6" s="44" t="str">
        <f t="shared" si="57"/>
        <v>"BAWHNO",</v>
      </c>
      <c r="FN6" s="44" t="str">
        <f t="shared" si="58"/>
        <v/>
      </c>
      <c r="FO6" s="44" t="str">
        <f t="shared" si="59"/>
        <v/>
      </c>
      <c r="FP6" s="44" t="str">
        <f t="shared" si="60"/>
        <v>"WHRENO",</v>
      </c>
      <c r="FQ6" s="44" t="str">
        <f t="shared" si="61"/>
        <v/>
      </c>
      <c r="FR6" s="44" t="str">
        <f t="shared" si="62"/>
        <v/>
      </c>
      <c r="FS6" s="44" t="str">
        <f t="shared" si="63"/>
        <v/>
      </c>
      <c r="FT6" s="44" t="str">
        <f t="shared" si="64"/>
        <v>"myrBLU",</v>
      </c>
      <c r="FU6" s="44" t="str">
        <f t="shared" si="65"/>
        <v/>
      </c>
      <c r="FV6" s="44" t="str">
        <f t="shared" si="66"/>
        <v/>
      </c>
      <c r="FW6" s="44" t="str">
        <f t="shared" si="67"/>
        <v/>
      </c>
      <c r="FX6" s="44" t="str">
        <f t="shared" si="68"/>
        <v/>
      </c>
      <c r="FY6" s="44" t="str">
        <f t="shared" si="69"/>
        <v/>
      </c>
      <c r="FZ6" s="44" t="str">
        <f t="shared" si="70"/>
        <v/>
      </c>
      <c r="GA6" s="44" t="str">
        <f t="shared" si="71"/>
        <v/>
      </c>
      <c r="GB6" s="44" t="str">
        <f t="shared" si="72"/>
        <v/>
      </c>
      <c r="GC6" s="44" t="str">
        <f t="shared" si="73"/>
        <v/>
      </c>
      <c r="GD6" s="44" t="str">
        <f t="shared" si="74"/>
        <v/>
      </c>
      <c r="GE6" s="44" t="str">
        <f t="shared" si="75"/>
        <v/>
      </c>
      <c r="GF6" s="44" t="str">
        <f t="shared" si="107"/>
        <v/>
      </c>
      <c r="GG6" s="44" t="str">
        <f t="shared" si="76"/>
        <v/>
      </c>
      <c r="GH6" s="44" t="str">
        <f t="shared" si="77"/>
        <v/>
      </c>
      <c r="GI6" s="44" t="str">
        <f t="shared" si="78"/>
        <v/>
      </c>
      <c r="GJ6" s="44" t="str">
        <f t="shared" si="79"/>
        <v/>
      </c>
      <c r="GK6" s="44" t="str">
        <f t="shared" si="80"/>
        <v>"HasSta",</v>
      </c>
      <c r="GL6" s="44" t="str">
        <f t="shared" si="81"/>
        <v/>
      </c>
      <c r="GM6" s="44" t="str">
        <f t="shared" si="81"/>
        <v/>
      </c>
      <c r="GN6" s="44" t="str">
        <f t="shared" si="81"/>
        <v>"3+Star",</v>
      </c>
      <c r="GP6" s="44" t="str">
        <f t="shared" si="82"/>
        <v>"Department"</v>
      </c>
      <c r="GS6" s="44" t="str">
        <f t="shared" si="83"/>
        <v>["2Color","lets07","startD","with_z","BLUYEL","year00","allhor","NoBand","Horizo","Circle","Center","Geogrh","staYEL","NO_WHI","NO_RED","NO_GRE","NO_BLA","WHGRNO","BAWHNO","WHRENO","myrBLU","HasSta","3+Star"]</v>
      </c>
      <c r="GT6" s="44" t="str">
        <f t="shared" si="84"/>
        <v/>
      </c>
      <c r="GU6" s="44" t="str">
        <f t="shared" si="84"/>
        <v>"cl_BLU",</v>
      </c>
      <c r="GV6" s="44" t="str">
        <f t="shared" si="84"/>
        <v/>
      </c>
      <c r="GW6" s="44" t="str">
        <f t="shared" si="84"/>
        <v/>
      </c>
      <c r="GX6" s="44" t="str">
        <f t="shared" si="84"/>
        <v>"cl_YEL",</v>
      </c>
      <c r="GY6" s="44" t="str">
        <f t="shared" si="84"/>
        <v/>
      </c>
      <c r="GZ6" s="44" t="str">
        <f t="shared" si="84"/>
        <v/>
      </c>
      <c r="HA6" s="44" t="str">
        <f t="shared" si="84"/>
        <v/>
      </c>
      <c r="HB6" s="44" t="str">
        <f t="shared" si="84"/>
        <v/>
      </c>
      <c r="HC6" s="44" t="str">
        <f t="shared" si="85"/>
        <v>["cl_BLU","cl_YEL"]</v>
      </c>
      <c r="HE6" s="64"/>
      <c r="HF6" s="65" t="str">
        <f t="shared" si="86"/>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links: "https://www.crwflags.com/fotw/flags/uy-du.html"},</v>
      </c>
      <c r="HG6" s="66" t="str">
        <f t="shared" si="87"/>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links: "https://www.crwflags.com/fotw/flags/uy-du.html"},</v>
      </c>
      <c r="HH6" s="44" t="str">
        <f t="shared" si="88"/>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I6" s="44" t="str">
        <f t="shared" si="89"/>
        <v>"\nThe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v>
      </c>
      <c r="HJ6" s="44" t="str">
        <f t="shared" si="90"/>
        <v>"2000"</v>
      </c>
      <c r="HL6" s="44" t="str">
        <f t="shared" si="91"/>
        <v>"https://www.crwflags.com/fotw/flags/uy-du.html"</v>
      </c>
      <c r="HM6" s="65" t="str">
        <f t="shared" si="92"/>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N6" s="67" t="str">
        <f t="shared" si="93"/>
        <v>{"couname":"[URU] Durazno","year":"2000","region":"rgn_South America","Colors":["cl_BLU","cl_YEL"],"Items":["2Color","lets07","startD","with_z","BLUYEL","year00","allhor","NoBand","Horizo","Circle","Center","Geogrh","staYEL","NO_WHI","NO_RED","NO_GRE","NO_BLA","WHGRNO","BAWHNO","WHRENO","myrBLU","HasSta","3+Star"],"Flag":"https://upload.wikimedia.org/wikipedia/commons/thumb/5/5c/Flag_of_Durazno_Department.svg/1024px-Flag_of_Durazno_Department.svg.png","HDFlag":"https://upload.wikimedia.org/wikipedia/commons/thumb/5/5c/Flag_of_Durazno_Department.svg/2560px-Flag_of_Durazno_Department.svg.png","type":"Department", "describe": "\nThe flag has been designed on a blue background; the meaning is that a great twelve-pointed star, surrounded by 18 smaller six-pointed ones represents the central geographical position in the country of this department, which was founded on October 12, 1821. The rest of the stars represent the remaining departmentes in which the country is divided. Inside the star a lamp is shown, representing light and energy, and also hopes for the future. The light blue lines represent the rivers Yi and Negro (black), which surround Durazno’s territory.", "isnew": ".", "links": "https://www.crwflags.com/fotw/flags/uy-du.html"},</v>
      </c>
      <c r="HO6" s="71">
        <v>45576</v>
      </c>
      <c r="HP6" s="44" t="str" cm="1">
        <f t="array" ref="HP6">IF(_xlfn.TEXTJOIN(", ", TRUE, IF(ISNUMBER(SEARCH("BLA", BL6:BT6)), COLUMN(BL6:BT6) - COLUMN(BL6) + 1, ""))&lt;&gt;"","BLA","")</f>
        <v/>
      </c>
      <c r="HQ6" s="44" t="str" cm="1">
        <f t="array" ref="HQ6">IF(_xlfn.TEXTJOIN(", ", TRUE, IF(ISNUMBER(SEARCH("BLU", BL6:BT6)), COLUMN(BL6:BT6) - COLUMN(BL6) + 1, ""))&lt;&gt;"","BLU","")</f>
        <v>BLU</v>
      </c>
      <c r="HR6" s="44" t="str" cm="1">
        <f t="array" ref="HR6">IF(_xlfn.TEXTJOIN(", ", TRUE, IF(ISNUMBER(SEARCH("GRE", BL6:BT6)), COLUMN(BL6:BT6) - COLUMN(BL6) + 1, ""))&lt;&gt;"","GRE","")</f>
        <v/>
      </c>
      <c r="HS6" s="44" t="str" cm="1">
        <f t="array" ref="HS6">IF(_xlfn.TEXTJOIN(", ", TRUE, IF(ISNUMBER(SEARCH("RED", BL6:BT6)), COLUMN(BL6:BT6) - COLUMN(BL6) + 1, ""))&lt;&gt;"","RED","")</f>
        <v/>
      </c>
      <c r="HT6" s="44" t="str" cm="1">
        <f t="array" ref="HT6">IF(_xlfn.TEXTJOIN(", ", TRUE, IF(ISNUMBER(SEARCH("YEL", BL6:BT6)), COLUMN(BL6:BT6) - COLUMN(BL6) + 1, ""))&lt;&gt;"","YEL","")</f>
        <v>YEL</v>
      </c>
      <c r="HU6" s="44" t="str" cm="1">
        <f t="array" ref="HU6">IF(_xlfn.TEXTJOIN(", ", TRUE, IF(ISNUMBER(SEARCH("ORA", BL6:BT6)), COLUMN(BL6:BT6) - COLUMN(BL6) + 1, ""))&lt;&gt;"","ORA","")</f>
        <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
      </c>
      <c r="HY6" s="72"/>
      <c r="HZ6" s="72"/>
      <c r="IA6" s="5"/>
      <c r="IB6" s="5"/>
      <c r="IC6" s="68"/>
      <c r="ID6" s="68"/>
      <c r="IE6" s="68"/>
      <c r="IF6" s="68"/>
      <c r="IG6" s="68"/>
      <c r="IH6" s="68"/>
      <c r="II6" s="68"/>
      <c r="IJ6" s="68"/>
      <c r="IK6" s="68"/>
      <c r="IL6" s="44">
        <f t="shared" si="94"/>
        <v>0</v>
      </c>
      <c r="IM6" s="42">
        <f t="shared" si="95"/>
        <v>-2</v>
      </c>
      <c r="IN6" s="69" t="str">
        <f t="shared" si="96"/>
        <v>http://mkweb.bcgsc.ca/color-summarizer/?url=https://upload.wikimedia.org/wikipedia/commons/thumb/5/5c/Flag_of_Durazno_Department.svg/1024px-Flag_of_Durazno_Department.svg.png&amp;precision=low&amp;num_clusters=2&amp;text=1</v>
      </c>
      <c r="IO6" s="44" t="str">
        <f t="shared" si="97"/>
        <v/>
      </c>
      <c r="IP6" s="44" t="str">
        <f t="shared" si="98"/>
        <v>"blue"</v>
      </c>
      <c r="IQ6" s="44" t="str">
        <f t="shared" si="99"/>
        <v/>
      </c>
      <c r="IR6" s="44" t="str">
        <f t="shared" si="100"/>
        <v/>
      </c>
      <c r="IS6" s="44" t="str">
        <f t="shared" si="101"/>
        <v>"yellow"</v>
      </c>
      <c r="IT6" s="44" t="str">
        <f t="shared" si="102"/>
        <v/>
      </c>
      <c r="IU6" s="44" t="str">
        <f t="shared" si="103"/>
        <v/>
      </c>
      <c r="IV6" s="44" t="str">
        <f t="shared" si="104"/>
        <v/>
      </c>
      <c r="IW6" s="44" t="str">
        <f t="shared" si="105"/>
        <v/>
      </c>
      <c r="IX6" s="44" t="str">
        <f t="shared" si="106"/>
        <v>{"url":"http://mkweb.bcgsc.ca/color-summarizer/?url=https://upload.wikimedia.org/wikipedia/commons/thumb/5/5c/Flag_of_Durazno_Department.svg/1024px-Flag_of_Durazno_Department.svg.png&amp;precision=low&amp;num_clusters=2&amp;text=1","name":"[URU] Durazno"},</v>
      </c>
      <c r="IY6" s="44">
        <v>841</v>
      </c>
    </row>
    <row r="7" spans="1:259" s="44" customFormat="1" ht="38.4" customHeight="1" thickBot="1" x14ac:dyDescent="0.35">
      <c r="A7" s="84" t="s">
        <v>512</v>
      </c>
      <c r="B7" s="83" t="e" vm="98">
        <v>#VALUE!</v>
      </c>
      <c r="C7" s="39">
        <v>2</v>
      </c>
      <c r="D7" s="70" t="s">
        <v>513</v>
      </c>
      <c r="E7" s="40" t="s">
        <v>513</v>
      </c>
      <c r="F7" s="41" t="s">
        <v>163</v>
      </c>
      <c r="G7" s="42">
        <f t="shared" si="0"/>
        <v>1</v>
      </c>
      <c r="H7" s="43"/>
      <c r="I7" s="59" t="s">
        <v>514</v>
      </c>
      <c r="J7" s="44" t="str">
        <f>""</f>
        <v/>
      </c>
      <c r="K7" s="45"/>
      <c r="L7" s="46"/>
      <c r="M7" s="46"/>
      <c r="N7" s="47" t="s">
        <v>177</v>
      </c>
      <c r="O7" s="74">
        <v>2017</v>
      </c>
      <c r="P7" s="48" t="s">
        <v>515</v>
      </c>
      <c r="Q7" s="73">
        <v>1</v>
      </c>
      <c r="R7" s="49" t="s">
        <v>177</v>
      </c>
      <c r="S7" s="50">
        <v>0</v>
      </c>
      <c r="T7" s="51" t="s">
        <v>164</v>
      </c>
      <c r="U7" s="52" t="s">
        <v>164</v>
      </c>
      <c r="V7" s="52" t="s">
        <v>165</v>
      </c>
      <c r="W7" s="52" t="s">
        <v>164</v>
      </c>
      <c r="X7" s="52" t="s">
        <v>164</v>
      </c>
      <c r="Y7" s="52" t="s">
        <v>165</v>
      </c>
      <c r="Z7" s="52" t="s">
        <v>164</v>
      </c>
      <c r="AA7" s="52" t="s">
        <v>164</v>
      </c>
      <c r="AB7" s="52" t="s">
        <v>164</v>
      </c>
      <c r="AC7" s="52" t="s">
        <v>164</v>
      </c>
      <c r="AD7" s="52" t="s">
        <v>165</v>
      </c>
      <c r="AE7" s="52" t="s">
        <v>164</v>
      </c>
      <c r="AF7" s="53" t="s">
        <v>164</v>
      </c>
      <c r="AG7" s="53" t="s">
        <v>164</v>
      </c>
      <c r="AH7" s="53" t="s">
        <v>165</v>
      </c>
      <c r="AI7" s="53" t="s">
        <v>164</v>
      </c>
      <c r="AJ7" s="53" t="s">
        <v>164</v>
      </c>
      <c r="AK7" s="53" t="s">
        <v>164</v>
      </c>
      <c r="AL7" s="53" t="s">
        <v>164</v>
      </c>
      <c r="AM7" s="53" t="s">
        <v>165</v>
      </c>
      <c r="AN7" s="53" t="s">
        <v>164</v>
      </c>
      <c r="AO7" s="53" t="s">
        <v>165</v>
      </c>
      <c r="AP7" s="53" t="s">
        <v>164</v>
      </c>
      <c r="AQ7" s="53" t="s">
        <v>164</v>
      </c>
      <c r="AR7" s="53" t="s">
        <v>164</v>
      </c>
      <c r="AS7" s="53" t="s">
        <v>164</v>
      </c>
      <c r="AT7" s="54">
        <v>0</v>
      </c>
      <c r="AU7" s="53" t="s">
        <v>475</v>
      </c>
      <c r="AV7" s="53" t="str">
        <f t="shared" si="1"/>
        <v>[URU]Department[URU] Maldonado</v>
      </c>
      <c r="AW7" s="53" t="str">
        <f t="shared" si="2"/>
        <v>2[URU] Maldonado</v>
      </c>
      <c r="AX7" s="55"/>
      <c r="AY7" s="55"/>
      <c r="AZ7" s="56" t="s">
        <v>234</v>
      </c>
      <c r="BA7" s="56" t="s">
        <v>234</v>
      </c>
      <c r="BB7" s="56"/>
      <c r="BC7" s="57"/>
      <c r="BD7" s="58" t="s">
        <v>159</v>
      </c>
      <c r="BE7" s="59"/>
      <c r="BF7" s="58" t="s">
        <v>234</v>
      </c>
      <c r="BG7" s="58" t="s">
        <v>234</v>
      </c>
      <c r="BH7" s="58" t="s">
        <v>234</v>
      </c>
      <c r="BI7" s="58"/>
      <c r="BJ7" s="58"/>
      <c r="BK7" s="59"/>
      <c r="BL7" s="58" t="s">
        <v>151</v>
      </c>
      <c r="BM7" s="58" t="s">
        <v>152</v>
      </c>
      <c r="BN7" s="58" t="s">
        <v>153</v>
      </c>
      <c r="BO7" s="58" t="s">
        <v>234</v>
      </c>
      <c r="BP7" s="58" t="s">
        <v>155</v>
      </c>
      <c r="BQ7" s="58" t="s">
        <v>156</v>
      </c>
      <c r="BR7" s="58" t="s">
        <v>157</v>
      </c>
      <c r="BS7" s="58"/>
      <c r="BT7" s="58" t="s">
        <v>159</v>
      </c>
      <c r="BU7" s="60"/>
      <c r="BV7" s="61"/>
      <c r="BW7" s="61">
        <v>0</v>
      </c>
      <c r="BX7" s="59"/>
      <c r="CB7" s="5"/>
      <c r="CC7" s="5"/>
      <c r="CD7" s="62">
        <v>0</v>
      </c>
      <c r="CE7" s="62">
        <v>0</v>
      </c>
      <c r="CF7" s="62" t="e">
        <v>#REF!</v>
      </c>
      <c r="CG7" s="75" cm="1">
        <f t="array" ref="CG7">SUMPRODUCT(--(LEN(TRIM(BL7:BT7))&gt;0))</f>
        <v>7</v>
      </c>
      <c r="CH7" s="53" t="str">
        <f t="shared" si="3"/>
        <v>n</v>
      </c>
      <c r="CI7" s="53" t="str">
        <f t="shared" si="4"/>
        <v>n</v>
      </c>
      <c r="CJ7" s="53" t="str">
        <f t="shared" si="5"/>
        <v>n</v>
      </c>
      <c r="CK7" s="53" t="str">
        <f t="shared" si="6"/>
        <v>y</v>
      </c>
      <c r="CL7" s="53" t="str">
        <f t="shared" si="7"/>
        <v>y</v>
      </c>
      <c r="CM7" s="53" t="str">
        <f t="shared" si="8"/>
        <v>n</v>
      </c>
      <c r="CN7" s="53" t="str">
        <f t="shared" si="9"/>
        <v>n</v>
      </c>
      <c r="CO7" s="53" t="str">
        <f t="shared" si="10"/>
        <v>n</v>
      </c>
      <c r="CP7" s="53" t="str">
        <f t="shared" si="11"/>
        <v>y</v>
      </c>
      <c r="CQ7" s="53" t="str">
        <f t="shared" si="12"/>
        <v>n</v>
      </c>
      <c r="CR7" s="53" t="str">
        <f t="shared" si="13"/>
        <v>n</v>
      </c>
      <c r="CS7" s="53" t="str">
        <f t="shared" si="14"/>
        <v>n</v>
      </c>
      <c r="CT7" s="38" t="str">
        <f t="shared" si="15"/>
        <v>"[URU] Maldonado"</v>
      </c>
      <c r="CU7" s="63" t="str">
        <f t="shared" si="16"/>
        <v>"rgn_South America"</v>
      </c>
      <c r="CV7" s="44" t="str">
        <f t="shared" si="17"/>
        <v>"https://upload.wikimedia.org/wikipedia/commons/5/52/Flag_of_Maldonado_Department.png"</v>
      </c>
      <c r="CW7" s="44" t="str">
        <f t="shared" si="18"/>
        <v/>
      </c>
      <c r="CX7" s="44" t="str">
        <f t="shared" si="18"/>
        <v/>
      </c>
      <c r="CY7" s="44" t="str">
        <f t="shared" si="18"/>
        <v/>
      </c>
      <c r="CZ7" s="44" t="str">
        <f t="shared" si="18"/>
        <v>"5+Colo",</v>
      </c>
      <c r="DA7" s="44" t="str">
        <f t="shared" si="19"/>
        <v/>
      </c>
      <c r="DB7" s="44" t="str">
        <f t="shared" si="20"/>
        <v/>
      </c>
      <c r="DC7" s="44" t="str">
        <f t="shared" si="21"/>
        <v/>
      </c>
      <c r="DD7" s="44" t="str">
        <f t="shared" si="22"/>
        <v>"lets09",</v>
      </c>
      <c r="DE7" s="44" t="str">
        <f t="shared" si="23"/>
        <v>"startM",</v>
      </c>
      <c r="DF7" s="44" t="str">
        <f t="shared" si="24"/>
        <v/>
      </c>
      <c r="DG7" s="44" t="str">
        <f t="shared" si="25"/>
        <v/>
      </c>
      <c r="DH7" s="44" t="str">
        <f t="shared" si="26"/>
        <v/>
      </c>
      <c r="DI7" s="44" t="str">
        <f t="shared" si="27"/>
        <v/>
      </c>
      <c r="DJ7" s="44" t="str">
        <f t="shared" si="28"/>
        <v/>
      </c>
      <c r="DK7" s="44" t="str">
        <f t="shared" si="29"/>
        <v/>
      </c>
      <c r="DL7" s="44" t="str">
        <f t="shared" si="30"/>
        <v/>
      </c>
      <c r="DM7" s="44" t="str" cm="1">
        <f t="array" ref="DM7">IF(CG7=3,CHAR(34) &amp; _xlfn.TEXTJOIN("", TRUE, RIGHT(HP7:HX7, 2)) &amp; CHAR(34) &amp; ",", "")</f>
        <v/>
      </c>
      <c r="DN7" s="44" t="str">
        <f t="shared" si="31"/>
        <v/>
      </c>
      <c r="DO7" s="44" t="str">
        <f t="shared" si="32"/>
        <v/>
      </c>
      <c r="DP7" s="5" t="str">
        <f t="shared" si="33"/>
        <v>"year00",</v>
      </c>
      <c r="DQ7" s="5" t="str">
        <f t="shared" si="34"/>
        <v/>
      </c>
      <c r="DR7" s="5" t="str">
        <f t="shared" si="35"/>
        <v/>
      </c>
      <c r="DS7" s="5" t="str">
        <f t="shared" si="36"/>
        <v/>
      </c>
      <c r="DT7" s="5" t="str">
        <f t="shared" si="37"/>
        <v>"allhor",</v>
      </c>
      <c r="DU7" s="5" t="str">
        <f t="shared" si="38"/>
        <v/>
      </c>
      <c r="DV7" s="44" t="str">
        <f t="shared" si="39"/>
        <v/>
      </c>
      <c r="DW7" s="44" t="str">
        <f t="shared" si="40"/>
        <v>"NoBand",</v>
      </c>
      <c r="DX7" s="44" t="str">
        <f t="shared" si="40"/>
        <v/>
      </c>
      <c r="DY7" s="44" t="str">
        <f t="shared" si="40"/>
        <v/>
      </c>
      <c r="DZ7" s="44" t="str">
        <f t="shared" si="40"/>
        <v/>
      </c>
      <c r="EA7" s="44" t="str">
        <f t="shared" si="41"/>
        <v/>
      </c>
      <c r="EB7" s="44" t="str">
        <f t="shared" si="41"/>
        <v/>
      </c>
      <c r="EC7" s="44" t="str">
        <f t="shared" si="41"/>
        <v>"Horizo",</v>
      </c>
      <c r="ED7" s="44" t="str">
        <f t="shared" si="41"/>
        <v/>
      </c>
      <c r="EE7" s="44" t="str">
        <f t="shared" si="41"/>
        <v/>
      </c>
      <c r="EF7" s="44" t="str">
        <f t="shared" si="42"/>
        <v>"Animal",</v>
      </c>
      <c r="EG7" s="44" t="str">
        <f t="shared" si="43"/>
        <v/>
      </c>
      <c r="EH7" s="44" t="str">
        <f t="shared" si="43"/>
        <v/>
      </c>
      <c r="EI7" s="44" t="str">
        <f t="shared" si="43"/>
        <v/>
      </c>
      <c r="EJ7" s="44" t="str">
        <f t="shared" si="43"/>
        <v/>
      </c>
      <c r="EK7" s="44" t="str">
        <f t="shared" si="43"/>
        <v>"HasSun",</v>
      </c>
      <c r="EL7" s="44" t="str">
        <f t="shared" si="43"/>
        <v/>
      </c>
      <c r="EM7" s="44" t="str">
        <f t="shared" si="43"/>
        <v/>
      </c>
      <c r="EN7" s="44" t="str">
        <f t="shared" si="43"/>
        <v/>
      </c>
      <c r="EO7" s="44" t="str">
        <f t="shared" si="43"/>
        <v>"Center",</v>
      </c>
      <c r="EP7" s="44" t="str">
        <f t="shared" si="43"/>
        <v/>
      </c>
      <c r="EQ7" s="44" t="str">
        <f t="shared" si="44"/>
        <v/>
      </c>
      <c r="ER7" s="44" t="str">
        <f t="shared" si="44"/>
        <v/>
      </c>
      <c r="ES7" s="44" t="str">
        <f t="shared" si="44"/>
        <v/>
      </c>
      <c r="ET7" s="44" t="str">
        <f t="shared" si="44"/>
        <v>"Geogrh",</v>
      </c>
      <c r="EU7" s="44" t="str">
        <f t="shared" si="44"/>
        <v/>
      </c>
      <c r="EV7" s="44" t="str">
        <f t="shared" si="44"/>
        <v>"Builds",</v>
      </c>
      <c r="EW7" s="44" t="str">
        <f t="shared" si="44"/>
        <v/>
      </c>
      <c r="EX7" s="44" t="str">
        <f t="shared" si="44"/>
        <v/>
      </c>
      <c r="EY7" s="44" t="str">
        <f t="shared" si="44"/>
        <v/>
      </c>
      <c r="EZ7" s="44" t="str">
        <f t="shared" si="44"/>
        <v/>
      </c>
      <c r="FA7" s="44" t="str">
        <f t="shared" si="45"/>
        <v/>
      </c>
      <c r="FB7" s="44" t="str">
        <f t="shared" si="46"/>
        <v/>
      </c>
      <c r="FC7" s="44" t="str">
        <f t="shared" si="47"/>
        <v/>
      </c>
      <c r="FD7" s="44" t="str">
        <f t="shared" si="48"/>
        <v/>
      </c>
      <c r="FE7" s="44" t="str">
        <f t="shared" si="49"/>
        <v/>
      </c>
      <c r="FF7" s="44" t="str">
        <f t="shared" si="50"/>
        <v/>
      </c>
      <c r="FG7" s="44" t="str">
        <f t="shared" si="51"/>
        <v>"NO_RED",</v>
      </c>
      <c r="FH7" s="44" t="str">
        <f t="shared" si="52"/>
        <v/>
      </c>
      <c r="FI7" s="44" t="str">
        <f t="shared" si="53"/>
        <v/>
      </c>
      <c r="FJ7" s="44" t="str">
        <f t="shared" si="54"/>
        <v/>
      </c>
      <c r="FK7" s="44" t="str">
        <f t="shared" si="55"/>
        <v/>
      </c>
      <c r="FL7" s="44" t="str">
        <f t="shared" si="56"/>
        <v/>
      </c>
      <c r="FM7" s="44" t="str">
        <f t="shared" si="57"/>
        <v/>
      </c>
      <c r="FN7" s="44" t="str">
        <f t="shared" si="58"/>
        <v/>
      </c>
      <c r="FO7" s="44" t="str">
        <f t="shared" si="59"/>
        <v/>
      </c>
      <c r="FP7" s="44" t="str">
        <f t="shared" si="60"/>
        <v/>
      </c>
      <c r="FQ7" s="44" t="str">
        <f t="shared" si="61"/>
        <v/>
      </c>
      <c r="FR7" s="44" t="str">
        <f t="shared" si="62"/>
        <v/>
      </c>
      <c r="FS7" s="44" t="str">
        <f t="shared" si="63"/>
        <v/>
      </c>
      <c r="FT7" s="44" t="str">
        <f t="shared" si="64"/>
        <v>"myrWHI",</v>
      </c>
      <c r="FU7" s="44" t="str">
        <f t="shared" si="65"/>
        <v/>
      </c>
      <c r="FV7" s="44" t="str">
        <f t="shared" si="66"/>
        <v/>
      </c>
      <c r="FW7" s="44" t="str">
        <f t="shared" si="67"/>
        <v/>
      </c>
      <c r="FX7" s="44" t="str">
        <f t="shared" si="68"/>
        <v/>
      </c>
      <c r="FY7" s="44" t="str">
        <f t="shared" si="69"/>
        <v/>
      </c>
      <c r="FZ7" s="44" t="str">
        <f t="shared" si="70"/>
        <v/>
      </c>
      <c r="GA7" s="44" t="str">
        <f t="shared" si="71"/>
        <v/>
      </c>
      <c r="GB7" s="44" t="str">
        <f t="shared" si="72"/>
        <v/>
      </c>
      <c r="GC7" s="44" t="str">
        <f t="shared" si="73"/>
        <v/>
      </c>
      <c r="GD7" s="44" t="str">
        <f t="shared" si="74"/>
        <v/>
      </c>
      <c r="GE7" s="44" t="str">
        <f t="shared" si="75"/>
        <v/>
      </c>
      <c r="GF7" s="44" t="str">
        <f t="shared" si="107"/>
        <v/>
      </c>
      <c r="GG7" s="44" t="str">
        <f t="shared" si="76"/>
        <v/>
      </c>
      <c r="GH7" s="44" t="str">
        <f t="shared" si="77"/>
        <v/>
      </c>
      <c r="GI7" s="44" t="str">
        <f t="shared" si="78"/>
        <v/>
      </c>
      <c r="GJ7" s="44" t="str">
        <f t="shared" si="79"/>
        <v>"NoStar",</v>
      </c>
      <c r="GK7" s="44" t="str">
        <f t="shared" si="80"/>
        <v/>
      </c>
      <c r="GL7" s="44" t="str">
        <f t="shared" si="81"/>
        <v/>
      </c>
      <c r="GM7" s="44" t="str">
        <f t="shared" si="81"/>
        <v/>
      </c>
      <c r="GN7" s="44" t="str">
        <f t="shared" si="81"/>
        <v/>
      </c>
      <c r="GP7" s="44" t="str">
        <f t="shared" si="82"/>
        <v>"Department"</v>
      </c>
      <c r="GS7" s="44" t="str">
        <f t="shared" si="83"/>
        <v>["5+Colo","lets09","startM","year00","allhor","NoBand","Horizo","Animal","HasSun","Center","Geogrh","Builds","NO_RED","myrWHI","NoStar"]</v>
      </c>
      <c r="GT7" s="44" t="str">
        <f t="shared" si="84"/>
        <v>"cl_BLA",</v>
      </c>
      <c r="GU7" s="44" t="str">
        <f t="shared" si="84"/>
        <v>"cl_BLU",</v>
      </c>
      <c r="GV7" s="44" t="str">
        <f t="shared" si="84"/>
        <v>"cl_GRE",</v>
      </c>
      <c r="GW7" s="44" t="str">
        <f t="shared" si="84"/>
        <v/>
      </c>
      <c r="GX7" s="44" t="str">
        <f t="shared" si="84"/>
        <v>"cl_YEL",</v>
      </c>
      <c r="GY7" s="44" t="str">
        <f t="shared" si="84"/>
        <v>"cl_ORA",</v>
      </c>
      <c r="GZ7" s="44" t="str">
        <f t="shared" si="84"/>
        <v>"cl_BRO",</v>
      </c>
      <c r="HA7" s="44" t="str">
        <f t="shared" si="84"/>
        <v/>
      </c>
      <c r="HB7" s="44" t="str">
        <f t="shared" si="84"/>
        <v>"cl_WHI",</v>
      </c>
      <c r="HC7" s="44" t="str">
        <f t="shared" si="85"/>
        <v>["cl_BLA","cl_BLU","cl_GRE","cl_YEL","cl_ORA","cl_BRO","cl_WHI"]</v>
      </c>
      <c r="HE7" s="64"/>
      <c r="HF7" s="65" t="str">
        <f t="shared" si="86"/>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links: "https://vexillology.fandom.com/wiki/Maldonado_Department"},</v>
      </c>
      <c r="HG7" s="66" t="str">
        <f t="shared" si="87"/>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links: "https://vexillology.fandom.com/wiki/Maldonado_Department"},</v>
      </c>
      <c r="HH7" s="44" t="str">
        <f t="shared" si="88"/>
        <v>"\nThe flag of the department is white with the historical coat of arms of the town of Maldonado in the middle."</v>
      </c>
      <c r="HI7" s="44" t="str">
        <f t="shared" si="89"/>
        <v>"\nThe flag of the department is white with the historical coat of arms of the town of Maldonado in the middle."</v>
      </c>
      <c r="HJ7" s="44" t="str">
        <f t="shared" si="90"/>
        <v>"2017"</v>
      </c>
      <c r="HL7" s="44" t="str">
        <f t="shared" si="91"/>
        <v>"https://vexillology.fandom.com/wiki/Maldonado_Department"</v>
      </c>
      <c r="HM7" s="65" t="str">
        <f t="shared" si="92"/>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N7" s="67" t="str">
        <f t="shared" si="93"/>
        <v>{"couname":"[URU] Maldonado","year":"2017","region":"rgn_South America","Colors":["cl_BLA","cl_BLU","cl_GRE","cl_YEL","cl_ORA","cl_BRO","cl_WHI"],"Items":["5+Colo","lets09","startM","year00","allhor","NoBand","Horizo","Animal","HasSun","Center","Geogrh","Builds","NO_RED","myrWHI","NoStar"],"Flag":"https://upload.wikimedia.org/wikipedia/commons/5/52/Flag_of_Maldonado_Department.png","HDFlag":"https://upload.wikimedia.org/wikipedia/commons/5/52/Flag_of_Maldonado_Department.png","type":"Department", "describe": "\nThe flag of the department is white with the historical coat of arms of the town of Maldonado in the middle.", "isnew": ".", "links": "https://vexillology.fandom.com/wiki/Maldonado_Department"},</v>
      </c>
      <c r="HO7" s="71">
        <v>45583</v>
      </c>
      <c r="HP7" s="44" t="str" cm="1">
        <f t="array" ref="HP7">IF(_xlfn.TEXTJOIN(", ", TRUE, IF(ISNUMBER(SEARCH("BLA", BL7:BT7)), COLUMN(BL7:BT7) - COLUMN(BL7) + 1, ""))&lt;&gt;"","BLA","")</f>
        <v>BLA</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
      </c>
      <c r="HT7" s="44" t="str" cm="1">
        <f t="array" ref="HT7">IF(_xlfn.TEXTJOIN(", ", TRUE, IF(ISNUMBER(SEARCH("YEL", BL7:BT7)), COLUMN(BL7:BT7) - COLUMN(BL7) + 1, ""))&lt;&gt;"","YEL","")</f>
        <v>YEL</v>
      </c>
      <c r="HU7" s="44" t="str" cm="1">
        <f t="array" ref="HU7">IF(_xlfn.TEXTJOIN(", ", TRUE, IF(ISNUMBER(SEARCH("ORA", BL7:BT7)), COLUMN(BL7:BT7) - COLUMN(BL7) + 1, ""))&lt;&gt;"","ORA","")</f>
        <v>ORA</v>
      </c>
      <c r="HV7" s="44" t="str" cm="1">
        <f t="array" ref="HV7">IF(_xlfn.TEXTJOIN(", ", TRUE, IF(ISNUMBER(SEARCH("BRO", BL7:BT7)), COLUMN(BL7:BT7) - COLUMN(BL7) + 1, ""))&lt;&gt;"","BRO","")</f>
        <v>BRO</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L7" s="44">
        <f t="shared" si="94"/>
        <v>0</v>
      </c>
      <c r="IM7" s="42">
        <f t="shared" si="95"/>
        <v>-7</v>
      </c>
      <c r="IN7" s="69" t="str">
        <f t="shared" si="96"/>
        <v>http://mkweb.bcgsc.ca/color-summarizer/?url=https://upload.wikimedia.org/wikipedia/commons/5/52/Flag_of_Maldonado_Department.png&amp;precision=low&amp;num_clusters=7&amp;text=1</v>
      </c>
      <c r="IO7" s="44" t="str">
        <f t="shared" si="97"/>
        <v>"black"</v>
      </c>
      <c r="IP7" s="44" t="str">
        <f t="shared" si="98"/>
        <v>"blue"</v>
      </c>
      <c r="IQ7" s="44" t="str">
        <f t="shared" si="99"/>
        <v>"green"</v>
      </c>
      <c r="IR7" s="44" t="str">
        <f t="shared" si="100"/>
        <v/>
      </c>
      <c r="IS7" s="44" t="str">
        <f t="shared" si="101"/>
        <v>"yellow"</v>
      </c>
      <c r="IT7" s="44" t="str">
        <f t="shared" si="102"/>
        <v>"orange"</v>
      </c>
      <c r="IU7" s="44" t="str">
        <f t="shared" si="103"/>
        <v>"brown"</v>
      </c>
      <c r="IV7" s="44" t="str">
        <f t="shared" si="104"/>
        <v/>
      </c>
      <c r="IW7" s="44" t="str">
        <f t="shared" si="105"/>
        <v>"white"</v>
      </c>
      <c r="IX7" s="44" t="str">
        <f t="shared" si="106"/>
        <v>{"url":"http://mkweb.bcgsc.ca/color-summarizer/?url=https://upload.wikimedia.org/wikipedia/commons/5/52/Flag_of_Maldonado_Department.png&amp;precision=low&amp;num_clusters=7&amp;text=1","name":"[URU] Maldonado"},</v>
      </c>
      <c r="IY7" s="44">
        <v>842</v>
      </c>
    </row>
    <row r="8" spans="1:259" s="44" customFormat="1" ht="38.4" customHeight="1" thickBot="1" x14ac:dyDescent="0.35">
      <c r="A8" s="84" t="s">
        <v>522</v>
      </c>
      <c r="B8" s="83" t="e" vm="99">
        <v>#VALUE!</v>
      </c>
      <c r="C8" s="39">
        <v>2</v>
      </c>
      <c r="D8" s="70" t="s">
        <v>523</v>
      </c>
      <c r="E8" s="40" t="s">
        <v>524</v>
      </c>
      <c r="F8" s="41" t="s">
        <v>163</v>
      </c>
      <c r="G8" s="42">
        <f t="shared" si="0"/>
        <v>1</v>
      </c>
      <c r="H8" s="43"/>
      <c r="I8" s="59" t="s">
        <v>525</v>
      </c>
      <c r="J8" s="44" t="str">
        <f>""</f>
        <v/>
      </c>
      <c r="K8" s="45"/>
      <c r="L8" s="46"/>
      <c r="M8" s="46"/>
      <c r="N8" s="47" t="s">
        <v>177</v>
      </c>
      <c r="O8" s="74">
        <v>1952</v>
      </c>
      <c r="P8" s="48" t="s">
        <v>526</v>
      </c>
      <c r="Q8" s="73">
        <v>3</v>
      </c>
      <c r="R8" s="49" t="s">
        <v>177</v>
      </c>
      <c r="S8" s="50">
        <v>3</v>
      </c>
      <c r="T8" s="51" t="s">
        <v>164</v>
      </c>
      <c r="U8" s="52" t="s">
        <v>164</v>
      </c>
      <c r="V8" s="52" t="s">
        <v>165</v>
      </c>
      <c r="W8" s="52" t="s">
        <v>164</v>
      </c>
      <c r="X8" s="52" t="s">
        <v>164</v>
      </c>
      <c r="Y8" s="52" t="s">
        <v>164</v>
      </c>
      <c r="Z8" s="52" t="s">
        <v>164</v>
      </c>
      <c r="AA8" s="52" t="s">
        <v>164</v>
      </c>
      <c r="AB8" s="52" t="s">
        <v>165</v>
      </c>
      <c r="AC8" s="52" t="s">
        <v>164</v>
      </c>
      <c r="AD8" s="52" t="s">
        <v>164</v>
      </c>
      <c r="AE8" s="52" t="s">
        <v>164</v>
      </c>
      <c r="AF8" s="53" t="s">
        <v>164</v>
      </c>
      <c r="AG8" s="53" t="s">
        <v>165</v>
      </c>
      <c r="AH8" s="53" t="s">
        <v>165</v>
      </c>
      <c r="AI8" s="53" t="s">
        <v>164</v>
      </c>
      <c r="AJ8" s="53" t="s">
        <v>164</v>
      </c>
      <c r="AK8" s="53" t="s">
        <v>164</v>
      </c>
      <c r="AL8" s="53" t="s">
        <v>164</v>
      </c>
      <c r="AM8" s="53" t="s">
        <v>164</v>
      </c>
      <c r="AN8" s="53" t="s">
        <v>164</v>
      </c>
      <c r="AO8" s="53" t="s">
        <v>164</v>
      </c>
      <c r="AP8" s="53" t="s">
        <v>164</v>
      </c>
      <c r="AQ8" s="53" t="s">
        <v>164</v>
      </c>
      <c r="AR8" s="53" t="s">
        <v>164</v>
      </c>
      <c r="AS8" s="53" t="s">
        <v>164</v>
      </c>
      <c r="AT8" s="54">
        <v>0</v>
      </c>
      <c r="AU8" s="53" t="s">
        <v>521</v>
      </c>
      <c r="AV8" s="53" t="str">
        <f t="shared" si="1"/>
        <v>[URU]National Symbol[URU] Treinta y Tres</v>
      </c>
      <c r="AW8" s="53" t="str">
        <f t="shared" si="2"/>
        <v>2[URU] Treinta y Tres</v>
      </c>
      <c r="AX8" s="55"/>
      <c r="AY8" s="55"/>
      <c r="AZ8" s="56" t="s">
        <v>234</v>
      </c>
      <c r="BA8" s="56"/>
      <c r="BB8" s="56"/>
      <c r="BC8" s="57"/>
      <c r="BD8" s="58" t="s">
        <v>167</v>
      </c>
      <c r="BE8" s="59"/>
      <c r="BF8" s="58" t="s">
        <v>152</v>
      </c>
      <c r="BG8" s="58" t="s">
        <v>159</v>
      </c>
      <c r="BH8" s="58" t="s">
        <v>154</v>
      </c>
      <c r="BI8" s="58"/>
      <c r="BJ8" s="58"/>
      <c r="BK8" s="59"/>
      <c r="BL8" s="58" t="s">
        <v>151</v>
      </c>
      <c r="BM8" s="58" t="s">
        <v>152</v>
      </c>
      <c r="BN8" s="58" t="s">
        <v>234</v>
      </c>
      <c r="BO8" s="58" t="s">
        <v>154</v>
      </c>
      <c r="BP8" s="58" t="s">
        <v>234</v>
      </c>
      <c r="BQ8" s="58" t="s">
        <v>234</v>
      </c>
      <c r="BR8" s="58" t="s">
        <v>234</v>
      </c>
      <c r="BS8" s="58" t="s">
        <v>234</v>
      </c>
      <c r="BT8" s="58" t="s">
        <v>159</v>
      </c>
      <c r="BU8" s="60"/>
      <c r="BV8" s="61"/>
      <c r="BW8" s="61">
        <v>0</v>
      </c>
      <c r="BX8" s="59"/>
      <c r="CB8" s="5"/>
      <c r="CC8" s="5"/>
      <c r="CD8" s="62">
        <v>0</v>
      </c>
      <c r="CE8" s="62">
        <v>0</v>
      </c>
      <c r="CF8" s="62" t="e">
        <v>#REF!</v>
      </c>
      <c r="CG8" s="75" cm="1">
        <f t="array" ref="CG8">SUMPRODUCT(--(LEN(TRIM(BL8:BT8))&gt;0))</f>
        <v>4</v>
      </c>
      <c r="CH8" s="53" t="str">
        <f t="shared" si="3"/>
        <v>n</v>
      </c>
      <c r="CI8" s="53" t="str">
        <f t="shared" si="4"/>
        <v>n</v>
      </c>
      <c r="CJ8" s="53" t="str">
        <f t="shared" si="5"/>
        <v>y</v>
      </c>
      <c r="CK8" s="53" t="str">
        <f t="shared" si="6"/>
        <v>n</v>
      </c>
      <c r="CL8" s="53" t="str">
        <f t="shared" si="7"/>
        <v>n</v>
      </c>
      <c r="CM8" s="53" t="str">
        <f t="shared" si="8"/>
        <v>n</v>
      </c>
      <c r="CN8" s="53" t="str">
        <f t="shared" si="9"/>
        <v>y</v>
      </c>
      <c r="CO8" s="53" t="str">
        <f t="shared" si="10"/>
        <v>n</v>
      </c>
      <c r="CP8" s="53" t="str">
        <f t="shared" si="11"/>
        <v>y</v>
      </c>
      <c r="CQ8" s="53" t="str">
        <f t="shared" si="12"/>
        <v>n</v>
      </c>
      <c r="CR8" s="53" t="str">
        <f t="shared" si="13"/>
        <v>n</v>
      </c>
      <c r="CS8" s="53" t="str">
        <f t="shared" si="14"/>
        <v>n</v>
      </c>
      <c r="CT8" s="38" t="str">
        <f t="shared" si="15"/>
        <v>"[URU] Treinta y Tres"</v>
      </c>
      <c r="CU8" s="63" t="str">
        <f t="shared" si="16"/>
        <v>"rgn_South America"</v>
      </c>
      <c r="CV8" s="44" t="str">
        <f t="shared" si="17"/>
        <v>"https://upload.wikimedia.org/wikipedia/commons/thumb/f/ff/Flag_of_the_Treinta_y_Tres.svg/640px-Flag_of_the_Treinta_y_Tres.svg.png"</v>
      </c>
      <c r="CW8" s="44" t="str">
        <f t="shared" si="18"/>
        <v/>
      </c>
      <c r="CX8" s="44" t="str">
        <f t="shared" si="18"/>
        <v/>
      </c>
      <c r="CY8" s="44" t="str">
        <f t="shared" si="18"/>
        <v>"4Color",</v>
      </c>
      <c r="CZ8" s="44" t="str">
        <f t="shared" si="18"/>
        <v/>
      </c>
      <c r="DA8" s="44" t="str">
        <f t="shared" si="19"/>
        <v>"words2",</v>
      </c>
      <c r="DB8" s="44" t="str">
        <f t="shared" si="20"/>
        <v>"words3",</v>
      </c>
      <c r="DC8" s="44" t="str">
        <f t="shared" si="21"/>
        <v/>
      </c>
      <c r="DD8" s="44" t="str">
        <f t="shared" si="22"/>
        <v>"lets12",</v>
      </c>
      <c r="DE8" s="44" t="str">
        <f t="shared" si="23"/>
        <v>"startT",</v>
      </c>
      <c r="DF8" s="44" t="str">
        <f t="shared" si="24"/>
        <v/>
      </c>
      <c r="DG8" s="44" t="str">
        <f t="shared" si="25"/>
        <v/>
      </c>
      <c r="DH8" s="44" t="str">
        <f t="shared" si="26"/>
        <v/>
      </c>
      <c r="DI8" s="44" t="str">
        <f t="shared" si="27"/>
        <v/>
      </c>
      <c r="DJ8" s="44" t="str">
        <f t="shared" si="28"/>
        <v>"with_y",</v>
      </c>
      <c r="DK8" s="44" t="str">
        <f t="shared" si="29"/>
        <v/>
      </c>
      <c r="DL8" s="44" t="str">
        <f t="shared" si="30"/>
        <v/>
      </c>
      <c r="DM8" s="44" t="str" cm="1">
        <f t="array" ref="DM8">IF(CG8=3,CHAR(34) &amp; _xlfn.TEXTJOIN("", TRUE, RIGHT(HP8:HX8, 2)) &amp; CHAR(34) &amp; ",", "")</f>
        <v/>
      </c>
      <c r="DN8" s="44" t="str">
        <f t="shared" si="31"/>
        <v/>
      </c>
      <c r="DO8" s="44" t="str">
        <f t="shared" si="32"/>
        <v>"year19",</v>
      </c>
      <c r="DP8" s="5" t="str">
        <f t="shared" si="33"/>
        <v/>
      </c>
      <c r="DQ8" s="5" t="str">
        <f t="shared" si="34"/>
        <v/>
      </c>
      <c r="DR8" s="5" t="str">
        <f t="shared" si="35"/>
        <v/>
      </c>
      <c r="DS8" s="5" t="str">
        <f t="shared" si="36"/>
        <v/>
      </c>
      <c r="DT8" s="5" t="str">
        <f t="shared" si="37"/>
        <v>"allhor",</v>
      </c>
      <c r="DU8" s="5" t="str">
        <f t="shared" si="38"/>
        <v/>
      </c>
      <c r="DV8" s="44" t="str">
        <f t="shared" si="39"/>
        <v/>
      </c>
      <c r="DW8" s="44" t="str">
        <f t="shared" si="40"/>
        <v/>
      </c>
      <c r="DX8" s="44" t="str">
        <f t="shared" si="40"/>
        <v/>
      </c>
      <c r="DY8" s="44" t="str">
        <f t="shared" si="40"/>
        <v>"3Bands",</v>
      </c>
      <c r="DZ8" s="44" t="str">
        <f t="shared" si="40"/>
        <v/>
      </c>
      <c r="EA8" s="44" t="str">
        <f t="shared" si="41"/>
        <v/>
      </c>
      <c r="EB8" s="44" t="str">
        <f t="shared" si="41"/>
        <v/>
      </c>
      <c r="EC8" s="44" t="str">
        <f t="shared" si="41"/>
        <v>"Horizo",</v>
      </c>
      <c r="ED8" s="44" t="str">
        <f t="shared" si="41"/>
        <v/>
      </c>
      <c r="EE8" s="44" t="str">
        <f t="shared" si="41"/>
        <v/>
      </c>
      <c r="EF8" s="44" t="str">
        <f t="shared" si="42"/>
        <v/>
      </c>
      <c r="EG8" s="44" t="str">
        <f t="shared" si="43"/>
        <v/>
      </c>
      <c r="EH8" s="44" t="str">
        <f t="shared" si="43"/>
        <v/>
      </c>
      <c r="EI8" s="44" t="str">
        <f t="shared" si="43"/>
        <v>"Texted",</v>
      </c>
      <c r="EJ8" s="44" t="str">
        <f t="shared" si="43"/>
        <v/>
      </c>
      <c r="EK8" s="44" t="str">
        <f t="shared" si="43"/>
        <v/>
      </c>
      <c r="EL8" s="44" t="str">
        <f t="shared" si="43"/>
        <v/>
      </c>
      <c r="EM8" s="44" t="str">
        <f t="shared" si="43"/>
        <v/>
      </c>
      <c r="EN8" s="44" t="str">
        <f t="shared" si="43"/>
        <v>"Unequa",</v>
      </c>
      <c r="EO8" s="44" t="str">
        <f t="shared" si="43"/>
        <v>"Center",</v>
      </c>
      <c r="EP8" s="44" t="str">
        <f t="shared" si="43"/>
        <v/>
      </c>
      <c r="EQ8" s="44" t="str">
        <f t="shared" si="44"/>
        <v/>
      </c>
      <c r="ER8" s="44" t="str">
        <f t="shared" si="44"/>
        <v/>
      </c>
      <c r="ES8" s="44" t="str">
        <f t="shared" si="44"/>
        <v/>
      </c>
      <c r="ET8" s="44" t="str">
        <f t="shared" si="44"/>
        <v/>
      </c>
      <c r="EU8" s="44" t="str">
        <f t="shared" si="44"/>
        <v/>
      </c>
      <c r="EV8" s="44" t="str">
        <f t="shared" si="44"/>
        <v/>
      </c>
      <c r="EW8" s="44" t="str">
        <f t="shared" si="44"/>
        <v/>
      </c>
      <c r="EX8" s="44" t="str">
        <f t="shared" si="44"/>
        <v/>
      </c>
      <c r="EY8" s="44" t="str">
        <f t="shared" si="44"/>
        <v/>
      </c>
      <c r="EZ8" s="44" t="str">
        <f t="shared" si="44"/>
        <v/>
      </c>
      <c r="FA8" s="44" t="str">
        <f t="shared" si="45"/>
        <v/>
      </c>
      <c r="FB8" s="44" t="str">
        <f t="shared" si="46"/>
        <v/>
      </c>
      <c r="FC8" s="44" t="str">
        <f t="shared" si="47"/>
        <v/>
      </c>
      <c r="FD8" s="44" t="str">
        <f t="shared" si="48"/>
        <v/>
      </c>
      <c r="FE8" s="44" t="str">
        <f t="shared" si="49"/>
        <v/>
      </c>
      <c r="FF8" s="44" t="str">
        <f t="shared" si="50"/>
        <v/>
      </c>
      <c r="FG8" s="44" t="str">
        <f t="shared" si="51"/>
        <v/>
      </c>
      <c r="FH8" s="44" t="str">
        <f t="shared" si="52"/>
        <v>"NO_GRE",</v>
      </c>
      <c r="FI8" s="44" t="str">
        <f t="shared" si="53"/>
        <v>"NO_YEL",</v>
      </c>
      <c r="FJ8" s="44" t="str">
        <f t="shared" si="54"/>
        <v/>
      </c>
      <c r="FK8" s="44" t="str">
        <f t="shared" si="55"/>
        <v/>
      </c>
      <c r="FL8" s="44" t="str">
        <f t="shared" si="56"/>
        <v/>
      </c>
      <c r="FM8" s="44" t="str">
        <f t="shared" si="57"/>
        <v/>
      </c>
      <c r="FN8" s="44" t="str">
        <f t="shared" si="58"/>
        <v/>
      </c>
      <c r="FO8" s="44" t="str">
        <f t="shared" si="59"/>
        <v/>
      </c>
      <c r="FP8" s="44" t="str">
        <f t="shared" si="60"/>
        <v/>
      </c>
      <c r="FQ8" s="44" t="str">
        <f t="shared" si="61"/>
        <v>"001BLU",</v>
      </c>
      <c r="FR8" s="44" t="str">
        <f t="shared" si="62"/>
        <v>"002WHI",</v>
      </c>
      <c r="FS8" s="44" t="str">
        <f t="shared" si="63"/>
        <v>"003RED",</v>
      </c>
      <c r="FT8" s="44" t="str">
        <f t="shared" si="64"/>
        <v>"myrEQ",</v>
      </c>
      <c r="FU8" s="44" t="str">
        <f t="shared" si="65"/>
        <v/>
      </c>
      <c r="FV8" s="44" t="str">
        <f t="shared" si="66"/>
        <v/>
      </c>
      <c r="FW8" s="44" t="str">
        <f t="shared" si="67"/>
        <v/>
      </c>
      <c r="FX8" s="44" t="str">
        <f t="shared" si="68"/>
        <v/>
      </c>
      <c r="FY8" s="44" t="str">
        <f t="shared" si="69"/>
        <v/>
      </c>
      <c r="FZ8" s="44" t="str">
        <f t="shared" si="70"/>
        <v/>
      </c>
      <c r="GA8" s="44" t="str">
        <f t="shared" si="71"/>
        <v/>
      </c>
      <c r="GB8" s="44" t="str">
        <f t="shared" si="72"/>
        <v/>
      </c>
      <c r="GC8" s="44" t="str">
        <f t="shared" si="73"/>
        <v/>
      </c>
      <c r="GD8" s="44" t="str">
        <f t="shared" si="74"/>
        <v/>
      </c>
      <c r="GE8" s="44" t="str">
        <f t="shared" si="75"/>
        <v/>
      </c>
      <c r="GF8" s="44" t="str">
        <f t="shared" si="107"/>
        <v/>
      </c>
      <c r="GG8" s="44" t="str">
        <f t="shared" si="76"/>
        <v/>
      </c>
      <c r="GH8" s="44" t="str">
        <f t="shared" si="77"/>
        <v/>
      </c>
      <c r="GI8" s="44" t="str">
        <f t="shared" si="78"/>
        <v/>
      </c>
      <c r="GJ8" s="44" t="str">
        <f t="shared" si="79"/>
        <v>"NoStar",</v>
      </c>
      <c r="GK8" s="44" t="str">
        <f t="shared" si="80"/>
        <v/>
      </c>
      <c r="GL8" s="44" t="str">
        <f t="shared" si="81"/>
        <v/>
      </c>
      <c r="GM8" s="44" t="str">
        <f t="shared" si="81"/>
        <v/>
      </c>
      <c r="GN8" s="44" t="str">
        <f t="shared" si="81"/>
        <v/>
      </c>
      <c r="GP8" s="44" t="str">
        <f t="shared" si="82"/>
        <v>"National Symbol"</v>
      </c>
      <c r="GS8" s="44" t="str">
        <f t="shared" si="83"/>
        <v>["4Color","words2","words3","lets12","startT","with_y","year19","allhor","3Bands","Horizo","Texted","Unequa","Center","NO_GRE","NO_YEL","001BLU","002WHI","003RED","myrEQ","NoStar"]</v>
      </c>
      <c r="GT8" s="44" t="str">
        <f t="shared" si="84"/>
        <v>"cl_BLA",</v>
      </c>
      <c r="GU8" s="44" t="str">
        <f t="shared" si="84"/>
        <v>"cl_BLU",</v>
      </c>
      <c r="GV8" s="44" t="str">
        <f t="shared" si="84"/>
        <v/>
      </c>
      <c r="GW8" s="44" t="str">
        <f t="shared" si="84"/>
        <v>"cl_RED",</v>
      </c>
      <c r="GX8" s="44" t="str">
        <f t="shared" si="84"/>
        <v/>
      </c>
      <c r="GY8" s="44" t="str">
        <f t="shared" si="84"/>
        <v/>
      </c>
      <c r="GZ8" s="44" t="str">
        <f t="shared" si="84"/>
        <v/>
      </c>
      <c r="HA8" s="44" t="str">
        <f t="shared" si="84"/>
        <v/>
      </c>
      <c r="HB8" s="44" t="str">
        <f t="shared" si="84"/>
        <v>"cl_WHI",</v>
      </c>
      <c r="HC8" s="44" t="str">
        <f t="shared" si="85"/>
        <v>["cl_BLA","cl_BLU","cl_RED","cl_WHI"]</v>
      </c>
      <c r="HE8" s="64"/>
      <c r="HF8" s="65" t="str">
        <f t="shared" si="86"/>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links: "https://en.wikipedia.org/wiki/Flag_of_the_Treinta_y_Tres"},</v>
      </c>
      <c r="HG8" s="66" t="str">
        <f t="shared" si="87"/>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links: "https://en.wikipedia.org/wiki/Flag_of_the_Treinta_y_Tres"},</v>
      </c>
      <c r="HH8" s="44" t="str">
        <f t="shared" si="88"/>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I8" s="44" t="str">
        <f t="shared" si="89"/>
        <v>"\nThe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v>
      </c>
      <c r="HJ8" s="44" t="str">
        <f t="shared" si="90"/>
        <v>"1952"</v>
      </c>
      <c r="HL8" s="44" t="str">
        <f t="shared" si="91"/>
        <v>"https://en.wikipedia.org/wiki/Flag_of_the_Treinta_y_Tres"</v>
      </c>
      <c r="HM8" s="65" t="str">
        <f t="shared" si="92"/>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N8" s="67" t="str">
        <f t="shared" si="93"/>
        <v>{"couname":"[URU] Treinta y Tres","year":"1952","region":"rgn_South America","Colors":["cl_BLA","cl_BLU","cl_RED","cl_WHI"],"Items":["4Color","words2","words3","lets12","startT","with_y","year19","allhor","3Bands","Horizo","Texted","Unequa","Center","NO_GRE","NO_YEL","001BLU","002WHI","003RED","myrEQ","NoStar"],"Flag":"https://upload.wikimedia.org/wikipedia/commons/thumb/f/ff/Flag_of_the_Treinta_y_Tres.svg/640px-Flag_of_the_Treinta_y_Tres.svg.png","HDFlag":"https://upload.wikimedia.org/wikipedia/commons/thumb/f/ff/Flag_of_the_Treinta_y_Tres.svg/2560px-Flag_of_the_Treinta_y_Tres.svg.png","type":"National Symbol", "describe": "\nThe design features three horizontal stripes: the top stripe, blue, represents greatness; the center one, white, is a symbol of the Republic; and the bottom one, red, honors the blood of those who died for freedom and independence. Uruguay's national motto Libertad o Muerte (Freedom or Death) reads on the center stripe.", "isnew": ".", "links": "https://en.wikipedia.org/wiki/Flag_of_the_Treinta_y_Tres"},</v>
      </c>
      <c r="HO8" s="71">
        <v>45576</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
      </c>
      <c r="HS8" s="44" t="str" cm="1">
        <f t="array" ref="HS8">IF(_xlfn.TEXTJOIN(", ", TRUE, IF(ISNUMBER(SEARCH("RED", BL8:BT8)), COLUMN(BL8:BT8) - COLUMN(BL8) + 1, ""))&lt;&gt;"","RED","")</f>
        <v>RED</v>
      </c>
      <c r="HT8" s="44" t="str" cm="1">
        <f t="array" ref="HT8">IF(_xlfn.TEXTJOIN(", ", TRUE, IF(ISNUMBER(SEARCH("YEL", BL8:BT8)), COLUMN(BL8:BT8) - COLUMN(BL8) + 1, ""))&lt;&gt;"","YEL","")</f>
        <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L8" s="44">
        <f t="shared" si="94"/>
        <v>0</v>
      </c>
      <c r="IM8" s="42">
        <f t="shared" si="95"/>
        <v>-4</v>
      </c>
      <c r="IN8" s="69" t="str">
        <f t="shared" si="96"/>
        <v>http://mkweb.bcgsc.ca/color-summarizer/?url=https://upload.wikimedia.org/wikipedia/commons/thumb/f/ff/Flag_of_the_Treinta_y_Tres.svg/640px-Flag_of_the_Treinta_y_Tres.svg.png&amp;precision=low&amp;num_clusters=4&amp;text=1</v>
      </c>
      <c r="IO8" s="44" t="str">
        <f t="shared" si="97"/>
        <v>"black"</v>
      </c>
      <c r="IP8" s="44" t="str">
        <f t="shared" si="98"/>
        <v>"blue"</v>
      </c>
      <c r="IQ8" s="44" t="str">
        <f t="shared" si="99"/>
        <v/>
      </c>
      <c r="IR8" s="44" t="str">
        <f t="shared" si="100"/>
        <v>"red"</v>
      </c>
      <c r="IS8" s="44" t="str">
        <f t="shared" si="101"/>
        <v/>
      </c>
      <c r="IT8" s="44" t="str">
        <f t="shared" si="102"/>
        <v/>
      </c>
      <c r="IU8" s="44" t="str">
        <f t="shared" si="103"/>
        <v/>
      </c>
      <c r="IV8" s="44" t="str">
        <f t="shared" si="104"/>
        <v/>
      </c>
      <c r="IW8" s="44" t="str">
        <f t="shared" si="105"/>
        <v>"white"</v>
      </c>
      <c r="IX8" s="44" t="str">
        <f t="shared" si="106"/>
        <v>{"url":"http://mkweb.bcgsc.ca/color-summarizer/?url=https://upload.wikimedia.org/wikipedia/commons/thumb/f/ff/Flag_of_the_Treinta_y_Tres.svg/640px-Flag_of_the_Treinta_y_Tres.svg.png&amp;precision=low&amp;num_clusters=4&amp;text=1","name":"[URU] Treinta y Tres"},</v>
      </c>
      <c r="IY8" s="44">
        <v>844</v>
      </c>
    </row>
    <row r="9" spans="1:259" s="44" customFormat="1" ht="38.4" customHeight="1" thickBot="1" x14ac:dyDescent="0.35">
      <c r="A9" s="85" t="s">
        <v>720</v>
      </c>
      <c r="B9" s="83" t="e" vm="100">
        <v>#VALUE!</v>
      </c>
      <c r="C9" s="39">
        <v>3</v>
      </c>
      <c r="D9" s="70" t="s">
        <v>721</v>
      </c>
      <c r="E9" s="40" t="s">
        <v>722</v>
      </c>
      <c r="F9" s="41" t="s">
        <v>163</v>
      </c>
      <c r="G9" s="42">
        <f t="shared" si="0"/>
        <v>1</v>
      </c>
      <c r="H9" s="43" t="s">
        <v>1383</v>
      </c>
      <c r="I9" s="59" t="s">
        <v>723</v>
      </c>
      <c r="J9" s="44" t="str">
        <f>""</f>
        <v/>
      </c>
      <c r="K9" s="45"/>
      <c r="L9" s="46"/>
      <c r="M9" s="46"/>
      <c r="N9" s="47" t="s">
        <v>177</v>
      </c>
      <c r="O9" s="74">
        <v>1817</v>
      </c>
      <c r="P9" s="48" t="s">
        <v>724</v>
      </c>
      <c r="Q9" s="73">
        <v>3</v>
      </c>
      <c r="R9" s="49" t="s">
        <v>177</v>
      </c>
      <c r="S9" s="50">
        <v>2</v>
      </c>
      <c r="T9" s="51" t="s">
        <v>165</v>
      </c>
      <c r="U9" s="52" t="s">
        <v>165</v>
      </c>
      <c r="V9" s="52" t="s">
        <v>165</v>
      </c>
      <c r="W9" s="52" t="s">
        <v>165</v>
      </c>
      <c r="X9" s="52" t="s">
        <v>165</v>
      </c>
      <c r="Y9" s="52" t="s">
        <v>164</v>
      </c>
      <c r="Z9" s="52" t="s">
        <v>164</v>
      </c>
      <c r="AA9" s="52" t="s">
        <v>164</v>
      </c>
      <c r="AB9" s="52" t="s">
        <v>164</v>
      </c>
      <c r="AC9" s="52" t="s">
        <v>164</v>
      </c>
      <c r="AD9" s="52" t="s">
        <v>165</v>
      </c>
      <c r="AE9" s="52" t="s">
        <v>164</v>
      </c>
      <c r="AF9" s="53" t="s">
        <v>164</v>
      </c>
      <c r="AG9" s="53" t="s">
        <v>165</v>
      </c>
      <c r="AH9" s="53" t="s">
        <v>165</v>
      </c>
      <c r="AI9" s="53" t="s">
        <v>164</v>
      </c>
      <c r="AJ9" s="53" t="s">
        <v>164</v>
      </c>
      <c r="AK9" s="53" t="s">
        <v>164</v>
      </c>
      <c r="AL9" s="53" t="s">
        <v>164</v>
      </c>
      <c r="AM9" s="53" t="s">
        <v>164</v>
      </c>
      <c r="AN9" s="53" t="s">
        <v>164</v>
      </c>
      <c r="AO9" s="53" t="s">
        <v>164</v>
      </c>
      <c r="AP9" s="53" t="s">
        <v>164</v>
      </c>
      <c r="AQ9" s="53" t="s">
        <v>164</v>
      </c>
      <c r="AR9" s="53" t="s">
        <v>164</v>
      </c>
      <c r="AS9" s="53" t="s">
        <v>164</v>
      </c>
      <c r="AT9" s="54">
        <v>0</v>
      </c>
      <c r="AU9" s="53" t="s">
        <v>497</v>
      </c>
      <c r="AV9" s="53" t="str">
        <f t="shared" si="1"/>
        <v>[URU]Naval Jack[URU] Uruguay Naval Jack</v>
      </c>
      <c r="AW9" s="53" t="str">
        <f t="shared" si="2"/>
        <v>3[URU] Uruguay Naval Jack</v>
      </c>
      <c r="AX9" s="55"/>
      <c r="AY9" s="55"/>
      <c r="AZ9" s="56" t="s">
        <v>234</v>
      </c>
      <c r="BA9" s="56" t="s">
        <v>234</v>
      </c>
      <c r="BB9" s="56"/>
      <c r="BC9" s="57"/>
      <c r="BD9" s="58" t="s">
        <v>159</v>
      </c>
      <c r="BE9" s="59"/>
      <c r="BF9" s="58"/>
      <c r="BG9" s="58" t="s">
        <v>234</v>
      </c>
      <c r="BH9" s="58"/>
      <c r="BI9" s="58"/>
      <c r="BJ9" s="58"/>
      <c r="BK9" s="59"/>
      <c r="BL9" s="58" t="s">
        <v>234</v>
      </c>
      <c r="BM9" s="58" t="s">
        <v>152</v>
      </c>
      <c r="BN9" s="58" t="s">
        <v>234</v>
      </c>
      <c r="BO9" s="58" t="s">
        <v>234</v>
      </c>
      <c r="BP9" s="58" t="s">
        <v>155</v>
      </c>
      <c r="BQ9" s="58" t="s">
        <v>234</v>
      </c>
      <c r="BR9" s="58" t="s">
        <v>157</v>
      </c>
      <c r="BS9" s="58" t="s">
        <v>234</v>
      </c>
      <c r="BT9" s="58" t="s">
        <v>159</v>
      </c>
      <c r="BU9" s="60"/>
      <c r="BV9" s="61"/>
      <c r="BW9" s="61">
        <v>0</v>
      </c>
      <c r="BX9" s="59"/>
      <c r="BY9" s="44" t="s">
        <v>165</v>
      </c>
      <c r="CB9" s="5"/>
      <c r="CC9" s="5"/>
      <c r="CD9" s="62">
        <v>0</v>
      </c>
      <c r="CE9" s="62">
        <v>0</v>
      </c>
      <c r="CF9" s="62" t="e">
        <v>#REF!</v>
      </c>
      <c r="CG9" s="75" cm="1">
        <f t="array" ref="CG9">SUMPRODUCT(--(LEN(TRIM(BL9:BT9))&gt;0))</f>
        <v>4</v>
      </c>
      <c r="CH9" s="53" t="str">
        <f t="shared" si="3"/>
        <v>n</v>
      </c>
      <c r="CI9" s="53" t="str">
        <f t="shared" si="4"/>
        <v>n</v>
      </c>
      <c r="CJ9" s="53" t="str">
        <f t="shared" si="5"/>
        <v>y</v>
      </c>
      <c r="CK9" s="53" t="str">
        <f t="shared" si="6"/>
        <v>n</v>
      </c>
      <c r="CL9" s="53" t="str">
        <f t="shared" si="7"/>
        <v>n</v>
      </c>
      <c r="CM9" s="53" t="str">
        <f t="shared" si="8"/>
        <v>y</v>
      </c>
      <c r="CN9" s="53" t="str">
        <f t="shared" si="9"/>
        <v>n</v>
      </c>
      <c r="CO9" s="53" t="str">
        <f t="shared" si="10"/>
        <v>n</v>
      </c>
      <c r="CP9" s="53" t="str">
        <f t="shared" si="11"/>
        <v>y</v>
      </c>
      <c r="CQ9" s="53" t="str">
        <f t="shared" si="12"/>
        <v>n</v>
      </c>
      <c r="CR9" s="53" t="str">
        <f t="shared" si="13"/>
        <v>n</v>
      </c>
      <c r="CS9" s="53" t="str">
        <f t="shared" si="14"/>
        <v>n</v>
      </c>
      <c r="CT9" s="38" t="str">
        <f t="shared" si="15"/>
        <v>"[URU] Uruguay Naval Jack"</v>
      </c>
      <c r="CU9" s="63" t="str">
        <f t="shared" si="16"/>
        <v>"rgn_South America"</v>
      </c>
      <c r="CV9" s="44" t="str">
        <f t="shared" si="17"/>
        <v>"https://upload.wikimedia.org/wikipedia/commons/thumb/1/14/Naval_Jack_of_Uruguay.svg/640px-Naval_Jack_of_Uruguay.svg.png"</v>
      </c>
      <c r="CW9" s="44" t="str">
        <f t="shared" si="18"/>
        <v/>
      </c>
      <c r="CX9" s="44" t="str">
        <f t="shared" si="18"/>
        <v/>
      </c>
      <c r="CY9" s="44" t="str">
        <f t="shared" si="18"/>
        <v>"4Color",</v>
      </c>
      <c r="CZ9" s="44" t="str">
        <f t="shared" si="18"/>
        <v/>
      </c>
      <c r="DA9" s="44" t="str">
        <f t="shared" si="19"/>
        <v>"words2",</v>
      </c>
      <c r="DB9" s="44" t="str">
        <f t="shared" si="20"/>
        <v>"words3",</v>
      </c>
      <c r="DD9" s="44"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"lets16",</v>
      </c>
      <c r="DE9" s="44" t="str">
        <f>CHAR(34)&amp;"start"&amp;IFERROR(LEFT(SUBSTITUTE(A9,"["&amp;MID(A9,FIND("[",A9)+1,FIND("]",A9)-FIND("[",A9)-1)&amp;"] ",""),1),LEFT(A9,1))&amp;CHAR(34)&amp;","</f>
        <v>"startU",</v>
      </c>
      <c r="DF9" s="44" t="str">
        <f t="shared" si="24"/>
        <v/>
      </c>
      <c r="DG9" s="44" t="str">
        <f t="shared" si="25"/>
        <v/>
      </c>
      <c r="DH9" s="44" t="str">
        <f t="shared" si="26"/>
        <v>"with_v",</v>
      </c>
      <c r="DI9" s="44" t="str">
        <f t="shared" si="27"/>
        <v/>
      </c>
      <c r="DJ9" s="44" t="str">
        <f t="shared" si="28"/>
        <v>"with_y",</v>
      </c>
      <c r="DK9" s="44" t="str">
        <f t="shared" si="29"/>
        <v/>
      </c>
      <c r="DL9" s="44" t="str">
        <f t="shared" si="30"/>
        <v/>
      </c>
      <c r="DM9" s="44" t="str" cm="1">
        <f t="array" ref="DM9">IF(CG9=3,CHAR(34) &amp; _xlfn.TEXTJOIN("", TRUE, RIGHT(HP9:HX9, 2)) &amp; CHAR(34) &amp; ",", "")</f>
        <v/>
      </c>
      <c r="DN9" s="44" t="str">
        <f t="shared" si="31"/>
        <v>"year18",</v>
      </c>
      <c r="DO9" s="44" t="str">
        <f t="shared" si="32"/>
        <v/>
      </c>
      <c r="DP9" s="5" t="str">
        <f t="shared" si="33"/>
        <v/>
      </c>
      <c r="DQ9" s="5" t="str">
        <f t="shared" si="34"/>
        <v/>
      </c>
      <c r="DR9" s="5" t="str">
        <f t="shared" si="35"/>
        <v>"dgband",</v>
      </c>
      <c r="DS9" s="5" t="str">
        <f t="shared" si="36"/>
        <v/>
      </c>
      <c r="DT9" s="5" t="str">
        <f t="shared" si="37"/>
        <v/>
      </c>
      <c r="DU9" s="5" t="str">
        <f t="shared" si="38"/>
        <v/>
      </c>
      <c r="DW9" s="44" t="str">
        <f t="shared" si="40"/>
        <v/>
      </c>
      <c r="DX9" s="44" t="str">
        <f t="shared" si="40"/>
        <v>"2Bands",</v>
      </c>
      <c r="DY9" s="44" t="str">
        <f t="shared" si="40"/>
        <v/>
      </c>
      <c r="DZ9" s="44" t="str">
        <f t="shared" si="40"/>
        <v/>
      </c>
      <c r="EA9" s="44" t="str">
        <f t="shared" si="41"/>
        <v>"Diagon",</v>
      </c>
      <c r="EB9" s="44" t="str">
        <f t="shared" si="41"/>
        <v>"Crosse",</v>
      </c>
      <c r="EC9" s="44" t="str">
        <f t="shared" si="41"/>
        <v>"Horizo",</v>
      </c>
      <c r="ED9" s="44" t="str">
        <f t="shared" si="41"/>
        <v>"Vertic",</v>
      </c>
      <c r="EE9" s="44" t="str">
        <f t="shared" si="41"/>
        <v>"Circle",</v>
      </c>
      <c r="EF9" s="44" t="str">
        <f t="shared" si="42"/>
        <v/>
      </c>
      <c r="EG9" s="44" t="str">
        <f t="shared" si="43"/>
        <v/>
      </c>
      <c r="EH9" s="44" t="str">
        <f t="shared" si="43"/>
        <v/>
      </c>
      <c r="EI9" s="44" t="str">
        <f t="shared" si="43"/>
        <v/>
      </c>
      <c r="EJ9" s="44" t="str">
        <f t="shared" si="43"/>
        <v/>
      </c>
      <c r="EK9" s="44" t="str">
        <f t="shared" si="43"/>
        <v>"HasSun",</v>
      </c>
      <c r="EL9" s="44" t="str">
        <f t="shared" si="43"/>
        <v/>
      </c>
      <c r="EM9" s="44" t="str">
        <f t="shared" si="43"/>
        <v/>
      </c>
      <c r="EN9" s="44" t="str">
        <f t="shared" si="43"/>
        <v>"Unequa",</v>
      </c>
      <c r="EO9" s="44" t="str">
        <f t="shared" si="43"/>
        <v>"Center",</v>
      </c>
      <c r="EP9" s="44" t="str">
        <f t="shared" si="43"/>
        <v/>
      </c>
      <c r="EQ9" s="44" t="str">
        <f t="shared" si="44"/>
        <v/>
      </c>
      <c r="ER9" s="44" t="str">
        <f t="shared" si="44"/>
        <v/>
      </c>
      <c r="ES9" s="44" t="str">
        <f t="shared" si="44"/>
        <v/>
      </c>
      <c r="ET9" s="44" t="str">
        <f t="shared" si="44"/>
        <v/>
      </c>
      <c r="EU9" s="44" t="str">
        <f t="shared" si="44"/>
        <v/>
      </c>
      <c r="EV9" s="44" t="str">
        <f t="shared" si="44"/>
        <v/>
      </c>
      <c r="EW9" s="44" t="str">
        <f t="shared" si="44"/>
        <v/>
      </c>
      <c r="EX9" s="44" t="str">
        <f t="shared" si="44"/>
        <v/>
      </c>
      <c r="EY9" s="44" t="str">
        <f t="shared" si="44"/>
        <v/>
      </c>
      <c r="EZ9" s="44" t="str">
        <f t="shared" si="44"/>
        <v/>
      </c>
      <c r="FA9" s="44" t="str">
        <f t="shared" si="45"/>
        <v/>
      </c>
      <c r="FB9" s="44" t="str">
        <f t="shared" si="46"/>
        <v/>
      </c>
      <c r="FD9" s="44" t="str">
        <f t="shared" si="48"/>
        <v/>
      </c>
      <c r="FE9" s="44" t="str">
        <f t="shared" si="49"/>
        <v/>
      </c>
      <c r="FF9" s="44" t="str">
        <f t="shared" si="50"/>
        <v/>
      </c>
      <c r="FG9" s="44" t="str">
        <f t="shared" si="51"/>
        <v>"NO_RED",</v>
      </c>
      <c r="FH9" s="44" t="str">
        <f t="shared" si="52"/>
        <v>"NO_GRE",</v>
      </c>
      <c r="FI9" s="44" t="str">
        <f t="shared" si="53"/>
        <v/>
      </c>
      <c r="FJ9" s="44" t="str">
        <f t="shared" si="54"/>
        <v>"NO_BLA",</v>
      </c>
      <c r="FK9" s="44" t="str">
        <f t="shared" si="55"/>
        <v/>
      </c>
      <c r="FL9" s="44" t="str">
        <f t="shared" si="56"/>
        <v/>
      </c>
      <c r="FM9" s="44" t="str">
        <f t="shared" si="57"/>
        <v/>
      </c>
      <c r="FN9" s="44" t="str">
        <f t="shared" si="58"/>
        <v/>
      </c>
      <c r="FO9" s="44" t="str">
        <f t="shared" si="59"/>
        <v/>
      </c>
      <c r="FP9" s="44" t="str">
        <f t="shared" si="60"/>
        <v/>
      </c>
      <c r="FQ9" s="44" t="str">
        <f t="shared" si="61"/>
        <v/>
      </c>
      <c r="FR9" s="44" t="str">
        <f t="shared" si="62"/>
        <v/>
      </c>
      <c r="FS9" s="44" t="str">
        <f t="shared" si="63"/>
        <v/>
      </c>
      <c r="FT9" s="44" t="str">
        <f t="shared" si="64"/>
        <v>"myrWHI",</v>
      </c>
      <c r="FU9" s="44" t="str">
        <f t="shared" si="65"/>
        <v/>
      </c>
      <c r="FV9" s="44" t="str">
        <f t="shared" si="66"/>
        <v/>
      </c>
      <c r="FW9" s="44" t="str">
        <f t="shared" si="67"/>
        <v/>
      </c>
      <c r="FY9" s="44" t="str">
        <f t="shared" si="69"/>
        <v/>
      </c>
      <c r="FZ9" s="44" t="str">
        <f t="shared" si="70"/>
        <v/>
      </c>
      <c r="GA9" s="44" t="str">
        <f t="shared" si="71"/>
        <v/>
      </c>
      <c r="GB9" s="44" t="str">
        <f t="shared" si="72"/>
        <v/>
      </c>
      <c r="GE9" s="44" t="str">
        <f t="shared" si="75"/>
        <v/>
      </c>
      <c r="GF9" s="44" t="str">
        <f t="shared" si="107"/>
        <v/>
      </c>
      <c r="GG9" s="44" t="str">
        <f t="shared" si="76"/>
        <v/>
      </c>
      <c r="GH9" s="44" t="str">
        <f t="shared" si="77"/>
        <v/>
      </c>
      <c r="GI9" s="44" t="str">
        <f t="shared" si="78"/>
        <v/>
      </c>
      <c r="GJ9" s="44" t="str">
        <f t="shared" si="79"/>
        <v>"NoStar",</v>
      </c>
      <c r="GK9" s="44" t="str">
        <f t="shared" si="80"/>
        <v/>
      </c>
      <c r="GL9" s="44" t="str">
        <f t="shared" si="81"/>
        <v/>
      </c>
      <c r="GM9" s="44" t="str">
        <f t="shared" si="81"/>
        <v/>
      </c>
      <c r="GN9" s="44" t="str">
        <f t="shared" si="81"/>
        <v/>
      </c>
      <c r="GP9" s="44" t="str">
        <f t="shared" si="82"/>
        <v>"Naval Jack"</v>
      </c>
      <c r="GS9" s="44" t="str">
        <f t="shared" si="83"/>
        <v>["4Color","words2","words3","lets16","startU","with_v","with_y","year18","dgband","2Bands","Diagon","Crosse","Horizo","Vertic","Circle","HasSun","Unequa","Center","NO_RED","NO_GRE","NO_BLA","myrWHI","NoStar"]</v>
      </c>
      <c r="GT9" s="44" t="str">
        <f t="shared" si="84"/>
        <v/>
      </c>
      <c r="GU9" s="44" t="str">
        <f t="shared" si="84"/>
        <v>"cl_BLU",</v>
      </c>
      <c r="GV9" s="44" t="str">
        <f t="shared" si="84"/>
        <v/>
      </c>
      <c r="GW9" s="44" t="str">
        <f t="shared" si="84"/>
        <v/>
      </c>
      <c r="GX9" s="44" t="str">
        <f t="shared" si="84"/>
        <v>"cl_YEL",</v>
      </c>
      <c r="GY9" s="44" t="str">
        <f t="shared" si="84"/>
        <v/>
      </c>
      <c r="GZ9" s="44" t="str">
        <f t="shared" si="84"/>
        <v>"cl_BRO",</v>
      </c>
      <c r="HA9" s="44" t="str">
        <f t="shared" si="84"/>
        <v/>
      </c>
      <c r="HB9" s="44" t="str">
        <f t="shared" si="84"/>
        <v>"cl_WHI",</v>
      </c>
      <c r="HC9" s="44" t="str">
        <f t="shared" si="85"/>
        <v>["cl_BLU","cl_YEL","cl_BRO","cl_WHI"]</v>
      </c>
      <c r="HE9" s="64"/>
      <c r="HF9" s="65" t="str">
        <f t="shared" si="86"/>
        <v>{couname:"[URU] Uruguay Naval Jack",year:"1817",region:"rgn_South America",Colors:["cl_BLU","cl_YEL","cl_BRO","cl_WHI"],Items:["4Color","words2","words3","lets16","startU","with_v","with_y","year18","dgband","2Bands","Diagon","Crosse","Horizo","Vertic","Circle","HasSun","Unequa","Center","NO_RED","NO_GRE","NO_BLA","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links: "https://en.m.wikipedia.org/wiki/List_of_Uruguayan_flags"},</v>
      </c>
      <c r="HG9" s="66" t="str">
        <f t="shared" si="87"/>
        <v>{couname:"[URU] Uruguay Naval Jack",year:"1817",region:"rgn_South America",Colors:["cl_BLU","cl_YEL","cl_BRO","cl_WHI"],Items:["4Color","words2","words3","lets16","startU","with_v","with_y","year18","dgband","2Bands","Diagon","Crosse","Horizo","Vertic","Circle","HasSun","Unequa","Center","NO_RED","NO_GRE","NO_BLA","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links: "https://en.m.wikipedia.org/wiki/List_of_Uruguayan_flags"},</v>
      </c>
      <c r="HH9" s="44" t="str">
        <f t="shared" si="88"/>
        <v>"\nA White Field with a blue saltire that extends to the corners of the flag and the Sun of May in the center."</v>
      </c>
      <c r="HI9" s="44" t="str">
        <f t="shared" si="89"/>
        <v>"\nA White Field with a blue saltire that extends to the corners of the flag and the Sun of May in the center."</v>
      </c>
      <c r="HJ9" s="44" t="str">
        <f t="shared" si="90"/>
        <v>"1817"</v>
      </c>
      <c r="HL9" s="44" t="str">
        <f t="shared" si="91"/>
        <v>"https://en.m.wikipedia.org/wiki/List_of_Uruguayan_flags"</v>
      </c>
      <c r="HM9" s="65" t="str">
        <f t="shared" si="92"/>
        <v>{"couname":"[URU] Uruguay Naval Jack","subtype":"[URU] Other","year":"1817","region":"rgn_South America","Colors":["cl_BLU","cl_YEL","cl_BRO","cl_WHI"],"Items":["4Color","words2","words3","lets16","startU","with_v","with_y","year18","dgband","2Bands","Diagon","Crosse","Horizo","Vertic","Circle","HasSun","Unequa","Center","NO_RED","NO_GRE","NO_BLA","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N9" s="67" t="str">
        <f t="shared" si="93"/>
        <v>{"couname":"[URU] Uruguay Naval Jack","subtype":"[URU] Other","year":"1817","region":"rgn_South America","Colors":["cl_BLU","cl_YEL","cl_BRO","cl_WHI"],"Items":["4Color","words2","words3","lets16","startU","with_v","with_y","year18","dgband","2Bands","Diagon","Crosse","Horizo","Vertic","Circle","HasSun","Unequa","Center","NO_RED","NO_GRE","NO_BLA","myrWHI","NoStar"],"Flag":"https://upload.wikimedia.org/wikipedia/commons/thumb/1/14/Naval_Jack_of_Uruguay.svg/640px-Naval_Jack_of_Uruguay.svg.png","HDFlag":"https://upload.wikimedia.org/wikipedia/commons/thumb/1/14/Naval_Jack_of_Uruguay.svg/1280px-Naval_Jack_of_Uruguay.svg.png","type":"Naval Jack", "describe": "\nA White Field with a blue saltire that extends to the corners of the flag and the Sun of May in the center.", "isnew": ".", "links": "https://en.m.wikipedia.org/wiki/List_of_Uruguayan_flags"},</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
      </c>
      <c r="HS9" s="44" t="str" cm="1">
        <f t="array" ref="HS9">IF(_xlfn.TEXTJOIN(", ", TRUE, IF(ISNUMBER(SEARCH("RED", BL9:BT9)), COLUMN(BL9:BT9) - COLUMN(BL9) + 1, ""))&lt;&gt;"","RED","")</f>
        <v/>
      </c>
      <c r="HT9" s="44" t="str" cm="1">
        <f t="array" ref="HT9">IF(_xlfn.TEXTJOIN(", ", TRUE, IF(ISNUMBER(SEARCH("YEL", BL9:BT9)), COLUMN(BL9:BT9) - COLUMN(BL9) + 1, ""))&lt;&gt;"","YEL","")</f>
        <v>YEL</v>
      </c>
      <c r="HU9" s="44" t="str" cm="1">
        <f t="array" ref="HU9">IF(_xlfn.TEXTJOIN(", ", TRUE, IF(ISNUMBER(SEARCH("ORA", BL9:BT9)), COLUMN(BL9:BT9) - COLUMN(BL9) + 1, ""))&lt;&gt;"","ORA","")</f>
        <v/>
      </c>
      <c r="HV9" s="44" t="str" cm="1">
        <f t="array" ref="HV9">IF(_xlfn.TEXTJOIN(", ", TRUE, IF(ISNUMBER(SEARCH("BRO", BL9:BT9)), COLUMN(BL9:BT9) - COLUMN(BL9) + 1, ""))&lt;&gt;"","BRO","")</f>
        <v>BRO</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 t="shared" si="95"/>
        <v>-4</v>
      </c>
      <c r="IN9" s="69" t="str">
        <f t="shared" si="96"/>
        <v>http://mkweb.bcgsc.ca/color-summarizer/?url=https://upload.wikimedia.org/wikipedia/commons/thumb/1/14/Naval_Jack_of_Uruguay.svg/640px-Naval_Jack_of_Uruguay.svg.png&amp;precision=low&amp;num_clusters=4&amp;text=1</v>
      </c>
      <c r="IO9" s="44" t="str">
        <f t="shared" si="97"/>
        <v/>
      </c>
      <c r="IP9" s="44" t="str">
        <f t="shared" si="98"/>
        <v>"blue"</v>
      </c>
      <c r="IQ9" s="44" t="str">
        <f t="shared" si="99"/>
        <v/>
      </c>
      <c r="IR9" s="44" t="str">
        <f t="shared" si="100"/>
        <v/>
      </c>
      <c r="IS9" s="44" t="str">
        <f t="shared" si="101"/>
        <v>"yellow"</v>
      </c>
      <c r="IT9" s="44" t="str">
        <f t="shared" si="102"/>
        <v/>
      </c>
      <c r="IU9" s="44" t="str">
        <f t="shared" si="103"/>
        <v>"brown"</v>
      </c>
      <c r="IV9" s="44" t="str">
        <f t="shared" si="104"/>
        <v/>
      </c>
      <c r="IW9" s="44" t="str">
        <f t="shared" si="105"/>
        <v>"white"</v>
      </c>
      <c r="IX9" s="44" t="str">
        <f t="shared" si="106"/>
        <v>{"url":"http://mkweb.bcgsc.ca/color-summarizer/?url=https://upload.wikimedia.org/wikipedia/commons/thumb/1/14/Naval_Jack_of_Uruguay.svg/640px-Naval_Jack_of_Uruguay.svg.png&amp;precision=low&amp;num_clusters=4&amp;text=1","name":"[URU] Uruguay Naval Jack"},</v>
      </c>
      <c r="IY9" s="44">
        <v>1430</v>
      </c>
    </row>
  </sheetData>
  <autoFilter ref="A1:IY9" xr:uid="{A1051193-A95B-4CFB-A73C-F0184620C81F}">
    <sortState xmlns:xlrd2="http://schemas.microsoft.com/office/spreadsheetml/2017/richdata2" ref="A2:IY9">
      <sortCondition ref="AW1:AW9"/>
    </sortState>
  </autoFilter>
  <conditionalFormatting sqref="H1 CW1:GS1 IA1:IB1">
    <cfRule type="cellIs" dxfId="137" priority="77" operator="greaterThan">
      <formula>0</formula>
    </cfRule>
  </conditionalFormatting>
  <conditionalFormatting sqref="H1:H1048576">
    <cfRule type="cellIs" dxfId="136" priority="17" stopIfTrue="1" operator="notEqual">
      <formula>""</formula>
    </cfRule>
  </conditionalFormatting>
  <conditionalFormatting sqref="R2:R9 CU2:CU9">
    <cfRule type="cellIs" dxfId="135" priority="19" operator="greaterThan">
      <formula>0</formula>
    </cfRule>
  </conditionalFormatting>
  <conditionalFormatting sqref="T2:AS9 CH2:CS9">
    <cfRule type="cellIs" dxfId="134" priority="14" stopIfTrue="1" operator="equal">
      <formula>"n"</formula>
    </cfRule>
    <cfRule type="cellIs" dxfId="133" priority="15" stopIfTrue="1" operator="equal">
      <formula>"y"</formula>
    </cfRule>
    <cfRule type="cellIs" dxfId="132" priority="16" operator="greaterThan">
      <formula>0</formula>
    </cfRule>
  </conditionalFormatting>
  <conditionalFormatting sqref="T1:BK1">
    <cfRule type="cellIs" dxfId="131" priority="80" operator="greaterThan">
      <formula>0</formula>
    </cfRule>
  </conditionalFormatting>
  <conditionalFormatting sqref="AZ2:BB9">
    <cfRule type="expression" dxfId="130" priority="13">
      <formula>$AT2=0</formula>
    </cfRule>
  </conditionalFormatting>
  <conditionalFormatting sqref="AZ2:BU9">
    <cfRule type="cellIs" dxfId="129" priority="55" operator="equal">
      <formula>"PIN"</formula>
    </cfRule>
    <cfRule type="cellIs" dxfId="128" priority="56" operator="equal">
      <formula>"ORA"</formula>
    </cfRule>
    <cfRule type="cellIs" dxfId="127" priority="57" operator="equal">
      <formula>"GRA"</formula>
    </cfRule>
    <cfRule type="cellIs" dxfId="126" priority="58" operator="equal">
      <formula>"PUR"</formula>
    </cfRule>
    <cfRule type="cellIs" dxfId="125" priority="59" operator="equal">
      <formula>"BRO"</formula>
    </cfRule>
    <cfRule type="cellIs" dxfId="124" priority="60" operator="equal">
      <formula>"YEL"</formula>
    </cfRule>
    <cfRule type="cellIs" dxfId="123" priority="61" operator="equal">
      <formula>"BLU"</formula>
    </cfRule>
    <cfRule type="cellIs" dxfId="122" priority="62" operator="equal">
      <formula>"WHI"</formula>
    </cfRule>
    <cfRule type="cellIs" dxfId="121" priority="63" operator="equal">
      <formula>"GRE"</formula>
    </cfRule>
    <cfRule type="cellIs" dxfId="120" priority="64" operator="equal">
      <formula>"RED"</formula>
    </cfRule>
    <cfRule type="cellIs" dxfId="119" priority="65" operator="equal">
      <formula>"BLA"</formula>
    </cfRule>
  </conditionalFormatting>
  <conditionalFormatting sqref="BV1:BW1 BV10:BW1048576 BV2:BV9">
    <cfRule type="cellIs" dxfId="118" priority="79" operator="equal">
      <formula>"nc"</formula>
    </cfRule>
  </conditionalFormatting>
  <conditionalFormatting sqref="BX2:CA9 CD2:CF9">
    <cfRule type="cellIs" dxfId="117" priority="18" operator="equal">
      <formula>"y"</formula>
    </cfRule>
    <cfRule type="cellIs" dxfId="116" priority="66" operator="equal">
      <formula>"PIN"</formula>
    </cfRule>
    <cfRule type="cellIs" dxfId="115" priority="67" operator="equal">
      <formula>"ORA"</formula>
    </cfRule>
    <cfRule type="cellIs" dxfId="114" priority="68" operator="equal">
      <formula>"GRA"</formula>
    </cfRule>
    <cfRule type="cellIs" dxfId="113" priority="69" operator="equal">
      <formula>"PUR"</formula>
    </cfRule>
    <cfRule type="cellIs" dxfId="112" priority="70" operator="equal">
      <formula>"BRO"</formula>
    </cfRule>
    <cfRule type="cellIs" dxfId="111" priority="71" operator="equal">
      <formula>"YEL"</formula>
    </cfRule>
    <cfRule type="cellIs" dxfId="110" priority="72" operator="equal">
      <formula>"BLU"</formula>
    </cfRule>
    <cfRule type="cellIs" dxfId="109" priority="73" operator="equal">
      <formula>"WHI"</formula>
    </cfRule>
    <cfRule type="cellIs" dxfId="108" priority="74" operator="equal">
      <formula>"GRE"</formula>
    </cfRule>
    <cfRule type="cellIs" dxfId="107" priority="75" operator="equal">
      <formula>"RED"</formula>
    </cfRule>
    <cfRule type="cellIs" dxfId="106" priority="76" operator="equal">
      <formula>"BLA"</formula>
    </cfRule>
  </conditionalFormatting>
  <conditionalFormatting sqref="BZ2:CA9 CD2:CF9">
    <cfRule type="cellIs" dxfId="105" priority="20" operator="greaterThan">
      <formula>0</formula>
    </cfRule>
  </conditionalFormatting>
  <conditionalFormatting sqref="HF1:HG1">
    <cfRule type="cellIs" dxfId="104" priority="81" operator="greaterThan">
      <formula>0</formula>
    </cfRule>
  </conditionalFormatting>
  <conditionalFormatting sqref="HK1">
    <cfRule type="cellIs" dxfId="103" priority="78" operator="greaterThan">
      <formula>0</formula>
    </cfRule>
  </conditionalFormatting>
  <conditionalFormatting sqref="HP1:HX1">
    <cfRule type="cellIs" dxfId="102" priority="32" operator="equal">
      <formula>"PIN"</formula>
    </cfRule>
    <cfRule type="cellIs" dxfId="101" priority="33" operator="equal">
      <formula>"ORA"</formula>
    </cfRule>
    <cfRule type="cellIs" dxfId="100" priority="34" operator="equal">
      <formula>"GRA"</formula>
    </cfRule>
    <cfRule type="cellIs" dxfId="99" priority="35" operator="equal">
      <formula>"PUR"</formula>
    </cfRule>
    <cfRule type="cellIs" dxfId="98" priority="36" operator="equal">
      <formula>"BRO"</formula>
    </cfRule>
    <cfRule type="cellIs" dxfId="97" priority="37" operator="equal">
      <formula>"YEL"</formula>
    </cfRule>
    <cfRule type="cellIs" dxfId="96" priority="38" operator="equal">
      <formula>"BLU"</formula>
    </cfRule>
    <cfRule type="cellIs" dxfId="95" priority="39" operator="equal">
      <formula>"WHI"</formula>
    </cfRule>
    <cfRule type="cellIs" dxfId="94" priority="40" operator="equal">
      <formula>"GRE"</formula>
    </cfRule>
    <cfRule type="cellIs" dxfId="93" priority="41" operator="equal">
      <formula>"RED"</formula>
    </cfRule>
    <cfRule type="cellIs" dxfId="92" priority="42" operator="equal">
      <formula>"BLA"</formula>
    </cfRule>
  </conditionalFormatting>
  <conditionalFormatting sqref="IC1:IK1">
    <cfRule type="cellIs" dxfId="91" priority="44" operator="equal">
      <formula>"PIN"</formula>
    </cfRule>
    <cfRule type="cellIs" dxfId="90" priority="45" operator="equal">
      <formula>"ORA"</formula>
    </cfRule>
    <cfRule type="cellIs" dxfId="89" priority="46" operator="equal">
      <formula>"GRA"</formula>
    </cfRule>
    <cfRule type="cellIs" dxfId="88" priority="47" operator="equal">
      <formula>"PUR"</formula>
    </cfRule>
    <cfRule type="cellIs" dxfId="87" priority="48" operator="equal">
      <formula>"BRO"</formula>
    </cfRule>
    <cfRule type="cellIs" dxfId="86" priority="49" operator="equal">
      <formula>"YEL"</formula>
    </cfRule>
    <cfRule type="cellIs" dxfId="85" priority="50" operator="equal">
      <formula>"BLU"</formula>
    </cfRule>
    <cfRule type="cellIs" dxfId="84" priority="51" operator="equal">
      <formula>"WHI"</formula>
    </cfRule>
    <cfRule type="cellIs" dxfId="83" priority="52" operator="equal">
      <formula>"GRE"</formula>
    </cfRule>
    <cfRule type="cellIs" dxfId="82" priority="53" operator="equal">
      <formula>"RED"</formula>
    </cfRule>
    <cfRule type="cellIs" dxfId="81" priority="54" operator="equal">
      <formula>"BLA"</formula>
    </cfRule>
  </conditionalFormatting>
  <conditionalFormatting sqref="IC2:IK9">
    <cfRule type="expression" dxfId="80" priority="43">
      <formula>$IL2&gt;0</formula>
    </cfRule>
  </conditionalFormatting>
  <conditionalFormatting sqref="IO1:IW1">
    <cfRule type="cellIs" dxfId="79" priority="21" operator="equal">
      <formula>"PIN"</formula>
    </cfRule>
    <cfRule type="cellIs" dxfId="78" priority="22" operator="equal">
      <formula>"ORA"</formula>
    </cfRule>
    <cfRule type="cellIs" dxfId="77" priority="23" operator="equal">
      <formula>"GRA"</formula>
    </cfRule>
    <cfRule type="cellIs" dxfId="76" priority="24" operator="equal">
      <formula>"PUR"</formula>
    </cfRule>
    <cfRule type="cellIs" dxfId="75" priority="25" operator="equal">
      <formula>"BRO"</formula>
    </cfRule>
    <cfRule type="cellIs" dxfId="74" priority="26" operator="equal">
      <formula>"YEL"</formula>
    </cfRule>
    <cfRule type="cellIs" dxfId="73" priority="27" operator="equal">
      <formula>"BLU"</formula>
    </cfRule>
    <cfRule type="cellIs" dxfId="72" priority="28" operator="equal">
      <formula>"WHI"</formula>
    </cfRule>
    <cfRule type="cellIs" dxfId="71" priority="29" operator="equal">
      <formula>"GRE"</formula>
    </cfRule>
    <cfRule type="cellIs" dxfId="70" priority="30" operator="equal">
      <formula>"RED"</formula>
    </cfRule>
    <cfRule type="cellIs" dxfId="69" priority="31" operator="equal">
      <formula>"BLA"</formula>
    </cfRule>
  </conditionalFormatting>
  <conditionalFormatting sqref="J2:J9">
    <cfRule type="colorScale" priority="1265">
      <colorScale>
        <cfvo type="min"/>
        <cfvo type="percentile" val="50"/>
        <cfvo type="max"/>
        <color rgb="FFF8696B"/>
        <color rgb="FFFFEB84"/>
        <color rgb="FF63BE7B"/>
      </colorScale>
    </cfRule>
  </conditionalFormatting>
  <conditionalFormatting sqref="S2:S9">
    <cfRule type="colorScale" priority="1266">
      <colorScale>
        <cfvo type="min"/>
        <cfvo type="max"/>
        <color rgb="FFFCFCFF"/>
        <color rgb="FF754BFB"/>
      </colorScale>
    </cfRule>
  </conditionalFormatting>
  <conditionalFormatting sqref="AT2:AT9">
    <cfRule type="colorScale" priority="1267">
      <colorScale>
        <cfvo type="min"/>
        <cfvo type="max"/>
        <color rgb="FFFCFCFF"/>
        <color theme="8" tint="0.39997558519241921"/>
      </colorScale>
    </cfRule>
  </conditionalFormatting>
  <conditionalFormatting sqref="CG2:CG9">
    <cfRule type="colorScale" priority="1268">
      <colorScale>
        <cfvo type="min"/>
        <cfvo type="max"/>
        <color rgb="FFFCFCFF"/>
        <color rgb="FF63BE7B"/>
      </colorScale>
    </cfRule>
  </conditionalFormatting>
  <hyperlinks>
    <hyperlink ref="A2" r:id="rId1" display="https://fbref.com/en/country/URU/Uruguay-Football" xr:uid="{15D4865B-AD18-4569-BE9C-FAC7A85251EF}"/>
    <hyperlink ref="E2" r:id="rId2" xr:uid="{57FD0EEF-9DCE-410B-B733-2A840283F30A}"/>
    <hyperlink ref="E8" r:id="rId3" xr:uid="{C6506E80-A1E1-4D03-91C4-8134C7C8CEED}"/>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9217" r:id="rId7"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9218" r:id="rId8"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9219" r:id="rId9" name="Button 3">
              <controlPr defaultSize="0" print="0" autoFill="0" autoPict="0" macro="[0]!GoToSheet">
                <anchor moveWithCells="1" sizeWithCells="1">
                  <from>
                    <xdr:col>0</xdr:col>
                    <xdr:colOff>0</xdr:colOff>
                    <xdr:row>0</xdr:row>
                    <xdr:rowOff>83820</xdr:rowOff>
                  </from>
                  <to>
                    <xdr:col>0</xdr:col>
                    <xdr:colOff>632460</xdr:colOff>
                    <xdr:row>0</xdr:row>
                    <xdr:rowOff>388620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CA059-8D27-435A-8817-2791D455EE1A}">
  <sheetPr codeName="Sheet6"/>
  <dimension ref="A1:IY26"/>
  <sheetViews>
    <sheetView zoomScale="85" zoomScaleNormal="85" workbookViewId="0">
      <pane xSplit="5" ySplit="1" topLeftCell="F20" activePane="bottomRight" state="frozen"/>
      <selection pane="topRight" activeCell="F1" sqref="F1"/>
      <selection pane="bottomLeft" activeCell="A2" sqref="A2"/>
      <selection pane="bottomRight" activeCell="B2" sqref="B2"/>
    </sheetView>
  </sheetViews>
  <sheetFormatPr defaultRowHeight="38.4" customHeight="1" x14ac:dyDescent="0.3"/>
  <cols>
    <col min="1" max="1" width="52.44140625" style="76" bestFit="1" customWidth="1"/>
    <col min="2" max="2" width="10.109375" style="76" customWidth="1"/>
    <col min="3" max="3" width="7.44140625" style="77" customWidth="1"/>
    <col min="4" max="4" width="4.77734375" style="78" customWidth="1"/>
    <col min="5" max="5" width="4.5546875" style="78" customWidth="1"/>
    <col min="6" max="6" width="5.77734375" style="78" customWidth="1"/>
    <col min="7" max="7" width="7.44140625" style="76" customWidth="1"/>
    <col min="8" max="8" width="11.44140625" style="76" customWidth="1"/>
    <col min="9" max="9" width="10" style="76" customWidth="1"/>
    <col min="10" max="10" width="4.21875" style="76" customWidth="1"/>
    <col min="11" max="11" width="5.6640625" style="78" customWidth="1"/>
    <col min="12" max="12" width="2.88671875" style="78" customWidth="1"/>
    <col min="13" max="13" width="6.44140625" style="78" customWidth="1"/>
    <col min="14" max="14" width="4.5546875" style="78" customWidth="1"/>
    <col min="15" max="15" width="10.5546875" style="79" customWidth="1"/>
    <col min="16" max="16" width="6.88671875" style="78" customWidth="1"/>
    <col min="17" max="17" width="4.77734375" style="78" customWidth="1"/>
    <col min="18" max="18" width="13.109375" style="77" customWidth="1"/>
    <col min="19" max="19" width="6.77734375" style="77" customWidth="1"/>
    <col min="20" max="46" width="8.44140625" style="76" customWidth="1"/>
    <col min="47" max="47" width="24.5546875" style="76" customWidth="1"/>
    <col min="48" max="51" width="16.6640625" style="76" customWidth="1"/>
    <col min="52" max="52" width="6.5546875" style="76" customWidth="1"/>
    <col min="53" max="54" width="5.88671875" style="76" customWidth="1"/>
    <col min="55" max="55" width="1.33203125" style="76" customWidth="1"/>
    <col min="56" max="56" width="7.44140625" style="76" customWidth="1"/>
    <col min="57" max="57" width="2.33203125" style="76" customWidth="1"/>
    <col min="58" max="62" width="6.109375" style="76" customWidth="1"/>
    <col min="63" max="63" width="2.33203125" style="76" customWidth="1"/>
    <col min="64" max="64" width="7" style="76" bestFit="1" customWidth="1"/>
    <col min="65" max="65" width="6.44140625" style="76" bestFit="1" customWidth="1"/>
    <col min="66" max="66" width="7.109375" style="76" bestFit="1" customWidth="1"/>
    <col min="67" max="71" width="6.44140625" style="76" bestFit="1" customWidth="1"/>
    <col min="72" max="73" width="6.44140625" style="76" customWidth="1"/>
    <col min="74" max="75" width="13.44140625" style="76" customWidth="1"/>
    <col min="76" max="84" width="14.6640625" style="76" customWidth="1"/>
    <col min="85" max="85" width="6.44140625" style="76" customWidth="1"/>
    <col min="86" max="87" width="11.6640625" style="76" bestFit="1" customWidth="1"/>
    <col min="88" max="88" width="11.6640625" style="76" customWidth="1"/>
    <col min="89" max="89" width="12.77734375" style="76" bestFit="1" customWidth="1"/>
    <col min="90" max="90" width="16.44140625" style="77" bestFit="1" customWidth="1"/>
    <col min="91" max="92" width="14.88671875" style="77" bestFit="1" customWidth="1"/>
    <col min="93" max="93" width="16" style="77" bestFit="1" customWidth="1"/>
    <col min="94" max="97" width="7.77734375" style="76" customWidth="1"/>
    <col min="98" max="98" width="33.21875" style="76" customWidth="1"/>
    <col min="99" max="99" width="18" style="76" customWidth="1"/>
    <col min="100" max="100" width="75.6640625" style="76" customWidth="1"/>
    <col min="101" max="125" width="33" style="76" customWidth="1"/>
    <col min="126" max="126" width="8.88671875" style="76"/>
    <col min="127" max="128" width="9.44140625" style="76" bestFit="1" customWidth="1"/>
    <col min="129" max="129" width="10.77734375" style="76" bestFit="1" customWidth="1"/>
    <col min="130" max="134" width="10.77734375" style="76" customWidth="1"/>
    <col min="135" max="135" width="10.109375" style="76" bestFit="1" customWidth="1"/>
    <col min="136" max="136" width="7.77734375" style="76" bestFit="1" customWidth="1"/>
    <col min="137" max="137" width="7.77734375" style="76" customWidth="1"/>
    <col min="138" max="138" width="9" style="76" bestFit="1" customWidth="1"/>
    <col min="139" max="139" width="11.33203125" style="76" bestFit="1" customWidth="1"/>
    <col min="140" max="140" width="9.109375" style="76" bestFit="1" customWidth="1"/>
    <col min="141" max="141" width="9" style="76" bestFit="1" customWidth="1"/>
    <col min="142" max="142" width="12" style="76" bestFit="1" customWidth="1"/>
    <col min="143" max="166" width="12" style="76" customWidth="1"/>
    <col min="167" max="167" width="17.21875" style="76" customWidth="1"/>
    <col min="168" max="191" width="12" style="76" customWidth="1"/>
    <col min="192" max="192" width="8.5546875" style="76" bestFit="1" customWidth="1"/>
    <col min="193" max="193" width="8.5546875" style="76" customWidth="1"/>
    <col min="194" max="194" width="7.109375" style="76" bestFit="1" customWidth="1"/>
    <col min="195" max="195" width="7.5546875" style="76" bestFit="1" customWidth="1"/>
    <col min="196" max="196" width="8.5546875" style="76" bestFit="1" customWidth="1"/>
    <col min="197" max="200" width="8.5546875" style="76" customWidth="1"/>
    <col min="201" max="201" width="188.88671875" style="76" customWidth="1"/>
    <col min="202" max="202" width="9.5546875" style="76" bestFit="1" customWidth="1"/>
    <col min="203" max="203" width="10.44140625" style="76" bestFit="1" customWidth="1"/>
    <col min="204" max="204" width="11.109375" style="76" bestFit="1" customWidth="1"/>
    <col min="205" max="205" width="10.44140625" style="76" bestFit="1" customWidth="1"/>
    <col min="206" max="210" width="10.44140625" style="76" customWidth="1"/>
    <col min="211" max="211" width="45.44140625" style="76" customWidth="1"/>
    <col min="212" max="212" width="47.5546875" style="76" bestFit="1" customWidth="1"/>
    <col min="213" max="213" width="9.33203125" style="80" customWidth="1"/>
    <col min="214" max="214" width="119.5546875" style="76" customWidth="1"/>
    <col min="215" max="215" width="69.6640625" style="76" customWidth="1"/>
    <col min="216" max="218" width="8.88671875" style="76"/>
    <col min="219" max="219" width="37.109375" style="76" customWidth="1"/>
    <col min="220" max="220" width="16.33203125" style="76" customWidth="1"/>
    <col min="221" max="222" width="8.88671875" style="76"/>
    <col min="223" max="223" width="10.109375" style="76" bestFit="1" customWidth="1"/>
    <col min="224" max="232" width="10.88671875" style="76" customWidth="1"/>
    <col min="233" max="234" width="30.77734375" style="76" customWidth="1"/>
    <col min="235" max="235" width="5.109375" style="76" customWidth="1"/>
    <col min="236" max="236" width="3" style="76" customWidth="1"/>
    <col min="237" max="245" width="6.77734375" style="81" customWidth="1"/>
    <col min="246" max="247" width="8.88671875" style="76"/>
    <col min="248" max="248" width="61.5546875" style="76" customWidth="1"/>
    <col min="249" max="253" width="8.88671875" style="76"/>
    <col min="254" max="254" width="9" style="76" customWidth="1"/>
    <col min="255" max="16384" width="8.88671875" style="76"/>
  </cols>
  <sheetData>
    <row r="1" spans="1:259" s="5" customFormat="1" ht="38.4" customHeight="1" thickBot="1" x14ac:dyDescent="0.35">
      <c r="A1" s="1" t="s">
        <v>0</v>
      </c>
      <c r="B1" s="82"/>
      <c r="C1" s="2" t="s">
        <v>1</v>
      </c>
      <c r="D1" s="3"/>
      <c r="E1" s="3" t="s">
        <v>2</v>
      </c>
      <c r="F1" s="4"/>
      <c r="H1" s="6" t="s">
        <v>3</v>
      </c>
      <c r="K1" s="7" t="s">
        <v>4</v>
      </c>
      <c r="L1" s="8" t="s">
        <v>5</v>
      </c>
      <c r="M1" s="8" t="s">
        <v>6</v>
      </c>
      <c r="N1" s="9" t="s">
        <v>7</v>
      </c>
      <c r="O1" s="10" t="s">
        <v>8</v>
      </c>
      <c r="P1" s="11" t="s">
        <v>9</v>
      </c>
      <c r="Q1" s="11" t="s">
        <v>10</v>
      </c>
      <c r="R1" s="12" t="s">
        <v>0</v>
      </c>
      <c r="S1" s="13" t="s">
        <v>11</v>
      </c>
      <c r="T1" s="14" t="s">
        <v>12</v>
      </c>
      <c r="U1" s="14" t="s">
        <v>13</v>
      </c>
      <c r="V1" s="15" t="s">
        <v>14</v>
      </c>
      <c r="W1" s="14" t="s">
        <v>15</v>
      </c>
      <c r="X1" s="14" t="s">
        <v>16</v>
      </c>
      <c r="Y1" s="14" t="s">
        <v>17</v>
      </c>
      <c r="Z1" s="14" t="s">
        <v>18</v>
      </c>
      <c r="AA1" s="14" t="s">
        <v>19</v>
      </c>
      <c r="AB1" s="14" t="s">
        <v>20</v>
      </c>
      <c r="AC1" s="14" t="s">
        <v>21</v>
      </c>
      <c r="AD1" s="14" t="s">
        <v>22</v>
      </c>
      <c r="AE1" s="14" t="s">
        <v>23</v>
      </c>
      <c r="AF1" s="16" t="s">
        <v>24</v>
      </c>
      <c r="AG1" s="16" t="s">
        <v>25</v>
      </c>
      <c r="AH1" s="16" t="s">
        <v>26</v>
      </c>
      <c r="AI1" s="16" t="s">
        <v>27</v>
      </c>
      <c r="AJ1" s="16" t="s">
        <v>28</v>
      </c>
      <c r="AK1" s="16" t="s">
        <v>29</v>
      </c>
      <c r="AL1" s="16" t="s">
        <v>30</v>
      </c>
      <c r="AM1" s="16" t="s">
        <v>31</v>
      </c>
      <c r="AN1" s="16" t="s">
        <v>32</v>
      </c>
      <c r="AO1" s="16" t="s">
        <v>33</v>
      </c>
      <c r="AP1" s="16" t="s">
        <v>34</v>
      </c>
      <c r="AQ1" s="16" t="s">
        <v>35</v>
      </c>
      <c r="AR1" s="16" t="s">
        <v>36</v>
      </c>
      <c r="AS1" s="16" t="s">
        <v>37</v>
      </c>
      <c r="AT1" s="17" t="s">
        <v>38</v>
      </c>
      <c r="AU1" s="18" t="s">
        <v>39</v>
      </c>
      <c r="AV1" s="18" t="s">
        <v>40</v>
      </c>
      <c r="AW1" s="18" t="s">
        <v>41</v>
      </c>
      <c r="AX1" s="19"/>
      <c r="AY1" s="20" t="s">
        <v>42</v>
      </c>
      <c r="AZ1" s="19" t="s">
        <v>43</v>
      </c>
      <c r="BA1" s="19"/>
      <c r="BB1" s="19"/>
      <c r="BC1" s="21"/>
      <c r="BD1" s="19" t="s">
        <v>44</v>
      </c>
      <c r="BE1" s="21"/>
      <c r="BF1" s="19" t="s">
        <v>45</v>
      </c>
      <c r="BG1" s="19" t="s">
        <v>46</v>
      </c>
      <c r="BH1" s="19" t="s">
        <v>47</v>
      </c>
      <c r="BI1" s="19" t="s">
        <v>48</v>
      </c>
      <c r="BJ1" s="19" t="s">
        <v>49</v>
      </c>
      <c r="BK1" s="21"/>
      <c r="BL1" s="22" t="s">
        <v>50</v>
      </c>
      <c r="BM1" s="22"/>
      <c r="BN1" s="22"/>
      <c r="BO1" s="22"/>
      <c r="BP1" s="22"/>
      <c r="BQ1" s="22"/>
      <c r="BR1" s="22"/>
      <c r="BS1" s="22"/>
      <c r="BT1" s="23"/>
      <c r="BU1" s="23" t="s">
        <v>51</v>
      </c>
      <c r="BV1" s="23" t="s">
        <v>52</v>
      </c>
      <c r="BW1" s="23" t="s">
        <v>53</v>
      </c>
      <c r="BX1" s="23"/>
      <c r="BY1" s="23" t="s">
        <v>54</v>
      </c>
      <c r="BZ1" s="23" t="s">
        <v>55</v>
      </c>
      <c r="CA1" s="23" t="s">
        <v>56</v>
      </c>
      <c r="CB1" s="23" t="s">
        <v>57</v>
      </c>
      <c r="CC1" s="23" t="s">
        <v>58</v>
      </c>
      <c r="CD1" s="23" t="s">
        <v>59</v>
      </c>
      <c r="CE1" s="23" t="s">
        <v>60</v>
      </c>
      <c r="CF1" s="23" t="s">
        <v>61</v>
      </c>
      <c r="CG1" s="23"/>
      <c r="CH1" s="23" t="s">
        <v>62</v>
      </c>
      <c r="CI1" s="23" t="s">
        <v>63</v>
      </c>
      <c r="CJ1" s="23" t="s">
        <v>64</v>
      </c>
      <c r="CK1" s="23" t="s">
        <v>65</v>
      </c>
      <c r="CL1" s="24" t="s">
        <v>66</v>
      </c>
      <c r="CM1" s="24" t="s">
        <v>67</v>
      </c>
      <c r="CN1" s="24" t="s">
        <v>68</v>
      </c>
      <c r="CO1" s="24" t="s">
        <v>69</v>
      </c>
      <c r="CP1" s="24" t="s">
        <v>70</v>
      </c>
      <c r="CQ1" s="24" t="s">
        <v>71</v>
      </c>
      <c r="CR1" s="24" t="s">
        <v>72</v>
      </c>
      <c r="CS1" s="24" t="s">
        <v>73</v>
      </c>
      <c r="CT1" s="1" t="s">
        <v>74</v>
      </c>
      <c r="CU1" s="25" t="s">
        <v>0</v>
      </c>
      <c r="CV1" s="5" t="s">
        <v>75</v>
      </c>
      <c r="CW1" s="14" t="s">
        <v>76</v>
      </c>
      <c r="CX1" s="14" t="s">
        <v>77</v>
      </c>
      <c r="CY1" s="14" t="s">
        <v>64</v>
      </c>
      <c r="CZ1" s="14" t="s">
        <v>78</v>
      </c>
      <c r="DA1" s="14" t="s">
        <v>79</v>
      </c>
      <c r="DB1" s="14" t="s">
        <v>80</v>
      </c>
      <c r="DC1" s="14" t="s">
        <v>81</v>
      </c>
      <c r="DD1" s="14" t="s">
        <v>82</v>
      </c>
      <c r="DE1" s="14" t="s">
        <v>83</v>
      </c>
      <c r="DF1" s="14" t="s">
        <v>84</v>
      </c>
      <c r="DG1" s="14" t="s">
        <v>85</v>
      </c>
      <c r="DH1" s="14" t="s">
        <v>86</v>
      </c>
      <c r="DI1" s="14" t="s">
        <v>87</v>
      </c>
      <c r="DJ1" s="14" t="s">
        <v>88</v>
      </c>
      <c r="DK1" s="14" t="s">
        <v>89</v>
      </c>
      <c r="DL1" s="14" t="s">
        <v>90</v>
      </c>
      <c r="DM1" s="14" t="s">
        <v>91</v>
      </c>
      <c r="DN1" s="14" t="s">
        <v>92</v>
      </c>
      <c r="DO1" s="14" t="s">
        <v>93</v>
      </c>
      <c r="DP1" s="14" t="s">
        <v>94</v>
      </c>
      <c r="DQ1" s="14" t="s">
        <v>95</v>
      </c>
      <c r="DR1" s="14" t="s">
        <v>54</v>
      </c>
      <c r="DS1" s="14" t="s">
        <v>96</v>
      </c>
      <c r="DT1" s="14" t="s">
        <v>97</v>
      </c>
      <c r="DU1" s="14" t="s">
        <v>98</v>
      </c>
      <c r="DV1" s="14" t="s">
        <v>99</v>
      </c>
      <c r="DW1" s="14" t="s">
        <v>100</v>
      </c>
      <c r="DX1" s="14" t="s">
        <v>101</v>
      </c>
      <c r="DY1" s="14" t="s">
        <v>102</v>
      </c>
      <c r="DZ1" s="14" t="s">
        <v>103</v>
      </c>
      <c r="EA1" s="14" t="s">
        <v>104</v>
      </c>
      <c r="EB1" s="14" t="s">
        <v>105</v>
      </c>
      <c r="EC1" s="14" t="s">
        <v>106</v>
      </c>
      <c r="ED1" s="14" t="s">
        <v>107</v>
      </c>
      <c r="EE1" s="15" t="s">
        <v>16</v>
      </c>
      <c r="EF1" s="14" t="s">
        <v>17</v>
      </c>
      <c r="EG1" s="14" t="s">
        <v>18</v>
      </c>
      <c r="EH1" s="14" t="s">
        <v>19</v>
      </c>
      <c r="EI1" s="14" t="s">
        <v>108</v>
      </c>
      <c r="EJ1" s="14" t="s">
        <v>21</v>
      </c>
      <c r="EK1" s="14" t="s">
        <v>109</v>
      </c>
      <c r="EL1" s="14" t="s">
        <v>110</v>
      </c>
      <c r="EM1" s="14" t="s">
        <v>24</v>
      </c>
      <c r="EN1" s="16" t="s">
        <v>25</v>
      </c>
      <c r="EO1" s="16" t="s">
        <v>26</v>
      </c>
      <c r="EP1" s="16" t="s">
        <v>27</v>
      </c>
      <c r="EQ1" s="16" t="s">
        <v>111</v>
      </c>
      <c r="ER1" s="16" t="s">
        <v>29</v>
      </c>
      <c r="ES1" s="16" t="s">
        <v>30</v>
      </c>
      <c r="ET1" s="16" t="s">
        <v>112</v>
      </c>
      <c r="EU1" s="16" t="s">
        <v>32</v>
      </c>
      <c r="EV1" s="16" t="s">
        <v>33</v>
      </c>
      <c r="EW1" s="16" t="s">
        <v>113</v>
      </c>
      <c r="EX1" s="16" t="s">
        <v>35</v>
      </c>
      <c r="EY1" s="16" t="s">
        <v>36</v>
      </c>
      <c r="EZ1" s="16" t="s">
        <v>37</v>
      </c>
      <c r="FA1" s="16" t="s">
        <v>114</v>
      </c>
      <c r="FB1" s="16" t="s">
        <v>115</v>
      </c>
      <c r="FC1" s="16" t="s">
        <v>116</v>
      </c>
      <c r="FD1" s="16" t="s">
        <v>52</v>
      </c>
      <c r="FE1" s="16" t="s">
        <v>117</v>
      </c>
      <c r="FF1" s="16" t="s">
        <v>118</v>
      </c>
      <c r="FG1" s="16" t="s">
        <v>119</v>
      </c>
      <c r="FH1" s="16" t="s">
        <v>120</v>
      </c>
      <c r="FI1" s="16" t="s">
        <v>121</v>
      </c>
      <c r="FJ1" s="16" t="s">
        <v>122</v>
      </c>
      <c r="FK1" s="16" t="s">
        <v>123</v>
      </c>
      <c r="FL1" s="16" t="s">
        <v>124</v>
      </c>
      <c r="FM1" s="16" t="s">
        <v>125</v>
      </c>
      <c r="FN1" s="16" t="s">
        <v>126</v>
      </c>
      <c r="FO1" s="16" t="s">
        <v>127</v>
      </c>
      <c r="FP1" s="16" t="s">
        <v>128</v>
      </c>
      <c r="FQ1" s="16" t="s">
        <v>129</v>
      </c>
      <c r="FR1" s="16" t="s">
        <v>130</v>
      </c>
      <c r="FS1" s="16" t="s">
        <v>131</v>
      </c>
      <c r="FT1" s="16" t="s">
        <v>132</v>
      </c>
      <c r="FU1" s="16" t="s">
        <v>42</v>
      </c>
      <c r="FV1" s="16" t="s">
        <v>133</v>
      </c>
      <c r="FW1" s="16" t="s">
        <v>56</v>
      </c>
      <c r="FX1" s="16" t="s">
        <v>134</v>
      </c>
      <c r="FY1" s="16" t="s">
        <v>135</v>
      </c>
      <c r="FZ1" s="16" t="s">
        <v>136</v>
      </c>
      <c r="GA1" s="16" t="s">
        <v>137</v>
      </c>
      <c r="GB1" s="16" t="s">
        <v>138</v>
      </c>
      <c r="GC1" s="16" t="s">
        <v>139</v>
      </c>
      <c r="GD1" s="16" t="s">
        <v>140</v>
      </c>
      <c r="GE1" s="16" t="s">
        <v>141</v>
      </c>
      <c r="GF1" s="16" t="s">
        <v>142</v>
      </c>
      <c r="GG1" s="16" t="s">
        <v>143</v>
      </c>
      <c r="GH1" s="16" t="s">
        <v>59</v>
      </c>
      <c r="GI1" s="16" t="s">
        <v>60</v>
      </c>
      <c r="GJ1" s="14" t="s">
        <v>144</v>
      </c>
      <c r="GK1" s="14" t="s">
        <v>145</v>
      </c>
      <c r="GL1" s="14" t="s">
        <v>146</v>
      </c>
      <c r="GM1" s="17" t="s">
        <v>147</v>
      </c>
      <c r="GN1" s="26" t="s">
        <v>148</v>
      </c>
      <c r="GO1" s="26" t="s">
        <v>149</v>
      </c>
      <c r="GP1" s="18" t="s">
        <v>39</v>
      </c>
      <c r="GQ1" s="18" t="s">
        <v>40</v>
      </c>
      <c r="GR1" s="18" t="s">
        <v>41</v>
      </c>
      <c r="GS1" s="21"/>
      <c r="GT1" s="27" t="s">
        <v>50</v>
      </c>
      <c r="GU1" s="27"/>
      <c r="GV1" s="27"/>
      <c r="GW1" s="27"/>
      <c r="GX1" s="28"/>
      <c r="GY1" s="28"/>
      <c r="GZ1" s="28"/>
      <c r="HA1" s="28"/>
      <c r="HB1" s="28"/>
      <c r="HC1" s="28"/>
      <c r="HD1" s="29" t="s">
        <v>11</v>
      </c>
      <c r="HE1" s="30" t="s">
        <v>150</v>
      </c>
      <c r="HF1" s="31"/>
      <c r="HG1" s="32"/>
      <c r="HK1" s="32" t="s">
        <v>3</v>
      </c>
      <c r="HP1" s="33" t="s">
        <v>151</v>
      </c>
      <c r="HQ1" s="33" t="s">
        <v>152</v>
      </c>
      <c r="HR1" s="33" t="s">
        <v>153</v>
      </c>
      <c r="HS1" s="33" t="s">
        <v>154</v>
      </c>
      <c r="HT1" s="33" t="s">
        <v>155</v>
      </c>
      <c r="HU1" s="33" t="s">
        <v>156</v>
      </c>
      <c r="HV1" s="33" t="s">
        <v>157</v>
      </c>
      <c r="HW1" s="33" t="s">
        <v>158</v>
      </c>
      <c r="HX1" s="34" t="s">
        <v>159</v>
      </c>
      <c r="IA1" s="14" t="s">
        <v>160</v>
      </c>
      <c r="IB1" s="35" t="s">
        <v>161</v>
      </c>
      <c r="IC1" s="36" t="s">
        <v>151</v>
      </c>
      <c r="ID1" s="36" t="s">
        <v>152</v>
      </c>
      <c r="IE1" s="36" t="s">
        <v>154</v>
      </c>
      <c r="IF1" s="37" t="s">
        <v>159</v>
      </c>
      <c r="IG1" s="36" t="s">
        <v>155</v>
      </c>
      <c r="IH1" s="36" t="s">
        <v>156</v>
      </c>
      <c r="II1" s="36" t="s">
        <v>153</v>
      </c>
      <c r="IJ1" s="36" t="s">
        <v>157</v>
      </c>
      <c r="IK1" s="36" t="s">
        <v>158</v>
      </c>
      <c r="IO1" s="33" t="s">
        <v>151</v>
      </c>
      <c r="IP1" s="33" t="s">
        <v>152</v>
      </c>
      <c r="IQ1" s="33" t="s">
        <v>153</v>
      </c>
      <c r="IR1" s="33" t="s">
        <v>154</v>
      </c>
      <c r="IS1" s="33" t="s">
        <v>155</v>
      </c>
      <c r="IT1" s="33" t="s">
        <v>156</v>
      </c>
      <c r="IU1" s="33" t="s">
        <v>157</v>
      </c>
      <c r="IV1" s="33" t="s">
        <v>158</v>
      </c>
      <c r="IW1" s="34" t="s">
        <v>159</v>
      </c>
      <c r="IY1" s="5" t="s">
        <v>162</v>
      </c>
    </row>
    <row r="2" spans="1:259" s="44" customFormat="1" ht="38.4" customHeight="1" thickBot="1" x14ac:dyDescent="0.35">
      <c r="A2" s="86" t="s">
        <v>270</v>
      </c>
      <c r="B2" s="83" t="e" vm="101">
        <v>#VALUE!</v>
      </c>
      <c r="C2" s="39">
        <v>1</v>
      </c>
      <c r="D2" s="70" t="s">
        <v>271</v>
      </c>
      <c r="E2" s="40" t="s">
        <v>272</v>
      </c>
      <c r="F2" s="41" t="s">
        <v>163</v>
      </c>
      <c r="G2" s="42">
        <f t="shared" ref="G2:G26" si="0">COUNTIF($A$1:$A$8305,A2)</f>
        <v>1</v>
      </c>
      <c r="H2" s="43"/>
      <c r="I2" s="59" t="s">
        <v>273</v>
      </c>
      <c r="J2" s="44" t="str">
        <f>""</f>
        <v/>
      </c>
      <c r="K2" s="45">
        <v>28838499</v>
      </c>
      <c r="L2" s="46">
        <v>1250000</v>
      </c>
      <c r="M2" s="46" t="s">
        <v>1960</v>
      </c>
      <c r="N2" s="47" t="s">
        <v>177</v>
      </c>
      <c r="O2" s="74" t="s">
        <v>211</v>
      </c>
      <c r="P2" s="48" t="s">
        <v>274</v>
      </c>
      <c r="Q2" s="73">
        <v>1</v>
      </c>
      <c r="R2" s="49" t="s">
        <v>177</v>
      </c>
      <c r="S2" s="50">
        <v>3</v>
      </c>
      <c r="T2" s="51" t="s">
        <v>164</v>
      </c>
      <c r="U2" s="52" t="s">
        <v>164</v>
      </c>
      <c r="V2" s="52" t="s">
        <v>165</v>
      </c>
      <c r="W2" s="52" t="s">
        <v>164</v>
      </c>
      <c r="X2" s="52" t="s">
        <v>164</v>
      </c>
      <c r="Y2" s="52" t="s">
        <v>164</v>
      </c>
      <c r="Z2" s="52" t="s">
        <v>164</v>
      </c>
      <c r="AA2" s="52" t="s">
        <v>164</v>
      </c>
      <c r="AB2" s="52" t="s">
        <v>164</v>
      </c>
      <c r="AC2" s="52" t="s">
        <v>164</v>
      </c>
      <c r="AD2" s="52" t="s">
        <v>164</v>
      </c>
      <c r="AE2" s="52" t="s">
        <v>164</v>
      </c>
      <c r="AF2" s="53" t="s">
        <v>164</v>
      </c>
      <c r="AG2" s="53" t="s">
        <v>164</v>
      </c>
      <c r="AH2" s="53" t="s">
        <v>165</v>
      </c>
      <c r="AI2" s="53" t="s">
        <v>164</v>
      </c>
      <c r="AJ2" s="53" t="s">
        <v>164</v>
      </c>
      <c r="AK2" s="53" t="s">
        <v>164</v>
      </c>
      <c r="AL2" s="53" t="s">
        <v>164</v>
      </c>
      <c r="AM2" s="53" t="s">
        <v>164</v>
      </c>
      <c r="AN2" s="53" t="s">
        <v>164</v>
      </c>
      <c r="AO2" s="53" t="s">
        <v>164</v>
      </c>
      <c r="AP2" s="53" t="s">
        <v>164</v>
      </c>
      <c r="AQ2" s="53" t="s">
        <v>164</v>
      </c>
      <c r="AR2" s="53" t="s">
        <v>164</v>
      </c>
      <c r="AS2" s="53" t="s">
        <v>164</v>
      </c>
      <c r="AT2" s="54">
        <v>8</v>
      </c>
      <c r="AU2" s="53"/>
      <c r="AV2" s="53" t="str">
        <f t="shared" ref="AV2:AV26" si="1">IF(LEFT(A2,1)="[",LEFT(A2,5)&amp;AU2&amp;A2,"")</f>
        <v/>
      </c>
      <c r="AW2" s="53" t="str">
        <f t="shared" ref="AW2:AW26" si="2">C2&amp;A2</f>
        <v>1Venezuela</v>
      </c>
      <c r="AX2" s="55" t="str">
        <f>_xlfn.TEXTJOIN(";",TRUE,AU2:AW2)</f>
        <v>1Venezuela</v>
      </c>
      <c r="AY2" s="55"/>
      <c r="AZ2" s="56" t="s">
        <v>159</v>
      </c>
      <c r="BA2" s="56"/>
      <c r="BB2" s="56"/>
      <c r="BC2" s="57"/>
      <c r="BD2" s="58" t="s">
        <v>167</v>
      </c>
      <c r="BE2" s="59"/>
      <c r="BF2" s="58" t="s">
        <v>155</v>
      </c>
      <c r="BG2" s="58" t="s">
        <v>152</v>
      </c>
      <c r="BH2" s="58" t="s">
        <v>154</v>
      </c>
      <c r="BI2" s="58"/>
      <c r="BJ2" s="58"/>
      <c r="BK2" s="59"/>
      <c r="BL2" s="58" t="s">
        <v>155</v>
      </c>
      <c r="BM2" s="58" t="s">
        <v>152</v>
      </c>
      <c r="BN2" s="58" t="s">
        <v>154</v>
      </c>
      <c r="BO2" s="58" t="s">
        <v>159</v>
      </c>
      <c r="BP2" s="58"/>
      <c r="BQ2" s="58"/>
      <c r="BR2" s="58"/>
      <c r="BS2" s="58"/>
      <c r="BT2" s="58"/>
      <c r="BU2" s="60"/>
      <c r="BV2" s="61" t="s">
        <v>165</v>
      </c>
      <c r="BW2" s="61" t="s">
        <v>179</v>
      </c>
      <c r="BX2" s="59"/>
      <c r="CB2" s="5" t="s">
        <v>138</v>
      </c>
      <c r="CC2" s="5"/>
      <c r="CD2" s="62">
        <v>0</v>
      </c>
      <c r="CE2" s="62">
        <v>0</v>
      </c>
      <c r="CF2" s="62" t="e">
        <v>#REF!</v>
      </c>
      <c r="CG2" s="75" cm="1">
        <f t="array" ref="CG2">SUMPRODUCT(--(LEN(TRIM(BL2:BT2))&gt;0))</f>
        <v>4</v>
      </c>
      <c r="CH2" s="53" t="str">
        <f t="shared" ref="CH2:CH26" si="3">IF(CG2=2,"y","n")</f>
        <v>n</v>
      </c>
      <c r="CI2" s="53" t="str">
        <f t="shared" ref="CI2:CI26" si="4">IF(CG2=3,"y","n")</f>
        <v>n</v>
      </c>
      <c r="CJ2" s="53" t="str">
        <f t="shared" ref="CJ2:CJ26" si="5">IF(CG2=4,"y","n")</f>
        <v>y</v>
      </c>
      <c r="CK2" s="53" t="str">
        <f t="shared" ref="CK2:CK26" si="6">IF(CG2&gt;4,"y","n")</f>
        <v>n</v>
      </c>
      <c r="CL2" s="53" t="str">
        <f t="shared" ref="CL2:CL26" si="7">IF(S2=0,"y","n")</f>
        <v>n</v>
      </c>
      <c r="CM2" s="53" t="str">
        <f t="shared" ref="CM2:CM26" si="8">IF(S2=2,"y","n")</f>
        <v>n</v>
      </c>
      <c r="CN2" s="53" t="str">
        <f t="shared" ref="CN2:CN26" si="9">IF(S2=3,"y","n")</f>
        <v>y</v>
      </c>
      <c r="CO2" s="53" t="str">
        <f t="shared" ref="CO2:CO26" si="10">IF(S2&gt;=4,"y","n")</f>
        <v>n</v>
      </c>
      <c r="CP2" s="53" t="str">
        <f t="shared" ref="CP2:CP26" si="11">IF(AT2=0,"y","n")</f>
        <v>n</v>
      </c>
      <c r="CQ2" s="53" t="str">
        <f t="shared" ref="CQ2:CQ26" si="12">IF(AT2=1,"y","n")</f>
        <v>n</v>
      </c>
      <c r="CR2" s="53" t="str">
        <f t="shared" ref="CR2:CR26" si="13">IF(AT2=2,"y","n")</f>
        <v>n</v>
      </c>
      <c r="CS2" s="53" t="str">
        <f t="shared" ref="CS2:CS26" si="14">IF(AT2&gt;=3,"y","n")</f>
        <v>y</v>
      </c>
      <c r="CT2" s="38" t="str">
        <f t="shared" ref="CT2:CT26" si="15">CHAR(34)&amp;A2&amp;CHAR(34)</f>
        <v>"Venezuela"</v>
      </c>
      <c r="CU2" s="63" t="str">
        <f t="shared" ref="CU2:CU26" si="16">CHAR(34)&amp;"rgn_"&amp;R2&amp;CHAR(34)</f>
        <v>"rgn_South America"</v>
      </c>
      <c r="CV2" s="44" t="str">
        <f t="shared" ref="CV2:CV26" si="17">CHAR(34)&amp;D2&amp;CHAR(34)</f>
        <v>"https://i.ibb.co/FnjCzQh/Venezuela-Flag.png"</v>
      </c>
      <c r="CW2" s="44" t="str">
        <f t="shared" ref="CW2:CW26" si="18">IF(CH2="y",CHAR(34)&amp;CH$1&amp;CHAR(34)&amp;",","")</f>
        <v/>
      </c>
      <c r="CX2" s="44" t="str">
        <f t="shared" ref="CX2:CX26" si="19">IF(CI2="y",CHAR(34)&amp;CI$1&amp;CHAR(34)&amp;",","")</f>
        <v/>
      </c>
      <c r="CY2" s="44" t="str">
        <f t="shared" ref="CY2:CY26" si="20">IF(CJ2="y",CHAR(34)&amp;CJ$1&amp;CHAR(34)&amp;",","")</f>
        <v>"4Color",</v>
      </c>
      <c r="CZ2" s="44" t="str">
        <f t="shared" ref="CZ2:CZ26" si="21">IF(CK2="y",CHAR(34)&amp;CK$1&amp;CHAR(34)&amp;",","")</f>
        <v/>
      </c>
      <c r="DA2" s="44" t="str">
        <f t="shared" ref="DA2:DA26" si="22">IF(Q2&gt;1,CHAR(34)&amp;"words2"&amp;CHAR(34)&amp;",","")</f>
        <v/>
      </c>
      <c r="DB2" s="44" t="str">
        <f t="shared" ref="DB2:DB26" si="23">IF(Q2&gt;2,CHAR(34)&amp;"words3"&amp;CHAR(34)&amp;",","")</f>
        <v/>
      </c>
      <c r="DC2" s="44" t="str">
        <f>IF(Q2=2,CHAR(34)&amp;"exact2"&amp;CHAR(34)&amp;",","")</f>
        <v/>
      </c>
      <c r="DD2" s="44"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4"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"startV",</v>
      </c>
      <c r="DF2" s="44" t="str">
        <f t="shared" ref="DF2:DF26" si="24">IFERROR(IF(SEARCH("tan",A2)&gt;0,CHAR(34)&amp;"withtn"&amp;CHAR(34)&amp;",",""),"")</f>
        <v/>
      </c>
      <c r="DG2" s="44" t="str">
        <f t="shared" ref="DG2:DG26" si="25">IFERROR(IF(SEARCH("q",A2)&gt;0,CHAR(34)&amp;"with_q"&amp;CHAR(34)&amp;",",""),"")</f>
        <v/>
      </c>
      <c r="DH2" s="44" t="str">
        <f t="shared" ref="DH2:DH26" si="26">IFERROR(IF(SEARCH("v",A2)&gt;0,CHAR(34)&amp;"with_v"&amp;CHAR(34)&amp;",",""),"")</f>
        <v>"with_v",</v>
      </c>
      <c r="DI2" s="44" t="str">
        <f t="shared" ref="DI2:DI26" si="27">IFERROR(IF(SEARCH("w",A2)&gt;0,CHAR(34)&amp;"with_w"&amp;CHAR(34)&amp;",",""),"")</f>
        <v/>
      </c>
      <c r="DJ2" s="44" t="str">
        <f t="shared" ref="DJ2:DJ26" si="28">IFERROR(IF(SEARCH("y",A2)&gt;0,CHAR(34)&amp;"with_y"&amp;CHAR(34)&amp;",",""),"")</f>
        <v/>
      </c>
      <c r="DK2" s="44" t="str">
        <f t="shared" ref="DK2:DK26" si="29">IFERROR(IF(SEARCH("z",A2)&gt;0,CHAR(34)&amp;"with_z"&amp;CHAR(34)&amp;",",""),"")</f>
        <v>"with_z",</v>
      </c>
      <c r="DL2" s="44" t="str">
        <f t="shared" ref="DL2:DL26" si="30">IF(CG2=2, CHAR(34) &amp; _xlfn.TEXTJOIN("", TRUE, _xlfn._xlws.SORT(HP2:HX2)) &amp; CHAR(34) &amp; ",", "")</f>
        <v/>
      </c>
      <c r="DM2" s="44" t="str" cm="1">
        <f t="array" ref="DM2">IF(CG2=3,CHAR(34) &amp; _xlfn.TEXTJOIN("", TRUE, RIGHT(HP2:HX2, 2)) &amp; CHAR(34) &amp; ",", "")</f>
        <v/>
      </c>
      <c r="DN2" s="44" t="str">
        <f t="shared" ref="DN2:DN26" si="31">IF(AND(ISNUMBER(SEARCH("18", O2)), ISERROR(SEARCH("1918", O2)), ISERROR(SEARCH("2018", O2))), CHAR(34) &amp; "year18" &amp; CHAR(34) &amp; ",", "")</f>
        <v/>
      </c>
      <c r="DO2" s="44" t="str">
        <f t="shared" ref="DO2:DO26" si="32">IF(AND(ISNUMBER(SEARCH("19", O2)), ISERROR(SEARCH("1819", O2)),  ISERROR(SEARCH("1219", O2)),ISERROR(SEARCH("1119", O2)),ISERROR(SEARCH("1190", O2)),ISERROR(SEARCH("2019", O2))), CHAR(34) &amp; "year19" &amp; CHAR(34) &amp; ",", "")</f>
        <v/>
      </c>
      <c r="DP2" s="5" t="str">
        <f t="shared" ref="DP2:DP26" si="33">IF(AND(ISNUMBER(SEARCH("20", O2)), ISERROR(SEARCH("1920", O2))), CHAR(34)&amp;"year00"&amp;CHAR(34)&amp;",", "")</f>
        <v>"year00",</v>
      </c>
      <c r="DQ2" s="5" t="str">
        <f t="shared" ref="DQ2:DQ26" si="34">IF(CC2="y",CHAR(34)&amp;"soviet"&amp;CHAR(34)&amp;",","")</f>
        <v/>
      </c>
      <c r="DR2" s="5" t="str">
        <f t="shared" ref="DR2:DR26" si="35">IF(BY2="y",CHAR(34)&amp;"dgband"&amp;CHAR(34)&amp;",","")</f>
        <v/>
      </c>
      <c r="DS2" s="5" t="str">
        <f t="shared" ref="DS2:DS26" si="36">IF(W2="y",IF(AND(V2="n",BY2&lt;&gt;"y"),CHAR(34)&amp;"allver"&amp;CHAR(34)&amp;",",""),"")</f>
        <v/>
      </c>
      <c r="DT2" s="5" t="str">
        <f t="shared" ref="DT2:DT26" si="37">IF(V2="y",IF(AND(W2="n",BY2&lt;&gt;"y"),CHAR(34)&amp;"allhor"&amp;CHAR(34)&amp;",",""),"")</f>
        <v>"allhor",</v>
      </c>
      <c r="DU2" s="5" t="str">
        <f t="shared" ref="DU2:DU26" si="38">IF(BY2="y",IF(AND(W2="n",V2="n"),CHAR(34)&amp;"alldia"&amp;CHAR(34)&amp;",",""),"")</f>
        <v/>
      </c>
      <c r="DV2" s="44" t="str">
        <f>IF(IA2&lt;&gt;"",(IF(IA2="y",CHAR(34)&amp;"largec"&amp;CHAR(34)&amp;",",CHAR(34)&amp;"smallc"&amp;CHAR(34)&amp;",")),"")</f>
        <v/>
      </c>
      <c r="DW2" s="44" t="str">
        <f t="shared" ref="DW2:DW26" si="39">IF(CL2="y",CHAR(34)&amp;CL$1&amp;CHAR(34)&amp;",","")</f>
        <v/>
      </c>
      <c r="DX2" s="44" t="str">
        <f t="shared" ref="DX2:DX26" si="40">IF(CM2="y",CHAR(34)&amp;CM$1&amp;CHAR(34)&amp;",","")</f>
        <v/>
      </c>
      <c r="DY2" s="44" t="str">
        <f t="shared" ref="DY2:DY26" si="41">IF(CN2="y",CHAR(34)&amp;CN$1&amp;CHAR(34)&amp;",","")</f>
        <v>"3Bands",</v>
      </c>
      <c r="DZ2" s="44" t="str">
        <f t="shared" ref="DZ2:DZ26" si="42">IF(CO2="y",CHAR(34)&amp;CO$1&amp;CHAR(34)&amp;",","")</f>
        <v/>
      </c>
      <c r="EA2" s="44" t="str">
        <f t="shared" ref="EA2:EA26" si="43">IF(T2="y",CHAR(34)&amp;T$1&amp;CHAR(34)&amp;",","")</f>
        <v/>
      </c>
      <c r="EB2" s="44" t="str">
        <f t="shared" ref="EB2:EB26" si="44">IF(U2="y",CHAR(34)&amp;U$1&amp;CHAR(34)&amp;",","")</f>
        <v/>
      </c>
      <c r="EC2" s="44" t="str">
        <f t="shared" ref="EC2:EC26" si="45">IF(V2="y",CHAR(34)&amp;V$1&amp;CHAR(34)&amp;",","")</f>
        <v>"Horizo",</v>
      </c>
      <c r="ED2" s="44" t="str">
        <f t="shared" ref="ED2:ED26" si="46">IF(W2="y",CHAR(34)&amp;W$1&amp;CHAR(34)&amp;",","")</f>
        <v/>
      </c>
      <c r="EE2" s="44" t="str">
        <f t="shared" ref="EE2:EE26" si="47">IF(X2="y",CHAR(34)&amp;X$1&amp;CHAR(34)&amp;",","")</f>
        <v/>
      </c>
      <c r="EF2" s="44" t="str">
        <f t="shared" ref="EF2:EF26" si="48">IF(AND(Y2&lt;&gt;"n",Y2&lt;&gt;""),CHAR(34)&amp;Y$1&amp;CHAR(34)&amp;",","")</f>
        <v/>
      </c>
      <c r="EG2" s="44" t="str">
        <f t="shared" ref="EG2:EG26" si="49">IF(Z2="y",CHAR(34)&amp;Z$1&amp;CHAR(34)&amp;",","")</f>
        <v/>
      </c>
      <c r="EH2" s="44" t="str">
        <f t="shared" ref="EH2:EH26" si="50">IF(AA2="y",CHAR(34)&amp;AA$1&amp;CHAR(34)&amp;",","")</f>
        <v/>
      </c>
      <c r="EI2" s="44" t="str">
        <f t="shared" ref="EI2:EI26" si="51">IF(AB2="y",CHAR(34)&amp;AB$1&amp;CHAR(34)&amp;",","")</f>
        <v/>
      </c>
      <c r="EJ2" s="44" t="str">
        <f t="shared" ref="EJ2:EJ26" si="52">IF(AC2="y",CHAR(34)&amp;AC$1&amp;CHAR(34)&amp;",","")</f>
        <v/>
      </c>
      <c r="EK2" s="44" t="str">
        <f t="shared" ref="EK2:EK26" si="53">IF(AD2="y",CHAR(34)&amp;AD$1&amp;CHAR(34)&amp;",","")</f>
        <v/>
      </c>
      <c r="EL2" s="44" t="str">
        <f t="shared" ref="EL2:EL26" si="54">IF(AE2="y",CHAR(34)&amp;AE$1&amp;CHAR(34)&amp;",","")</f>
        <v/>
      </c>
      <c r="EM2" s="44" t="str">
        <f t="shared" ref="EM2:EM26" si="55">IF(AF2="y",CHAR(34)&amp;AF$1&amp;CHAR(34)&amp;",","")</f>
        <v/>
      </c>
      <c r="EN2" s="44" t="str">
        <f t="shared" ref="EN2:EN26" si="56">IF(AG2="y",CHAR(34)&amp;AG$1&amp;CHAR(34)&amp;",","")</f>
        <v/>
      </c>
      <c r="EO2" s="44" t="str">
        <f t="shared" ref="EO2:EO26" si="57">IF(AH2="y",CHAR(34)&amp;AH$1&amp;CHAR(34)&amp;",","")</f>
        <v>"Center",</v>
      </c>
      <c r="EP2" s="44" t="str">
        <f t="shared" ref="EP2:EP26" si="58">IF(AI2="y",CHAR(34)&amp;AI$1&amp;CHAR(34)&amp;",","")</f>
        <v/>
      </c>
      <c r="EQ2" s="44" t="str">
        <f t="shared" ref="EQ2:EQ26" si="59">IF(AJ2="y",CHAR(34)&amp;AJ$1&amp;CHAR(34)&amp;",","")</f>
        <v/>
      </c>
      <c r="ER2" s="44" t="str">
        <f t="shared" ref="ER2:ER26" si="60">IF(AK2="y",CHAR(34)&amp;AK$1&amp;CHAR(34)&amp;",","")</f>
        <v/>
      </c>
      <c r="ES2" s="44" t="str">
        <f t="shared" ref="ES2:ES26" si="61">IF(AL2="y",CHAR(34)&amp;AL$1&amp;CHAR(34)&amp;",","")</f>
        <v/>
      </c>
      <c r="ET2" s="44" t="str">
        <f t="shared" ref="ET2:ET26" si="62">IF(AM2="y",CHAR(34)&amp;AM$1&amp;CHAR(34)&amp;",","")</f>
        <v/>
      </c>
      <c r="EU2" s="44" t="str">
        <f t="shared" ref="EU2:EU26" si="63">IF(AN2="y",CHAR(34)&amp;AN$1&amp;CHAR(34)&amp;",","")</f>
        <v/>
      </c>
      <c r="EV2" s="44" t="str">
        <f t="shared" ref="EV2:EV26" si="64">IF(AO2="y",CHAR(34)&amp;AO$1&amp;CHAR(34)&amp;",","")</f>
        <v/>
      </c>
      <c r="EW2" s="44" t="str">
        <f t="shared" ref="EW2:EW26" si="65">IF(AP2="y",CHAR(34)&amp;AP$1&amp;CHAR(34)&amp;",","")</f>
        <v/>
      </c>
      <c r="EX2" s="44" t="str">
        <f t="shared" ref="EX2:EX26" si="66">IF(AQ2="y",CHAR(34)&amp;AQ$1&amp;CHAR(34)&amp;",","")</f>
        <v/>
      </c>
      <c r="EY2" s="44" t="str">
        <f t="shared" ref="EY2:EY26" si="67">IF(AR2="y",CHAR(34)&amp;AR$1&amp;CHAR(34)&amp;",","")</f>
        <v/>
      </c>
      <c r="EZ2" s="44" t="str">
        <f t="shared" ref="EZ2:EZ26" si="68">IF(AS2="y",CHAR(34)&amp;AS$1&amp;CHAR(34)&amp;",","")</f>
        <v/>
      </c>
      <c r="FA2" s="44" t="str">
        <f t="shared" ref="FA2:FA26" si="69">IF(AT2&gt;0,CHAR(34)&amp;"sta"&amp;AZ2&amp;CHAR(34)&amp;",","")</f>
        <v>"staWHI",</v>
      </c>
      <c r="FB2" s="44" t="str">
        <f t="shared" ref="FB2:FB26" si="70">IF(AND(AT2&gt;0,BA2&lt;&gt;""),CHAR(34)&amp;"sta"&amp;BA2&amp;CHAR(34)&amp;",","")</f>
        <v/>
      </c>
      <c r="FC2" s="44" t="str">
        <f>IF(AND(AT2&gt;0,BB2&lt;&gt;""),CHAR(34)&amp;"sta"&amp;BB2&amp;CHAR(34)&amp;",","")</f>
        <v/>
      </c>
      <c r="FD2" s="44" t="str">
        <f t="shared" ref="FD2:FD26" si="71">IF(BV2="n",CHAR(34)&amp;"tcWHYE"&amp;CHAR(34)&amp;",",IF(BV2="y",CHAR(34)&amp;FD$1&amp;CHAR(34)&amp;",",""))</f>
        <v>"ntWHYE",</v>
      </c>
      <c r="FE2" s="44" t="str">
        <f t="shared" ref="FE2:FE26" si="72">IF(COUNTIF(BL2:BT2,"BLU")=0,CHAR(34)&amp;"NO_BLU"&amp;CHAR(34)&amp;",", "")</f>
        <v/>
      </c>
      <c r="FF2" s="44" t="str">
        <f t="shared" ref="FF2:FF26" si="73">IF(COUNTIF(BL2:BT2,"WHI")=0,CHAR(34)&amp;"NO_WHI"&amp;CHAR(34)&amp;",", "")</f>
        <v/>
      </c>
      <c r="FG2" s="44" t="str">
        <f t="shared" ref="FG2:FG26" si="74">IF(COUNTIF(BL2:BT2,"RED")=0,CHAR(34)&amp;"NO_RED"&amp;CHAR(34)&amp;",", "")</f>
        <v/>
      </c>
      <c r="FH2" s="44" t="str">
        <f t="shared" ref="FH2:FH26" si="75">IF(COUNTIF(BL2:BS2,"GRE")=0,CHAR(34)&amp;"NO_GRE"&amp;CHAR(34)&amp;",", "")</f>
        <v>"NO_GRE",</v>
      </c>
      <c r="FI2" s="44" t="str">
        <f t="shared" ref="FI2:FI26" si="76">IF(COUNTIF(BL2:BT2,"YEL")=0,CHAR(34)&amp;"NO_YEL"&amp;CHAR(34)&amp;",", "")</f>
        <v/>
      </c>
      <c r="FJ2" s="44" t="str">
        <f t="shared" ref="FJ2:FJ26" si="77">IF(COUNTIF(BL2:BT2,"BLA")=0,CHAR(34)&amp;"NO_BLA"&amp;CHAR(34)&amp;",", "")</f>
        <v>"NO_BLA",</v>
      </c>
      <c r="FK2" s="44" t="str">
        <f t="shared" ref="FK2:FK26" si="78">IF(AND(FH2&lt;&gt;"",FF2&lt;&gt;""),CHAR(34)&amp;"WHGRNO"&amp;CHAR(34)&amp;",","")</f>
        <v/>
      </c>
      <c r="FL2" s="44" t="str">
        <f t="shared" ref="FL2:FL26" si="79">IF(AND(FI2&lt;&gt;"",FF2&lt;&gt;""),CHAR(34)&amp;"WHYENO"&amp;CHAR(34)&amp;",","")</f>
        <v/>
      </c>
      <c r="FM2" s="44" t="str">
        <f t="shared" ref="FM2:FM26" si="80">IF(AND(FJ2&lt;&gt;"",FF2&lt;&gt;""),CHAR(34)&amp;"BAWHNO"&amp;CHAR(34)&amp;",","")</f>
        <v/>
      </c>
      <c r="FN2" s="44" t="str">
        <f t="shared" ref="FN2:FN26" si="81">IF(AND(FE2&lt;&gt;"",FF2&lt;&gt;""),CHAR(34)&amp;"BLWHNO"&amp;CHAR(34)&amp;",","")</f>
        <v/>
      </c>
      <c r="FO2" s="44" t="str">
        <f t="shared" ref="FO2:FO26" si="82">IF(AND(FE2&lt;&gt;"",FG2&lt;&gt;""),CHAR(34)&amp;"BLRENO"&amp;CHAR(34)&amp;",","")</f>
        <v/>
      </c>
      <c r="FP2" s="44" t="str">
        <f t="shared" ref="FP2:FP26" si="83">IF(AND(FF2&lt;&gt;"",FF2&lt;&gt;""),CHAR(34)&amp;"WHRENO"&amp;CHAR(34)&amp;",","")</f>
        <v/>
      </c>
      <c r="FQ2" s="44" t="str">
        <f t="shared" ref="FQ2:FQ26" si="84">IF(LEN(BF2)=3,CHAR(34)&amp;"001"&amp;BF2&amp;CHAR(34)&amp;",","")</f>
        <v>"001YEL",</v>
      </c>
      <c r="FR2" s="44" t="str">
        <f t="shared" ref="FR2:FR26" si="85">IF(LEN(BG2)=3,CHAR(34)&amp;"002"&amp;BG2&amp;CHAR(34)&amp;",","")</f>
        <v>"002BLU",</v>
      </c>
      <c r="FS2" s="44" t="str">
        <f t="shared" ref="FS2:FS26" si="86">IF(LEN(BH2)=3,CHAR(34)&amp;"003"&amp;BH2&amp;CHAR(34)&amp;",","")</f>
        <v>"003RED",</v>
      </c>
      <c r="FT2" s="44" t="str">
        <f t="shared" ref="FT2:FT26" si="87">CHAR(34)&amp;"myr"&amp;BD2&amp;CHAR(34)&amp;","</f>
        <v>"myrEQ",</v>
      </c>
      <c r="FU2" s="44" t="str">
        <f t="shared" ref="FU2:FU26" si="88">IF(AY2="y",CHAR(34)&amp;"island"&amp;CHAR(34)&amp;",","")</f>
        <v/>
      </c>
      <c r="FV2" s="44" t="str">
        <f t="shared" ref="FV2:FV26" si="89">IF(BZ2="y",CHAR(34)&amp;"landlo"&amp;CHAR(34)&amp;",","")</f>
        <v/>
      </c>
      <c r="FW2" s="44" t="str">
        <f t="shared" ref="FW2:FW26" si="90">IF(CA2="y",CHAR(34)&amp;"eunion"&amp;CHAR(34)&amp;",","")</f>
        <v/>
      </c>
      <c r="FX2" s="44" t="str">
        <f>SUBSTITUTE(IFERROR(SEARCH("[",A2),IFERROR(IF(AND(CA2&lt;&gt;"y",SEARCH("Europe",R2)&gt;0),CHAR(34)&amp;"noeuni"&amp;CHAR(34)&amp;",",""),"")),"1","")</f>
        <v/>
      </c>
      <c r="FY2" s="44" t="str">
        <f t="shared" ref="FY2:FY26" si="91">IFERROR(IF(SEARCH("Arabic",CB2)&gt;0,CHAR(34)&amp;"arabic"&amp;CHAR(34)&amp;",",""),"")</f>
        <v/>
      </c>
      <c r="FZ2" s="44" t="str">
        <f t="shared" ref="FZ2:FZ26" si="92">IFERROR(IF(SEARCH("English",CB2)&gt;0,CHAR(34)&amp;"englis"&amp;CHAR(34)&amp;",",""),"")</f>
        <v/>
      </c>
      <c r="GA2" s="44" t="str">
        <f t="shared" ref="GA2:GA26" si="93">IFERROR(IF(SEARCH("French",CB2)&gt;0,CHAR(34)&amp;"french"&amp;CHAR(34)&amp;",",""),"")</f>
        <v/>
      </c>
      <c r="GB2" s="44" t="str">
        <f t="shared" ref="GB2:GB26" si="94">IFERROR(IF(SEARCH("Spanish",CB2)&gt;0,CHAR(34)&amp;"spanis"&amp;CHAR(34)&amp;",",""),"")</f>
        <v>"spanis",</v>
      </c>
      <c r="GC2" s="44" t="str">
        <f>IFERROR(IF(SEARCH("Portuguese",CB2)&gt;0,CHAR(34)&amp;"portug"&amp;CHAR(34)&amp;",",""),"")</f>
        <v/>
      </c>
      <c r="GD2" s="44" t="str">
        <f>IFERROR(IF(SEARCH("German",CB2)&gt;0,CHAR(34)&amp;"german"&amp;CHAR(34)&amp;",",""),"")</f>
        <v/>
      </c>
      <c r="GE2" s="44" t="str">
        <f t="shared" ref="GE2:GE26" si="95">IFERROR(IF(SEARCH("Dutch",CB2)&gt;0,CHAR(34)&amp;"dutchs"&amp;CHAR(34)&amp;",",""),"")</f>
        <v/>
      </c>
      <c r="GF2" s="44" t="str">
        <f>IFERROR(IF(SEARCH("Histor",AU2)&gt;0,CHAR(34)&amp;"histor"&amp;CHAR(34)&amp;",",""),"")</f>
        <v/>
      </c>
      <c r="GG2" s="44" t="str">
        <f t="shared" ref="GG2:GG26" si="96">IF(BU2="y",CHAR(34)&amp;"unjack"&amp;CHAR(34)&amp;",","")</f>
        <v/>
      </c>
      <c r="GH2" s="44" t="str">
        <f t="shared" ref="GH2:GH26" si="97">IF(CD2=1,CHAR(34)&amp;"southc"&amp;CHAR(34)&amp;",","")</f>
        <v/>
      </c>
      <c r="GI2" s="44" t="str">
        <f t="shared" ref="GI2:GI26" si="98">IF(CE2=1,CHAR(34)&amp;"hasmap"&amp;CHAR(34)&amp;",","")</f>
        <v/>
      </c>
      <c r="GJ2" s="44" t="str">
        <f t="shared" ref="GJ2:GJ26" si="99">IF(CP2="y",CHAR(34)&amp;CP$1&amp;CHAR(34)&amp;",","")</f>
        <v/>
      </c>
      <c r="GK2" s="44" t="str">
        <f t="shared" ref="GK2:GK26" si="100">IF(GJ2="",CHAR(34)&amp;"HasSta"&amp;CHAR(34)&amp;",","")</f>
        <v>"HasSta",</v>
      </c>
      <c r="GL2" s="44" t="str">
        <f t="shared" ref="GL2:GL26" si="101">IF(CQ2="y",CHAR(34)&amp;CQ$1&amp;CHAR(34)&amp;",","")</f>
        <v/>
      </c>
      <c r="GM2" s="44" t="str">
        <f t="shared" ref="GM2:GM26" si="102">IF(CR2="y",CHAR(34)&amp;CR$1&amp;CHAR(34)&amp;",","")</f>
        <v/>
      </c>
      <c r="GN2" s="44" t="str">
        <f t="shared" ref="GN2:GN26" si="103">IF(CS2="y",CHAR(34)&amp;CS$1&amp;CHAR(34)&amp;",","")</f>
        <v>"3+Star",</v>
      </c>
      <c r="GP2" s="44" t="str">
        <f t="shared" ref="GP2:GP26" si="104">CHAR(34)&amp;AU2&amp;CHAR(34)</f>
        <v>""</v>
      </c>
      <c r="GS2" s="44" t="str">
        <f t="shared" ref="GS2:GS26" si="105">SUBSTITUTE("["&amp;_xlfn.CONCAT(CW2:GN2)&amp;"]",",]","]")</f>
        <v>["4Color","lets09","startV","with_v","with_z","year00","allhor","3Bands","Horizo","Center","staWHI","ntWHYE","NO_GRE","NO_BLA","001YEL","002BLU","003RED","myrEQ","spanis","HasSta","3+Star"]</v>
      </c>
      <c r="GT2" s="44" t="str">
        <f t="shared" ref="GT2:GT26" si="106">IF(BL2&lt;&gt;"",CHAR(34)&amp;"cl_"&amp;BL2&amp;CHAR(34)&amp;",","")</f>
        <v>"cl_YEL",</v>
      </c>
      <c r="GU2" s="44" t="str">
        <f t="shared" ref="GU2:GU26" si="107">IF(BM2&lt;&gt;"",CHAR(34)&amp;"cl_"&amp;BM2&amp;CHAR(34)&amp;",","")</f>
        <v>"cl_BLU",</v>
      </c>
      <c r="GV2" s="44" t="str">
        <f t="shared" ref="GV2:GV26" si="108">IF(BN2&lt;&gt;"",CHAR(34)&amp;"cl_"&amp;BN2&amp;CHAR(34)&amp;",","")</f>
        <v>"cl_RED",</v>
      </c>
      <c r="GW2" s="44" t="str">
        <f t="shared" ref="GW2:GW26" si="109">IF(BO2&lt;&gt;"",CHAR(34)&amp;"cl_"&amp;BO2&amp;CHAR(34)&amp;",","")</f>
        <v>"cl_WHI",</v>
      </c>
      <c r="GX2" s="44" t="str">
        <f t="shared" ref="GX2:GX26" si="110">IF(BP2&lt;&gt;"",CHAR(34)&amp;"cl_"&amp;BP2&amp;CHAR(34)&amp;",","")</f>
        <v/>
      </c>
      <c r="GY2" s="44" t="str">
        <f t="shared" ref="GY2:GY26" si="111">IF(BQ2&lt;&gt;"",CHAR(34)&amp;"cl_"&amp;BQ2&amp;CHAR(34)&amp;",","")</f>
        <v/>
      </c>
      <c r="GZ2" s="44" t="str">
        <f t="shared" ref="GZ2:GZ26" si="112">IF(BR2&lt;&gt;"",CHAR(34)&amp;"cl_"&amp;BR2&amp;CHAR(34)&amp;",","")</f>
        <v/>
      </c>
      <c r="HA2" s="44" t="str">
        <f t="shared" ref="HA2:HA26" si="113">IF(BS2&lt;&gt;"",CHAR(34)&amp;"cl_"&amp;BS2&amp;CHAR(34)&amp;",","")</f>
        <v/>
      </c>
      <c r="HB2" s="44" t="str">
        <f t="shared" ref="HB2:HB26" si="114">IF(BT2&lt;&gt;"",CHAR(34)&amp;"cl_"&amp;BT2&amp;CHAR(34)&amp;",","")</f>
        <v/>
      </c>
      <c r="HC2" s="44" t="str">
        <f t="shared" ref="HC2:HC26" si="115">SUBSTITUTE("["&amp;_xlfn.CONCAT(GT2:HB2)&amp;"]",",]","]")</f>
        <v>["cl_YEL","cl_BLU","cl_RED","cl_WHI"]</v>
      </c>
      <c r="HE2" s="64"/>
      <c r="HF2" s="65" t="str">
        <f t="shared" ref="HF2:HF26" si="116">"{couname:"&amp;CT2&amp;(IF(HK2&lt;&gt;"",",subtype:"&amp;CHAR(34)&amp;HK2&amp;CHAR(34),""))&amp;",year:"&amp;HJ2&amp;",region:"&amp;CU2&amp;",Colors:"&amp;HC2&amp;",Items:"&amp;GS2&amp;",Flag:"&amp;CV2&amp;",HDFlag:"&amp;CHAR(34)&amp;E2&amp;CHAR(34)&amp;",type:"&amp;GP2&amp;", describe: "&amp;HH2&amp;", isnew:"&amp;CHAR(34)&amp;F2&amp;CHAR(34)&amp;", links: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links: "https://en.wikipedia.org/wiki/Flag_of_Venezuela"},</v>
      </c>
      <c r="HG2" s="66" t="str">
        <f t="shared" ref="HG2:HG26" si="117">"{couname:"&amp;CT2&amp;(IF(HK2&lt;&gt;"",",subtype:"&amp;CHAR(34)&amp;HK2&amp;CHAR(34),""))&amp;",year:"&amp;HJ2&amp;",region:"&amp;CU2&amp;",Colors:"&amp;HC2&amp;",Items:"&amp;GS2&amp;",Flag:"&amp;CV2&amp;",HDFlag:"&amp;CHAR(34)&amp;E2&amp;CHAR(34)&amp;",type:"&amp;GP2&amp;", describe: "&amp;HI2&amp;", links: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links: "https://en.wikipedia.org/wiki/Flag_of_Venezuela"},</v>
      </c>
      <c r="HH2" s="44" t="str">
        <f t="shared" ref="HH2:HH26" si="118">IF(P2&lt;&gt;"",CHAR(34)&amp;"\n"&amp;P2&amp;CHAR(34),CHAR(34)&amp;CHAR(34))</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I2" s="44" t="str">
        <f t="shared" ref="HI2:HI26" si="119">IF(J2=0,CHAR(34)&amp;CHAR(34),HH2)</f>
        <v>"\n\n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v>
      </c>
      <c r="HJ2" s="44" t="str">
        <f t="shared" ref="HJ2:HJ26" si="120">CHAR(34)&amp;O2&amp;CHAR(34)</f>
        <v>"2006 "</v>
      </c>
      <c r="HL2" s="44" t="str">
        <f t="shared" ref="HL2:HL26" si="121">CHAR(34)&amp;I2&amp;CHAR(34)</f>
        <v>"https://en.wikipedia.org/wiki/Flag_of_Venezuela"</v>
      </c>
      <c r="HM2" s="65" t="str">
        <f t="shared" ref="HM2:HM26" si="122">"{"&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N2" s="67" t="str">
        <f t="shared" ref="HN2:HN26" si="123">"{"&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{"couname":"Venezuela","year":"2006 ","region":"rgn_South America","Colors":["cl_YEL","cl_BLU","cl_RED","cl_WHI"],"Items":["4Color","lets09","startV","with_v","with_z","year00","allhor","3Bands","Horizo","Center","staWHI","ntWHYE","NO_GRE","NO_BLA","001YEL","002BLU","003RED","myrEQ","spanis","HasSta","3+Star"],"Flag":"https://i.ibb.co/FnjCzQh/Venezuela-Flag.png","HDFlag":"https://upload.wikimedia.org/wikipedia/commons/thumb/0/06/Flag_of_Venezuela.svg/2560px-Flag_of_Venezuela.svg.png","type":"", "describe": "\n\n • Yellow: Represents the riches of the country, the wealth of Venezuelan soil, gold, sovereignty, harmony, justice and agriculture, as well as the Sun, the source of light.\n\n • Blue: Represents the Sea of the Caribbean that surrounds the country, as well as Venezuela's beaches.\n\n • Red: Represents the blood spilt in the battle of independence from Spain.", "isnew": ".", "links": "https://en.wikipedia.org/wiki/Flag_of_Venezuela"},</v>
      </c>
      <c r="HO2" s="71"/>
      <c r="HP2" s="44" t="str" cm="1">
        <f t="array" ref="HP2">IF(_xlfn.TEXTJOIN(", ", TRUE, IF(ISNUMBER(SEARCH("BLA", BL2:BT2)), COLUMN(BL2:BT2) - COLUMN(BL2) + 1, ""))&lt;&gt;"","BLA","")</f>
        <v/>
      </c>
      <c r="HQ2" s="44" t="str" cm="1">
        <f t="array" ref="HQ2">IF(_xlfn.TEXTJOIN(", ", TRUE, IF(ISNUMBER(SEARCH("BLU", BL2:BT2)), COLUMN(BL2:BT2) - COLUMN(BL2) + 1, ""))&lt;&gt;"","BLU","")</f>
        <v>BLU</v>
      </c>
      <c r="HR2" s="44" t="str" cm="1">
        <f t="array" ref="HR2">IF(_xlfn.TEXTJOIN(", ", TRUE, IF(ISNUMBER(SEARCH("GRE", BL2:BT2)), COLUMN(BL2:BT2) - COLUMN(BL2) + 1, ""))&lt;&gt;"","GRE","")</f>
        <v/>
      </c>
      <c r="HS2" s="44" t="str" cm="1">
        <f t="array" ref="HS2">IF(_xlfn.TEXTJOIN(", ", TRUE, IF(ISNUMBER(SEARCH("RED", BL2:BT2)), COLUMN(BL2:BT2) - COLUMN(BL2) + 1, ""))&lt;&gt;"","RED","")</f>
        <v>RED</v>
      </c>
      <c r="HT2" s="44" t="str" cm="1">
        <f t="array" ref="HT2">IF(_xlfn.TEXTJOIN(", ", TRUE, IF(ISNUMBER(SEARCH("YEL", BL2:BT2)), COLUMN(BL2:BT2) - COLUMN(BL2) + 1, ""))&lt;&gt;"","YEL","")</f>
        <v>YEL</v>
      </c>
      <c r="HU2" s="44" t="str" cm="1">
        <f t="array" ref="HU2">IF(_xlfn.TEXTJOIN(", ", TRUE, IF(ISNUMBER(SEARCH("ORA", BL2:BT2)), COLUMN(BL2:BT2) - COLUMN(BL2) + 1, ""))&lt;&gt;"","ORA","")</f>
        <v/>
      </c>
      <c r="HV2" s="44" t="str" cm="1">
        <f t="array" ref="HV2">IF(_xlfn.TEXTJOIN(", ", TRUE, IF(ISNUMBER(SEARCH("BRO", BL2:BT2)), COLUMN(BL2:BT2) - COLUMN(BL2) + 1, ""))&lt;&gt;"","BRO","")</f>
        <v/>
      </c>
      <c r="HW2" s="44" t="str" cm="1">
        <f t="array" ref="HW2">IF(_xlfn.TEXTJOIN(", ", TRUE, IF(ISNUMBER(SEARCH("PUR", BL2:BT2)), COLUMN(BL2:BT2) - COLUMN(BL2) + 1, ""))&lt;&gt;"","PUR","")</f>
        <v/>
      </c>
      <c r="HX2" s="44" t="str" cm="1">
        <f t="array" ref="HX2">IF(_xlfn.TEXTJOIN(", ", TRUE, IF(ISNUMBER(SEARCH("WHI", BL2:BT2)), COLUMN(BL2:BT2) - COLUMN(BL2) + 1, ""))&lt;&gt;"","WHI","")</f>
        <v>WHI</v>
      </c>
      <c r="HY2" s="72"/>
      <c r="HZ2" s="72"/>
      <c r="IA2" s="5"/>
      <c r="IB2" s="5"/>
      <c r="IC2" s="68"/>
      <c r="ID2" s="68"/>
      <c r="IE2" s="68"/>
      <c r="IF2" s="68"/>
      <c r="IG2" s="68"/>
      <c r="IH2" s="68"/>
      <c r="II2" s="68"/>
      <c r="IJ2" s="68"/>
      <c r="IK2" s="68"/>
      <c r="IL2" s="44">
        <f>SUM(IC2:IK2)</f>
        <v>0</v>
      </c>
      <c r="IM2" s="42">
        <f t="shared" ref="IM2:IM26" si="124">COUNTIF(IC2:IK2,"&gt;0")-CG2</f>
        <v>-4</v>
      </c>
      <c r="IN2" s="69" t="str">
        <f t="shared" ref="IN2:IN26" si="125">"http://mkweb.bcgsc.ca/color-summarizer/?url="&amp;D2&amp;"&amp;precision=low&amp;num_clusters="&amp;CG2&amp;"&amp;text=1"</f>
        <v>http://mkweb.bcgsc.ca/color-summarizer/?url=https://i.ibb.co/FnjCzQh/Venezuela-Flag.png&amp;precision=low&amp;num_clusters=4&amp;text=1</v>
      </c>
      <c r="IO2" s="44" t="str">
        <f t="shared" ref="IO2:IO26" si="126">IF(HP2&lt;&gt;"",CHAR(34)&amp;"black"&amp;CHAR(34),"")</f>
        <v/>
      </c>
      <c r="IP2" s="44" t="str">
        <f t="shared" ref="IP2:IP26" si="127">IF(HQ2&lt;&gt;"",CHAR(34)&amp;"blue"&amp;CHAR(34),"")</f>
        <v>"blue"</v>
      </c>
      <c r="IQ2" s="44" t="str">
        <f t="shared" ref="IQ2:IQ26" si="128">IF(HR2&lt;&gt;"",CHAR(34)&amp;"green"&amp;CHAR(34),"")</f>
        <v/>
      </c>
      <c r="IR2" s="44" t="str">
        <f t="shared" ref="IR2:IR26" si="129">IF(HS2&lt;&gt;"",CHAR(34)&amp;"red"&amp;CHAR(34),"")</f>
        <v>"red"</v>
      </c>
      <c r="IS2" s="44" t="str">
        <f t="shared" ref="IS2:IS26" si="130">IF(HT2&lt;&gt;"",CHAR(34)&amp;"yellow"&amp;CHAR(34),"")</f>
        <v>"yellow"</v>
      </c>
      <c r="IT2" s="44" t="str">
        <f t="shared" ref="IT2:IT26" si="131">IF(HU2&lt;&gt;"",CHAR(34)&amp;"orange"&amp;CHAR(34),"")</f>
        <v/>
      </c>
      <c r="IU2" s="44" t="str">
        <f t="shared" ref="IU2:IU26" si="132">IF(HV2&lt;&gt;"",CHAR(34)&amp;"brown"&amp;CHAR(34),"")</f>
        <v/>
      </c>
      <c r="IV2" s="44" t="str">
        <f t="shared" ref="IV2:IV26" si="133">IF(HW2&lt;&gt;"",CHAR(34)&amp;"purple"&amp;CHAR(34),"")</f>
        <v/>
      </c>
      <c r="IW2" s="44" t="str">
        <f t="shared" ref="IW2:IW26" si="134">IF(HX2&lt;&gt;"",CHAR(34)&amp;"white"&amp;CHAR(34),"")</f>
        <v>"white"</v>
      </c>
      <c r="IX2" s="44" t="str">
        <f t="shared" ref="IX2:IX26" si="135">"{"&amp;CHAR(34)&amp;"url"&amp;CHAR(34)&amp;":"&amp;CHAR(34)&amp;IN2&amp;CHAR(34)&amp;","&amp;CHAR(34)&amp;"name"&amp;CHAR(34)&amp;":"&amp;CHAR(34)&amp;A2&amp;CHAR(34)&amp;"},"</f>
        <v>{"url":"http://mkweb.bcgsc.ca/color-summarizer/?url=https://i.ibb.co/FnjCzQh/Venezuela-Flag.png&amp;precision=low&amp;num_clusters=4&amp;text=1","name":"Venezuela"},</v>
      </c>
      <c r="IY2" s="44">
        <v>237</v>
      </c>
    </row>
    <row r="3" spans="1:259" s="44" customFormat="1" ht="38.4" customHeight="1" thickBot="1" x14ac:dyDescent="0.35">
      <c r="A3" s="84" t="s">
        <v>725</v>
      </c>
      <c r="B3" s="83" t="e" vm="102">
        <v>#VALUE!</v>
      </c>
      <c r="C3" s="39">
        <v>2</v>
      </c>
      <c r="D3" s="70" t="s">
        <v>726</v>
      </c>
      <c r="E3" s="40" t="s">
        <v>727</v>
      </c>
      <c r="F3" s="41" t="s">
        <v>163</v>
      </c>
      <c r="G3" s="42">
        <f t="shared" si="0"/>
        <v>1</v>
      </c>
      <c r="H3" s="43"/>
      <c r="I3" s="59" t="s">
        <v>728</v>
      </c>
      <c r="J3" s="44" t="str">
        <f>""</f>
        <v/>
      </c>
      <c r="K3" s="45"/>
      <c r="L3" s="46"/>
      <c r="M3" s="46"/>
      <c r="N3" s="47" t="s">
        <v>177</v>
      </c>
      <c r="O3" s="74">
        <v>2002</v>
      </c>
      <c r="P3" s="48" t="s">
        <v>729</v>
      </c>
      <c r="Q3" s="73">
        <v>1</v>
      </c>
      <c r="R3" s="49" t="s">
        <v>177</v>
      </c>
      <c r="S3" s="50">
        <v>3</v>
      </c>
      <c r="T3" s="51" t="s">
        <v>164</v>
      </c>
      <c r="U3" s="52" t="s">
        <v>164</v>
      </c>
      <c r="V3" s="52" t="s">
        <v>165</v>
      </c>
      <c r="W3" s="52" t="s">
        <v>164</v>
      </c>
      <c r="X3" s="52" t="s">
        <v>165</v>
      </c>
      <c r="Y3" s="52" t="s">
        <v>164</v>
      </c>
      <c r="Z3" s="52" t="s">
        <v>164</v>
      </c>
      <c r="AA3" s="52" t="s">
        <v>164</v>
      </c>
      <c r="AB3" s="52" t="s">
        <v>164</v>
      </c>
      <c r="AC3" s="52" t="s">
        <v>164</v>
      </c>
      <c r="AD3" s="52" t="s">
        <v>164</v>
      </c>
      <c r="AE3" s="52" t="s">
        <v>164</v>
      </c>
      <c r="AF3" s="53" t="s">
        <v>164</v>
      </c>
      <c r="AG3" s="53" t="s">
        <v>165</v>
      </c>
      <c r="AH3" s="53" t="s">
        <v>165</v>
      </c>
      <c r="AI3" s="53" t="s">
        <v>164</v>
      </c>
      <c r="AJ3" s="53" t="s">
        <v>164</v>
      </c>
      <c r="AK3" s="53" t="s">
        <v>164</v>
      </c>
      <c r="AL3" s="53" t="s">
        <v>164</v>
      </c>
      <c r="AM3" s="53" t="s">
        <v>165</v>
      </c>
      <c r="AN3" s="53" t="s">
        <v>165</v>
      </c>
      <c r="AO3" s="53" t="s">
        <v>164</v>
      </c>
      <c r="AP3" s="53" t="s">
        <v>164</v>
      </c>
      <c r="AQ3" s="53" t="s">
        <v>164</v>
      </c>
      <c r="AR3" s="53" t="s">
        <v>164</v>
      </c>
      <c r="AS3" s="53" t="s">
        <v>164</v>
      </c>
      <c r="AT3" s="54">
        <v>7</v>
      </c>
      <c r="AU3" s="53" t="s">
        <v>308</v>
      </c>
      <c r="AV3" s="53" t="str">
        <f t="shared" si="1"/>
        <v>[VEN]State[VEN] Amazonas</v>
      </c>
      <c r="AW3" s="53" t="str">
        <f t="shared" si="2"/>
        <v>2[VEN] Amazonas</v>
      </c>
      <c r="AX3" s="55"/>
      <c r="AY3" s="55"/>
      <c r="AZ3" s="56" t="s">
        <v>159</v>
      </c>
      <c r="BA3" s="56" t="s">
        <v>234</v>
      </c>
      <c r="BB3" s="56"/>
      <c r="BC3" s="57"/>
      <c r="BD3" s="58" t="s">
        <v>167</v>
      </c>
      <c r="BE3" s="59"/>
      <c r="BF3" s="58" t="s">
        <v>152</v>
      </c>
      <c r="BG3" s="58" t="s">
        <v>153</v>
      </c>
      <c r="BH3" s="58" t="s">
        <v>154</v>
      </c>
      <c r="BI3" s="58"/>
      <c r="BJ3" s="58"/>
      <c r="BK3" s="59"/>
      <c r="BL3" s="58" t="s">
        <v>234</v>
      </c>
      <c r="BM3" s="58" t="s">
        <v>152</v>
      </c>
      <c r="BN3" s="58" t="s">
        <v>153</v>
      </c>
      <c r="BO3" s="58" t="s">
        <v>154</v>
      </c>
      <c r="BP3" s="58" t="s">
        <v>155</v>
      </c>
      <c r="BQ3" s="58" t="s">
        <v>234</v>
      </c>
      <c r="BR3" s="58" t="s">
        <v>157</v>
      </c>
      <c r="BS3" s="58" t="s">
        <v>234</v>
      </c>
      <c r="BT3" s="58" t="s">
        <v>159</v>
      </c>
      <c r="BU3" s="60"/>
      <c r="BV3" s="61"/>
      <c r="BW3" s="61">
        <v>0</v>
      </c>
      <c r="BX3" s="59"/>
      <c r="CB3" s="5"/>
      <c r="CC3" s="5"/>
      <c r="CD3" s="62">
        <v>0</v>
      </c>
      <c r="CE3" s="62">
        <v>1</v>
      </c>
      <c r="CF3" s="62" t="e">
        <v>#REF!</v>
      </c>
      <c r="CG3" s="75" cm="1">
        <f t="array" ref="CG3">SUMPRODUCT(--(LEN(TRIM(BL3:BT3))&gt;0))</f>
        <v>6</v>
      </c>
      <c r="CH3" s="53" t="str">
        <f t="shared" si="3"/>
        <v>n</v>
      </c>
      <c r="CI3" s="53" t="str">
        <f t="shared" si="4"/>
        <v>n</v>
      </c>
      <c r="CJ3" s="53" t="str">
        <f t="shared" si="5"/>
        <v>n</v>
      </c>
      <c r="CK3" s="53" t="str">
        <f t="shared" si="6"/>
        <v>y</v>
      </c>
      <c r="CL3" s="53" t="str">
        <f t="shared" si="7"/>
        <v>n</v>
      </c>
      <c r="CM3" s="53" t="str">
        <f t="shared" si="8"/>
        <v>n</v>
      </c>
      <c r="CN3" s="53" t="str">
        <f t="shared" si="9"/>
        <v>y</v>
      </c>
      <c r="CO3" s="53" t="str">
        <f t="shared" si="10"/>
        <v>n</v>
      </c>
      <c r="CP3" s="53" t="str">
        <f t="shared" si="11"/>
        <v>n</v>
      </c>
      <c r="CQ3" s="53" t="str">
        <f t="shared" si="12"/>
        <v>n</v>
      </c>
      <c r="CR3" s="53" t="str">
        <f t="shared" si="13"/>
        <v>n</v>
      </c>
      <c r="CS3" s="53" t="str">
        <f t="shared" si="14"/>
        <v>y</v>
      </c>
      <c r="CT3" s="38" t="str">
        <f t="shared" si="15"/>
        <v>"[VEN] Amazonas"</v>
      </c>
      <c r="CU3" s="63" t="str">
        <f t="shared" si="16"/>
        <v>"rgn_South America"</v>
      </c>
      <c r="CV3" s="44" t="str">
        <f t="shared" si="17"/>
        <v>"https://upload.wikimedia.org/wikipedia/commons/thumb/7/7f/Flag_of_Amazonas_Indigenous_State.svg/320px-Flag_of_Amazonas_Indigenous_State.svg.png"</v>
      </c>
      <c r="CW3" s="44" t="str">
        <f t="shared" si="18"/>
        <v/>
      </c>
      <c r="CX3" s="44" t="str">
        <f t="shared" si="19"/>
        <v/>
      </c>
      <c r="CY3" s="44" t="str">
        <f t="shared" si="20"/>
        <v/>
      </c>
      <c r="CZ3" s="44" t="str">
        <f t="shared" si="21"/>
        <v>"5+Colo",</v>
      </c>
      <c r="DA3" s="44" t="str">
        <f t="shared" si="22"/>
        <v/>
      </c>
      <c r="DB3" s="44" t="str">
        <f t="shared" si="23"/>
        <v/>
      </c>
      <c r="DD3" s="44" t="str">
        <f t="shared" ref="DD3:DD26" si="136">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"lets08",</v>
      </c>
      <c r="DE3" s="44" t="str">
        <f t="shared" ref="DE3:DE26" si="137">CHAR(34)&amp;"start"&amp;IFERROR(LEFT(SUBSTITUTE(A3,"["&amp;MID(A3,FIND("[",A3)+1,FIND("]",A3)-FIND("[",A3)-1)&amp;"] ",""),1),LEFT(A3,1))&amp;CHAR(34)&amp;","</f>
        <v>"startA",</v>
      </c>
      <c r="DF3" s="44" t="str">
        <f t="shared" si="24"/>
        <v/>
      </c>
      <c r="DG3" s="44" t="str">
        <f t="shared" si="25"/>
        <v/>
      </c>
      <c r="DH3" s="44" t="str">
        <f t="shared" si="26"/>
        <v>"with_v",</v>
      </c>
      <c r="DI3" s="44" t="str">
        <f t="shared" si="27"/>
        <v/>
      </c>
      <c r="DJ3" s="44" t="str">
        <f t="shared" si="28"/>
        <v/>
      </c>
      <c r="DK3" s="44" t="str">
        <f t="shared" si="29"/>
        <v>"with_z",</v>
      </c>
      <c r="DL3" s="44" t="str">
        <f t="shared" si="30"/>
        <v/>
      </c>
      <c r="DM3" s="44" t="str" cm="1">
        <f t="array" ref="DM3">IF(CG3=3,CHAR(34) &amp; _xlfn.TEXTJOIN("", TRUE, RIGHT(HP3:HX3, 2)) &amp; CHAR(34) &amp; ",", "")</f>
        <v/>
      </c>
      <c r="DN3" s="44" t="str">
        <f t="shared" si="31"/>
        <v/>
      </c>
      <c r="DO3" s="44" t="str">
        <f t="shared" si="32"/>
        <v/>
      </c>
      <c r="DP3" s="5" t="str">
        <f t="shared" si="33"/>
        <v>"year00",</v>
      </c>
      <c r="DQ3" s="5" t="str">
        <f t="shared" si="34"/>
        <v/>
      </c>
      <c r="DR3" s="5" t="str">
        <f t="shared" si="35"/>
        <v/>
      </c>
      <c r="DS3" s="5" t="str">
        <f t="shared" si="36"/>
        <v/>
      </c>
      <c r="DT3" s="5" t="str">
        <f t="shared" si="37"/>
        <v>"allhor",</v>
      </c>
      <c r="DU3" s="5" t="str">
        <f t="shared" si="38"/>
        <v/>
      </c>
      <c r="DW3" s="44" t="str">
        <f t="shared" si="39"/>
        <v/>
      </c>
      <c r="DX3" s="44" t="str">
        <f t="shared" si="40"/>
        <v/>
      </c>
      <c r="DY3" s="44" t="str">
        <f t="shared" si="41"/>
        <v>"3Bands",</v>
      </c>
      <c r="DZ3" s="44" t="str">
        <f t="shared" si="42"/>
        <v/>
      </c>
      <c r="EA3" s="44" t="str">
        <f t="shared" si="43"/>
        <v/>
      </c>
      <c r="EB3" s="44" t="str">
        <f t="shared" si="44"/>
        <v/>
      </c>
      <c r="EC3" s="44" t="str">
        <f t="shared" si="45"/>
        <v>"Horizo",</v>
      </c>
      <c r="ED3" s="44" t="str">
        <f t="shared" si="46"/>
        <v/>
      </c>
      <c r="EE3" s="44" t="str">
        <f t="shared" si="47"/>
        <v>"Circle",</v>
      </c>
      <c r="EF3" s="44" t="str">
        <f t="shared" si="48"/>
        <v/>
      </c>
      <c r="EG3" s="44" t="str">
        <f t="shared" si="49"/>
        <v/>
      </c>
      <c r="EH3" s="44" t="str">
        <f t="shared" si="50"/>
        <v/>
      </c>
      <c r="EI3" s="44" t="str">
        <f t="shared" si="51"/>
        <v/>
      </c>
      <c r="EJ3" s="44" t="str">
        <f t="shared" si="52"/>
        <v/>
      </c>
      <c r="EK3" s="44" t="str">
        <f t="shared" si="53"/>
        <v/>
      </c>
      <c r="EL3" s="44" t="str">
        <f t="shared" si="54"/>
        <v/>
      </c>
      <c r="EM3" s="44" t="str">
        <f t="shared" si="55"/>
        <v/>
      </c>
      <c r="EN3" s="44" t="str">
        <f t="shared" si="56"/>
        <v>"Unequa",</v>
      </c>
      <c r="EO3" s="44" t="str">
        <f t="shared" si="57"/>
        <v>"Center",</v>
      </c>
      <c r="EP3" s="44" t="str">
        <f t="shared" si="58"/>
        <v/>
      </c>
      <c r="EQ3" s="44" t="str">
        <f t="shared" si="59"/>
        <v/>
      </c>
      <c r="ER3" s="44" t="str">
        <f t="shared" si="60"/>
        <v/>
      </c>
      <c r="ES3" s="44" t="str">
        <f t="shared" si="61"/>
        <v/>
      </c>
      <c r="ET3" s="44" t="str">
        <f t="shared" si="62"/>
        <v>"Geogrh",</v>
      </c>
      <c r="EU3" s="44" t="str">
        <f t="shared" si="63"/>
        <v>"Humans",</v>
      </c>
      <c r="EV3" s="44" t="str">
        <f t="shared" si="64"/>
        <v/>
      </c>
      <c r="EW3" s="44" t="str">
        <f t="shared" si="65"/>
        <v/>
      </c>
      <c r="EX3" s="44" t="str">
        <f t="shared" si="66"/>
        <v/>
      </c>
      <c r="EY3" s="44" t="str">
        <f t="shared" si="67"/>
        <v/>
      </c>
      <c r="EZ3" s="44" t="str">
        <f t="shared" si="68"/>
        <v/>
      </c>
      <c r="FA3" s="44" t="str">
        <f t="shared" si="69"/>
        <v>"staWHI",</v>
      </c>
      <c r="FB3" s="44" t="str">
        <f t="shared" si="70"/>
        <v/>
      </c>
      <c r="FD3" s="44" t="str">
        <f t="shared" si="71"/>
        <v/>
      </c>
      <c r="FE3" s="44" t="str">
        <f t="shared" si="72"/>
        <v/>
      </c>
      <c r="FF3" s="44" t="str">
        <f t="shared" si="73"/>
        <v/>
      </c>
      <c r="FG3" s="44" t="str">
        <f t="shared" si="74"/>
        <v/>
      </c>
      <c r="FH3" s="44" t="str">
        <f t="shared" si="75"/>
        <v/>
      </c>
      <c r="FI3" s="44" t="str">
        <f t="shared" si="76"/>
        <v/>
      </c>
      <c r="FJ3" s="44" t="str">
        <f t="shared" si="77"/>
        <v>"NO_BLA",</v>
      </c>
      <c r="FK3" s="44" t="str">
        <f t="shared" si="78"/>
        <v/>
      </c>
      <c r="FL3" s="44" t="str">
        <f t="shared" si="79"/>
        <v/>
      </c>
      <c r="FM3" s="44" t="str">
        <f t="shared" si="80"/>
        <v/>
      </c>
      <c r="FN3" s="44" t="str">
        <f t="shared" si="81"/>
        <v/>
      </c>
      <c r="FO3" s="44" t="str">
        <f t="shared" si="82"/>
        <v/>
      </c>
      <c r="FP3" s="44" t="str">
        <f t="shared" si="83"/>
        <v/>
      </c>
      <c r="FQ3" s="44" t="str">
        <f t="shared" si="84"/>
        <v>"001BLU",</v>
      </c>
      <c r="FR3" s="44" t="str">
        <f t="shared" si="85"/>
        <v>"002GRE",</v>
      </c>
      <c r="FS3" s="44" t="str">
        <f t="shared" si="86"/>
        <v>"003RED",</v>
      </c>
      <c r="FT3" s="44" t="str">
        <f t="shared" si="87"/>
        <v>"myrEQ",</v>
      </c>
      <c r="FU3" s="44" t="str">
        <f t="shared" si="88"/>
        <v/>
      </c>
      <c r="FV3" s="44" t="str">
        <f t="shared" si="89"/>
        <v/>
      </c>
      <c r="FW3" s="44" t="str">
        <f t="shared" si="90"/>
        <v/>
      </c>
      <c r="FY3" s="44" t="str">
        <f t="shared" si="91"/>
        <v/>
      </c>
      <c r="FZ3" s="44" t="str">
        <f t="shared" si="92"/>
        <v/>
      </c>
      <c r="GA3" s="44" t="str">
        <f t="shared" si="93"/>
        <v/>
      </c>
      <c r="GB3" s="44" t="str">
        <f t="shared" si="94"/>
        <v/>
      </c>
      <c r="GE3" s="44" t="str">
        <f t="shared" si="95"/>
        <v/>
      </c>
      <c r="GF3" s="44" t="str">
        <f t="shared" ref="GF3:GF26" si="138">IFERROR(IF(SEARCH("Historical",AU3)&gt;0,CHAR(34)&amp;"histor"&amp;CHAR(34)&amp;",",""),"")</f>
        <v/>
      </c>
      <c r="GG3" s="44" t="str">
        <f t="shared" si="96"/>
        <v/>
      </c>
      <c r="GH3" s="44" t="str">
        <f t="shared" si="97"/>
        <v/>
      </c>
      <c r="GI3" s="44" t="str">
        <f t="shared" si="98"/>
        <v>"hasmap",</v>
      </c>
      <c r="GJ3" s="44" t="str">
        <f t="shared" si="99"/>
        <v/>
      </c>
      <c r="GK3" s="44" t="str">
        <f t="shared" si="100"/>
        <v>"HasSta",</v>
      </c>
      <c r="GL3" s="44" t="str">
        <f t="shared" si="101"/>
        <v/>
      </c>
      <c r="GM3" s="44" t="str">
        <f t="shared" si="102"/>
        <v/>
      </c>
      <c r="GN3" s="44" t="str">
        <f t="shared" si="103"/>
        <v>"3+Star",</v>
      </c>
      <c r="GP3" s="44" t="str">
        <f t="shared" si="104"/>
        <v>"State"</v>
      </c>
      <c r="GS3" s="44" t="str">
        <f t="shared" si="105"/>
        <v>["5+Colo","lets08","startA","with_v","with_z","year00","allhor","3Bands","Horizo","Circle","Unequa","Center","Geogrh","Humans","staWHI","NO_BLA","001BLU","002GRE","003RED","myrEQ","hasmap","HasSta","3+Star"]</v>
      </c>
      <c r="GT3" s="44" t="str">
        <f t="shared" si="106"/>
        <v/>
      </c>
      <c r="GU3" s="44" t="str">
        <f t="shared" si="107"/>
        <v>"cl_BLU",</v>
      </c>
      <c r="GV3" s="44" t="str">
        <f t="shared" si="108"/>
        <v>"cl_GRE",</v>
      </c>
      <c r="GW3" s="44" t="str">
        <f t="shared" si="109"/>
        <v>"cl_RED",</v>
      </c>
      <c r="GX3" s="44" t="str">
        <f t="shared" si="110"/>
        <v>"cl_YEL",</v>
      </c>
      <c r="GY3" s="44" t="str">
        <f t="shared" si="111"/>
        <v/>
      </c>
      <c r="GZ3" s="44" t="str">
        <f t="shared" si="112"/>
        <v>"cl_BRO",</v>
      </c>
      <c r="HA3" s="44" t="str">
        <f t="shared" si="113"/>
        <v/>
      </c>
      <c r="HB3" s="44" t="str">
        <f t="shared" si="114"/>
        <v>"cl_WHI",</v>
      </c>
      <c r="HC3" s="44" t="str">
        <f t="shared" si="115"/>
        <v>["cl_BLU","cl_GRE","cl_RED","cl_YEL","cl_BRO","cl_WHI"]</v>
      </c>
      <c r="HE3" s="64"/>
      <c r="HF3" s="65" t="str">
        <f t="shared" si="116"/>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links: "https://www.crwflags.com/fotw/flags/ve-z.html"},</v>
      </c>
      <c r="HG3" s="66" t="str">
        <f t="shared" si="117"/>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links: "https://www.crwflags.com/fotw/flags/ve-z.html"},</v>
      </c>
      <c r="HH3" s="44" t="str">
        <f t="shared" si="118"/>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I3" s="44" t="str">
        <f t="shared" si="119"/>
        <v>"\nThe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v>
      </c>
      <c r="HJ3" s="44" t="str">
        <f t="shared" si="120"/>
        <v>"2002"</v>
      </c>
      <c r="HL3" s="44" t="str">
        <f t="shared" si="121"/>
        <v>"https://www.crwflags.com/fotw/flags/ve-z.html"</v>
      </c>
      <c r="HM3" s="65" t="str">
        <f t="shared" si="122"/>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N3" s="67" t="str">
        <f t="shared" si="123"/>
        <v>{"couname":"[VEN] Amazonas","year":"2002","region":"rgn_South America","Colors":["cl_BLU","cl_GRE","cl_RED","cl_YEL","cl_BRO","cl_WHI"],"Items":["5+Colo","lets08","startA","with_v","with_z","year00","allhor","3Bands","Horizo","Circle","Unequa","Center","Geogrh","Humans","staWHI","NO_BLA","001BLU","002GRE","003RED","myrEQ","hasmap","HasSta","3+Star"],"Flag":"https://upload.wikimedia.org/wikipedia/commons/thumb/7/7f/Flag_of_Amazonas_Indigenous_State.svg/320px-Flag_of_Amazonas_Indigenous_State.svg.png","HDFlag":"https://upload.wikimedia.org/wikipedia/commons/thumb/7/7f/Flag_of_Amazonas_Indigenous_State.svg/800px-Flag_of_Amazonas_Indigenous_State.svg.png","type":"State", "describe": "\nThe flag was made by Graphical Designer Lucibel Sanchez Guaruya after a flag competition organized to create a State Flag for the Amazonas in agreement with Decree N° 012-02 dated 2002, signed by Governor Liborio Guarulla. The flag consists of a blue-green-red tricolor flag with a 'territorial profile of the State in brown with a dark yellow border. Inside it is charged with seven five-pointed white stars, a streamlined mountain, and an Indigenous face.' \n\nBlue represents the state's nobility and majestic beauty, as well as its clean sky and torrent waters. Green symbolizes the sovereignty of the people of Amazonas as a state entity of Venezuela, alluding to the state's lush forests and diverse flora and fauna. The red stripe recalls the blood of the ethnic tribes that conform to the cultural patrimony of the state and the Nation.\n\nThe yellow border represents the rich and lively grounds of the Amazonas with its wealth, waters, minerals, flora, and fauna. The brown represents the 'great land extensions rich in minerals causals of the colors of its rivers, standing out the mystical Negro River and the majestic Orinoco River'; it also represents the creativity of the Indigenous people with their local ceramics and basketworks, their agricultural prowess and their fishing, and their hunting which are the traits attributed to and are in the land and its people. The 7 white stars represent the 7 municipalities inside the Amazonas State. The Indigenous face represents the present ethnic groups in the state, particularly the Yanomami people of Venezuela. The yellow mountain represents the Cerro Autana, one of the natural monuments in Venezuela, and plays the role of the ''tree of life' in the oral history and lore of the Piaroa Indians who inhabit the region.'", "isnew": ".", "links": "https://www.crwflags.com/fotw/flags/ve-z.html"},</v>
      </c>
      <c r="HO3" s="71">
        <v>45610</v>
      </c>
      <c r="HP3" s="44" t="str" cm="1">
        <f t="array" ref="HP3">IF(_xlfn.TEXTJOIN(", ", TRUE, IF(ISNUMBER(SEARCH("BLA", BL3:BT3)), COLUMN(BL3:BT3) - COLUMN(BL3) + 1, ""))&lt;&gt;"","BLA","")</f>
        <v/>
      </c>
      <c r="HQ3" s="44" t="str" cm="1">
        <f t="array" ref="HQ3">IF(_xlfn.TEXTJOIN(", ", TRUE, IF(ISNUMBER(SEARCH("BLU", BL3:BT3)), COLUMN(BL3:BT3) - COLUMN(BL3) + 1, ""))&lt;&gt;"","BLU","")</f>
        <v>BLU</v>
      </c>
      <c r="HR3" s="44" t="str" cm="1">
        <f t="array" ref="HR3">IF(_xlfn.TEXTJOIN(", ", TRUE, IF(ISNUMBER(SEARCH("GRE", BL3:BT3)), COLUMN(BL3:BT3) - COLUMN(BL3) + 1, ""))&lt;&gt;"","GRE","")</f>
        <v>GRE</v>
      </c>
      <c r="HS3" s="44" t="str" cm="1">
        <f t="array" ref="HS3">IF(_xlfn.TEXTJOIN(", ", TRUE, IF(ISNUMBER(SEARCH("RED", BL3:BT3)), COLUMN(BL3:BT3) - COLUMN(BL3) + 1, ""))&lt;&gt;"","RED","")</f>
        <v>RED</v>
      </c>
      <c r="HT3" s="44" t="str" cm="1">
        <f t="array" ref="HT3">IF(_xlfn.TEXTJOIN(", ", TRUE, IF(ISNUMBER(SEARCH("YEL", BL3:BT3)), COLUMN(BL3:BT3) - COLUMN(BL3) + 1, ""))&lt;&gt;"","YEL","")</f>
        <v>YEL</v>
      </c>
      <c r="HU3" s="44" t="str" cm="1">
        <f t="array" ref="HU3">IF(_xlfn.TEXTJOIN(", ", TRUE, IF(ISNUMBER(SEARCH("ORA", BL3:BT3)), COLUMN(BL3:BT3) - COLUMN(BL3) + 1, ""))&lt;&gt;"","ORA","")</f>
        <v/>
      </c>
      <c r="HV3" s="44" t="str" cm="1">
        <f t="array" ref="HV3">IF(_xlfn.TEXTJOIN(", ", TRUE, IF(ISNUMBER(SEARCH("BRO", BL3:BT3)), COLUMN(BL3:BT3) - COLUMN(BL3) + 1, ""))&lt;&gt;"","BRO","")</f>
        <v>BRO</v>
      </c>
      <c r="HW3" s="44" t="str" cm="1">
        <f t="array" ref="HW3">IF(_xlfn.TEXTJOIN(", ", TRUE, IF(ISNUMBER(SEARCH("PUR", BL3:BT3)), COLUMN(BL3:BT3) - COLUMN(BL3) + 1, ""))&lt;&gt;"","PUR","")</f>
        <v/>
      </c>
      <c r="HX3" s="44" t="str" cm="1">
        <f t="array" ref="HX3">IF(_xlfn.TEXTJOIN(", ", TRUE, IF(ISNUMBER(SEARCH("WHI", BL3:BT3)), COLUMN(BL3:BT3) - COLUMN(BL3) + 1, ""))&lt;&gt;"","WHI","")</f>
        <v>WHI</v>
      </c>
      <c r="HY3" s="72"/>
      <c r="HZ3" s="72"/>
      <c r="IA3" s="5"/>
      <c r="IB3" s="5"/>
      <c r="IC3" s="68"/>
      <c r="ID3" s="68"/>
      <c r="IE3" s="68"/>
      <c r="IF3" s="68"/>
      <c r="IG3" s="68"/>
      <c r="IH3" s="68"/>
      <c r="II3" s="68"/>
      <c r="IJ3" s="68"/>
      <c r="IK3" s="68"/>
      <c r="IM3" s="42">
        <f t="shared" si="124"/>
        <v>-6</v>
      </c>
      <c r="IN3" s="69" t="str">
        <f t="shared" si="125"/>
        <v>http://mkweb.bcgsc.ca/color-summarizer/?url=https://upload.wikimedia.org/wikipedia/commons/thumb/7/7f/Flag_of_Amazonas_Indigenous_State.svg/320px-Flag_of_Amazonas_Indigenous_State.svg.png&amp;precision=low&amp;num_clusters=6&amp;text=1</v>
      </c>
      <c r="IO3" s="44" t="str">
        <f t="shared" si="126"/>
        <v/>
      </c>
      <c r="IP3" s="44" t="str">
        <f t="shared" si="127"/>
        <v>"blue"</v>
      </c>
      <c r="IQ3" s="44" t="str">
        <f t="shared" si="128"/>
        <v>"green"</v>
      </c>
      <c r="IR3" s="44" t="str">
        <f t="shared" si="129"/>
        <v>"red"</v>
      </c>
      <c r="IS3" s="44" t="str">
        <f t="shared" si="130"/>
        <v>"yellow"</v>
      </c>
      <c r="IT3" s="44" t="str">
        <f t="shared" si="131"/>
        <v/>
      </c>
      <c r="IU3" s="44" t="str">
        <f t="shared" si="132"/>
        <v>"brown"</v>
      </c>
      <c r="IV3" s="44" t="str">
        <f t="shared" si="133"/>
        <v/>
      </c>
      <c r="IW3" s="44" t="str">
        <f t="shared" si="134"/>
        <v>"white"</v>
      </c>
      <c r="IX3" s="44" t="str">
        <f t="shared" si="135"/>
        <v>{"url":"http://mkweb.bcgsc.ca/color-summarizer/?url=https://upload.wikimedia.org/wikipedia/commons/thumb/7/7f/Flag_of_Amazonas_Indigenous_State.svg/320px-Flag_of_Amazonas_Indigenous_State.svg.png&amp;precision=low&amp;num_clusters=6&amp;text=1","name":"[VEN] Amazonas"},</v>
      </c>
      <c r="IY3" s="44">
        <v>1467</v>
      </c>
    </row>
    <row r="4" spans="1:259" s="44" customFormat="1" ht="38.4" customHeight="1" thickBot="1" x14ac:dyDescent="0.35">
      <c r="A4" s="84" t="s">
        <v>730</v>
      </c>
      <c r="B4" s="83" t="e" vm="103">
        <v>#VALUE!</v>
      </c>
      <c r="C4" s="39">
        <v>2</v>
      </c>
      <c r="D4" s="70" t="s">
        <v>731</v>
      </c>
      <c r="E4" s="40" t="s">
        <v>732</v>
      </c>
      <c r="F4" s="41" t="s">
        <v>163</v>
      </c>
      <c r="G4" s="42">
        <f t="shared" si="0"/>
        <v>1</v>
      </c>
      <c r="H4" s="43"/>
      <c r="I4" s="59" t="s">
        <v>733</v>
      </c>
      <c r="J4" s="44" t="str">
        <f>""</f>
        <v/>
      </c>
      <c r="K4" s="45"/>
      <c r="L4" s="46"/>
      <c r="M4" s="46"/>
      <c r="N4" s="47" t="s">
        <v>177</v>
      </c>
      <c r="O4" s="74">
        <v>1999</v>
      </c>
      <c r="P4" s="48" t="s">
        <v>734</v>
      </c>
      <c r="Q4" s="73">
        <v>1</v>
      </c>
      <c r="R4" s="49" t="s">
        <v>177</v>
      </c>
      <c r="S4" s="50">
        <v>3</v>
      </c>
      <c r="T4" s="51" t="s">
        <v>164</v>
      </c>
      <c r="U4" s="52" t="s">
        <v>164</v>
      </c>
      <c r="V4" s="52" t="s">
        <v>165</v>
      </c>
      <c r="W4" s="52" t="s">
        <v>164</v>
      </c>
      <c r="X4" s="52" t="s">
        <v>164</v>
      </c>
      <c r="Y4" s="52" t="s">
        <v>164</v>
      </c>
      <c r="Z4" s="52" t="s">
        <v>164</v>
      </c>
      <c r="AA4" s="52" t="s">
        <v>164</v>
      </c>
      <c r="AB4" s="52" t="s">
        <v>164</v>
      </c>
      <c r="AC4" s="52" t="s">
        <v>164</v>
      </c>
      <c r="AD4" s="52" t="s">
        <v>164</v>
      </c>
      <c r="AE4" s="52" t="s">
        <v>164</v>
      </c>
      <c r="AF4" s="53" t="s">
        <v>164</v>
      </c>
      <c r="AG4" s="53" t="s">
        <v>165</v>
      </c>
      <c r="AH4" s="53" t="s">
        <v>165</v>
      </c>
      <c r="AI4" s="53" t="s">
        <v>164</v>
      </c>
      <c r="AJ4" s="53" t="s">
        <v>164</v>
      </c>
      <c r="AK4" s="53" t="s">
        <v>164</v>
      </c>
      <c r="AL4" s="53" t="s">
        <v>164</v>
      </c>
      <c r="AM4" s="53" t="s">
        <v>165</v>
      </c>
      <c r="AN4" s="53" t="s">
        <v>164</v>
      </c>
      <c r="AO4" s="53" t="s">
        <v>164</v>
      </c>
      <c r="AP4" s="53" t="s">
        <v>164</v>
      </c>
      <c r="AQ4" s="53" t="s">
        <v>164</v>
      </c>
      <c r="AR4" s="53" t="s">
        <v>164</v>
      </c>
      <c r="AS4" s="53" t="s">
        <v>164</v>
      </c>
      <c r="AT4" s="54">
        <v>0</v>
      </c>
      <c r="AU4" s="53" t="s">
        <v>308</v>
      </c>
      <c r="AV4" s="53" t="str">
        <f t="shared" si="1"/>
        <v>[VEN]State[VEN] Anzoátegui</v>
      </c>
      <c r="AW4" s="53" t="str">
        <f t="shared" si="2"/>
        <v>2[VEN] Anzoátegui</v>
      </c>
      <c r="AX4" s="55"/>
      <c r="AY4" s="55"/>
      <c r="AZ4" s="56" t="s">
        <v>234</v>
      </c>
      <c r="BA4" s="56" t="s">
        <v>234</v>
      </c>
      <c r="BB4" s="56"/>
      <c r="BC4" s="57"/>
      <c r="BD4" s="58" t="s">
        <v>152</v>
      </c>
      <c r="BE4" s="59"/>
      <c r="BF4" s="58" t="s">
        <v>152</v>
      </c>
      <c r="BG4" s="58" t="s">
        <v>155</v>
      </c>
      <c r="BH4" s="58" t="s">
        <v>153</v>
      </c>
      <c r="BI4" s="58"/>
      <c r="BJ4" s="58"/>
      <c r="BK4" s="59"/>
      <c r="BL4" s="58" t="s">
        <v>151</v>
      </c>
      <c r="BM4" s="58" t="s">
        <v>152</v>
      </c>
      <c r="BN4" s="58" t="s">
        <v>153</v>
      </c>
      <c r="BO4" s="58" t="s">
        <v>234</v>
      </c>
      <c r="BP4" s="58" t="s">
        <v>155</v>
      </c>
      <c r="BQ4" s="58" t="s">
        <v>234</v>
      </c>
      <c r="BR4" s="58" t="s">
        <v>234</v>
      </c>
      <c r="BS4" s="58" t="s">
        <v>234</v>
      </c>
      <c r="BT4" s="58" t="s">
        <v>234</v>
      </c>
      <c r="BU4" s="60"/>
      <c r="BV4" s="61"/>
      <c r="BW4" s="61">
        <v>0</v>
      </c>
      <c r="BX4" s="59"/>
      <c r="CB4" s="5"/>
      <c r="CC4" s="5"/>
      <c r="CD4" s="62">
        <v>0</v>
      </c>
      <c r="CE4" s="62">
        <v>1</v>
      </c>
      <c r="CF4" s="62" t="e">
        <v>#REF!</v>
      </c>
      <c r="CG4" s="75" cm="1">
        <f t="array" ref="CG4">SUMPRODUCT(--(LEN(TRIM(BL4:BT4))&gt;0))</f>
        <v>4</v>
      </c>
      <c r="CH4" s="53" t="str">
        <f t="shared" si="3"/>
        <v>n</v>
      </c>
      <c r="CI4" s="53" t="str">
        <f t="shared" si="4"/>
        <v>n</v>
      </c>
      <c r="CJ4" s="53" t="str">
        <f t="shared" si="5"/>
        <v>y</v>
      </c>
      <c r="CK4" s="53" t="str">
        <f t="shared" si="6"/>
        <v>n</v>
      </c>
      <c r="CL4" s="53" t="str">
        <f t="shared" si="7"/>
        <v>n</v>
      </c>
      <c r="CM4" s="53" t="str">
        <f t="shared" si="8"/>
        <v>n</v>
      </c>
      <c r="CN4" s="53" t="str">
        <f t="shared" si="9"/>
        <v>y</v>
      </c>
      <c r="CO4" s="53" t="str">
        <f t="shared" si="10"/>
        <v>n</v>
      </c>
      <c r="CP4" s="53" t="str">
        <f t="shared" si="11"/>
        <v>y</v>
      </c>
      <c r="CQ4" s="53" t="str">
        <f t="shared" si="12"/>
        <v>n</v>
      </c>
      <c r="CR4" s="53" t="str">
        <f t="shared" si="13"/>
        <v>n</v>
      </c>
      <c r="CS4" s="53" t="str">
        <f t="shared" si="14"/>
        <v>n</v>
      </c>
      <c r="CT4" s="38" t="str">
        <f t="shared" si="15"/>
        <v>"[VEN] Anzoátegui"</v>
      </c>
      <c r="CU4" s="63" t="str">
        <f t="shared" si="16"/>
        <v>"rgn_South America"</v>
      </c>
      <c r="CV4" s="44" t="str">
        <f t="shared" si="17"/>
        <v>"https://upload.wikimedia.org/wikipedia/commons/thumb/0/03/Flag_of_Anzo%C3%A1tegui_State_%28original_version%29.svg/320px-Flag_of_Anzo%C3%A1tegui_State_%28original_version%29.svg.png"</v>
      </c>
      <c r="CW4" s="44" t="str">
        <f t="shared" si="18"/>
        <v/>
      </c>
      <c r="CX4" s="44" t="str">
        <f t="shared" si="19"/>
        <v/>
      </c>
      <c r="CY4" s="44" t="str">
        <f t="shared" si="20"/>
        <v>"4Color",</v>
      </c>
      <c r="CZ4" s="44" t="str">
        <f t="shared" si="21"/>
        <v/>
      </c>
      <c r="DA4" s="44" t="str">
        <f t="shared" si="22"/>
        <v/>
      </c>
      <c r="DB4" s="44" t="str">
        <f t="shared" si="23"/>
        <v/>
      </c>
      <c r="DD4" s="44" t="str">
        <f t="shared" si="136"/>
        <v>"lets10",</v>
      </c>
      <c r="DE4" s="44" t="str">
        <f t="shared" si="137"/>
        <v>"startA",</v>
      </c>
      <c r="DF4" s="44" t="str">
        <f t="shared" si="24"/>
        <v/>
      </c>
      <c r="DG4" s="44" t="str">
        <f t="shared" si="25"/>
        <v/>
      </c>
      <c r="DH4" s="44" t="str">
        <f t="shared" si="26"/>
        <v>"with_v",</v>
      </c>
      <c r="DI4" s="44" t="str">
        <f t="shared" si="27"/>
        <v/>
      </c>
      <c r="DJ4" s="44" t="str">
        <f t="shared" si="28"/>
        <v/>
      </c>
      <c r="DK4" s="44" t="str">
        <f t="shared" si="29"/>
        <v>"with_z",</v>
      </c>
      <c r="DL4" s="44" t="str">
        <f t="shared" si="30"/>
        <v/>
      </c>
      <c r="DM4" s="44" t="str" cm="1">
        <f t="array" ref="DM4">IF(CG4=3,CHAR(34) &amp; _xlfn.TEXTJOIN("", TRUE, RIGHT(HP4:HX4, 2)) &amp; CHAR(34) &amp; ",", "")</f>
        <v/>
      </c>
      <c r="DN4" s="44" t="str">
        <f t="shared" si="31"/>
        <v/>
      </c>
      <c r="DO4" s="44" t="str">
        <f t="shared" si="32"/>
        <v>"year19",</v>
      </c>
      <c r="DP4" s="5" t="str">
        <f t="shared" si="33"/>
        <v/>
      </c>
      <c r="DQ4" s="5" t="str">
        <f t="shared" si="34"/>
        <v/>
      </c>
      <c r="DR4" s="5" t="str">
        <f t="shared" si="35"/>
        <v/>
      </c>
      <c r="DS4" s="5" t="str">
        <f t="shared" si="36"/>
        <v/>
      </c>
      <c r="DT4" s="5" t="str">
        <f t="shared" si="37"/>
        <v>"allhor",</v>
      </c>
      <c r="DU4" s="5" t="str">
        <f t="shared" si="38"/>
        <v/>
      </c>
      <c r="DW4" s="44" t="str">
        <f t="shared" si="39"/>
        <v/>
      </c>
      <c r="DX4" s="44" t="str">
        <f t="shared" si="40"/>
        <v/>
      </c>
      <c r="DY4" s="44" t="str">
        <f t="shared" si="41"/>
        <v>"3Bands",</v>
      </c>
      <c r="DZ4" s="44" t="str">
        <f t="shared" si="42"/>
        <v/>
      </c>
      <c r="EA4" s="44" t="str">
        <f t="shared" si="43"/>
        <v/>
      </c>
      <c r="EB4" s="44" t="str">
        <f t="shared" si="44"/>
        <v/>
      </c>
      <c r="EC4" s="44" t="str">
        <f t="shared" si="45"/>
        <v>"Horizo",</v>
      </c>
      <c r="ED4" s="44" t="str">
        <f t="shared" si="46"/>
        <v/>
      </c>
      <c r="EE4" s="44" t="str">
        <f t="shared" si="47"/>
        <v/>
      </c>
      <c r="EF4" s="44" t="str">
        <f t="shared" si="48"/>
        <v/>
      </c>
      <c r="EG4" s="44" t="str">
        <f t="shared" si="49"/>
        <v/>
      </c>
      <c r="EH4" s="44" t="str">
        <f t="shared" si="50"/>
        <v/>
      </c>
      <c r="EI4" s="44" t="str">
        <f t="shared" si="51"/>
        <v/>
      </c>
      <c r="EJ4" s="44" t="str">
        <f t="shared" si="52"/>
        <v/>
      </c>
      <c r="EK4" s="44" t="str">
        <f t="shared" si="53"/>
        <v/>
      </c>
      <c r="EL4" s="44" t="str">
        <f t="shared" si="54"/>
        <v/>
      </c>
      <c r="EM4" s="44" t="str">
        <f t="shared" si="55"/>
        <v/>
      </c>
      <c r="EN4" s="44" t="str">
        <f t="shared" si="56"/>
        <v>"Unequa",</v>
      </c>
      <c r="EO4" s="44" t="str">
        <f t="shared" si="57"/>
        <v>"Center",</v>
      </c>
      <c r="EP4" s="44" t="str">
        <f t="shared" si="58"/>
        <v/>
      </c>
      <c r="EQ4" s="44" t="str">
        <f t="shared" si="59"/>
        <v/>
      </c>
      <c r="ER4" s="44" t="str">
        <f t="shared" si="60"/>
        <v/>
      </c>
      <c r="ES4" s="44" t="str">
        <f t="shared" si="61"/>
        <v/>
      </c>
      <c r="ET4" s="44" t="str">
        <f t="shared" si="62"/>
        <v>"Geogrh",</v>
      </c>
      <c r="EU4" s="44" t="str">
        <f t="shared" si="63"/>
        <v/>
      </c>
      <c r="EV4" s="44" t="str">
        <f t="shared" si="64"/>
        <v/>
      </c>
      <c r="EW4" s="44" t="str">
        <f t="shared" si="65"/>
        <v/>
      </c>
      <c r="EX4" s="44" t="str">
        <f t="shared" si="66"/>
        <v/>
      </c>
      <c r="EY4" s="44" t="str">
        <f t="shared" si="67"/>
        <v/>
      </c>
      <c r="EZ4" s="44" t="str">
        <f t="shared" si="68"/>
        <v/>
      </c>
      <c r="FA4" s="44" t="str">
        <f t="shared" si="69"/>
        <v/>
      </c>
      <c r="FB4" s="44" t="str">
        <f t="shared" si="70"/>
        <v/>
      </c>
      <c r="FD4" s="44" t="str">
        <f t="shared" si="71"/>
        <v/>
      </c>
      <c r="FE4" s="44" t="str">
        <f t="shared" si="72"/>
        <v/>
      </c>
      <c r="FF4" s="44" t="str">
        <f t="shared" si="73"/>
        <v>"NO_WHI",</v>
      </c>
      <c r="FG4" s="44" t="str">
        <f t="shared" si="74"/>
        <v>"NO_RED",</v>
      </c>
      <c r="FH4" s="44" t="str">
        <f t="shared" si="75"/>
        <v/>
      </c>
      <c r="FI4" s="44" t="str">
        <f t="shared" si="76"/>
        <v/>
      </c>
      <c r="FJ4" s="44" t="str">
        <f t="shared" si="77"/>
        <v/>
      </c>
      <c r="FK4" s="44" t="str">
        <f t="shared" si="78"/>
        <v/>
      </c>
      <c r="FL4" s="44" t="str">
        <f t="shared" si="79"/>
        <v/>
      </c>
      <c r="FM4" s="44" t="str">
        <f t="shared" si="80"/>
        <v/>
      </c>
      <c r="FN4" s="44" t="str">
        <f t="shared" si="81"/>
        <v/>
      </c>
      <c r="FO4" s="44" t="str">
        <f t="shared" si="82"/>
        <v/>
      </c>
      <c r="FP4" s="44" t="str">
        <f t="shared" si="83"/>
        <v>"WHRENO",</v>
      </c>
      <c r="FQ4" s="44" t="str">
        <f t="shared" si="84"/>
        <v>"001BLU",</v>
      </c>
      <c r="FR4" s="44" t="str">
        <f t="shared" si="85"/>
        <v>"002YEL",</v>
      </c>
      <c r="FS4" s="44" t="str">
        <f t="shared" si="86"/>
        <v>"003GRE",</v>
      </c>
      <c r="FT4" s="44" t="str">
        <f t="shared" si="87"/>
        <v>"myrBLU",</v>
      </c>
      <c r="FU4" s="44" t="str">
        <f t="shared" si="88"/>
        <v/>
      </c>
      <c r="FV4" s="44" t="str">
        <f t="shared" si="89"/>
        <v/>
      </c>
      <c r="FW4" s="44" t="str">
        <f t="shared" si="90"/>
        <v/>
      </c>
      <c r="FY4" s="44" t="str">
        <f t="shared" si="91"/>
        <v/>
      </c>
      <c r="FZ4" s="44" t="str">
        <f t="shared" si="92"/>
        <v/>
      </c>
      <c r="GA4" s="44" t="str">
        <f t="shared" si="93"/>
        <v/>
      </c>
      <c r="GB4" s="44" t="str">
        <f t="shared" si="94"/>
        <v/>
      </c>
      <c r="GE4" s="44" t="str">
        <f t="shared" si="95"/>
        <v/>
      </c>
      <c r="GF4" s="44" t="str">
        <f t="shared" si="138"/>
        <v/>
      </c>
      <c r="GG4" s="44" t="str">
        <f t="shared" si="96"/>
        <v/>
      </c>
      <c r="GH4" s="44" t="str">
        <f t="shared" si="97"/>
        <v/>
      </c>
      <c r="GI4" s="44" t="str">
        <f t="shared" si="98"/>
        <v>"hasmap",</v>
      </c>
      <c r="GJ4" s="44" t="str">
        <f t="shared" si="99"/>
        <v>"NoStar",</v>
      </c>
      <c r="GK4" s="44" t="str">
        <f t="shared" si="100"/>
        <v/>
      </c>
      <c r="GL4" s="44" t="str">
        <f t="shared" si="101"/>
        <v/>
      </c>
      <c r="GM4" s="44" t="str">
        <f t="shared" si="102"/>
        <v/>
      </c>
      <c r="GN4" s="44" t="str">
        <f t="shared" si="103"/>
        <v/>
      </c>
      <c r="GP4" s="44" t="str">
        <f t="shared" si="104"/>
        <v>"State"</v>
      </c>
      <c r="GS4" s="44" t="str">
        <f t="shared" si="105"/>
        <v>["4Color","lets10","startA","with_v","with_z","year19","allhor","3Bands","Horizo","Unequa","Center","Geogrh","NO_WHI","NO_RED","WHRENO","001BLU","002YEL","003GRE","myrBLU","hasmap","NoStar"]</v>
      </c>
      <c r="GT4" s="44" t="str">
        <f t="shared" si="106"/>
        <v>"cl_BLA",</v>
      </c>
      <c r="GU4" s="44" t="str">
        <f t="shared" si="107"/>
        <v>"cl_BLU",</v>
      </c>
      <c r="GV4" s="44" t="str">
        <f t="shared" si="108"/>
        <v>"cl_GRE",</v>
      </c>
      <c r="GW4" s="44" t="str">
        <f t="shared" si="109"/>
        <v/>
      </c>
      <c r="GX4" s="44" t="str">
        <f t="shared" si="110"/>
        <v>"cl_YEL",</v>
      </c>
      <c r="GY4" s="44" t="str">
        <f t="shared" si="111"/>
        <v/>
      </c>
      <c r="GZ4" s="44" t="str">
        <f t="shared" si="112"/>
        <v/>
      </c>
      <c r="HA4" s="44" t="str">
        <f t="shared" si="113"/>
        <v/>
      </c>
      <c r="HB4" s="44" t="str">
        <f t="shared" si="114"/>
        <v/>
      </c>
      <c r="HC4" s="44" t="str">
        <f t="shared" si="115"/>
        <v>["cl_BLA","cl_BLU","cl_GRE","cl_YEL"]</v>
      </c>
      <c r="HE4" s="64"/>
      <c r="HF4" s="65" t="str">
        <f t="shared" si="116"/>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links: "https://en.wikipedia.org/wiki/Flag_of_Anzo%C3%A1tegui"},</v>
      </c>
      <c r="HG4" s="66" t="str">
        <f t="shared" si="117"/>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links: "https://en.wikipedia.org/wiki/Flag_of_Anzo%C3%A1tegui"},</v>
      </c>
      <c r="HH4" s="44" t="str">
        <f t="shared" si="118"/>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I4" s="44" t="str">
        <f t="shared" si="119"/>
        <v>"\nThe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v>
      </c>
      <c r="HJ4" s="44" t="str">
        <f t="shared" si="120"/>
        <v>"1999"</v>
      </c>
      <c r="HL4" s="44" t="str">
        <f t="shared" si="121"/>
        <v>"https://en.wikipedia.org/wiki/Flag_of_Anzo%C3%A1tegui"</v>
      </c>
      <c r="HM4" s="65" t="str">
        <f t="shared" si="122"/>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N4" s="67" t="str">
        <f t="shared" si="123"/>
        <v>{"couname":"[VEN] Anzoátegui","year":"1999","region":"rgn_South America","Colors":["cl_BLA","cl_BLU","cl_GRE","cl_YEL"],"Items":["4Color","lets10","startA","with_v","with_z","year19","allhor","3Bands","Horizo","Unequa","Center","Geogrh","NO_WHI","NO_RED","WHRENO","001BLU","002YEL","003GRE","myrBLU","hasmap","NoStar"],"Flag":"https://upload.wikimedia.org/wikipedia/commons/thumb/0/03/Flag_of_Anzo%C3%A1tegui_State_%28original_version%29.svg/320px-Flag_of_Anzo%C3%A1tegui_State_%28original_version%29.svg.png","HDFlag":"https://upload.wikimedia.org/wikipedia/commons/thumb/0/03/Flag_of_Anzo%C3%A1tegui_State_%28original_version%29.svg/800px-Flag_of_Anzo%C3%A1tegui_State_%28original_version%29.svg.png","type":"State", "describe": "\nThe flag is a blue-yellow-green tricolor charged with the black outline of the territory of Anzoátegui. The blue represents the skies, seas, and rivers of the state, the yellow the warmth of the climate and its inhabitants, and the green the riches of nature inside the land. The black outline represents the abundance of oil inside the subsoil of the land.", "isnew": ".", "links": "https://en.wikipedia.org/wiki/Flag_of_Anzo%C3%A1tegui"},</v>
      </c>
      <c r="HO4" s="71">
        <v>45610</v>
      </c>
      <c r="HP4" s="44" t="str" cm="1">
        <f t="array" ref="HP4">IF(_xlfn.TEXTJOIN(", ", TRUE, IF(ISNUMBER(SEARCH("BLA", BL4:BT4)), COLUMN(BL4:BT4) - COLUMN(BL4) + 1, ""))&lt;&gt;"","BLA","")</f>
        <v>BLA</v>
      </c>
      <c r="HQ4" s="44" t="str" cm="1">
        <f t="array" ref="HQ4">IF(_xlfn.TEXTJOIN(", ", TRUE, IF(ISNUMBER(SEARCH("BLU", BL4:BT4)), COLUMN(BL4:BT4) - COLUMN(BL4) + 1, ""))&lt;&gt;"","BLU","")</f>
        <v>BLU</v>
      </c>
      <c r="HR4" s="44" t="str" cm="1">
        <f t="array" ref="HR4">IF(_xlfn.TEXTJOIN(", ", TRUE, IF(ISNUMBER(SEARCH("GRE", BL4:BT4)), COLUMN(BL4:BT4) - COLUMN(BL4) + 1, ""))&lt;&gt;"","GRE","")</f>
        <v>GRE</v>
      </c>
      <c r="HS4" s="44" t="str" cm="1">
        <f t="array" ref="HS4">IF(_xlfn.TEXTJOIN(", ", TRUE, IF(ISNUMBER(SEARCH("RED", BL4:BT4)), COLUMN(BL4:BT4) - COLUMN(BL4) + 1, ""))&lt;&gt;"","RED","")</f>
        <v/>
      </c>
      <c r="HT4" s="44" t="str" cm="1">
        <f t="array" ref="HT4">IF(_xlfn.TEXTJOIN(", ", TRUE, IF(ISNUMBER(SEARCH("YEL", BL4:BT4)), COLUMN(BL4:BT4) - COLUMN(BL4) + 1, ""))&lt;&gt;"","YEL","")</f>
        <v>YEL</v>
      </c>
      <c r="HU4" s="44" t="str" cm="1">
        <f t="array" ref="HU4">IF(_xlfn.TEXTJOIN(", ", TRUE, IF(ISNUMBER(SEARCH("ORA", BL4:BT4)), COLUMN(BL4:BT4) - COLUMN(BL4) + 1, ""))&lt;&gt;"","ORA","")</f>
        <v/>
      </c>
      <c r="HV4" s="44" t="str" cm="1">
        <f t="array" ref="HV4">IF(_xlfn.TEXTJOIN(", ", TRUE, IF(ISNUMBER(SEARCH("BRO", BL4:BT4)), COLUMN(BL4:BT4) - COLUMN(BL4) + 1, ""))&lt;&gt;"","BRO","")</f>
        <v/>
      </c>
      <c r="HW4" s="44" t="str" cm="1">
        <f t="array" ref="HW4">IF(_xlfn.TEXTJOIN(", ", TRUE, IF(ISNUMBER(SEARCH("PUR", BL4:BT4)), COLUMN(BL4:BT4) - COLUMN(BL4) + 1, ""))&lt;&gt;"","PUR","")</f>
        <v/>
      </c>
      <c r="HX4" s="44" t="str" cm="1">
        <f t="array" ref="HX4">IF(_xlfn.TEXTJOIN(", ", TRUE, IF(ISNUMBER(SEARCH("WHI", BL4:BT4)), COLUMN(BL4:BT4) - COLUMN(BL4) + 1, ""))&lt;&gt;"","WHI","")</f>
        <v/>
      </c>
      <c r="HY4" s="72"/>
      <c r="HZ4" s="72"/>
      <c r="IA4" s="5"/>
      <c r="IB4" s="5"/>
      <c r="IC4" s="68"/>
      <c r="ID4" s="68"/>
      <c r="IE4" s="68"/>
      <c r="IF4" s="68"/>
      <c r="IG4" s="68"/>
      <c r="IH4" s="68"/>
      <c r="II4" s="68"/>
      <c r="IJ4" s="68"/>
      <c r="IK4" s="68"/>
      <c r="IM4" s="42">
        <f t="shared" si="124"/>
        <v>-4</v>
      </c>
      <c r="IN4" s="69" t="str">
        <f t="shared" si="125"/>
        <v>http://mkweb.bcgsc.ca/color-summarizer/?url=https://upload.wikimedia.org/wikipedia/commons/thumb/0/03/Flag_of_Anzo%C3%A1tegui_State_%28original_version%29.svg/320px-Flag_of_Anzo%C3%A1tegui_State_%28original_version%29.svg.png&amp;precision=low&amp;num_clusters=4&amp;text=1</v>
      </c>
      <c r="IO4" s="44" t="str">
        <f t="shared" si="126"/>
        <v>"black"</v>
      </c>
      <c r="IP4" s="44" t="str">
        <f t="shared" si="127"/>
        <v>"blue"</v>
      </c>
      <c r="IQ4" s="44" t="str">
        <f t="shared" si="128"/>
        <v>"green"</v>
      </c>
      <c r="IR4" s="44" t="str">
        <f t="shared" si="129"/>
        <v/>
      </c>
      <c r="IS4" s="44" t="str">
        <f t="shared" si="130"/>
        <v>"yellow"</v>
      </c>
      <c r="IT4" s="44" t="str">
        <f t="shared" si="131"/>
        <v/>
      </c>
      <c r="IU4" s="44" t="str">
        <f t="shared" si="132"/>
        <v/>
      </c>
      <c r="IV4" s="44" t="str">
        <f t="shared" si="133"/>
        <v/>
      </c>
      <c r="IW4" s="44" t="str">
        <f t="shared" si="134"/>
        <v/>
      </c>
      <c r="IX4" s="44" t="str">
        <f t="shared" si="135"/>
        <v>{"url":"http://mkweb.bcgsc.ca/color-summarizer/?url=https://upload.wikimedia.org/wikipedia/commons/thumb/0/03/Flag_of_Anzo%C3%A1tegui_State_%28original_version%29.svg/320px-Flag_of_Anzo%C3%A1tegui_State_%28original_version%29.svg.png&amp;precision=low&amp;num_clusters=4&amp;text=1","name":"[VEN] Anzoátegui"},</v>
      </c>
      <c r="IY4" s="44">
        <v>1468</v>
      </c>
    </row>
    <row r="5" spans="1:259" s="44" customFormat="1" ht="38.4" customHeight="1" thickBot="1" x14ac:dyDescent="0.35">
      <c r="A5" s="84" t="s">
        <v>735</v>
      </c>
      <c r="B5" s="83" t="e" vm="104">
        <v>#VALUE!</v>
      </c>
      <c r="C5" s="39">
        <v>2</v>
      </c>
      <c r="D5" s="70" t="s">
        <v>736</v>
      </c>
      <c r="E5" s="40" t="s">
        <v>737</v>
      </c>
      <c r="F5" s="41" t="s">
        <v>163</v>
      </c>
      <c r="G5" s="42">
        <f t="shared" si="0"/>
        <v>1</v>
      </c>
      <c r="H5" s="43"/>
      <c r="I5" s="59" t="s">
        <v>738</v>
      </c>
      <c r="J5" s="44" t="str">
        <f>""</f>
        <v/>
      </c>
      <c r="K5" s="45"/>
      <c r="L5" s="46"/>
      <c r="M5" s="46"/>
      <c r="N5" s="47" t="s">
        <v>177</v>
      </c>
      <c r="O5" s="74">
        <v>1996</v>
      </c>
      <c r="P5" s="48" t="s">
        <v>739</v>
      </c>
      <c r="Q5" s="73">
        <v>1</v>
      </c>
      <c r="R5" s="49" t="s">
        <v>177</v>
      </c>
      <c r="S5" s="50">
        <v>3</v>
      </c>
      <c r="T5" s="51" t="s">
        <v>165</v>
      </c>
      <c r="U5" s="52" t="s">
        <v>164</v>
      </c>
      <c r="V5" s="52" t="s">
        <v>165</v>
      </c>
      <c r="W5" s="52" t="s">
        <v>164</v>
      </c>
      <c r="X5" s="52" t="s">
        <v>164</v>
      </c>
      <c r="Y5" s="52" t="s">
        <v>165</v>
      </c>
      <c r="Z5" s="52" t="s">
        <v>164</v>
      </c>
      <c r="AA5" s="52" t="s">
        <v>165</v>
      </c>
      <c r="AB5" s="52" t="s">
        <v>165</v>
      </c>
      <c r="AC5" s="52" t="s">
        <v>165</v>
      </c>
      <c r="AD5" s="52" t="s">
        <v>165</v>
      </c>
      <c r="AE5" s="52" t="s">
        <v>164</v>
      </c>
      <c r="AF5" s="53" t="s">
        <v>165</v>
      </c>
      <c r="AG5" s="53" t="s">
        <v>165</v>
      </c>
      <c r="AH5" s="53" t="s">
        <v>164</v>
      </c>
      <c r="AI5" s="53" t="s">
        <v>164</v>
      </c>
      <c r="AJ5" s="53" t="s">
        <v>164</v>
      </c>
      <c r="AK5" s="53" t="s">
        <v>164</v>
      </c>
      <c r="AL5" s="53" t="s">
        <v>164</v>
      </c>
      <c r="AM5" s="53" t="s">
        <v>165</v>
      </c>
      <c r="AN5" s="53" t="s">
        <v>164</v>
      </c>
      <c r="AO5" s="53" t="s">
        <v>164</v>
      </c>
      <c r="AP5" s="53" t="s">
        <v>164</v>
      </c>
      <c r="AQ5" s="53" t="s">
        <v>164</v>
      </c>
      <c r="AR5" s="53" t="s">
        <v>164</v>
      </c>
      <c r="AS5" s="53" t="s">
        <v>164</v>
      </c>
      <c r="AT5" s="54">
        <v>8</v>
      </c>
      <c r="AU5" s="53" t="s">
        <v>308</v>
      </c>
      <c r="AV5" s="53" t="str">
        <f t="shared" si="1"/>
        <v>[VEN]State[VEN] Apure</v>
      </c>
      <c r="AW5" s="53" t="str">
        <f t="shared" si="2"/>
        <v>2[VEN] Apure</v>
      </c>
      <c r="AX5" s="55"/>
      <c r="AY5" s="55"/>
      <c r="AZ5" s="56" t="s">
        <v>159</v>
      </c>
      <c r="BA5" s="56"/>
      <c r="BB5" s="56"/>
      <c r="BC5" s="57"/>
      <c r="BD5" s="58" t="s">
        <v>167</v>
      </c>
      <c r="BE5" s="59"/>
      <c r="BF5" s="58" t="s">
        <v>155</v>
      </c>
      <c r="BG5" s="58" t="s">
        <v>152</v>
      </c>
      <c r="BH5" s="58" t="s">
        <v>153</v>
      </c>
      <c r="BI5" s="58"/>
      <c r="BJ5" s="58"/>
      <c r="BK5" s="59"/>
      <c r="BL5" s="58" t="s">
        <v>151</v>
      </c>
      <c r="BM5" s="58" t="s">
        <v>152</v>
      </c>
      <c r="BN5" s="58" t="s">
        <v>153</v>
      </c>
      <c r="BO5" s="58" t="s">
        <v>154</v>
      </c>
      <c r="BP5" s="58" t="s">
        <v>155</v>
      </c>
      <c r="BQ5" s="58" t="s">
        <v>234</v>
      </c>
      <c r="BR5" s="58" t="s">
        <v>234</v>
      </c>
      <c r="BS5" s="58" t="s">
        <v>234</v>
      </c>
      <c r="BT5" s="58" t="s">
        <v>159</v>
      </c>
      <c r="BU5" s="60"/>
      <c r="BV5" s="61"/>
      <c r="BW5" s="61">
        <v>0</v>
      </c>
      <c r="BX5" s="59"/>
      <c r="BY5" s="44" t="s">
        <v>164</v>
      </c>
      <c r="CB5" s="5"/>
      <c r="CC5" s="5"/>
      <c r="CD5" s="62">
        <v>0</v>
      </c>
      <c r="CE5" s="62">
        <v>0</v>
      </c>
      <c r="CF5" s="62" t="e">
        <v>#REF!</v>
      </c>
      <c r="CG5" s="75" cm="1">
        <f t="array" ref="CG5">SUMPRODUCT(--(LEN(TRIM(BL5:BT5))&gt;0))</f>
        <v>6</v>
      </c>
      <c r="CH5" s="53" t="str">
        <f t="shared" si="3"/>
        <v>n</v>
      </c>
      <c r="CI5" s="53" t="str">
        <f t="shared" si="4"/>
        <v>n</v>
      </c>
      <c r="CJ5" s="53" t="str">
        <f t="shared" si="5"/>
        <v>n</v>
      </c>
      <c r="CK5" s="53" t="str">
        <f t="shared" si="6"/>
        <v>y</v>
      </c>
      <c r="CL5" s="53" t="str">
        <f t="shared" si="7"/>
        <v>n</v>
      </c>
      <c r="CM5" s="53" t="str">
        <f t="shared" si="8"/>
        <v>n</v>
      </c>
      <c r="CN5" s="53" t="str">
        <f t="shared" si="9"/>
        <v>y</v>
      </c>
      <c r="CO5" s="53" t="str">
        <f t="shared" si="10"/>
        <v>n</v>
      </c>
      <c r="CP5" s="53" t="str">
        <f t="shared" si="11"/>
        <v>n</v>
      </c>
      <c r="CQ5" s="53" t="str">
        <f t="shared" si="12"/>
        <v>n</v>
      </c>
      <c r="CR5" s="53" t="str">
        <f t="shared" si="13"/>
        <v>n</v>
      </c>
      <c r="CS5" s="53" t="str">
        <f t="shared" si="14"/>
        <v>y</v>
      </c>
      <c r="CT5" s="38" t="str">
        <f t="shared" si="15"/>
        <v>"[VEN] Apure"</v>
      </c>
      <c r="CU5" s="63" t="str">
        <f t="shared" si="16"/>
        <v>"rgn_South America"</v>
      </c>
      <c r="CV5" s="44" t="str">
        <f t="shared" si="17"/>
        <v>"https://upload.wikimedia.org/wikipedia/commons/thumb/1/1a/Flag_of_Apure_State.svg/320px-Flag_of_Apure_State.svg.png"</v>
      </c>
      <c r="CW5" s="44" t="str">
        <f t="shared" si="18"/>
        <v/>
      </c>
      <c r="CX5" s="44" t="str">
        <f t="shared" si="19"/>
        <v/>
      </c>
      <c r="CY5" s="44" t="str">
        <f t="shared" si="20"/>
        <v/>
      </c>
      <c r="CZ5" s="44" t="str">
        <f t="shared" si="21"/>
        <v>"5+Colo",</v>
      </c>
      <c r="DA5" s="44" t="str">
        <f t="shared" si="22"/>
        <v/>
      </c>
      <c r="DB5" s="44" t="str">
        <f t="shared" si="23"/>
        <v/>
      </c>
      <c r="DD5" s="44" t="str">
        <f t="shared" si="136"/>
        <v>"lets05",</v>
      </c>
      <c r="DE5" s="44" t="str">
        <f t="shared" si="137"/>
        <v>"startA",</v>
      </c>
      <c r="DF5" s="44" t="str">
        <f t="shared" si="24"/>
        <v/>
      </c>
      <c r="DG5" s="44" t="str">
        <f t="shared" si="25"/>
        <v/>
      </c>
      <c r="DH5" s="44" t="str">
        <f t="shared" si="26"/>
        <v>"with_v",</v>
      </c>
      <c r="DI5" s="44" t="str">
        <f t="shared" si="27"/>
        <v/>
      </c>
      <c r="DJ5" s="44" t="str">
        <f t="shared" si="28"/>
        <v/>
      </c>
      <c r="DK5" s="44" t="str">
        <f t="shared" si="29"/>
        <v/>
      </c>
      <c r="DL5" s="44" t="str">
        <f t="shared" si="30"/>
        <v/>
      </c>
      <c r="DM5" s="44" t="str" cm="1">
        <f t="array" ref="DM5">IF(CG5=3,CHAR(34) &amp; _xlfn.TEXTJOIN("", TRUE, RIGHT(HP5:HX5, 2)) &amp; CHAR(34) &amp; ",", "")</f>
        <v/>
      </c>
      <c r="DN5" s="44" t="str">
        <f t="shared" si="31"/>
        <v/>
      </c>
      <c r="DO5" s="44" t="str">
        <f t="shared" si="32"/>
        <v>"year19",</v>
      </c>
      <c r="DP5" s="5" t="str">
        <f t="shared" si="33"/>
        <v/>
      </c>
      <c r="DQ5" s="5" t="str">
        <f t="shared" si="34"/>
        <v/>
      </c>
      <c r="DR5" s="5" t="str">
        <f t="shared" si="35"/>
        <v/>
      </c>
      <c r="DS5" s="5" t="str">
        <f t="shared" si="36"/>
        <v/>
      </c>
      <c r="DT5" s="5" t="str">
        <f t="shared" si="37"/>
        <v>"allhor",</v>
      </c>
      <c r="DU5" s="5" t="str">
        <f t="shared" si="38"/>
        <v/>
      </c>
      <c r="DW5" s="44" t="str">
        <f t="shared" si="39"/>
        <v/>
      </c>
      <c r="DX5" s="44" t="str">
        <f t="shared" si="40"/>
        <v/>
      </c>
      <c r="DY5" s="44" t="str">
        <f t="shared" si="41"/>
        <v>"3Bands",</v>
      </c>
      <c r="DZ5" s="44" t="str">
        <f t="shared" si="42"/>
        <v/>
      </c>
      <c r="EA5" s="44" t="str">
        <f t="shared" si="43"/>
        <v>"Diagon",</v>
      </c>
      <c r="EB5" s="44" t="str">
        <f t="shared" si="44"/>
        <v/>
      </c>
      <c r="EC5" s="44" t="str">
        <f t="shared" si="45"/>
        <v>"Horizo",</v>
      </c>
      <c r="ED5" s="44" t="str">
        <f t="shared" si="46"/>
        <v/>
      </c>
      <c r="EE5" s="44" t="str">
        <f t="shared" si="47"/>
        <v/>
      </c>
      <c r="EF5" s="44" t="str">
        <f t="shared" si="48"/>
        <v>"Animal",</v>
      </c>
      <c r="EG5" s="44" t="str">
        <f t="shared" si="49"/>
        <v/>
      </c>
      <c r="EH5" s="44" t="str">
        <f t="shared" si="50"/>
        <v>"Plants",</v>
      </c>
      <c r="EI5" s="44" t="str">
        <f t="shared" si="51"/>
        <v>"Texted",</v>
      </c>
      <c r="EJ5" s="44" t="str">
        <f t="shared" si="52"/>
        <v>"Weapon",</v>
      </c>
      <c r="EK5" s="44" t="str">
        <f t="shared" si="53"/>
        <v>"HasSun",</v>
      </c>
      <c r="EL5" s="44" t="str">
        <f t="shared" si="54"/>
        <v/>
      </c>
      <c r="EM5" s="44" t="str">
        <f t="shared" si="55"/>
        <v>"Trside",</v>
      </c>
      <c r="EN5" s="44" t="str">
        <f t="shared" si="56"/>
        <v>"Unequa",</v>
      </c>
      <c r="EO5" s="44" t="str">
        <f t="shared" si="57"/>
        <v/>
      </c>
      <c r="EP5" s="44" t="str">
        <f t="shared" si="58"/>
        <v/>
      </c>
      <c r="EQ5" s="44" t="str">
        <f t="shared" si="59"/>
        <v/>
      </c>
      <c r="ER5" s="44" t="str">
        <f t="shared" si="60"/>
        <v/>
      </c>
      <c r="ES5" s="44" t="str">
        <f t="shared" si="61"/>
        <v/>
      </c>
      <c r="ET5" s="44" t="str">
        <f t="shared" si="62"/>
        <v>"Geogrh",</v>
      </c>
      <c r="EU5" s="44" t="str">
        <f t="shared" si="63"/>
        <v/>
      </c>
      <c r="EV5" s="44" t="str">
        <f t="shared" si="64"/>
        <v/>
      </c>
      <c r="EW5" s="44" t="str">
        <f t="shared" si="65"/>
        <v/>
      </c>
      <c r="EX5" s="44" t="str">
        <f t="shared" si="66"/>
        <v/>
      </c>
      <c r="EY5" s="44" t="str">
        <f t="shared" si="67"/>
        <v/>
      </c>
      <c r="EZ5" s="44" t="str">
        <f t="shared" si="68"/>
        <v/>
      </c>
      <c r="FA5" s="44" t="str">
        <f t="shared" si="69"/>
        <v>"staWHI",</v>
      </c>
      <c r="FB5" s="44" t="str">
        <f t="shared" si="70"/>
        <v/>
      </c>
      <c r="FD5" s="44" t="str">
        <f t="shared" si="71"/>
        <v/>
      </c>
      <c r="FE5" s="44" t="str">
        <f t="shared" si="72"/>
        <v/>
      </c>
      <c r="FF5" s="44" t="str">
        <f t="shared" si="73"/>
        <v/>
      </c>
      <c r="FG5" s="44" t="str">
        <f t="shared" si="74"/>
        <v/>
      </c>
      <c r="FH5" s="44" t="str">
        <f t="shared" si="75"/>
        <v/>
      </c>
      <c r="FI5" s="44" t="str">
        <f t="shared" si="76"/>
        <v/>
      </c>
      <c r="FJ5" s="44" t="str">
        <f t="shared" si="77"/>
        <v/>
      </c>
      <c r="FK5" s="44" t="str">
        <f t="shared" si="78"/>
        <v/>
      </c>
      <c r="FL5" s="44" t="str">
        <f t="shared" si="79"/>
        <v/>
      </c>
      <c r="FM5" s="44" t="str">
        <f t="shared" si="80"/>
        <v/>
      </c>
      <c r="FN5" s="44" t="str">
        <f t="shared" si="81"/>
        <v/>
      </c>
      <c r="FO5" s="44" t="str">
        <f t="shared" si="82"/>
        <v/>
      </c>
      <c r="FP5" s="44" t="str">
        <f t="shared" si="83"/>
        <v/>
      </c>
      <c r="FQ5" s="44" t="str">
        <f t="shared" si="84"/>
        <v>"001YEL",</v>
      </c>
      <c r="FR5" s="44" t="str">
        <f t="shared" si="85"/>
        <v>"002BLU",</v>
      </c>
      <c r="FS5" s="44" t="str">
        <f t="shared" si="86"/>
        <v>"003GRE",</v>
      </c>
      <c r="FT5" s="44" t="str">
        <f t="shared" si="87"/>
        <v>"myrEQ",</v>
      </c>
      <c r="FU5" s="44" t="str">
        <f t="shared" si="88"/>
        <v/>
      </c>
      <c r="FV5" s="44" t="str">
        <f t="shared" si="89"/>
        <v/>
      </c>
      <c r="FW5" s="44" t="str">
        <f t="shared" si="90"/>
        <v/>
      </c>
      <c r="FY5" s="44" t="str">
        <f t="shared" si="91"/>
        <v/>
      </c>
      <c r="FZ5" s="44" t="str">
        <f t="shared" si="92"/>
        <v/>
      </c>
      <c r="GA5" s="44" t="str">
        <f t="shared" si="93"/>
        <v/>
      </c>
      <c r="GB5" s="44" t="str">
        <f t="shared" si="94"/>
        <v/>
      </c>
      <c r="GE5" s="44" t="str">
        <f t="shared" si="95"/>
        <v/>
      </c>
      <c r="GF5" s="44" t="str">
        <f t="shared" si="138"/>
        <v/>
      </c>
      <c r="GG5" s="44" t="str">
        <f t="shared" si="96"/>
        <v/>
      </c>
      <c r="GH5" s="44" t="str">
        <f t="shared" si="97"/>
        <v/>
      </c>
      <c r="GI5" s="44" t="str">
        <f t="shared" si="98"/>
        <v/>
      </c>
      <c r="GJ5" s="44" t="str">
        <f t="shared" si="99"/>
        <v/>
      </c>
      <c r="GK5" s="44" t="str">
        <f t="shared" si="100"/>
        <v>"HasSta",</v>
      </c>
      <c r="GL5" s="44" t="str">
        <f t="shared" si="101"/>
        <v/>
      </c>
      <c r="GM5" s="44" t="str">
        <f t="shared" si="102"/>
        <v/>
      </c>
      <c r="GN5" s="44" t="str">
        <f t="shared" si="103"/>
        <v>"3+Star",</v>
      </c>
      <c r="GP5" s="44" t="str">
        <f t="shared" si="104"/>
        <v>"State"</v>
      </c>
      <c r="GS5" s="44" t="str">
        <f t="shared" si="105"/>
        <v>["5+Colo","lets05","startA","with_v","year19","allhor","3Bands","Diagon","Horizo","Animal","Plants","Texted","Weapon","HasSun","Trside","Unequa","Geogrh","staWHI","001YEL","002BLU","003GRE","myrEQ","HasSta","3+Star"]</v>
      </c>
      <c r="GT5" s="44" t="str">
        <f t="shared" si="106"/>
        <v>"cl_BLA",</v>
      </c>
      <c r="GU5" s="44" t="str">
        <f t="shared" si="107"/>
        <v>"cl_BLU",</v>
      </c>
      <c r="GV5" s="44" t="str">
        <f t="shared" si="108"/>
        <v>"cl_GRE",</v>
      </c>
      <c r="GW5" s="44" t="str">
        <f t="shared" si="109"/>
        <v>"cl_RED",</v>
      </c>
      <c r="GX5" s="44" t="str">
        <f t="shared" si="110"/>
        <v>"cl_YEL",</v>
      </c>
      <c r="GY5" s="44" t="str">
        <f t="shared" si="111"/>
        <v/>
      </c>
      <c r="GZ5" s="44" t="str">
        <f t="shared" si="112"/>
        <v/>
      </c>
      <c r="HA5" s="44" t="str">
        <f t="shared" si="113"/>
        <v/>
      </c>
      <c r="HB5" s="44" t="str">
        <f t="shared" si="114"/>
        <v>"cl_WHI",</v>
      </c>
      <c r="HC5" s="44" t="str">
        <f t="shared" si="115"/>
        <v>["cl_BLA","cl_BLU","cl_GRE","cl_RED","cl_YEL","cl_WHI"]</v>
      </c>
      <c r="HE5" s="64"/>
      <c r="HF5" s="65" t="str">
        <f t="shared" si="116"/>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links: "https://www.crwflags.com/fotw/flags/ve-c.html"},</v>
      </c>
      <c r="HG5" s="66" t="str">
        <f t="shared" si="117"/>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links: "https://www.crwflags.com/fotw/flags/ve-c.html"},</v>
      </c>
      <c r="HH5" s="44" t="str">
        <f t="shared" si="118"/>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I5" s="44" t="str">
        <f t="shared" si="119"/>
        <v>"\nThe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v>
      </c>
      <c r="HJ5" s="44" t="str">
        <f t="shared" si="120"/>
        <v>"1996"</v>
      </c>
      <c r="HL5" s="44" t="str">
        <f t="shared" si="121"/>
        <v>"https://www.crwflags.com/fotw/flags/ve-c.html"</v>
      </c>
      <c r="HM5" s="65" t="str">
        <f t="shared" si="122"/>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N5" s="67" t="str">
        <f t="shared" si="123"/>
        <v>{"couname":"[VEN] Apure","year":"1996","region":"rgn_South America","Colors":["cl_BLA","cl_BLU","cl_GRE","cl_RED","cl_YEL","cl_WHI"],"Items":["5+Colo","lets05","startA","with_v","year19","allhor","3Bands","Diagon","Horizo","Animal","Plants","Texted","Weapon","HasSun","Trside","Unequa","Geogrh","staWHI","001YEL","002BLU","003GRE","myrEQ","HasSta","3+Star"],"Flag":"https://upload.wikimedia.org/wikipedia/commons/thumb/1/1a/Flag_of_Apure_State.svg/320px-Flag_of_Apure_State.svg.png","HDFlag":"https://upload.wikimedia.org/wikipedia/commons/thumb/1/1a/Flag_of_Apure_State.svg/847px-Flag_of_Apure_State.svg.png","type":"State", "describe": "\nThe consists of a yellow-blue-green tricolor charged with 7 white stars along with a triangle on the left side with the coat of arms of Apure in the middle of said triangle. Yellow symbolizes the sun, blue the river that gave name to the state, and green the forest. The 7 stars represent the 7 municipalities that make up the state. \n\nThe coat of arms is divided per pale and fess and is described as follows:\n\n-The first quarter in Or is charged with a black bull as a symbol of strength, which also represents cattle-raising, a principal source of the state.\n\n-The second quarter in Gules shows bundles of silver lances which recall the lancers who won in the battle of Las Queseras del Medio, an important battle in the Venezuelan War of Independence.\n\n-The bottom bar has the natural landscape of the region with an untamed horse under its vigilant eyes, its defensive position symbolizing the defense of the national territory.\n\n-The star represents one of the provinces of Apure, which declared the Independence of Venezuela on July 5th, 1811.\n\n-The cimier consists of a small sun charging the words of 'Aldea de los Sesenta', another battle of the emancipation war. At the sides appear a palm and a laurel branch, typical symbols of triumph and victory respectively, jointed with a yellow pennant where appears how mottoes the name of the state 'ESTADO APURE' and its labels '17 de Julio de 1864' (July 17th, 1864) and '17 de Julio de 1823'.", "isnew": ".", "links": "https://www.crwflags.com/fotw/flags/ve-c.html"},</v>
      </c>
      <c r="HO5" s="71">
        <v>45610</v>
      </c>
      <c r="HP5" s="44" t="str" cm="1">
        <f t="array" ref="HP5">IF(_xlfn.TEXTJOIN(", ", TRUE, IF(ISNUMBER(SEARCH("BLA", BL5:BT5)), COLUMN(BL5:BT5) - COLUMN(BL5) + 1, ""))&lt;&gt;"","BLA","")</f>
        <v>BLA</v>
      </c>
      <c r="HQ5" s="44" t="str" cm="1">
        <f t="array" ref="HQ5">IF(_xlfn.TEXTJOIN(", ", TRUE, IF(ISNUMBER(SEARCH("BLU", BL5:BT5)), COLUMN(BL5:BT5) - COLUMN(BL5) + 1, ""))&lt;&gt;"","BLU","")</f>
        <v>BLU</v>
      </c>
      <c r="HR5" s="44" t="str" cm="1">
        <f t="array" ref="HR5">IF(_xlfn.TEXTJOIN(", ", TRUE, IF(ISNUMBER(SEARCH("GRE", BL5:BT5)), COLUMN(BL5:BT5) - COLUMN(BL5) + 1, ""))&lt;&gt;"","GRE","")</f>
        <v>GRE</v>
      </c>
      <c r="HS5" s="44" t="str" cm="1">
        <f t="array" ref="HS5">IF(_xlfn.TEXTJOIN(", ", TRUE, IF(ISNUMBER(SEARCH("RED", BL5:BT5)), COLUMN(BL5:BT5) - COLUMN(BL5) + 1, ""))&lt;&gt;"","RED","")</f>
        <v>RED</v>
      </c>
      <c r="HT5" s="44" t="str" cm="1">
        <f t="array" ref="HT5">IF(_xlfn.TEXTJOIN(", ", TRUE, IF(ISNUMBER(SEARCH("YEL", BL5:BT5)), COLUMN(BL5:BT5) - COLUMN(BL5) + 1, ""))&lt;&gt;"","YEL","")</f>
        <v>YEL</v>
      </c>
      <c r="HU5" s="44" t="str" cm="1">
        <f t="array" ref="HU5">IF(_xlfn.TEXTJOIN(", ", TRUE, IF(ISNUMBER(SEARCH("ORA", BL5:BT5)), COLUMN(BL5:BT5) - COLUMN(BL5) + 1, ""))&lt;&gt;"","ORA","")</f>
        <v/>
      </c>
      <c r="HV5" s="44" t="str" cm="1">
        <f t="array" ref="HV5">IF(_xlfn.TEXTJOIN(", ", TRUE, IF(ISNUMBER(SEARCH("BRO", BL5:BT5)), COLUMN(BL5:BT5) - COLUMN(BL5) + 1, ""))&lt;&gt;"","BRO","")</f>
        <v/>
      </c>
      <c r="HW5" s="44" t="str" cm="1">
        <f t="array" ref="HW5">IF(_xlfn.TEXTJOIN(", ", TRUE, IF(ISNUMBER(SEARCH("PUR", BL5:BT5)), COLUMN(BL5:BT5) - COLUMN(BL5) + 1, ""))&lt;&gt;"","PUR","")</f>
        <v/>
      </c>
      <c r="HX5" s="44" t="str" cm="1">
        <f t="array" ref="HX5">IF(_xlfn.TEXTJOIN(", ", TRUE, IF(ISNUMBER(SEARCH("WHI", BL5:BT5)), COLUMN(BL5:BT5) - COLUMN(BL5) + 1, ""))&lt;&gt;"","WHI","")</f>
        <v>WHI</v>
      </c>
      <c r="HY5" s="72"/>
      <c r="HZ5" s="72"/>
      <c r="IA5" s="5"/>
      <c r="IB5" s="5"/>
      <c r="IC5" s="68"/>
      <c r="ID5" s="68"/>
      <c r="IE5" s="68"/>
      <c r="IF5" s="68"/>
      <c r="IG5" s="68"/>
      <c r="IH5" s="68"/>
      <c r="II5" s="68"/>
      <c r="IJ5" s="68"/>
      <c r="IK5" s="68"/>
      <c r="IM5" s="42">
        <f t="shared" si="124"/>
        <v>-6</v>
      </c>
      <c r="IN5" s="69" t="str">
        <f t="shared" si="125"/>
        <v>http://mkweb.bcgsc.ca/color-summarizer/?url=https://upload.wikimedia.org/wikipedia/commons/thumb/1/1a/Flag_of_Apure_State.svg/320px-Flag_of_Apure_State.svg.png&amp;precision=low&amp;num_clusters=6&amp;text=1</v>
      </c>
      <c r="IO5" s="44" t="str">
        <f t="shared" si="126"/>
        <v>"black"</v>
      </c>
      <c r="IP5" s="44" t="str">
        <f t="shared" si="127"/>
        <v>"blue"</v>
      </c>
      <c r="IQ5" s="44" t="str">
        <f t="shared" si="128"/>
        <v>"green"</v>
      </c>
      <c r="IR5" s="44" t="str">
        <f t="shared" si="129"/>
        <v>"red"</v>
      </c>
      <c r="IS5" s="44" t="str">
        <f t="shared" si="130"/>
        <v>"yellow"</v>
      </c>
      <c r="IT5" s="44" t="str">
        <f t="shared" si="131"/>
        <v/>
      </c>
      <c r="IU5" s="44" t="str">
        <f t="shared" si="132"/>
        <v/>
      </c>
      <c r="IV5" s="44" t="str">
        <f t="shared" si="133"/>
        <v/>
      </c>
      <c r="IW5" s="44" t="str">
        <f t="shared" si="134"/>
        <v>"white"</v>
      </c>
      <c r="IX5" s="44" t="str">
        <f t="shared" si="135"/>
        <v>{"url":"http://mkweb.bcgsc.ca/color-summarizer/?url=https://upload.wikimedia.org/wikipedia/commons/thumb/1/1a/Flag_of_Apure_State.svg/320px-Flag_of_Apure_State.svg.png&amp;precision=low&amp;num_clusters=6&amp;text=1","name":"[VEN] Apure"},</v>
      </c>
      <c r="IY5" s="44">
        <v>1469</v>
      </c>
    </row>
    <row r="6" spans="1:259" s="44" customFormat="1" ht="38.4" customHeight="1" thickBot="1" x14ac:dyDescent="0.35">
      <c r="A6" s="84" t="s">
        <v>740</v>
      </c>
      <c r="B6" s="83" t="e" vm="105">
        <v>#VALUE!</v>
      </c>
      <c r="C6" s="39">
        <v>2</v>
      </c>
      <c r="D6" s="70" t="s">
        <v>741</v>
      </c>
      <c r="E6" s="40" t="s">
        <v>742</v>
      </c>
      <c r="F6" s="41" t="s">
        <v>163</v>
      </c>
      <c r="G6" s="42">
        <f t="shared" si="0"/>
        <v>1</v>
      </c>
      <c r="H6" s="43"/>
      <c r="I6" s="59" t="s">
        <v>743</v>
      </c>
      <c r="J6" s="44" t="str">
        <f>""</f>
        <v/>
      </c>
      <c r="K6" s="45"/>
      <c r="L6" s="46"/>
      <c r="M6" s="46"/>
      <c r="N6" s="47" t="s">
        <v>177</v>
      </c>
      <c r="O6" s="74">
        <v>1993</v>
      </c>
      <c r="P6" s="48" t="s">
        <v>744</v>
      </c>
      <c r="Q6" s="73">
        <v>1</v>
      </c>
      <c r="R6" s="49" t="s">
        <v>177</v>
      </c>
      <c r="S6" s="50">
        <v>3</v>
      </c>
      <c r="T6" s="51" t="s">
        <v>165</v>
      </c>
      <c r="U6" s="52" t="s">
        <v>164</v>
      </c>
      <c r="V6" s="52" t="s">
        <v>164</v>
      </c>
      <c r="W6" s="52" t="s">
        <v>164</v>
      </c>
      <c r="X6" s="52" t="s">
        <v>165</v>
      </c>
      <c r="Y6" s="52" t="s">
        <v>165</v>
      </c>
      <c r="Z6" s="52" t="s">
        <v>164</v>
      </c>
      <c r="AA6" s="52" t="s">
        <v>165</v>
      </c>
      <c r="AB6" s="52" t="s">
        <v>165</v>
      </c>
      <c r="AC6" s="52" t="s">
        <v>164</v>
      </c>
      <c r="AD6" s="52" t="s">
        <v>165</v>
      </c>
      <c r="AE6" s="52" t="s">
        <v>164</v>
      </c>
      <c r="AF6" s="53" t="s">
        <v>165</v>
      </c>
      <c r="AG6" s="53" t="s">
        <v>165</v>
      </c>
      <c r="AH6" s="53" t="s">
        <v>165</v>
      </c>
      <c r="AI6" s="53" t="s">
        <v>164</v>
      </c>
      <c r="AJ6" s="53" t="s">
        <v>164</v>
      </c>
      <c r="AK6" s="53" t="s">
        <v>164</v>
      </c>
      <c r="AL6" s="53" t="s">
        <v>164</v>
      </c>
      <c r="AM6" s="53" t="s">
        <v>165</v>
      </c>
      <c r="AN6" s="53" t="s">
        <v>165</v>
      </c>
      <c r="AO6" s="53" t="s">
        <v>165</v>
      </c>
      <c r="AP6" s="53" t="s">
        <v>164</v>
      </c>
      <c r="AQ6" s="53" t="s">
        <v>164</v>
      </c>
      <c r="AR6" s="53" t="s">
        <v>164</v>
      </c>
      <c r="AS6" s="53" t="s">
        <v>164</v>
      </c>
      <c r="AT6" s="54">
        <v>0</v>
      </c>
      <c r="AU6" s="53" t="s">
        <v>308</v>
      </c>
      <c r="AV6" s="53" t="str">
        <f t="shared" si="1"/>
        <v>[VEN]State[VEN] Aragua</v>
      </c>
      <c r="AW6" s="53" t="str">
        <f t="shared" si="2"/>
        <v>2[VEN] Aragua</v>
      </c>
      <c r="AX6" s="55"/>
      <c r="AY6" s="55"/>
      <c r="AZ6" s="56" t="s">
        <v>234</v>
      </c>
      <c r="BA6" s="56" t="s">
        <v>234</v>
      </c>
      <c r="BB6" s="56"/>
      <c r="BC6" s="57"/>
      <c r="BD6" s="58" t="s">
        <v>167</v>
      </c>
      <c r="BE6" s="59"/>
      <c r="BF6" s="58" t="s">
        <v>154</v>
      </c>
      <c r="BG6" s="58" t="s">
        <v>155</v>
      </c>
      <c r="BH6" s="58" t="s">
        <v>154</v>
      </c>
      <c r="BI6" s="58"/>
      <c r="BJ6" s="58"/>
      <c r="BK6" s="59"/>
      <c r="BL6" s="58" t="s">
        <v>151</v>
      </c>
      <c r="BM6" s="58" t="s">
        <v>152</v>
      </c>
      <c r="BN6" s="58" t="s">
        <v>153</v>
      </c>
      <c r="BO6" s="58" t="s">
        <v>154</v>
      </c>
      <c r="BP6" s="58" t="s">
        <v>155</v>
      </c>
      <c r="BQ6" s="58" t="s">
        <v>156</v>
      </c>
      <c r="BR6" s="58" t="s">
        <v>234</v>
      </c>
      <c r="BS6" s="58" t="s">
        <v>234</v>
      </c>
      <c r="BT6" s="58" t="s">
        <v>159</v>
      </c>
      <c r="BU6" s="60"/>
      <c r="BV6" s="61"/>
      <c r="BW6" s="61">
        <v>0</v>
      </c>
      <c r="BX6" s="59"/>
      <c r="BY6" s="44" t="s">
        <v>164</v>
      </c>
      <c r="CB6" s="5"/>
      <c r="CC6" s="5"/>
      <c r="CD6" s="62">
        <v>0</v>
      </c>
      <c r="CE6" s="62">
        <v>0</v>
      </c>
      <c r="CF6" s="62" t="e">
        <v>#REF!</v>
      </c>
      <c r="CG6" s="75" cm="1">
        <f t="array" ref="CG6">SUMPRODUCT(--(LEN(TRIM(BL6:BT6))&gt;0))</f>
        <v>7</v>
      </c>
      <c r="CH6" s="53" t="str">
        <f t="shared" si="3"/>
        <v>n</v>
      </c>
      <c r="CI6" s="53" t="str">
        <f t="shared" si="4"/>
        <v>n</v>
      </c>
      <c r="CJ6" s="53" t="str">
        <f t="shared" si="5"/>
        <v>n</v>
      </c>
      <c r="CK6" s="53" t="str">
        <f t="shared" si="6"/>
        <v>y</v>
      </c>
      <c r="CL6" s="53" t="str">
        <f t="shared" si="7"/>
        <v>n</v>
      </c>
      <c r="CM6" s="53" t="str">
        <f t="shared" si="8"/>
        <v>n</v>
      </c>
      <c r="CN6" s="53" t="str">
        <f t="shared" si="9"/>
        <v>y</v>
      </c>
      <c r="CO6" s="53" t="str">
        <f t="shared" si="10"/>
        <v>n</v>
      </c>
      <c r="CP6" s="53" t="str">
        <f t="shared" si="11"/>
        <v>y</v>
      </c>
      <c r="CQ6" s="53" t="str">
        <f t="shared" si="12"/>
        <v>n</v>
      </c>
      <c r="CR6" s="53" t="str">
        <f t="shared" si="13"/>
        <v>n</v>
      </c>
      <c r="CS6" s="53" t="str">
        <f t="shared" si="14"/>
        <v>n</v>
      </c>
      <c r="CT6" s="38" t="str">
        <f t="shared" si="15"/>
        <v>"[VEN] Aragua"</v>
      </c>
      <c r="CU6" s="63" t="str">
        <f t="shared" si="16"/>
        <v>"rgn_South America"</v>
      </c>
      <c r="CV6" s="44" t="str">
        <f t="shared" si="17"/>
        <v>"https://upload.wikimedia.org/wikipedia/commons/thumb/4/4f/Flag_of_Aragua_State.svg/320px-Flag_of_Aragua_State.svg.png"</v>
      </c>
      <c r="CW6" s="44" t="str">
        <f t="shared" si="18"/>
        <v/>
      </c>
      <c r="CX6" s="44" t="str">
        <f t="shared" si="19"/>
        <v/>
      </c>
      <c r="CY6" s="44" t="str">
        <f t="shared" si="20"/>
        <v/>
      </c>
      <c r="CZ6" s="44" t="str">
        <f t="shared" si="21"/>
        <v>"5+Colo",</v>
      </c>
      <c r="DA6" s="44" t="str">
        <f t="shared" si="22"/>
        <v/>
      </c>
      <c r="DB6" s="44" t="str">
        <f t="shared" si="23"/>
        <v/>
      </c>
      <c r="DD6" s="44" t="str">
        <f t="shared" si="136"/>
        <v>"lets06",</v>
      </c>
      <c r="DE6" s="44" t="str">
        <f t="shared" si="137"/>
        <v>"startA",</v>
      </c>
      <c r="DF6" s="44" t="str">
        <f t="shared" si="24"/>
        <v/>
      </c>
      <c r="DG6" s="44" t="str">
        <f t="shared" si="25"/>
        <v/>
      </c>
      <c r="DH6" s="44" t="str">
        <f t="shared" si="26"/>
        <v>"with_v",</v>
      </c>
      <c r="DI6" s="44" t="str">
        <f t="shared" si="27"/>
        <v/>
      </c>
      <c r="DJ6" s="44" t="str">
        <f t="shared" si="28"/>
        <v/>
      </c>
      <c r="DK6" s="44" t="str">
        <f t="shared" si="29"/>
        <v/>
      </c>
      <c r="DL6" s="44" t="str">
        <f t="shared" si="30"/>
        <v/>
      </c>
      <c r="DM6" s="44" t="str" cm="1">
        <f t="array" ref="DM6">IF(CG6=3,CHAR(34) &amp; _xlfn.TEXTJOIN("", TRUE, RIGHT(HP6:HX6, 2)) &amp; CHAR(34) &amp; ",", "")</f>
        <v/>
      </c>
      <c r="DN6" s="44" t="str">
        <f t="shared" si="31"/>
        <v/>
      </c>
      <c r="DO6" s="44" t="str">
        <f t="shared" si="32"/>
        <v>"year19",</v>
      </c>
      <c r="DP6" s="5" t="str">
        <f t="shared" si="33"/>
        <v/>
      </c>
      <c r="DQ6" s="5" t="str">
        <f t="shared" si="34"/>
        <v/>
      </c>
      <c r="DR6" s="5" t="str">
        <f t="shared" si="35"/>
        <v/>
      </c>
      <c r="DS6" s="5" t="str">
        <f t="shared" si="36"/>
        <v/>
      </c>
      <c r="DT6" s="5" t="str">
        <f t="shared" si="37"/>
        <v/>
      </c>
      <c r="DU6" s="5" t="str">
        <f t="shared" si="38"/>
        <v/>
      </c>
      <c r="DW6" s="44" t="str">
        <f t="shared" si="39"/>
        <v/>
      </c>
      <c r="DX6" s="44" t="str">
        <f t="shared" si="40"/>
        <v/>
      </c>
      <c r="DY6" s="44" t="str">
        <f t="shared" si="41"/>
        <v>"3Bands",</v>
      </c>
      <c r="DZ6" s="44" t="str">
        <f t="shared" si="42"/>
        <v/>
      </c>
      <c r="EA6" s="44" t="str">
        <f t="shared" si="43"/>
        <v>"Diagon",</v>
      </c>
      <c r="EB6" s="44" t="str">
        <f t="shared" si="44"/>
        <v/>
      </c>
      <c r="EC6" s="44" t="str">
        <f t="shared" si="45"/>
        <v/>
      </c>
      <c r="ED6" s="44" t="str">
        <f t="shared" si="46"/>
        <v/>
      </c>
      <c r="EE6" s="44" t="str">
        <f t="shared" si="47"/>
        <v>"Circle",</v>
      </c>
      <c r="EF6" s="44" t="str">
        <f t="shared" si="48"/>
        <v>"Animal",</v>
      </c>
      <c r="EG6" s="44" t="str">
        <f t="shared" si="49"/>
        <v/>
      </c>
      <c r="EH6" s="44" t="str">
        <f t="shared" si="50"/>
        <v>"Plants",</v>
      </c>
      <c r="EI6" s="44" t="str">
        <f t="shared" si="51"/>
        <v>"Texted",</v>
      </c>
      <c r="EJ6" s="44" t="str">
        <f t="shared" si="52"/>
        <v/>
      </c>
      <c r="EK6" s="44" t="str">
        <f t="shared" si="53"/>
        <v>"HasSun",</v>
      </c>
      <c r="EL6" s="44" t="str">
        <f t="shared" si="54"/>
        <v/>
      </c>
      <c r="EM6" s="44" t="str">
        <f t="shared" si="55"/>
        <v>"Trside",</v>
      </c>
      <c r="EN6" s="44" t="str">
        <f t="shared" si="56"/>
        <v>"Unequa",</v>
      </c>
      <c r="EO6" s="44" t="str">
        <f t="shared" si="57"/>
        <v>"Center",</v>
      </c>
      <c r="EP6" s="44" t="str">
        <f t="shared" si="58"/>
        <v/>
      </c>
      <c r="EQ6" s="44" t="str">
        <f t="shared" si="59"/>
        <v/>
      </c>
      <c r="ER6" s="44" t="str">
        <f t="shared" si="60"/>
        <v/>
      </c>
      <c r="ES6" s="44" t="str">
        <f t="shared" si="61"/>
        <v/>
      </c>
      <c r="ET6" s="44" t="str">
        <f t="shared" si="62"/>
        <v>"Geogrh",</v>
      </c>
      <c r="EU6" s="44" t="str">
        <f t="shared" si="63"/>
        <v>"Humans",</v>
      </c>
      <c r="EV6" s="44" t="str">
        <f t="shared" si="64"/>
        <v>"Builds",</v>
      </c>
      <c r="EW6" s="44" t="str">
        <f t="shared" si="65"/>
        <v/>
      </c>
      <c r="EX6" s="44" t="str">
        <f t="shared" si="66"/>
        <v/>
      </c>
      <c r="EY6" s="44" t="str">
        <f t="shared" si="67"/>
        <v/>
      </c>
      <c r="EZ6" s="44" t="str">
        <f t="shared" si="68"/>
        <v/>
      </c>
      <c r="FA6" s="44" t="str">
        <f t="shared" si="69"/>
        <v/>
      </c>
      <c r="FB6" s="44" t="str">
        <f t="shared" si="70"/>
        <v/>
      </c>
      <c r="FD6" s="44" t="str">
        <f t="shared" si="71"/>
        <v/>
      </c>
      <c r="FE6" s="44" t="str">
        <f t="shared" si="72"/>
        <v/>
      </c>
      <c r="FF6" s="44" t="str">
        <f t="shared" si="73"/>
        <v/>
      </c>
      <c r="FG6" s="44" t="str">
        <f t="shared" si="74"/>
        <v/>
      </c>
      <c r="FH6" s="44" t="str">
        <f t="shared" si="75"/>
        <v/>
      </c>
      <c r="FI6" s="44" t="str">
        <f t="shared" si="76"/>
        <v/>
      </c>
      <c r="FJ6" s="44" t="str">
        <f t="shared" si="77"/>
        <v/>
      </c>
      <c r="FK6" s="44" t="str">
        <f t="shared" si="78"/>
        <v/>
      </c>
      <c r="FL6" s="44" t="str">
        <f t="shared" si="79"/>
        <v/>
      </c>
      <c r="FM6" s="44" t="str">
        <f t="shared" si="80"/>
        <v/>
      </c>
      <c r="FN6" s="44" t="str">
        <f t="shared" si="81"/>
        <v/>
      </c>
      <c r="FO6" s="44" t="str">
        <f t="shared" si="82"/>
        <v/>
      </c>
      <c r="FP6" s="44" t="str">
        <f t="shared" si="83"/>
        <v/>
      </c>
      <c r="FQ6" s="44" t="str">
        <f t="shared" si="84"/>
        <v>"001RED",</v>
      </c>
      <c r="FR6" s="44" t="str">
        <f t="shared" si="85"/>
        <v>"002YEL",</v>
      </c>
      <c r="FS6" s="44" t="str">
        <f t="shared" si="86"/>
        <v>"003RED",</v>
      </c>
      <c r="FT6" s="44" t="str">
        <f t="shared" si="87"/>
        <v>"myrEQ",</v>
      </c>
      <c r="FU6" s="44" t="str">
        <f t="shared" si="88"/>
        <v/>
      </c>
      <c r="FV6" s="44" t="str">
        <f t="shared" si="89"/>
        <v/>
      </c>
      <c r="FW6" s="44" t="str">
        <f t="shared" si="90"/>
        <v/>
      </c>
      <c r="FY6" s="44" t="str">
        <f t="shared" si="91"/>
        <v/>
      </c>
      <c r="FZ6" s="44" t="str">
        <f t="shared" si="92"/>
        <v/>
      </c>
      <c r="GA6" s="44" t="str">
        <f t="shared" si="93"/>
        <v/>
      </c>
      <c r="GB6" s="44" t="str">
        <f t="shared" si="94"/>
        <v/>
      </c>
      <c r="GE6" s="44" t="str">
        <f t="shared" si="95"/>
        <v/>
      </c>
      <c r="GF6" s="44" t="str">
        <f t="shared" si="138"/>
        <v/>
      </c>
      <c r="GG6" s="44" t="str">
        <f t="shared" si="96"/>
        <v/>
      </c>
      <c r="GH6" s="44" t="str">
        <f t="shared" si="97"/>
        <v/>
      </c>
      <c r="GI6" s="44" t="str">
        <f t="shared" si="98"/>
        <v/>
      </c>
      <c r="GJ6" s="44" t="str">
        <f t="shared" si="99"/>
        <v>"NoStar",</v>
      </c>
      <c r="GK6" s="44" t="str">
        <f t="shared" si="100"/>
        <v/>
      </c>
      <c r="GL6" s="44" t="str">
        <f t="shared" si="101"/>
        <v/>
      </c>
      <c r="GM6" s="44" t="str">
        <f t="shared" si="102"/>
        <v/>
      </c>
      <c r="GN6" s="44" t="str">
        <f t="shared" si="103"/>
        <v/>
      </c>
      <c r="GP6" s="44" t="str">
        <f t="shared" si="104"/>
        <v>"State"</v>
      </c>
      <c r="GS6" s="44" t="str">
        <f t="shared" si="105"/>
        <v>["5+Colo","lets06","startA","with_v","year19","3Bands","Diagon","Circle","Animal","Plants","Texted","HasSun","Trside","Unequa","Center","Geogrh","Humans","Builds","001RED","002YEL","003RED","myrEQ","NoStar"]</v>
      </c>
      <c r="GT6" s="44" t="str">
        <f t="shared" si="106"/>
        <v>"cl_BLA",</v>
      </c>
      <c r="GU6" s="44" t="str">
        <f t="shared" si="107"/>
        <v>"cl_BLU",</v>
      </c>
      <c r="GV6" s="44" t="str">
        <f t="shared" si="108"/>
        <v>"cl_GRE",</v>
      </c>
      <c r="GW6" s="44" t="str">
        <f t="shared" si="109"/>
        <v>"cl_RED",</v>
      </c>
      <c r="GX6" s="44" t="str">
        <f t="shared" si="110"/>
        <v>"cl_YEL",</v>
      </c>
      <c r="GY6" s="44" t="str">
        <f t="shared" si="111"/>
        <v>"cl_ORA",</v>
      </c>
      <c r="GZ6" s="44" t="str">
        <f t="shared" si="112"/>
        <v/>
      </c>
      <c r="HA6" s="44" t="str">
        <f t="shared" si="113"/>
        <v/>
      </c>
      <c r="HB6" s="44" t="str">
        <f t="shared" si="114"/>
        <v>"cl_WHI",</v>
      </c>
      <c r="HC6" s="44" t="str">
        <f t="shared" si="115"/>
        <v>["cl_BLA","cl_BLU","cl_GRE","cl_RED","cl_YEL","cl_ORA","cl_WHI"]</v>
      </c>
      <c r="HE6" s="64"/>
      <c r="HF6" s="65" t="str">
        <f t="shared" si="116"/>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links: "https://en.wikipedia.org/wiki/Flag_of_Aragua"},</v>
      </c>
      <c r="HG6" s="66" t="str">
        <f t="shared" si="117"/>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links: "https://en.wikipedia.org/wiki/Flag_of_Aragua"},</v>
      </c>
      <c r="HH6" s="44" t="str">
        <f t="shared" si="118"/>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I6" s="44" t="str">
        <f t="shared" si="119"/>
        <v>"\nThe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v>
      </c>
      <c r="HJ6" s="44" t="str">
        <f t="shared" si="120"/>
        <v>"1993"</v>
      </c>
      <c r="HL6" s="44" t="str">
        <f t="shared" si="121"/>
        <v>"https://en.wikipedia.org/wiki/Flag_of_Aragua"</v>
      </c>
      <c r="HM6" s="65" t="str">
        <f t="shared" si="122"/>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N6" s="67" t="str">
        <f t="shared" si="123"/>
        <v>{"couname":"[VEN] Aragua","year":"1993","region":"rgn_South America","Colors":["cl_BLA","cl_BLU","cl_GRE","cl_RED","cl_YEL","cl_ORA","cl_WHI"],"Items":["5+Colo","lets06","startA","with_v","year19","3Bands","Diagon","Circle","Animal","Plants","Texted","HasSun","Trside","Unequa","Center","Geogrh","Humans","Builds","001RED","002YEL","003RED","myrEQ","NoStar"],"Flag":"https://upload.wikimedia.org/wikipedia/commons/thumb/4/4f/Flag_of_Aragua_State.svg/320px-Flag_of_Aragua_State.svg.png","HDFlag":"https://upload.wikimedia.org/wikipedia/commons/thumb/4/4f/Flag_of_Aragua_State.svg/800px-Flag_of_Aragua_State.svg.png","type":"State", "describe": "\nThe flag was adopted in 1993 and was modified in 2002 by the legislation of the flag. The flag is divided into 4 red and yellow triangles, the upper and lower colored red and the left and right colored yellow, with the coat of arms of Aragua in the middle. The red symbolizes 'strength, valor, fidelity, joy, and honor to the heroes of the independence struggle'. The yellow symbolizes the tropical climate of the state and its noble and charitable spirit. \n\nThe coat of arms consists of:\n\n-A woman holding a laurel wreath in one of her hands and a palm leaf in the other;\n\n-A saman tree, possibly the Samán de Güere, a still-standing Venezuelan national treasure tree of uncertain age and tall stature;\n\n-A burning house, representing 'the hacienda of the family of national Venezuelan hero Simon Bolívar, which was burnt down during the 1814 Battle of San Mateo'; And\n\n-The inscriptions of the dates allude to the battles that took place in Aragua, one in La Victoria ('Febrero de 1814') and one in San Mateo ('Marzo de 1814').", "isnew": ".", "links": "https://en.wikipedia.org/wiki/Flag_of_Aragua"},</v>
      </c>
      <c r="HO6" s="71">
        <v>45610</v>
      </c>
      <c r="HP6" s="44" t="str" cm="1">
        <f t="array" ref="HP6">IF(_xlfn.TEXTJOIN(", ", TRUE, IF(ISNUMBER(SEARCH("BLA", BL6:BT6)), COLUMN(BL6:BT6) - COLUMN(BL6) + 1, ""))&lt;&gt;"","BLA","")</f>
        <v>BLA</v>
      </c>
      <c r="HQ6" s="44" t="str" cm="1">
        <f t="array" ref="HQ6">IF(_xlfn.TEXTJOIN(", ", TRUE, IF(ISNUMBER(SEARCH("BLU", BL6:BT6)), COLUMN(BL6:BT6) - COLUMN(BL6) + 1, ""))&lt;&gt;"","BLU","")</f>
        <v>BLU</v>
      </c>
      <c r="HR6" s="44" t="str" cm="1">
        <f t="array" ref="HR6">IF(_xlfn.TEXTJOIN(", ", TRUE, IF(ISNUMBER(SEARCH("GRE", BL6:BT6)), COLUMN(BL6:BT6) - COLUMN(BL6) + 1, ""))&lt;&gt;"","GRE","")</f>
        <v>GRE</v>
      </c>
      <c r="HS6" s="44" t="str" cm="1">
        <f t="array" ref="HS6">IF(_xlfn.TEXTJOIN(", ", TRUE, IF(ISNUMBER(SEARCH("RED", BL6:BT6)), COLUMN(BL6:BT6) - COLUMN(BL6) + 1, ""))&lt;&gt;"","RED","")</f>
        <v>RED</v>
      </c>
      <c r="HT6" s="44" t="str" cm="1">
        <f t="array" ref="HT6">IF(_xlfn.TEXTJOIN(", ", TRUE, IF(ISNUMBER(SEARCH("YEL", BL6:BT6)), COLUMN(BL6:BT6) - COLUMN(BL6) + 1, ""))&lt;&gt;"","YEL","")</f>
        <v>YEL</v>
      </c>
      <c r="HU6" s="44" t="str" cm="1">
        <f t="array" ref="HU6">IF(_xlfn.TEXTJOIN(", ", TRUE, IF(ISNUMBER(SEARCH("ORA", BL6:BT6)), COLUMN(BL6:BT6) - COLUMN(BL6) + 1, ""))&lt;&gt;"","ORA","")</f>
        <v>ORA</v>
      </c>
      <c r="HV6" s="44" t="str" cm="1">
        <f t="array" ref="HV6">IF(_xlfn.TEXTJOIN(", ", TRUE, IF(ISNUMBER(SEARCH("BRO", BL6:BT6)), COLUMN(BL6:BT6) - COLUMN(BL6) + 1, ""))&lt;&gt;"","BRO","")</f>
        <v/>
      </c>
      <c r="HW6" s="44" t="str" cm="1">
        <f t="array" ref="HW6">IF(_xlfn.TEXTJOIN(", ", TRUE, IF(ISNUMBER(SEARCH("PUR", BL6:BT6)), COLUMN(BL6:BT6) - COLUMN(BL6) + 1, ""))&lt;&gt;"","PUR","")</f>
        <v/>
      </c>
      <c r="HX6" s="44" t="str" cm="1">
        <f t="array" ref="HX6">IF(_xlfn.TEXTJOIN(", ", TRUE, IF(ISNUMBER(SEARCH("WHI", BL6:BT6)), COLUMN(BL6:BT6) - COLUMN(BL6) + 1, ""))&lt;&gt;"","WHI","")</f>
        <v>WHI</v>
      </c>
      <c r="HY6" s="72"/>
      <c r="HZ6" s="72"/>
      <c r="IA6" s="5"/>
      <c r="IB6" s="5"/>
      <c r="IC6" s="68"/>
      <c r="ID6" s="68"/>
      <c r="IE6" s="68"/>
      <c r="IF6" s="68"/>
      <c r="IG6" s="68"/>
      <c r="IH6" s="68"/>
      <c r="II6" s="68"/>
      <c r="IJ6" s="68"/>
      <c r="IK6" s="68"/>
      <c r="IM6" s="42">
        <f t="shared" si="124"/>
        <v>-7</v>
      </c>
      <c r="IN6" s="69" t="str">
        <f t="shared" si="125"/>
        <v>http://mkweb.bcgsc.ca/color-summarizer/?url=https://upload.wikimedia.org/wikipedia/commons/thumb/4/4f/Flag_of_Aragua_State.svg/320px-Flag_of_Aragua_State.svg.png&amp;precision=low&amp;num_clusters=7&amp;text=1</v>
      </c>
      <c r="IO6" s="44" t="str">
        <f t="shared" si="126"/>
        <v>"black"</v>
      </c>
      <c r="IP6" s="44" t="str">
        <f t="shared" si="127"/>
        <v>"blue"</v>
      </c>
      <c r="IQ6" s="44" t="str">
        <f t="shared" si="128"/>
        <v>"green"</v>
      </c>
      <c r="IR6" s="44" t="str">
        <f t="shared" si="129"/>
        <v>"red"</v>
      </c>
      <c r="IS6" s="44" t="str">
        <f t="shared" si="130"/>
        <v>"yellow"</v>
      </c>
      <c r="IT6" s="44" t="str">
        <f t="shared" si="131"/>
        <v>"orange"</v>
      </c>
      <c r="IU6" s="44" t="str">
        <f t="shared" si="132"/>
        <v/>
      </c>
      <c r="IV6" s="44" t="str">
        <f t="shared" si="133"/>
        <v/>
      </c>
      <c r="IW6" s="44" t="str">
        <f t="shared" si="134"/>
        <v>"white"</v>
      </c>
      <c r="IX6" s="44" t="str">
        <f t="shared" si="135"/>
        <v>{"url":"http://mkweb.bcgsc.ca/color-summarizer/?url=https://upload.wikimedia.org/wikipedia/commons/thumb/4/4f/Flag_of_Aragua_State.svg/320px-Flag_of_Aragua_State.svg.png&amp;precision=low&amp;num_clusters=7&amp;text=1","name":"[VEN] Aragua"},</v>
      </c>
      <c r="IY6" s="44">
        <v>1470</v>
      </c>
    </row>
    <row r="7" spans="1:259" s="44" customFormat="1" ht="38.4" customHeight="1" thickBot="1" x14ac:dyDescent="0.35">
      <c r="A7" s="84" t="s">
        <v>745</v>
      </c>
      <c r="B7" s="83" t="e" vm="106">
        <v>#VALUE!</v>
      </c>
      <c r="C7" s="39">
        <v>2</v>
      </c>
      <c r="D7" s="70" t="s">
        <v>746</v>
      </c>
      <c r="E7" s="40" t="s">
        <v>747</v>
      </c>
      <c r="F7" s="41" t="s">
        <v>163</v>
      </c>
      <c r="G7" s="42">
        <f t="shared" si="0"/>
        <v>1</v>
      </c>
      <c r="H7" s="43"/>
      <c r="I7" s="59" t="s">
        <v>748</v>
      </c>
      <c r="J7" s="44" t="str">
        <f>""</f>
        <v/>
      </c>
      <c r="K7" s="45"/>
      <c r="L7" s="46"/>
      <c r="M7" s="46"/>
      <c r="N7" s="47" t="s">
        <v>177</v>
      </c>
      <c r="O7" s="74">
        <v>1997</v>
      </c>
      <c r="P7" s="48" t="s">
        <v>749</v>
      </c>
      <c r="Q7" s="73">
        <v>1</v>
      </c>
      <c r="R7" s="49" t="s">
        <v>177</v>
      </c>
      <c r="S7" s="50">
        <v>3</v>
      </c>
      <c r="T7" s="51" t="s">
        <v>164</v>
      </c>
      <c r="U7" s="52" t="s">
        <v>164</v>
      </c>
      <c r="V7" s="52" t="s">
        <v>165</v>
      </c>
      <c r="W7" s="52" t="s">
        <v>164</v>
      </c>
      <c r="X7" s="52" t="s">
        <v>164</v>
      </c>
      <c r="Y7" s="52" t="s">
        <v>164</v>
      </c>
      <c r="Z7" s="52" t="s">
        <v>164</v>
      </c>
      <c r="AA7" s="52" t="s">
        <v>165</v>
      </c>
      <c r="AB7" s="52" t="s">
        <v>164</v>
      </c>
      <c r="AC7" s="52" t="s">
        <v>164</v>
      </c>
      <c r="AD7" s="52" t="s">
        <v>165</v>
      </c>
      <c r="AE7" s="52" t="s">
        <v>164</v>
      </c>
      <c r="AF7" s="53" t="s">
        <v>164</v>
      </c>
      <c r="AG7" s="53" t="s">
        <v>165</v>
      </c>
      <c r="AH7" s="53" t="s">
        <v>165</v>
      </c>
      <c r="AI7" s="53" t="s">
        <v>164</v>
      </c>
      <c r="AJ7" s="53" t="s">
        <v>164</v>
      </c>
      <c r="AK7" s="53" t="s">
        <v>164</v>
      </c>
      <c r="AL7" s="53" t="s">
        <v>164</v>
      </c>
      <c r="AM7" s="53" t="s">
        <v>164</v>
      </c>
      <c r="AN7" s="53" t="s">
        <v>164</v>
      </c>
      <c r="AO7" s="53" t="s">
        <v>164</v>
      </c>
      <c r="AP7" s="53" t="s">
        <v>164</v>
      </c>
      <c r="AQ7" s="53" t="s">
        <v>164</v>
      </c>
      <c r="AR7" s="53" t="s">
        <v>164</v>
      </c>
      <c r="AS7" s="53" t="s">
        <v>164</v>
      </c>
      <c r="AT7" s="54">
        <v>0</v>
      </c>
      <c r="AU7" s="53" t="s">
        <v>308</v>
      </c>
      <c r="AV7" s="53" t="str">
        <f t="shared" si="1"/>
        <v>[VEN]State[VEN] Barinas</v>
      </c>
      <c r="AW7" s="53" t="str">
        <f t="shared" si="2"/>
        <v>2[VEN] Barinas</v>
      </c>
      <c r="AX7" s="55"/>
      <c r="AY7" s="55"/>
      <c r="AZ7" s="56" t="s">
        <v>234</v>
      </c>
      <c r="BA7" s="56" t="s">
        <v>234</v>
      </c>
      <c r="BB7" s="56"/>
      <c r="BC7" s="57"/>
      <c r="BD7" s="58" t="s">
        <v>153</v>
      </c>
      <c r="BE7" s="59"/>
      <c r="BF7" s="58" t="s">
        <v>152</v>
      </c>
      <c r="BG7" s="58" t="s">
        <v>159</v>
      </c>
      <c r="BH7" s="58" t="s">
        <v>153</v>
      </c>
      <c r="BI7" s="58"/>
      <c r="BJ7" s="58"/>
      <c r="BK7" s="59"/>
      <c r="BL7" s="58" t="s">
        <v>234</v>
      </c>
      <c r="BM7" s="58" t="s">
        <v>152</v>
      </c>
      <c r="BN7" s="58" t="s">
        <v>153</v>
      </c>
      <c r="BO7" s="58" t="s">
        <v>154</v>
      </c>
      <c r="BP7" s="58" t="s">
        <v>155</v>
      </c>
      <c r="BQ7" s="58" t="s">
        <v>234</v>
      </c>
      <c r="BR7" s="58" t="s">
        <v>234</v>
      </c>
      <c r="BS7" s="58" t="s">
        <v>234</v>
      </c>
      <c r="BT7" s="58" t="s">
        <v>159</v>
      </c>
      <c r="BU7" s="60"/>
      <c r="BV7" s="61"/>
      <c r="BW7" s="61">
        <v>0</v>
      </c>
      <c r="BX7" s="59"/>
      <c r="CB7" s="5"/>
      <c r="CC7" s="5"/>
      <c r="CD7" s="62">
        <v>0</v>
      </c>
      <c r="CE7" s="62">
        <v>0</v>
      </c>
      <c r="CF7" s="62" t="e">
        <v>#REF!</v>
      </c>
      <c r="CG7" s="75" cm="1">
        <f t="array" ref="CG7">SUMPRODUCT(--(LEN(TRIM(BL7:BT7))&gt;0))</f>
        <v>5</v>
      </c>
      <c r="CH7" s="53" t="str">
        <f t="shared" si="3"/>
        <v>n</v>
      </c>
      <c r="CI7" s="53" t="str">
        <f t="shared" si="4"/>
        <v>n</v>
      </c>
      <c r="CJ7" s="53" t="str">
        <f t="shared" si="5"/>
        <v>n</v>
      </c>
      <c r="CK7" s="53" t="str">
        <f t="shared" si="6"/>
        <v>y</v>
      </c>
      <c r="CL7" s="53" t="str">
        <f t="shared" si="7"/>
        <v>n</v>
      </c>
      <c r="CM7" s="53" t="str">
        <f t="shared" si="8"/>
        <v>n</v>
      </c>
      <c r="CN7" s="53" t="str">
        <f t="shared" si="9"/>
        <v>y</v>
      </c>
      <c r="CO7" s="53" t="str">
        <f t="shared" si="10"/>
        <v>n</v>
      </c>
      <c r="CP7" s="53" t="str">
        <f t="shared" si="11"/>
        <v>y</v>
      </c>
      <c r="CQ7" s="53" t="str">
        <f t="shared" si="12"/>
        <v>n</v>
      </c>
      <c r="CR7" s="53" t="str">
        <f t="shared" si="13"/>
        <v>n</v>
      </c>
      <c r="CS7" s="53" t="str">
        <f t="shared" si="14"/>
        <v>n</v>
      </c>
      <c r="CT7" s="38" t="str">
        <f t="shared" si="15"/>
        <v>"[VEN] Barinas"</v>
      </c>
      <c r="CU7" s="63" t="str">
        <f t="shared" si="16"/>
        <v>"rgn_South America"</v>
      </c>
      <c r="CV7" s="44" t="str">
        <f t="shared" si="17"/>
        <v>"https://upload.wikimedia.org/wikipedia/commons/thumb/5/5e/Flag_of_Barinas_State.svg/320px-Flag_of_Barinas_State.svg.png"</v>
      </c>
      <c r="CW7" s="44" t="str">
        <f t="shared" si="18"/>
        <v/>
      </c>
      <c r="CX7" s="44" t="str">
        <f t="shared" si="19"/>
        <v/>
      </c>
      <c r="CY7" s="44" t="str">
        <f t="shared" si="20"/>
        <v/>
      </c>
      <c r="CZ7" s="44" t="str">
        <f t="shared" si="21"/>
        <v>"5+Colo",</v>
      </c>
      <c r="DA7" s="44" t="str">
        <f t="shared" si="22"/>
        <v/>
      </c>
      <c r="DB7" s="44" t="str">
        <f t="shared" si="23"/>
        <v/>
      </c>
      <c r="DD7" s="44" t="str">
        <f t="shared" si="136"/>
        <v>"lets07",</v>
      </c>
      <c r="DE7" s="44" t="str">
        <f t="shared" si="137"/>
        <v>"startB",</v>
      </c>
      <c r="DF7" s="44" t="str">
        <f t="shared" si="24"/>
        <v/>
      </c>
      <c r="DG7" s="44" t="str">
        <f t="shared" si="25"/>
        <v/>
      </c>
      <c r="DH7" s="44" t="str">
        <f t="shared" si="26"/>
        <v>"with_v",</v>
      </c>
      <c r="DI7" s="44" t="str">
        <f t="shared" si="27"/>
        <v/>
      </c>
      <c r="DJ7" s="44" t="str">
        <f t="shared" si="28"/>
        <v/>
      </c>
      <c r="DK7" s="44" t="str">
        <f t="shared" si="29"/>
        <v/>
      </c>
      <c r="DL7" s="44" t="str">
        <f t="shared" si="30"/>
        <v/>
      </c>
      <c r="DM7" s="44" t="str" cm="1">
        <f t="array" ref="DM7">IF(CG7=3,CHAR(34) &amp; _xlfn.TEXTJOIN("", TRUE, RIGHT(HP7:HX7, 2)) &amp; CHAR(34) &amp; ",", "")</f>
        <v/>
      </c>
      <c r="DN7" s="44" t="str">
        <f t="shared" si="31"/>
        <v/>
      </c>
      <c r="DO7" s="44" t="str">
        <f t="shared" si="32"/>
        <v>"year19",</v>
      </c>
      <c r="DP7" s="5" t="str">
        <f t="shared" si="33"/>
        <v/>
      </c>
      <c r="DQ7" s="5" t="str">
        <f t="shared" si="34"/>
        <v/>
      </c>
      <c r="DR7" s="5" t="str">
        <f t="shared" si="35"/>
        <v/>
      </c>
      <c r="DS7" s="5" t="str">
        <f t="shared" si="36"/>
        <v/>
      </c>
      <c r="DT7" s="5" t="str">
        <f t="shared" si="37"/>
        <v>"allhor",</v>
      </c>
      <c r="DU7" s="5" t="str">
        <f t="shared" si="38"/>
        <v/>
      </c>
      <c r="DW7" s="44" t="str">
        <f t="shared" si="39"/>
        <v/>
      </c>
      <c r="DX7" s="44" t="str">
        <f t="shared" si="40"/>
        <v/>
      </c>
      <c r="DY7" s="44" t="str">
        <f t="shared" si="41"/>
        <v>"3Bands",</v>
      </c>
      <c r="DZ7" s="44" t="str">
        <f t="shared" si="42"/>
        <v/>
      </c>
      <c r="EA7" s="44" t="str">
        <f t="shared" si="43"/>
        <v/>
      </c>
      <c r="EB7" s="44" t="str">
        <f t="shared" si="44"/>
        <v/>
      </c>
      <c r="EC7" s="44" t="str">
        <f t="shared" si="45"/>
        <v>"Horizo",</v>
      </c>
      <c r="ED7" s="44" t="str">
        <f t="shared" si="46"/>
        <v/>
      </c>
      <c r="EE7" s="44" t="str">
        <f t="shared" si="47"/>
        <v/>
      </c>
      <c r="EF7" s="44" t="str">
        <f t="shared" si="48"/>
        <v/>
      </c>
      <c r="EG7" s="44" t="str">
        <f t="shared" si="49"/>
        <v/>
      </c>
      <c r="EH7" s="44" t="str">
        <f t="shared" si="50"/>
        <v>"Plants",</v>
      </c>
      <c r="EI7" s="44" t="str">
        <f t="shared" si="51"/>
        <v/>
      </c>
      <c r="EJ7" s="44" t="str">
        <f t="shared" si="52"/>
        <v/>
      </c>
      <c r="EK7" s="44" t="str">
        <f t="shared" si="53"/>
        <v>"HasSun",</v>
      </c>
      <c r="EL7" s="44" t="str">
        <f t="shared" si="54"/>
        <v/>
      </c>
      <c r="EM7" s="44" t="str">
        <f t="shared" si="55"/>
        <v/>
      </c>
      <c r="EN7" s="44" t="str">
        <f t="shared" si="56"/>
        <v>"Unequa",</v>
      </c>
      <c r="EO7" s="44" t="str">
        <f t="shared" si="57"/>
        <v>"Center",</v>
      </c>
      <c r="EP7" s="44" t="str">
        <f t="shared" si="58"/>
        <v/>
      </c>
      <c r="EQ7" s="44" t="str">
        <f t="shared" si="59"/>
        <v/>
      </c>
      <c r="ER7" s="44" t="str">
        <f t="shared" si="60"/>
        <v/>
      </c>
      <c r="ES7" s="44" t="str">
        <f t="shared" si="61"/>
        <v/>
      </c>
      <c r="ET7" s="44" t="str">
        <f t="shared" si="62"/>
        <v/>
      </c>
      <c r="EU7" s="44" t="str">
        <f t="shared" si="63"/>
        <v/>
      </c>
      <c r="EV7" s="44" t="str">
        <f t="shared" si="64"/>
        <v/>
      </c>
      <c r="EW7" s="44" t="str">
        <f t="shared" si="65"/>
        <v/>
      </c>
      <c r="EX7" s="44" t="str">
        <f t="shared" si="66"/>
        <v/>
      </c>
      <c r="EY7" s="44" t="str">
        <f t="shared" si="67"/>
        <v/>
      </c>
      <c r="EZ7" s="44" t="str">
        <f t="shared" si="68"/>
        <v/>
      </c>
      <c r="FA7" s="44" t="str">
        <f t="shared" si="69"/>
        <v/>
      </c>
      <c r="FB7" s="44" t="str">
        <f t="shared" si="70"/>
        <v/>
      </c>
      <c r="FD7" s="44" t="str">
        <f t="shared" si="71"/>
        <v/>
      </c>
      <c r="FE7" s="44" t="str">
        <f t="shared" si="72"/>
        <v/>
      </c>
      <c r="FF7" s="44" t="str">
        <f t="shared" si="73"/>
        <v/>
      </c>
      <c r="FG7" s="44" t="str">
        <f t="shared" si="74"/>
        <v/>
      </c>
      <c r="FH7" s="44" t="str">
        <f t="shared" si="75"/>
        <v/>
      </c>
      <c r="FI7" s="44" t="str">
        <f t="shared" si="76"/>
        <v/>
      </c>
      <c r="FJ7" s="44" t="str">
        <f t="shared" si="77"/>
        <v>"NO_BLA",</v>
      </c>
      <c r="FK7" s="44" t="str">
        <f t="shared" si="78"/>
        <v/>
      </c>
      <c r="FL7" s="44" t="str">
        <f t="shared" si="79"/>
        <v/>
      </c>
      <c r="FM7" s="44" t="str">
        <f t="shared" si="80"/>
        <v/>
      </c>
      <c r="FN7" s="44" t="str">
        <f t="shared" si="81"/>
        <v/>
      </c>
      <c r="FO7" s="44" t="str">
        <f t="shared" si="82"/>
        <v/>
      </c>
      <c r="FP7" s="44" t="str">
        <f t="shared" si="83"/>
        <v/>
      </c>
      <c r="FQ7" s="44" t="str">
        <f t="shared" si="84"/>
        <v>"001BLU",</v>
      </c>
      <c r="FR7" s="44" t="str">
        <f t="shared" si="85"/>
        <v>"002WHI",</v>
      </c>
      <c r="FS7" s="44" t="str">
        <f t="shared" si="86"/>
        <v>"003GRE",</v>
      </c>
      <c r="FT7" s="44" t="str">
        <f t="shared" si="87"/>
        <v>"myrGRE",</v>
      </c>
      <c r="FU7" s="44" t="str">
        <f t="shared" si="88"/>
        <v/>
      </c>
      <c r="FV7" s="44" t="str">
        <f t="shared" si="89"/>
        <v/>
      </c>
      <c r="FW7" s="44" t="str">
        <f t="shared" si="90"/>
        <v/>
      </c>
      <c r="FY7" s="44" t="str">
        <f t="shared" si="91"/>
        <v/>
      </c>
      <c r="FZ7" s="44" t="str">
        <f t="shared" si="92"/>
        <v/>
      </c>
      <c r="GA7" s="44" t="str">
        <f t="shared" si="93"/>
        <v/>
      </c>
      <c r="GB7" s="44" t="str">
        <f t="shared" si="94"/>
        <v/>
      </c>
      <c r="GE7" s="44" t="str">
        <f t="shared" si="95"/>
        <v/>
      </c>
      <c r="GF7" s="44" t="str">
        <f t="shared" si="138"/>
        <v/>
      </c>
      <c r="GG7" s="44" t="str">
        <f t="shared" si="96"/>
        <v/>
      </c>
      <c r="GH7" s="44" t="str">
        <f t="shared" si="97"/>
        <v/>
      </c>
      <c r="GI7" s="44" t="str">
        <f t="shared" si="98"/>
        <v/>
      </c>
      <c r="GJ7" s="44" t="str">
        <f t="shared" si="99"/>
        <v>"NoStar",</v>
      </c>
      <c r="GK7" s="44" t="str">
        <f t="shared" si="100"/>
        <v/>
      </c>
      <c r="GL7" s="44" t="str">
        <f t="shared" si="101"/>
        <v/>
      </c>
      <c r="GM7" s="44" t="str">
        <f t="shared" si="102"/>
        <v/>
      </c>
      <c r="GN7" s="44" t="str">
        <f t="shared" si="103"/>
        <v/>
      </c>
      <c r="GP7" s="44" t="str">
        <f t="shared" si="104"/>
        <v>"State"</v>
      </c>
      <c r="GS7" s="44" t="str">
        <f t="shared" si="105"/>
        <v>["5+Colo","lets07","startB","with_v","year19","allhor","3Bands","Horizo","Plants","HasSun","Unequa","Center","NO_BLA","001BLU","002WHI","003GRE","myrGRE","NoStar"]</v>
      </c>
      <c r="GT7" s="44" t="str">
        <f t="shared" si="106"/>
        <v/>
      </c>
      <c r="GU7" s="44" t="str">
        <f t="shared" si="107"/>
        <v>"cl_BLU",</v>
      </c>
      <c r="GV7" s="44" t="str">
        <f t="shared" si="108"/>
        <v>"cl_GRE",</v>
      </c>
      <c r="GW7" s="44" t="str">
        <f t="shared" si="109"/>
        <v>"cl_RED",</v>
      </c>
      <c r="GX7" s="44" t="str">
        <f t="shared" si="110"/>
        <v>"cl_YEL",</v>
      </c>
      <c r="GY7" s="44" t="str">
        <f t="shared" si="111"/>
        <v/>
      </c>
      <c r="GZ7" s="44" t="str">
        <f t="shared" si="112"/>
        <v/>
      </c>
      <c r="HA7" s="44" t="str">
        <f t="shared" si="113"/>
        <v/>
      </c>
      <c r="HB7" s="44" t="str">
        <f t="shared" si="114"/>
        <v>"cl_WHI",</v>
      </c>
      <c r="HC7" s="44" t="str">
        <f t="shared" si="115"/>
        <v>["cl_BLU","cl_GRE","cl_RED","cl_YEL","cl_WHI"]</v>
      </c>
      <c r="HE7" s="64"/>
      <c r="HF7" s="65" t="str">
        <f t="shared" si="116"/>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links: "https://www.crwflags.com/fotw/flags/ve-e.html"},</v>
      </c>
      <c r="HG7" s="66" t="str">
        <f t="shared" si="117"/>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links: "https://www.crwflags.com/fotw/flags/ve-e.html"},</v>
      </c>
      <c r="HH7" s="44" t="str">
        <f t="shared" si="118"/>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I7" s="44" t="str">
        <f t="shared" si="119"/>
        <v>"\nThe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v>
      </c>
      <c r="HJ7" s="44" t="str">
        <f t="shared" si="120"/>
        <v>"1997"</v>
      </c>
      <c r="HL7" s="44" t="str">
        <f t="shared" si="121"/>
        <v>"https://www.crwflags.com/fotw/flags/ve-e.html"</v>
      </c>
      <c r="HM7" s="65" t="str">
        <f t="shared" si="122"/>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N7" s="67" t="str">
        <f t="shared" si="123"/>
        <v>{"couname":"[VEN] Barinas","year":"1997","region":"rgn_South America","Colors":["cl_BLU","cl_GRE","cl_RED","cl_YEL","cl_WHI"],"Items":["5+Colo","lets07","startB","with_v","year19","allhor","3Bands","Horizo","Plants","HasSun","Unequa","Center","NO_BLA","001BLU","002WHI","003GRE","myrGRE","NoStar"],"Flag":"https://upload.wikimedia.org/wikipedia/commons/thumb/5/5e/Flag_of_Barinas_State.svg/320px-Flag_of_Barinas_State.svg.png","HDFlag":"https://upload.wikimedia.org/wikipedia/commons/thumb/5/5e/Flag_of_Barinas_State.svg/800px-Flag_of_Barinas_State.svg.png","type":"State", "describe": "\nThe flag was made by the then-ten-year-old Fernando Daniel Perez Castellano and local singer-author Guillermo Jimenez Leal after a flag competition to make a flag of Barinas and was granted by the Legislative Assembly of the Barinas State utilizing the Decree 104-97 in 1997. \n\nThe flag is divided into a blue-white-green tricolor with a symbol in the center: a red rectangle charged with a yellow rising sun and a green palm tree. The blue represents the sky and the hope of the people, the white is the immensity and the mist of the Andes mountain foot, and the green is the 'sabana' ('the plains'). The red rectangle symbolizes the blood shed by the warriors for Venezuelan Independence. The yellow sun recalls the emblematical color of the Liberal Party in the 'War of the Federation'. The 7 sun rays are the 7 provinces that declared Independence of Venezuela in 1811 and Barinas is one of them. The yellow truncated triangle represents the way oriented to the encounter with the sun and the union of both symbolical elements, reminding how the presence of the ground signifies the development and highness of one people. The green palm tree represents the nature of the state because the plant has a special presence in the oral and written literature of the region.", "isnew": ".", "links": "https://www.crwflags.com/fotw/flags/ve-e.html"},</v>
      </c>
      <c r="HO7" s="71">
        <v>45610</v>
      </c>
      <c r="HP7" s="44" t="str" cm="1">
        <f t="array" ref="HP7">IF(_xlfn.TEXTJOIN(", ", TRUE, IF(ISNUMBER(SEARCH("BLA", BL7:BT7)), COLUMN(BL7:BT7) - COLUMN(BL7) + 1, ""))&lt;&gt;"","BLA","")</f>
        <v/>
      </c>
      <c r="HQ7" s="44" t="str" cm="1">
        <f t="array" ref="HQ7">IF(_xlfn.TEXTJOIN(", ", TRUE, IF(ISNUMBER(SEARCH("BLU", BL7:BT7)), COLUMN(BL7:BT7) - COLUMN(BL7) + 1, ""))&lt;&gt;"","BLU","")</f>
        <v>BLU</v>
      </c>
      <c r="HR7" s="44" t="str" cm="1">
        <f t="array" ref="HR7">IF(_xlfn.TEXTJOIN(", ", TRUE, IF(ISNUMBER(SEARCH("GRE", BL7:BT7)), COLUMN(BL7:BT7) - COLUMN(BL7) + 1, ""))&lt;&gt;"","GRE","")</f>
        <v>GRE</v>
      </c>
      <c r="HS7" s="44" t="str" cm="1">
        <f t="array" ref="HS7">IF(_xlfn.TEXTJOIN(", ", TRUE, IF(ISNUMBER(SEARCH("RED", BL7:BT7)), COLUMN(BL7:BT7) - COLUMN(BL7) + 1, ""))&lt;&gt;"","RED","")</f>
        <v>RED</v>
      </c>
      <c r="HT7" s="44" t="str" cm="1">
        <f t="array" ref="HT7">IF(_xlfn.TEXTJOIN(", ", TRUE, IF(ISNUMBER(SEARCH("YEL", BL7:BT7)), COLUMN(BL7:BT7) - COLUMN(BL7) + 1, ""))&lt;&gt;"","YEL","")</f>
        <v>YEL</v>
      </c>
      <c r="HU7" s="44" t="str" cm="1">
        <f t="array" ref="HU7">IF(_xlfn.TEXTJOIN(", ", TRUE, IF(ISNUMBER(SEARCH("ORA", BL7:BT7)), COLUMN(BL7:BT7) - COLUMN(BL7) + 1, ""))&lt;&gt;"","ORA","")</f>
        <v/>
      </c>
      <c r="HV7" s="44" t="str" cm="1">
        <f t="array" ref="HV7">IF(_xlfn.TEXTJOIN(", ", TRUE, IF(ISNUMBER(SEARCH("BRO", BL7:BT7)), COLUMN(BL7:BT7) - COLUMN(BL7) + 1, ""))&lt;&gt;"","BRO","")</f>
        <v/>
      </c>
      <c r="HW7" s="44" t="str" cm="1">
        <f t="array" ref="HW7">IF(_xlfn.TEXTJOIN(", ", TRUE, IF(ISNUMBER(SEARCH("PUR", BL7:BT7)), COLUMN(BL7:BT7) - COLUMN(BL7) + 1, ""))&lt;&gt;"","PUR","")</f>
        <v/>
      </c>
      <c r="HX7" s="44" t="str" cm="1">
        <f t="array" ref="HX7">IF(_xlfn.TEXTJOIN(", ", TRUE, IF(ISNUMBER(SEARCH("WHI", BL7:BT7)), COLUMN(BL7:BT7) - COLUMN(BL7) + 1, ""))&lt;&gt;"","WHI","")</f>
        <v>WHI</v>
      </c>
      <c r="HY7" s="72"/>
      <c r="HZ7" s="72"/>
      <c r="IA7" s="5"/>
      <c r="IB7" s="5"/>
      <c r="IC7" s="68"/>
      <c r="ID7" s="68"/>
      <c r="IE7" s="68"/>
      <c r="IF7" s="68"/>
      <c r="IG7" s="68"/>
      <c r="IH7" s="68"/>
      <c r="II7" s="68"/>
      <c r="IJ7" s="68"/>
      <c r="IK7" s="68"/>
      <c r="IM7" s="42">
        <f t="shared" si="124"/>
        <v>-5</v>
      </c>
      <c r="IN7" s="69" t="str">
        <f t="shared" si="125"/>
        <v>http://mkweb.bcgsc.ca/color-summarizer/?url=https://upload.wikimedia.org/wikipedia/commons/thumb/5/5e/Flag_of_Barinas_State.svg/320px-Flag_of_Barinas_State.svg.png&amp;precision=low&amp;num_clusters=5&amp;text=1</v>
      </c>
      <c r="IO7" s="44" t="str">
        <f t="shared" si="126"/>
        <v/>
      </c>
      <c r="IP7" s="44" t="str">
        <f t="shared" si="127"/>
        <v>"blue"</v>
      </c>
      <c r="IQ7" s="44" t="str">
        <f t="shared" si="128"/>
        <v>"green"</v>
      </c>
      <c r="IR7" s="44" t="str">
        <f t="shared" si="129"/>
        <v>"red"</v>
      </c>
      <c r="IS7" s="44" t="str">
        <f t="shared" si="130"/>
        <v>"yellow"</v>
      </c>
      <c r="IT7" s="44" t="str">
        <f t="shared" si="131"/>
        <v/>
      </c>
      <c r="IU7" s="44" t="str">
        <f t="shared" si="132"/>
        <v/>
      </c>
      <c r="IV7" s="44" t="str">
        <f t="shared" si="133"/>
        <v/>
      </c>
      <c r="IW7" s="44" t="str">
        <f t="shared" si="134"/>
        <v>"white"</v>
      </c>
      <c r="IX7" s="44" t="str">
        <f t="shared" si="135"/>
        <v>{"url":"http://mkweb.bcgsc.ca/color-summarizer/?url=https://upload.wikimedia.org/wikipedia/commons/thumb/5/5e/Flag_of_Barinas_State.svg/320px-Flag_of_Barinas_State.svg.png&amp;precision=low&amp;num_clusters=5&amp;text=1","name":"[VEN] Barinas"},</v>
      </c>
      <c r="IY7" s="44">
        <v>1471</v>
      </c>
    </row>
    <row r="8" spans="1:259" s="44" customFormat="1" ht="38.4" customHeight="1" thickBot="1" x14ac:dyDescent="0.35">
      <c r="A8" s="84" t="s">
        <v>750</v>
      </c>
      <c r="B8" s="83" t="e" vm="107">
        <v>#VALUE!</v>
      </c>
      <c r="C8" s="39">
        <v>2</v>
      </c>
      <c r="D8" s="70" t="s">
        <v>751</v>
      </c>
      <c r="E8" s="40" t="s">
        <v>752</v>
      </c>
      <c r="F8" s="41" t="s">
        <v>163</v>
      </c>
      <c r="G8" s="42">
        <f t="shared" si="0"/>
        <v>1</v>
      </c>
      <c r="H8" s="43"/>
      <c r="I8" s="59" t="s">
        <v>753</v>
      </c>
      <c r="J8" s="44" t="str">
        <f>""</f>
        <v/>
      </c>
      <c r="K8" s="45"/>
      <c r="L8" s="46"/>
      <c r="M8" s="46"/>
      <c r="N8" s="47" t="s">
        <v>177</v>
      </c>
      <c r="O8" s="74">
        <v>2000</v>
      </c>
      <c r="P8" s="48" t="s">
        <v>754</v>
      </c>
      <c r="Q8" s="73">
        <v>1</v>
      </c>
      <c r="R8" s="49" t="s">
        <v>177</v>
      </c>
      <c r="S8" s="50">
        <v>7</v>
      </c>
      <c r="T8" s="51" t="s">
        <v>164</v>
      </c>
      <c r="U8" s="52" t="s">
        <v>164</v>
      </c>
      <c r="V8" s="52" t="s">
        <v>165</v>
      </c>
      <c r="W8" s="52" t="s">
        <v>164</v>
      </c>
      <c r="X8" s="52" t="s">
        <v>165</v>
      </c>
      <c r="Y8" s="52" t="s">
        <v>164</v>
      </c>
      <c r="Z8" s="52" t="s">
        <v>164</v>
      </c>
      <c r="AA8" s="52" t="s">
        <v>165</v>
      </c>
      <c r="AB8" s="52" t="s">
        <v>165</v>
      </c>
      <c r="AC8" s="52" t="s">
        <v>164</v>
      </c>
      <c r="AD8" s="52" t="s">
        <v>165</v>
      </c>
      <c r="AE8" s="52" t="s">
        <v>164</v>
      </c>
      <c r="AF8" s="53" t="s">
        <v>164</v>
      </c>
      <c r="AG8" s="53" t="s">
        <v>164</v>
      </c>
      <c r="AH8" s="53" t="s">
        <v>165</v>
      </c>
      <c r="AI8" s="53" t="s">
        <v>165</v>
      </c>
      <c r="AJ8" s="53" t="s">
        <v>164</v>
      </c>
      <c r="AK8" s="53" t="s">
        <v>164</v>
      </c>
      <c r="AL8" s="53" t="s">
        <v>164</v>
      </c>
      <c r="AM8" s="53" t="s">
        <v>165</v>
      </c>
      <c r="AN8" s="53" t="s">
        <v>165</v>
      </c>
      <c r="AO8" s="53" t="s">
        <v>164</v>
      </c>
      <c r="AP8" s="53" t="s">
        <v>164</v>
      </c>
      <c r="AQ8" s="53" t="s">
        <v>164</v>
      </c>
      <c r="AR8" s="53" t="s">
        <v>164</v>
      </c>
      <c r="AS8" s="53" t="s">
        <v>164</v>
      </c>
      <c r="AT8" s="54">
        <v>8</v>
      </c>
      <c r="AU8" s="53" t="s">
        <v>308</v>
      </c>
      <c r="AV8" s="53" t="str">
        <f t="shared" si="1"/>
        <v>[VEN]State[VEN] Bolívar</v>
      </c>
      <c r="AW8" s="53" t="str">
        <f t="shared" si="2"/>
        <v>2[VEN] Bolívar</v>
      </c>
      <c r="AX8" s="55"/>
      <c r="AY8" s="55"/>
      <c r="AZ8" s="56" t="s">
        <v>159</v>
      </c>
      <c r="BA8" s="56"/>
      <c r="BB8" s="56"/>
      <c r="BC8" s="57"/>
      <c r="BD8" s="58" t="s">
        <v>155</v>
      </c>
      <c r="BE8" s="59"/>
      <c r="BF8" s="58" t="s">
        <v>155</v>
      </c>
      <c r="BG8" s="58" t="s">
        <v>152</v>
      </c>
      <c r="BH8" s="58" t="s">
        <v>155</v>
      </c>
      <c r="BI8" s="58"/>
      <c r="BJ8" s="58"/>
      <c r="BK8" s="59"/>
      <c r="BL8" s="58" t="s">
        <v>151</v>
      </c>
      <c r="BM8" s="58" t="s">
        <v>152</v>
      </c>
      <c r="BN8" s="58" t="s">
        <v>153</v>
      </c>
      <c r="BO8" s="58" t="s">
        <v>154</v>
      </c>
      <c r="BP8" s="58" t="s">
        <v>155</v>
      </c>
      <c r="BQ8" s="58" t="s">
        <v>234</v>
      </c>
      <c r="BR8" s="58" t="s">
        <v>234</v>
      </c>
      <c r="BS8" s="58" t="s">
        <v>234</v>
      </c>
      <c r="BT8" s="58" t="s">
        <v>159</v>
      </c>
      <c r="BU8" s="60" t="s">
        <v>164</v>
      </c>
      <c r="BV8" s="61"/>
      <c r="BW8" s="61">
        <v>0</v>
      </c>
      <c r="BX8" s="59"/>
      <c r="CB8" s="5"/>
      <c r="CC8" s="5"/>
      <c r="CD8" s="62">
        <v>0</v>
      </c>
      <c r="CE8" s="62">
        <v>0</v>
      </c>
      <c r="CF8" s="62" t="e">
        <v>#REF!</v>
      </c>
      <c r="CG8" s="75" cm="1">
        <f t="array" ref="CG8">SUMPRODUCT(--(LEN(TRIM(BL8:BT8))&gt;0))</f>
        <v>6</v>
      </c>
      <c r="CH8" s="53" t="str">
        <f t="shared" si="3"/>
        <v>n</v>
      </c>
      <c r="CI8" s="53" t="str">
        <f t="shared" si="4"/>
        <v>n</v>
      </c>
      <c r="CJ8" s="53" t="str">
        <f t="shared" si="5"/>
        <v>n</v>
      </c>
      <c r="CK8" s="53" t="str">
        <f t="shared" si="6"/>
        <v>y</v>
      </c>
      <c r="CL8" s="53" t="str">
        <f t="shared" si="7"/>
        <v>n</v>
      </c>
      <c r="CM8" s="53" t="str">
        <f t="shared" si="8"/>
        <v>n</v>
      </c>
      <c r="CN8" s="53" t="str">
        <f t="shared" si="9"/>
        <v>n</v>
      </c>
      <c r="CO8" s="53" t="str">
        <f t="shared" si="10"/>
        <v>y</v>
      </c>
      <c r="CP8" s="53" t="str">
        <f t="shared" si="11"/>
        <v>n</v>
      </c>
      <c r="CQ8" s="53" t="str">
        <f t="shared" si="12"/>
        <v>n</v>
      </c>
      <c r="CR8" s="53" t="str">
        <f t="shared" si="13"/>
        <v>n</v>
      </c>
      <c r="CS8" s="53" t="str">
        <f t="shared" si="14"/>
        <v>y</v>
      </c>
      <c r="CT8" s="38" t="str">
        <f t="shared" si="15"/>
        <v>"[VEN] Bolívar"</v>
      </c>
      <c r="CU8" s="63" t="str">
        <f t="shared" si="16"/>
        <v>"rgn_South America"</v>
      </c>
      <c r="CV8" s="44" t="str">
        <f t="shared" si="17"/>
        <v>"https://upload.wikimedia.org/wikipedia/commons/thumb/0/06/Flag_of_Bol%C3%ADvar_State.svg/320px-Flag_of_Bol%C3%ADvar_State.svg.png"</v>
      </c>
      <c r="CW8" s="44" t="str">
        <f t="shared" si="18"/>
        <v/>
      </c>
      <c r="CX8" s="44" t="str">
        <f t="shared" si="19"/>
        <v/>
      </c>
      <c r="CY8" s="44" t="str">
        <f t="shared" si="20"/>
        <v/>
      </c>
      <c r="CZ8" s="44" t="str">
        <f t="shared" si="21"/>
        <v>"5+Colo",</v>
      </c>
      <c r="DA8" s="44" t="str">
        <f t="shared" si="22"/>
        <v/>
      </c>
      <c r="DB8" s="44" t="str">
        <f t="shared" si="23"/>
        <v/>
      </c>
      <c r="DD8" s="44" t="str">
        <f t="shared" si="136"/>
        <v>"lets07",</v>
      </c>
      <c r="DE8" s="44" t="str">
        <f t="shared" si="137"/>
        <v>"startB",</v>
      </c>
      <c r="DF8" s="44" t="str">
        <f t="shared" si="24"/>
        <v/>
      </c>
      <c r="DG8" s="44" t="str">
        <f t="shared" si="25"/>
        <v/>
      </c>
      <c r="DH8" s="44" t="str">
        <f t="shared" si="26"/>
        <v>"with_v",</v>
      </c>
      <c r="DI8" s="44" t="str">
        <f t="shared" si="27"/>
        <v/>
      </c>
      <c r="DJ8" s="44" t="str">
        <f t="shared" si="28"/>
        <v/>
      </c>
      <c r="DK8" s="44" t="str">
        <f t="shared" si="29"/>
        <v/>
      </c>
      <c r="DL8" s="44" t="str">
        <f t="shared" si="30"/>
        <v/>
      </c>
      <c r="DM8" s="44" t="str" cm="1">
        <f t="array" ref="DM8">IF(CG8=3,CHAR(34) &amp; _xlfn.TEXTJOIN("", TRUE, RIGHT(HP8:HX8, 2)) &amp; CHAR(34) &amp; ",", "")</f>
        <v/>
      </c>
      <c r="DN8" s="44" t="str">
        <f t="shared" si="31"/>
        <v/>
      </c>
      <c r="DO8" s="44" t="str">
        <f t="shared" si="32"/>
        <v/>
      </c>
      <c r="DP8" s="5" t="str">
        <f t="shared" si="33"/>
        <v>"year00",</v>
      </c>
      <c r="DQ8" s="5" t="str">
        <f t="shared" si="34"/>
        <v/>
      </c>
      <c r="DR8" s="5" t="str">
        <f t="shared" si="35"/>
        <v/>
      </c>
      <c r="DS8" s="5" t="str">
        <f t="shared" si="36"/>
        <v/>
      </c>
      <c r="DT8" s="5" t="str">
        <f t="shared" si="37"/>
        <v>"allhor",</v>
      </c>
      <c r="DU8" s="5" t="str">
        <f t="shared" si="38"/>
        <v/>
      </c>
      <c r="DW8" s="44" t="str">
        <f t="shared" si="39"/>
        <v/>
      </c>
      <c r="DX8" s="44" t="str">
        <f t="shared" si="40"/>
        <v/>
      </c>
      <c r="DY8" s="44" t="str">
        <f t="shared" si="41"/>
        <v/>
      </c>
      <c r="DZ8" s="44" t="str">
        <f t="shared" si="42"/>
        <v>"4+Band",</v>
      </c>
      <c r="EA8" s="44" t="str">
        <f t="shared" si="43"/>
        <v/>
      </c>
      <c r="EB8" s="44" t="str">
        <f t="shared" si="44"/>
        <v/>
      </c>
      <c r="EC8" s="44" t="str">
        <f t="shared" si="45"/>
        <v>"Horizo",</v>
      </c>
      <c r="ED8" s="44" t="str">
        <f t="shared" si="46"/>
        <v/>
      </c>
      <c r="EE8" s="44" t="str">
        <f t="shared" si="47"/>
        <v>"Circle",</v>
      </c>
      <c r="EF8" s="44" t="str">
        <f t="shared" si="48"/>
        <v/>
      </c>
      <c r="EG8" s="44" t="str">
        <f t="shared" si="49"/>
        <v/>
      </c>
      <c r="EH8" s="44" t="str">
        <f t="shared" si="50"/>
        <v>"Plants",</v>
      </c>
      <c r="EI8" s="44" t="str">
        <f t="shared" si="51"/>
        <v>"Texted",</v>
      </c>
      <c r="EJ8" s="44" t="str">
        <f t="shared" si="52"/>
        <v/>
      </c>
      <c r="EK8" s="44" t="str">
        <f t="shared" si="53"/>
        <v>"HasSun",</v>
      </c>
      <c r="EL8" s="44" t="str">
        <f t="shared" si="54"/>
        <v/>
      </c>
      <c r="EM8" s="44" t="str">
        <f t="shared" si="55"/>
        <v/>
      </c>
      <c r="EN8" s="44" t="str">
        <f t="shared" si="56"/>
        <v/>
      </c>
      <c r="EO8" s="44" t="str">
        <f t="shared" si="57"/>
        <v>"Center",</v>
      </c>
      <c r="EP8" s="44" t="str">
        <f t="shared" si="58"/>
        <v>"Canton",</v>
      </c>
      <c r="EQ8" s="44" t="str">
        <f t="shared" si="59"/>
        <v/>
      </c>
      <c r="ER8" s="44" t="str">
        <f t="shared" si="60"/>
        <v/>
      </c>
      <c r="ES8" s="44" t="str">
        <f t="shared" si="61"/>
        <v/>
      </c>
      <c r="ET8" s="44" t="str">
        <f t="shared" si="62"/>
        <v>"Geogrh",</v>
      </c>
      <c r="EU8" s="44" t="str">
        <f t="shared" si="63"/>
        <v>"Humans",</v>
      </c>
      <c r="EV8" s="44" t="str">
        <f t="shared" si="64"/>
        <v/>
      </c>
      <c r="EW8" s="44" t="str">
        <f t="shared" si="65"/>
        <v/>
      </c>
      <c r="EX8" s="44" t="str">
        <f t="shared" si="66"/>
        <v/>
      </c>
      <c r="EY8" s="44" t="str">
        <f t="shared" si="67"/>
        <v/>
      </c>
      <c r="EZ8" s="44" t="str">
        <f t="shared" si="68"/>
        <v/>
      </c>
      <c r="FA8" s="44" t="str">
        <f t="shared" si="69"/>
        <v>"staWHI",</v>
      </c>
      <c r="FB8" s="44" t="str">
        <f t="shared" si="70"/>
        <v/>
      </c>
      <c r="FD8" s="44" t="str">
        <f t="shared" si="71"/>
        <v/>
      </c>
      <c r="FE8" s="44" t="str">
        <f t="shared" si="72"/>
        <v/>
      </c>
      <c r="FF8" s="44" t="str">
        <f t="shared" si="73"/>
        <v/>
      </c>
      <c r="FG8" s="44" t="str">
        <f t="shared" si="74"/>
        <v/>
      </c>
      <c r="FH8" s="44" t="str">
        <f t="shared" si="75"/>
        <v/>
      </c>
      <c r="FI8" s="44" t="str">
        <f t="shared" si="76"/>
        <v/>
      </c>
      <c r="FJ8" s="44" t="str">
        <f t="shared" si="77"/>
        <v/>
      </c>
      <c r="FK8" s="44" t="str">
        <f t="shared" si="78"/>
        <v/>
      </c>
      <c r="FL8" s="44" t="str">
        <f t="shared" si="79"/>
        <v/>
      </c>
      <c r="FM8" s="44" t="str">
        <f t="shared" si="80"/>
        <v/>
      </c>
      <c r="FN8" s="44" t="str">
        <f t="shared" si="81"/>
        <v/>
      </c>
      <c r="FO8" s="44" t="str">
        <f t="shared" si="82"/>
        <v/>
      </c>
      <c r="FP8" s="44" t="str">
        <f t="shared" si="83"/>
        <v/>
      </c>
      <c r="FQ8" s="44" t="str">
        <f t="shared" si="84"/>
        <v>"001YEL",</v>
      </c>
      <c r="FR8" s="44" t="str">
        <f t="shared" si="85"/>
        <v>"002BLU",</v>
      </c>
      <c r="FS8" s="44" t="str">
        <f t="shared" si="86"/>
        <v>"003YEL",</v>
      </c>
      <c r="FT8" s="44" t="str">
        <f t="shared" si="87"/>
        <v>"myrYEL",</v>
      </c>
      <c r="FU8" s="44" t="str">
        <f t="shared" si="88"/>
        <v/>
      </c>
      <c r="FV8" s="44" t="str">
        <f t="shared" si="89"/>
        <v/>
      </c>
      <c r="FW8" s="44" t="str">
        <f t="shared" si="90"/>
        <v/>
      </c>
      <c r="FY8" s="44" t="str">
        <f t="shared" si="91"/>
        <v/>
      </c>
      <c r="FZ8" s="44" t="str">
        <f t="shared" si="92"/>
        <v/>
      </c>
      <c r="GA8" s="44" t="str">
        <f t="shared" si="93"/>
        <v/>
      </c>
      <c r="GB8" s="44" t="str">
        <f t="shared" si="94"/>
        <v/>
      </c>
      <c r="GE8" s="44" t="str">
        <f t="shared" si="95"/>
        <v/>
      </c>
      <c r="GF8" s="44" t="str">
        <f t="shared" si="138"/>
        <v/>
      </c>
      <c r="GG8" s="44" t="str">
        <f t="shared" si="96"/>
        <v/>
      </c>
      <c r="GH8" s="44" t="str">
        <f t="shared" si="97"/>
        <v/>
      </c>
      <c r="GI8" s="44" t="str">
        <f t="shared" si="98"/>
        <v/>
      </c>
      <c r="GJ8" s="44" t="str">
        <f t="shared" si="99"/>
        <v/>
      </c>
      <c r="GK8" s="44" t="str">
        <f t="shared" si="100"/>
        <v>"HasSta",</v>
      </c>
      <c r="GL8" s="44" t="str">
        <f t="shared" si="101"/>
        <v/>
      </c>
      <c r="GM8" s="44" t="str">
        <f t="shared" si="102"/>
        <v/>
      </c>
      <c r="GN8" s="44" t="str">
        <f t="shared" si="103"/>
        <v>"3+Star",</v>
      </c>
      <c r="GP8" s="44" t="str">
        <f t="shared" si="104"/>
        <v>"State"</v>
      </c>
      <c r="GS8" s="44" t="str">
        <f t="shared" si="105"/>
        <v>["5+Colo","lets07","startB","with_v","year00","allhor","4+Band","Horizo","Circle","Plants","Texted","HasSun","Center","Canton","Geogrh","Humans","staWHI","001YEL","002BLU","003YEL","myrYEL","HasSta","3+Star"]</v>
      </c>
      <c r="GT8" s="44" t="str">
        <f t="shared" si="106"/>
        <v>"cl_BLA",</v>
      </c>
      <c r="GU8" s="44" t="str">
        <f t="shared" si="107"/>
        <v>"cl_BLU",</v>
      </c>
      <c r="GV8" s="44" t="str">
        <f t="shared" si="108"/>
        <v>"cl_GRE",</v>
      </c>
      <c r="GW8" s="44" t="str">
        <f t="shared" si="109"/>
        <v>"cl_RED",</v>
      </c>
      <c r="GX8" s="44" t="str">
        <f t="shared" si="110"/>
        <v>"cl_YEL",</v>
      </c>
      <c r="GY8" s="44" t="str">
        <f t="shared" si="111"/>
        <v/>
      </c>
      <c r="GZ8" s="44" t="str">
        <f t="shared" si="112"/>
        <v/>
      </c>
      <c r="HA8" s="44" t="str">
        <f t="shared" si="113"/>
        <v/>
      </c>
      <c r="HB8" s="44" t="str">
        <f t="shared" si="114"/>
        <v>"cl_WHI",</v>
      </c>
      <c r="HC8" s="44" t="str">
        <f t="shared" si="115"/>
        <v>["cl_BLA","cl_BLU","cl_GRE","cl_RED","cl_YEL","cl_WHI"]</v>
      </c>
      <c r="HE8" s="64"/>
      <c r="HF8" s="65" t="str">
        <f t="shared" si="116"/>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links: "https://en.wikipedia.org/wiki/Flag_of_Bol%C3%ADvar_State"},</v>
      </c>
      <c r="HG8" s="66" t="str">
        <f t="shared" si="117"/>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links: "https://en.wikipedia.org/wiki/Flag_of_Bol%C3%ADvar_State"},</v>
      </c>
      <c r="HH8" s="44" t="str">
        <f t="shared" si="118"/>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I8" s="44" t="str">
        <f t="shared" si="119"/>
        <v>"\nThe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v>
      </c>
      <c r="HJ8" s="44" t="str">
        <f t="shared" si="120"/>
        <v>"2000"</v>
      </c>
      <c r="HL8" s="44" t="str">
        <f t="shared" si="121"/>
        <v>"https://en.wikipedia.org/wiki/Flag_of_Bol%C3%ADvar_State"</v>
      </c>
      <c r="HM8" s="65" t="str">
        <f t="shared" si="122"/>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N8" s="67" t="str">
        <f t="shared" si="123"/>
        <v>{"couname":"[VEN] Bolívar","year":"2000","region":"rgn_South America","Colors":["cl_BLA","cl_BLU","cl_GRE","cl_RED","cl_YEL","cl_WHI"],"Items":["5+Colo","lets07","startB","with_v","year00","allhor","4+Band","Horizo","Circle","Plants","Texted","HasSun","Center","Canton","Geogrh","Humans","staWHI","001YEL","002BLU","003YEL","myrYEL","HasSta","3+Star"],"Flag":"https://upload.wikimedia.org/wikipedia/commons/thumb/0/06/Flag_of_Bol%C3%ADvar_State.svg/320px-Flag_of_Bol%C3%ADvar_State.svg.png","HDFlag":"https://upload.wikimedia.org/wikipedia/commons/thumb/0/06/Flag_of_Bol%C3%ADvar_State.svg/800px-Flag_of_Bol%C3%ADvar_State.svg.png","type":"State", "describe": "\nThe flag was created by kinetic artist Jesús Soto and was adopted in 2000 and was modified in 2006.\n\nThe flag is mainly composed of three colors: yellow, green, and blue. The yellow background symbolizes the riches of the state, the green circle the abundance of vegetation of the state, and the blue lines the rivers that cross the Bolívar State. In the middle blue line, there are 8 5-pointed white stars, 7 of which represent the 'seven provinces that together declared the Venezuelan independence and the eighth that constitutes the emblem of the Guayana Province.' The coat of arms of Bolívar is also charged, placed in the top right corner of the flag.", "isnew": ".", "links": "https://en.wikipedia.org/wiki/Flag_of_Bol%C3%ADvar_State"},</v>
      </c>
      <c r="HO8" s="71">
        <v>45610</v>
      </c>
      <c r="HP8" s="44" t="str" cm="1">
        <f t="array" ref="HP8">IF(_xlfn.TEXTJOIN(", ", TRUE, IF(ISNUMBER(SEARCH("BLA", BL8:BT8)), COLUMN(BL8:BT8) - COLUMN(BL8) + 1, ""))&lt;&gt;"","BLA","")</f>
        <v>BLA</v>
      </c>
      <c r="HQ8" s="44" t="str" cm="1">
        <f t="array" ref="HQ8">IF(_xlfn.TEXTJOIN(", ", TRUE, IF(ISNUMBER(SEARCH("BLU", BL8:BT8)), COLUMN(BL8:BT8) - COLUMN(BL8) + 1, ""))&lt;&gt;"","BLU","")</f>
        <v>BLU</v>
      </c>
      <c r="HR8" s="44" t="str" cm="1">
        <f t="array" ref="HR8">IF(_xlfn.TEXTJOIN(", ", TRUE, IF(ISNUMBER(SEARCH("GRE", BL8:BT8)), COLUMN(BL8:BT8) - COLUMN(BL8) + 1, ""))&lt;&gt;"","GRE","")</f>
        <v>GRE</v>
      </c>
      <c r="HS8" s="44" t="str" cm="1">
        <f t="array" ref="HS8">IF(_xlfn.TEXTJOIN(", ", TRUE, IF(ISNUMBER(SEARCH("RED", BL8:BT8)), COLUMN(BL8:BT8) - COLUMN(BL8) + 1, ""))&lt;&gt;"","RED","")</f>
        <v>RED</v>
      </c>
      <c r="HT8" s="44" t="str" cm="1">
        <f t="array" ref="HT8">IF(_xlfn.TEXTJOIN(", ", TRUE, IF(ISNUMBER(SEARCH("YEL", BL8:BT8)), COLUMN(BL8:BT8) - COLUMN(BL8) + 1, ""))&lt;&gt;"","YEL","")</f>
        <v>YEL</v>
      </c>
      <c r="HU8" s="44" t="str" cm="1">
        <f t="array" ref="HU8">IF(_xlfn.TEXTJOIN(", ", TRUE, IF(ISNUMBER(SEARCH("ORA", BL8:BT8)), COLUMN(BL8:BT8) - COLUMN(BL8) + 1, ""))&lt;&gt;"","ORA","")</f>
        <v/>
      </c>
      <c r="HV8" s="44" t="str" cm="1">
        <f t="array" ref="HV8">IF(_xlfn.TEXTJOIN(", ", TRUE, IF(ISNUMBER(SEARCH("BRO", BL8:BT8)), COLUMN(BL8:BT8) - COLUMN(BL8) + 1, ""))&lt;&gt;"","BRO","")</f>
        <v/>
      </c>
      <c r="HW8" s="44" t="str" cm="1">
        <f t="array" ref="HW8">IF(_xlfn.TEXTJOIN(", ", TRUE, IF(ISNUMBER(SEARCH("PUR", BL8:BT8)), COLUMN(BL8:BT8) - COLUMN(BL8) + 1, ""))&lt;&gt;"","PUR","")</f>
        <v/>
      </c>
      <c r="HX8" s="44" t="str" cm="1">
        <f t="array" ref="HX8">IF(_xlfn.TEXTJOIN(", ", TRUE, IF(ISNUMBER(SEARCH("WHI", BL8:BT8)), COLUMN(BL8:BT8) - COLUMN(BL8) + 1, ""))&lt;&gt;"","WHI","")</f>
        <v>WHI</v>
      </c>
      <c r="HY8" s="72"/>
      <c r="HZ8" s="72"/>
      <c r="IA8" s="5"/>
      <c r="IB8" s="5"/>
      <c r="IC8" s="68"/>
      <c r="ID8" s="68"/>
      <c r="IE8" s="68"/>
      <c r="IF8" s="68"/>
      <c r="IG8" s="68"/>
      <c r="IH8" s="68"/>
      <c r="II8" s="68"/>
      <c r="IJ8" s="68"/>
      <c r="IK8" s="68"/>
      <c r="IM8" s="42">
        <f t="shared" si="124"/>
        <v>-6</v>
      </c>
      <c r="IN8" s="69" t="str">
        <f t="shared" si="125"/>
        <v>http://mkweb.bcgsc.ca/color-summarizer/?url=https://upload.wikimedia.org/wikipedia/commons/thumb/0/06/Flag_of_Bol%C3%ADvar_State.svg/320px-Flag_of_Bol%C3%ADvar_State.svg.png&amp;precision=low&amp;num_clusters=6&amp;text=1</v>
      </c>
      <c r="IO8" s="44" t="str">
        <f t="shared" si="126"/>
        <v>"black"</v>
      </c>
      <c r="IP8" s="44" t="str">
        <f t="shared" si="127"/>
        <v>"blue"</v>
      </c>
      <c r="IQ8" s="44" t="str">
        <f t="shared" si="128"/>
        <v>"green"</v>
      </c>
      <c r="IR8" s="44" t="str">
        <f t="shared" si="129"/>
        <v>"red"</v>
      </c>
      <c r="IS8" s="44" t="str">
        <f t="shared" si="130"/>
        <v>"yellow"</v>
      </c>
      <c r="IT8" s="44" t="str">
        <f t="shared" si="131"/>
        <v/>
      </c>
      <c r="IU8" s="44" t="str">
        <f t="shared" si="132"/>
        <v/>
      </c>
      <c r="IV8" s="44" t="str">
        <f t="shared" si="133"/>
        <v/>
      </c>
      <c r="IW8" s="44" t="str">
        <f t="shared" si="134"/>
        <v>"white"</v>
      </c>
      <c r="IX8" s="44" t="str">
        <f t="shared" si="135"/>
        <v>{"url":"http://mkweb.bcgsc.ca/color-summarizer/?url=https://upload.wikimedia.org/wikipedia/commons/thumb/0/06/Flag_of_Bol%C3%ADvar_State.svg/320px-Flag_of_Bol%C3%ADvar_State.svg.png&amp;precision=low&amp;num_clusters=6&amp;text=1","name":"[VEN] Bolívar"},</v>
      </c>
      <c r="IY8" s="44">
        <v>1472</v>
      </c>
    </row>
    <row r="9" spans="1:259" s="44" customFormat="1" ht="38.4" customHeight="1" thickBot="1" x14ac:dyDescent="0.35">
      <c r="A9" s="84" t="s">
        <v>755</v>
      </c>
      <c r="B9" s="83" t="e" vm="108">
        <v>#VALUE!</v>
      </c>
      <c r="C9" s="39">
        <v>2</v>
      </c>
      <c r="D9" s="70" t="s">
        <v>756</v>
      </c>
      <c r="E9" s="40" t="s">
        <v>757</v>
      </c>
      <c r="F9" s="41" t="s">
        <v>163</v>
      </c>
      <c r="G9" s="42">
        <f t="shared" si="0"/>
        <v>1</v>
      </c>
      <c r="H9" s="43"/>
      <c r="I9" s="59" t="s">
        <v>758</v>
      </c>
      <c r="J9" s="44" t="str">
        <f>""</f>
        <v/>
      </c>
      <c r="K9" s="45"/>
      <c r="L9" s="46"/>
      <c r="M9" s="46"/>
      <c r="N9" s="47" t="s">
        <v>177</v>
      </c>
      <c r="O9" s="74">
        <v>2022</v>
      </c>
      <c r="P9" s="48" t="s">
        <v>759</v>
      </c>
      <c r="Q9" s="73">
        <v>3</v>
      </c>
      <c r="R9" s="49" t="s">
        <v>177</v>
      </c>
      <c r="S9" s="50">
        <v>3</v>
      </c>
      <c r="T9" s="51" t="s">
        <v>165</v>
      </c>
      <c r="U9" s="52" t="s">
        <v>164</v>
      </c>
      <c r="V9" s="52" t="s">
        <v>164</v>
      </c>
      <c r="W9" s="52" t="s">
        <v>164</v>
      </c>
      <c r="X9" s="52" t="s">
        <v>164</v>
      </c>
      <c r="Y9" s="52" t="s">
        <v>164</v>
      </c>
      <c r="Z9" s="52" t="s">
        <v>164</v>
      </c>
      <c r="AA9" s="52" t="s">
        <v>164</v>
      </c>
      <c r="AB9" s="52" t="s">
        <v>164</v>
      </c>
      <c r="AC9" s="52" t="s">
        <v>164</v>
      </c>
      <c r="AD9" s="52" t="s">
        <v>164</v>
      </c>
      <c r="AE9" s="52" t="s">
        <v>164</v>
      </c>
      <c r="AF9" s="53" t="s">
        <v>165</v>
      </c>
      <c r="AG9" s="53" t="s">
        <v>164</v>
      </c>
      <c r="AH9" s="53" t="s">
        <v>164</v>
      </c>
      <c r="AI9" s="53" t="s">
        <v>164</v>
      </c>
      <c r="AJ9" s="53" t="s">
        <v>164</v>
      </c>
      <c r="AK9" s="53" t="s">
        <v>164</v>
      </c>
      <c r="AL9" s="53" t="s">
        <v>164</v>
      </c>
      <c r="AM9" s="53" t="s">
        <v>165</v>
      </c>
      <c r="AN9" s="53" t="s">
        <v>164</v>
      </c>
      <c r="AO9" s="53" t="s">
        <v>164</v>
      </c>
      <c r="AP9" s="53" t="s">
        <v>164</v>
      </c>
      <c r="AQ9" s="53" t="s">
        <v>164</v>
      </c>
      <c r="AR9" s="53" t="s">
        <v>164</v>
      </c>
      <c r="AS9" s="53" t="s">
        <v>164</v>
      </c>
      <c r="AT9" s="54">
        <v>1</v>
      </c>
      <c r="AU9" s="53" t="s">
        <v>308</v>
      </c>
      <c r="AV9" s="53" t="str">
        <f t="shared" si="1"/>
        <v>[VEN]State[VEN] Capital District (Caracas)</v>
      </c>
      <c r="AW9" s="53" t="str">
        <f t="shared" si="2"/>
        <v>2[VEN] Capital District (Caracas)</v>
      </c>
      <c r="AX9" s="55"/>
      <c r="AY9" s="55"/>
      <c r="AZ9" s="56" t="s">
        <v>159</v>
      </c>
      <c r="BA9" s="56" t="s">
        <v>234</v>
      </c>
      <c r="BB9" s="56"/>
      <c r="BC9" s="57"/>
      <c r="BD9" s="58" t="s">
        <v>154</v>
      </c>
      <c r="BE9" s="59"/>
      <c r="BF9" s="58" t="s">
        <v>154</v>
      </c>
      <c r="BG9" s="58" t="s">
        <v>152</v>
      </c>
      <c r="BH9" s="58" t="s">
        <v>153</v>
      </c>
      <c r="BI9" s="58"/>
      <c r="BJ9" s="58"/>
      <c r="BK9" s="59"/>
      <c r="BL9" s="58" t="s">
        <v>234</v>
      </c>
      <c r="BM9" s="58" t="s">
        <v>152</v>
      </c>
      <c r="BN9" s="58" t="s">
        <v>153</v>
      </c>
      <c r="BO9" s="58" t="s">
        <v>154</v>
      </c>
      <c r="BP9" s="58" t="s">
        <v>234</v>
      </c>
      <c r="BQ9" s="58" t="s">
        <v>234</v>
      </c>
      <c r="BR9" s="58" t="s">
        <v>234</v>
      </c>
      <c r="BS9" s="58" t="s">
        <v>234</v>
      </c>
      <c r="BT9" s="58" t="s">
        <v>159</v>
      </c>
      <c r="BU9" s="60"/>
      <c r="BV9" s="61"/>
      <c r="BW9" s="61">
        <v>0</v>
      </c>
      <c r="BX9" s="59"/>
      <c r="BY9" s="44" t="s">
        <v>164</v>
      </c>
      <c r="CB9" s="5"/>
      <c r="CC9" s="5"/>
      <c r="CD9" s="62">
        <v>0</v>
      </c>
      <c r="CE9" s="62">
        <v>0</v>
      </c>
      <c r="CF9" s="62" t="e">
        <v>#REF!</v>
      </c>
      <c r="CG9" s="75" cm="1">
        <f t="array" ref="CG9">SUMPRODUCT(--(LEN(TRIM(BL9:BT9))&gt;0))</f>
        <v>4</v>
      </c>
      <c r="CH9" s="53" t="str">
        <f t="shared" si="3"/>
        <v>n</v>
      </c>
      <c r="CI9" s="53" t="str">
        <f t="shared" si="4"/>
        <v>n</v>
      </c>
      <c r="CJ9" s="53" t="str">
        <f t="shared" si="5"/>
        <v>y</v>
      </c>
      <c r="CK9" s="53" t="str">
        <f t="shared" si="6"/>
        <v>n</v>
      </c>
      <c r="CL9" s="53" t="str">
        <f t="shared" si="7"/>
        <v>n</v>
      </c>
      <c r="CM9" s="53" t="str">
        <f t="shared" si="8"/>
        <v>n</v>
      </c>
      <c r="CN9" s="53" t="str">
        <f t="shared" si="9"/>
        <v>y</v>
      </c>
      <c r="CO9" s="53" t="str">
        <f t="shared" si="10"/>
        <v>n</v>
      </c>
      <c r="CP9" s="53" t="str">
        <f t="shared" si="11"/>
        <v>n</v>
      </c>
      <c r="CQ9" s="53" t="str">
        <f t="shared" si="12"/>
        <v>y</v>
      </c>
      <c r="CR9" s="53" t="str">
        <f t="shared" si="13"/>
        <v>n</v>
      </c>
      <c r="CS9" s="53" t="str">
        <f t="shared" si="14"/>
        <v>n</v>
      </c>
      <c r="CT9" s="38" t="str">
        <f t="shared" si="15"/>
        <v>"[VEN] Capital District (Caracas)"</v>
      </c>
      <c r="CU9" s="63" t="str">
        <f t="shared" si="16"/>
        <v>"rgn_South America"</v>
      </c>
      <c r="CV9" s="44" t="str">
        <f t="shared" si="17"/>
        <v>"https://upload.wikimedia.org/wikipedia/commons/thumb/0/08/Flag_of_Caracas_%282022%29.svg/320px-Flag_of_Caracas_%282022%29.svg.png"</v>
      </c>
      <c r="CW9" s="44" t="str">
        <f t="shared" si="18"/>
        <v/>
      </c>
      <c r="CX9" s="44" t="str">
        <f t="shared" si="19"/>
        <v/>
      </c>
      <c r="CY9" s="44" t="str">
        <f t="shared" si="20"/>
        <v>"4Color",</v>
      </c>
      <c r="CZ9" s="44" t="str">
        <f t="shared" si="21"/>
        <v/>
      </c>
      <c r="DA9" s="44" t="str">
        <f t="shared" si="22"/>
        <v>"words2",</v>
      </c>
      <c r="DB9" s="44" t="str">
        <f t="shared" si="23"/>
        <v>"words3",</v>
      </c>
      <c r="DD9" s="44" t="str">
        <f t="shared" si="136"/>
        <v>"lets24",</v>
      </c>
      <c r="DE9" s="44" t="str">
        <f t="shared" si="137"/>
        <v>"startC",</v>
      </c>
      <c r="DF9" s="44" t="str">
        <f t="shared" si="24"/>
        <v/>
      </c>
      <c r="DG9" s="44" t="str">
        <f t="shared" si="25"/>
        <v/>
      </c>
      <c r="DH9" s="44" t="str">
        <f t="shared" si="26"/>
        <v>"with_v",</v>
      </c>
      <c r="DI9" s="44" t="str">
        <f t="shared" si="27"/>
        <v/>
      </c>
      <c r="DJ9" s="44" t="str">
        <f t="shared" si="28"/>
        <v/>
      </c>
      <c r="DK9" s="44" t="str">
        <f t="shared" si="29"/>
        <v/>
      </c>
      <c r="DL9" s="44" t="str">
        <f t="shared" si="30"/>
        <v/>
      </c>
      <c r="DM9" s="44" t="str" cm="1">
        <f t="array" ref="DM9">IF(CG9=3,CHAR(34) &amp; _xlfn.TEXTJOIN("", TRUE, RIGHT(HP9:HX9, 2)) &amp; CHAR(34) &amp; ",", "")</f>
        <v/>
      </c>
      <c r="DN9" s="44" t="str">
        <f t="shared" si="31"/>
        <v/>
      </c>
      <c r="DO9" s="44" t="str">
        <f t="shared" si="32"/>
        <v/>
      </c>
      <c r="DP9" s="5" t="str">
        <f t="shared" si="33"/>
        <v>"year00",</v>
      </c>
      <c r="DQ9" s="5" t="str">
        <f t="shared" si="34"/>
        <v/>
      </c>
      <c r="DR9" s="5" t="str">
        <f t="shared" si="35"/>
        <v/>
      </c>
      <c r="DS9" s="5" t="str">
        <f t="shared" si="36"/>
        <v/>
      </c>
      <c r="DT9" s="5" t="str">
        <f t="shared" si="37"/>
        <v/>
      </c>
      <c r="DU9" s="5" t="str">
        <f t="shared" si="38"/>
        <v/>
      </c>
      <c r="DW9" s="44" t="str">
        <f t="shared" si="39"/>
        <v/>
      </c>
      <c r="DX9" s="44" t="str">
        <f t="shared" si="40"/>
        <v/>
      </c>
      <c r="DY9" s="44" t="str">
        <f t="shared" si="41"/>
        <v>"3Bands",</v>
      </c>
      <c r="DZ9" s="44" t="str">
        <f t="shared" si="42"/>
        <v/>
      </c>
      <c r="EA9" s="44" t="str">
        <f t="shared" si="43"/>
        <v>"Diagon",</v>
      </c>
      <c r="EB9" s="44" t="str">
        <f t="shared" si="44"/>
        <v/>
      </c>
      <c r="EC9" s="44" t="str">
        <f t="shared" si="45"/>
        <v/>
      </c>
      <c r="ED9" s="44" t="str">
        <f t="shared" si="46"/>
        <v/>
      </c>
      <c r="EE9" s="44" t="str">
        <f t="shared" si="47"/>
        <v/>
      </c>
      <c r="EF9" s="44" t="str">
        <f t="shared" si="48"/>
        <v/>
      </c>
      <c r="EG9" s="44" t="str">
        <f t="shared" si="49"/>
        <v/>
      </c>
      <c r="EH9" s="44" t="str">
        <f t="shared" si="50"/>
        <v/>
      </c>
      <c r="EI9" s="44" t="str">
        <f t="shared" si="51"/>
        <v/>
      </c>
      <c r="EJ9" s="44" t="str">
        <f t="shared" si="52"/>
        <v/>
      </c>
      <c r="EK9" s="44" t="str">
        <f t="shared" si="53"/>
        <v/>
      </c>
      <c r="EL9" s="44" t="str">
        <f t="shared" si="54"/>
        <v/>
      </c>
      <c r="EM9" s="44" t="str">
        <f t="shared" si="55"/>
        <v>"Trside",</v>
      </c>
      <c r="EN9" s="44" t="str">
        <f t="shared" si="56"/>
        <v/>
      </c>
      <c r="EO9" s="44" t="str">
        <f t="shared" si="57"/>
        <v/>
      </c>
      <c r="EP9" s="44" t="str">
        <f t="shared" si="58"/>
        <v/>
      </c>
      <c r="EQ9" s="44" t="str">
        <f t="shared" si="59"/>
        <v/>
      </c>
      <c r="ER9" s="44" t="str">
        <f t="shared" si="60"/>
        <v/>
      </c>
      <c r="ES9" s="44" t="str">
        <f t="shared" si="61"/>
        <v/>
      </c>
      <c r="ET9" s="44" t="str">
        <f t="shared" si="62"/>
        <v>"Geogrh",</v>
      </c>
      <c r="EU9" s="44" t="str">
        <f t="shared" si="63"/>
        <v/>
      </c>
      <c r="EV9" s="44" t="str">
        <f t="shared" si="64"/>
        <v/>
      </c>
      <c r="EW9" s="44" t="str">
        <f t="shared" si="65"/>
        <v/>
      </c>
      <c r="EX9" s="44" t="str">
        <f t="shared" si="66"/>
        <v/>
      </c>
      <c r="EY9" s="44" t="str">
        <f t="shared" si="67"/>
        <v/>
      </c>
      <c r="EZ9" s="44" t="str">
        <f t="shared" si="68"/>
        <v/>
      </c>
      <c r="FA9" s="44" t="str">
        <f t="shared" si="69"/>
        <v>"staWHI",</v>
      </c>
      <c r="FB9" s="44" t="str">
        <f t="shared" si="70"/>
        <v/>
      </c>
      <c r="FD9" s="44" t="str">
        <f t="shared" si="71"/>
        <v/>
      </c>
      <c r="FE9" s="44" t="str">
        <f t="shared" si="72"/>
        <v/>
      </c>
      <c r="FF9" s="44" t="str">
        <f t="shared" si="73"/>
        <v/>
      </c>
      <c r="FG9" s="44" t="str">
        <f t="shared" si="74"/>
        <v/>
      </c>
      <c r="FH9" s="44" t="str">
        <f t="shared" si="75"/>
        <v/>
      </c>
      <c r="FI9" s="44" t="str">
        <f t="shared" si="76"/>
        <v>"NO_YEL",</v>
      </c>
      <c r="FJ9" s="44" t="str">
        <f t="shared" si="77"/>
        <v>"NO_BLA",</v>
      </c>
      <c r="FK9" s="44" t="str">
        <f t="shared" si="78"/>
        <v/>
      </c>
      <c r="FL9" s="44" t="str">
        <f t="shared" si="79"/>
        <v/>
      </c>
      <c r="FM9" s="44" t="str">
        <f t="shared" si="80"/>
        <v/>
      </c>
      <c r="FN9" s="44" t="str">
        <f t="shared" si="81"/>
        <v/>
      </c>
      <c r="FO9" s="44" t="str">
        <f t="shared" si="82"/>
        <v/>
      </c>
      <c r="FP9" s="44" t="str">
        <f t="shared" si="83"/>
        <v/>
      </c>
      <c r="FQ9" s="44" t="str">
        <f t="shared" si="84"/>
        <v>"001RED",</v>
      </c>
      <c r="FR9" s="44" t="str">
        <f t="shared" si="85"/>
        <v>"002BLU",</v>
      </c>
      <c r="FS9" s="44" t="str">
        <f t="shared" si="86"/>
        <v>"003GRE",</v>
      </c>
      <c r="FT9" s="44" t="str">
        <f t="shared" si="87"/>
        <v>"myrRED",</v>
      </c>
      <c r="FU9" s="44" t="str">
        <f t="shared" si="88"/>
        <v/>
      </c>
      <c r="FV9" s="44" t="str">
        <f t="shared" si="89"/>
        <v/>
      </c>
      <c r="FW9" s="44" t="str">
        <f t="shared" si="90"/>
        <v/>
      </c>
      <c r="FY9" s="44" t="str">
        <f t="shared" si="91"/>
        <v/>
      </c>
      <c r="FZ9" s="44" t="str">
        <f t="shared" si="92"/>
        <v/>
      </c>
      <c r="GA9" s="44" t="str">
        <f t="shared" si="93"/>
        <v/>
      </c>
      <c r="GB9" s="44" t="str">
        <f t="shared" si="94"/>
        <v/>
      </c>
      <c r="GE9" s="44" t="str">
        <f t="shared" si="95"/>
        <v/>
      </c>
      <c r="GF9" s="44" t="str">
        <f t="shared" si="138"/>
        <v/>
      </c>
      <c r="GG9" s="44" t="str">
        <f t="shared" si="96"/>
        <v/>
      </c>
      <c r="GH9" s="44" t="str">
        <f t="shared" si="97"/>
        <v/>
      </c>
      <c r="GI9" s="44" t="str">
        <f t="shared" si="98"/>
        <v/>
      </c>
      <c r="GJ9" s="44" t="str">
        <f t="shared" si="99"/>
        <v/>
      </c>
      <c r="GK9" s="44" t="str">
        <f t="shared" si="100"/>
        <v>"HasSta",</v>
      </c>
      <c r="GL9" s="44" t="str">
        <f t="shared" si="101"/>
        <v>"1Stars",</v>
      </c>
      <c r="GM9" s="44" t="str">
        <f t="shared" si="102"/>
        <v/>
      </c>
      <c r="GN9" s="44" t="str">
        <f t="shared" si="103"/>
        <v/>
      </c>
      <c r="GP9" s="44" t="str">
        <f t="shared" si="104"/>
        <v>"State"</v>
      </c>
      <c r="GS9" s="44" t="str">
        <f t="shared" si="105"/>
        <v>["4Color","words2","words3","lets24","startC","with_v","year00","3Bands","Diagon","Trside","Geogrh","staWHI","NO_YEL","NO_BLA","001RED","002BLU","003GRE","myrRED","HasSta","1Stars"]</v>
      </c>
      <c r="GT9" s="44" t="str">
        <f t="shared" si="106"/>
        <v/>
      </c>
      <c r="GU9" s="44" t="str">
        <f t="shared" si="107"/>
        <v>"cl_BLU",</v>
      </c>
      <c r="GV9" s="44" t="str">
        <f t="shared" si="108"/>
        <v>"cl_GRE",</v>
      </c>
      <c r="GW9" s="44" t="str">
        <f t="shared" si="109"/>
        <v>"cl_RED",</v>
      </c>
      <c r="GX9" s="44" t="str">
        <f t="shared" si="110"/>
        <v/>
      </c>
      <c r="GY9" s="44" t="str">
        <f t="shared" si="111"/>
        <v/>
      </c>
      <c r="GZ9" s="44" t="str">
        <f t="shared" si="112"/>
        <v/>
      </c>
      <c r="HA9" s="44" t="str">
        <f t="shared" si="113"/>
        <v/>
      </c>
      <c r="HB9" s="44" t="str">
        <f t="shared" si="114"/>
        <v>"cl_WHI",</v>
      </c>
      <c r="HC9" s="44" t="str">
        <f t="shared" si="115"/>
        <v>["cl_BLU","cl_GRE","cl_RED","cl_WHI"]</v>
      </c>
      <c r="HE9" s="64"/>
      <c r="HF9" s="65" t="str">
        <f t="shared" si="116"/>
        <v>{couname:"[VEN] Capital District (Caracas)",year:"2022",region:"rgn_South America",Colors:["cl_BLU","cl_GRE","cl_RED","cl_WHI"],Items:["4Color","words2","words3","lets24","startC","with_v","year00","3Bands","Diagon","Trside","Geogrh","staWHI","NO_YEL","NO_BLA","001RED","002BLU","003GRE","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links: "https://en.wikipedia.org/wiki/List_of_flags_of_Venezuela#Administrative_divisions_flags"},</v>
      </c>
      <c r="HG9" s="66" t="str">
        <f t="shared" si="117"/>
        <v>{couname:"[VEN] Capital District (Caracas)",year:"2022",region:"rgn_South America",Colors:["cl_BLU","cl_GRE","cl_RED","cl_WHI"],Items:["4Color","words2","words3","lets24","startC","with_v","year00","3Bands","Diagon","Trside","Geogrh","staWHI","NO_YEL","NO_BLA","001RED","002BLU","003GRE","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links: "https://en.wikipedia.org/wiki/List_of_flags_of_Venezuela#Administrative_divisions_flags"},</v>
      </c>
      <c r="HH9" s="44" t="str">
        <f t="shared" si="118"/>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I9" s="44" t="str">
        <f t="shared" si="119"/>
        <v>"\nThe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v>
      </c>
      <c r="HJ9" s="44" t="str">
        <f t="shared" si="120"/>
        <v>"2022"</v>
      </c>
      <c r="HL9" s="44" t="str">
        <f t="shared" si="121"/>
        <v>"https://en.wikipedia.org/wiki/List_of_flags_of_Venezuela#Administrative_divisions_flags"</v>
      </c>
      <c r="HM9" s="65" t="str">
        <f t="shared" si="122"/>
        <v>{"couname":"[VEN] Capital District (Caracas)","year":"2022","region":"rgn_South America","Colors":["cl_BLU","cl_GRE","cl_RED","cl_WHI"],"Items":["4Color","words2","words3","lets24","startC","with_v","year00","3Bands","Diagon","Trside","Geogrh","staWHI","NO_YEL","NO_BLA","001RED","002BLU","003GRE","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N9" s="67" t="str">
        <f t="shared" si="123"/>
        <v>{"couname":"[VEN] Capital District (Caracas)","year":"2022","region":"rgn_South America","Colors":["cl_BLU","cl_GRE","cl_RED","cl_WHI"],"Items":["4Color","words2","words3","lets24","startC","with_v","year00","3Bands","Diagon","Trside","Geogrh","staWHI","NO_YEL","NO_BLA","001RED","002BLU","003GRE","myrRED","HasSta","1Stars"],"Flag":"https://upload.wikimedia.org/wikipedia/commons/thumb/0/08/Flag_of_Caracas_%282022%29.svg/320px-Flag_of_Caracas_%282022%29.svg.png","HDFlag":"https://upload.wikimedia.org/wikipedia/commons/thumb/0/08/Flag_of_Caracas_%282022%29.svg/800px-Flag_of_Caracas_%282022%29.svg.png","type":"State", "describe": "\nThe new flag reportedly was made by María Jiménez and Víctor Rodríguez along with the new coat of arms and the national anthem (both made by two different people). The flag consists of three triangles of red, blue, and red, with a white star in the center. The base of the blue triangle, representing the Caracas sky, contains green which is the shape of Waraira Repano (Cerro El Ávila).", "isnew": ".", "links": "https://en.wikipedia.org/wiki/List_of_flags_of_Venezuela#Administrative_divisions_flags"},</v>
      </c>
      <c r="HO9" s="71">
        <v>45610</v>
      </c>
      <c r="HP9" s="44" t="str" cm="1">
        <f t="array" ref="HP9">IF(_xlfn.TEXTJOIN(", ", TRUE, IF(ISNUMBER(SEARCH("BLA", BL9:BT9)), COLUMN(BL9:BT9) - COLUMN(BL9) + 1, ""))&lt;&gt;"","BLA","")</f>
        <v/>
      </c>
      <c r="HQ9" s="44" t="str" cm="1">
        <f t="array" ref="HQ9">IF(_xlfn.TEXTJOIN(", ", TRUE, IF(ISNUMBER(SEARCH("BLU", BL9:BT9)), COLUMN(BL9:BT9) - COLUMN(BL9) + 1, ""))&lt;&gt;"","BLU","")</f>
        <v>BLU</v>
      </c>
      <c r="HR9" s="44" t="str" cm="1">
        <f t="array" ref="HR9">IF(_xlfn.TEXTJOIN(", ", TRUE, IF(ISNUMBER(SEARCH("GRE", BL9:BT9)), COLUMN(BL9:BT9) - COLUMN(BL9) + 1, ""))&lt;&gt;"","GRE","")</f>
        <v>GRE</v>
      </c>
      <c r="HS9" s="44" t="str" cm="1">
        <f t="array" ref="HS9">IF(_xlfn.TEXTJOIN(", ", TRUE, IF(ISNUMBER(SEARCH("RED", BL9:BT9)), COLUMN(BL9:BT9) - COLUMN(BL9) + 1, ""))&lt;&gt;"","RED","")</f>
        <v>RED</v>
      </c>
      <c r="HT9" s="44" t="str" cm="1">
        <f t="array" ref="HT9">IF(_xlfn.TEXTJOIN(", ", TRUE, IF(ISNUMBER(SEARCH("YEL", BL9:BT9)), COLUMN(BL9:BT9) - COLUMN(BL9) + 1, ""))&lt;&gt;"","YEL","")</f>
        <v/>
      </c>
      <c r="HU9" s="44" t="str" cm="1">
        <f t="array" ref="HU9">IF(_xlfn.TEXTJOIN(", ", TRUE, IF(ISNUMBER(SEARCH("ORA", BL9:BT9)), COLUMN(BL9:BT9) - COLUMN(BL9) + 1, ""))&lt;&gt;"","ORA","")</f>
        <v/>
      </c>
      <c r="HV9" s="44" t="str" cm="1">
        <f t="array" ref="HV9">IF(_xlfn.TEXTJOIN(", ", TRUE, IF(ISNUMBER(SEARCH("BRO", BL9:BT9)), COLUMN(BL9:BT9) - COLUMN(BL9) + 1, ""))&lt;&gt;"","BRO","")</f>
        <v/>
      </c>
      <c r="HW9" s="44" t="str" cm="1">
        <f t="array" ref="HW9">IF(_xlfn.TEXTJOIN(", ", TRUE, IF(ISNUMBER(SEARCH("PUR", BL9:BT9)), COLUMN(BL9:BT9) - COLUMN(BL9) + 1, ""))&lt;&gt;"","PUR","")</f>
        <v/>
      </c>
      <c r="HX9" s="44" t="str" cm="1">
        <f t="array" ref="HX9">IF(_xlfn.TEXTJOIN(", ", TRUE, IF(ISNUMBER(SEARCH("WHI", BL9:BT9)), COLUMN(BL9:BT9) - COLUMN(BL9) + 1, ""))&lt;&gt;"","WHI","")</f>
        <v>WHI</v>
      </c>
      <c r="HY9" s="72"/>
      <c r="HZ9" s="72"/>
      <c r="IA9" s="5"/>
      <c r="IB9" s="5"/>
      <c r="IC9" s="68"/>
      <c r="ID9" s="68"/>
      <c r="IE9" s="68"/>
      <c r="IF9" s="68"/>
      <c r="IG9" s="68"/>
      <c r="IH9" s="68"/>
      <c r="II9" s="68"/>
      <c r="IJ9" s="68"/>
      <c r="IK9" s="68"/>
      <c r="IM9" s="42">
        <f t="shared" si="124"/>
        <v>-4</v>
      </c>
      <c r="IN9" s="69" t="str">
        <f t="shared" si="125"/>
        <v>http://mkweb.bcgsc.ca/color-summarizer/?url=https://upload.wikimedia.org/wikipedia/commons/thumb/0/08/Flag_of_Caracas_%282022%29.svg/320px-Flag_of_Caracas_%282022%29.svg.png&amp;precision=low&amp;num_clusters=4&amp;text=1</v>
      </c>
      <c r="IO9" s="44" t="str">
        <f t="shared" si="126"/>
        <v/>
      </c>
      <c r="IP9" s="44" t="str">
        <f t="shared" si="127"/>
        <v>"blue"</v>
      </c>
      <c r="IQ9" s="44" t="str">
        <f t="shared" si="128"/>
        <v>"green"</v>
      </c>
      <c r="IR9" s="44" t="str">
        <f t="shared" si="129"/>
        <v>"red"</v>
      </c>
      <c r="IS9" s="44" t="str">
        <f t="shared" si="130"/>
        <v/>
      </c>
      <c r="IT9" s="44" t="str">
        <f t="shared" si="131"/>
        <v/>
      </c>
      <c r="IU9" s="44" t="str">
        <f t="shared" si="132"/>
        <v/>
      </c>
      <c r="IV9" s="44" t="str">
        <f t="shared" si="133"/>
        <v/>
      </c>
      <c r="IW9" s="44" t="str">
        <f t="shared" si="134"/>
        <v>"white"</v>
      </c>
      <c r="IX9" s="44" t="str">
        <f t="shared" si="135"/>
        <v>{"url":"http://mkweb.bcgsc.ca/color-summarizer/?url=https://upload.wikimedia.org/wikipedia/commons/thumb/0/08/Flag_of_Caracas_%282022%29.svg/320px-Flag_of_Caracas_%282022%29.svg.png&amp;precision=low&amp;num_clusters=4&amp;text=1","name":"[VEN] Capital District (Caracas)"},</v>
      </c>
      <c r="IY9" s="44">
        <v>1473</v>
      </c>
    </row>
    <row r="10" spans="1:259" s="44" customFormat="1" ht="38.4" customHeight="1" thickBot="1" x14ac:dyDescent="0.35">
      <c r="A10" s="84" t="s">
        <v>760</v>
      </c>
      <c r="B10" s="83" t="e" vm="109">
        <v>#VALUE!</v>
      </c>
      <c r="C10" s="39">
        <v>2</v>
      </c>
      <c r="D10" s="70" t="s">
        <v>761</v>
      </c>
      <c r="E10" s="40" t="s">
        <v>762</v>
      </c>
      <c r="F10" s="41" t="s">
        <v>163</v>
      </c>
      <c r="G10" s="42">
        <f t="shared" si="0"/>
        <v>1</v>
      </c>
      <c r="H10" s="43"/>
      <c r="I10" s="59" t="s">
        <v>758</v>
      </c>
      <c r="J10" s="44" t="str">
        <f>""</f>
        <v/>
      </c>
      <c r="K10" s="45"/>
      <c r="L10" s="46"/>
      <c r="M10" s="46"/>
      <c r="N10" s="47" t="s">
        <v>177</v>
      </c>
      <c r="O10" s="74">
        <v>1995</v>
      </c>
      <c r="P10" s="48" t="s">
        <v>763</v>
      </c>
      <c r="Q10" s="73">
        <v>1</v>
      </c>
      <c r="R10" s="49" t="s">
        <v>177</v>
      </c>
      <c r="S10" s="50">
        <v>4</v>
      </c>
      <c r="T10" s="51" t="s">
        <v>165</v>
      </c>
      <c r="U10" s="52" t="s">
        <v>164</v>
      </c>
      <c r="V10" s="52" t="s">
        <v>165</v>
      </c>
      <c r="W10" s="52" t="s">
        <v>164</v>
      </c>
      <c r="X10" s="52" t="s">
        <v>164</v>
      </c>
      <c r="Y10" s="52" t="s">
        <v>164</v>
      </c>
      <c r="Z10" s="52" t="s">
        <v>164</v>
      </c>
      <c r="AA10" s="52" t="s">
        <v>164</v>
      </c>
      <c r="AB10" s="52" t="s">
        <v>164</v>
      </c>
      <c r="AC10" s="52" t="s">
        <v>164</v>
      </c>
      <c r="AD10" s="52" t="s">
        <v>165</v>
      </c>
      <c r="AE10" s="52" t="s">
        <v>164</v>
      </c>
      <c r="AF10" s="53" t="s">
        <v>164</v>
      </c>
      <c r="AG10" s="53" t="s">
        <v>164</v>
      </c>
      <c r="AH10" s="53" t="s">
        <v>164</v>
      </c>
      <c r="AI10" s="53" t="s">
        <v>164</v>
      </c>
      <c r="AJ10" s="53" t="s">
        <v>164</v>
      </c>
      <c r="AK10" s="53" t="s">
        <v>164</v>
      </c>
      <c r="AL10" s="53" t="s">
        <v>164</v>
      </c>
      <c r="AM10" s="53" t="s">
        <v>164</v>
      </c>
      <c r="AN10" s="53" t="s">
        <v>164</v>
      </c>
      <c r="AO10" s="53" t="s">
        <v>165</v>
      </c>
      <c r="AP10" s="53" t="s">
        <v>164</v>
      </c>
      <c r="AQ10" s="53" t="s">
        <v>164</v>
      </c>
      <c r="AR10" s="53" t="s">
        <v>164</v>
      </c>
      <c r="AS10" s="53" t="s">
        <v>164</v>
      </c>
      <c r="AT10" s="54">
        <v>0</v>
      </c>
      <c r="AU10" s="53" t="s">
        <v>308</v>
      </c>
      <c r="AV10" s="53" t="str">
        <f t="shared" si="1"/>
        <v>[VEN]State[VEN] Carabobo</v>
      </c>
      <c r="AW10" s="53" t="str">
        <f t="shared" si="2"/>
        <v>2[VEN] Carabobo</v>
      </c>
      <c r="AX10" s="55"/>
      <c r="AY10" s="55"/>
      <c r="AZ10" s="56" t="s">
        <v>234</v>
      </c>
      <c r="BA10" s="56" t="s">
        <v>234</v>
      </c>
      <c r="BB10" s="56"/>
      <c r="BC10" s="57"/>
      <c r="BD10" s="58" t="s">
        <v>154</v>
      </c>
      <c r="BE10" s="59"/>
      <c r="BF10" s="58" t="s">
        <v>154</v>
      </c>
      <c r="BG10" s="58" t="s">
        <v>234</v>
      </c>
      <c r="BH10" s="58" t="s">
        <v>154</v>
      </c>
      <c r="BI10" s="58"/>
      <c r="BJ10" s="58"/>
      <c r="BK10" s="59"/>
      <c r="BL10" s="58" t="s">
        <v>234</v>
      </c>
      <c r="BM10" s="58" t="s">
        <v>152</v>
      </c>
      <c r="BN10" s="58" t="s">
        <v>153</v>
      </c>
      <c r="BO10" s="58" t="s">
        <v>154</v>
      </c>
      <c r="BP10" s="58" t="s">
        <v>155</v>
      </c>
      <c r="BQ10" s="58" t="s">
        <v>234</v>
      </c>
      <c r="BR10" s="58" t="s">
        <v>234</v>
      </c>
      <c r="BS10" s="58" t="s">
        <v>234</v>
      </c>
      <c r="BT10" s="58" t="s">
        <v>234</v>
      </c>
      <c r="BU10" s="60"/>
      <c r="BV10" s="61"/>
      <c r="BW10" s="61">
        <v>0</v>
      </c>
      <c r="BX10" s="59"/>
      <c r="BY10" s="44" t="s">
        <v>164</v>
      </c>
      <c r="CB10" s="5"/>
      <c r="CC10" s="5"/>
      <c r="CD10" s="62">
        <v>0</v>
      </c>
      <c r="CE10" s="62">
        <v>0</v>
      </c>
      <c r="CF10" s="62" t="e">
        <v>#REF!</v>
      </c>
      <c r="CG10" s="75" cm="1">
        <f t="array" ref="CG10">SUMPRODUCT(--(LEN(TRIM(BL10:BT10))&gt;0))</f>
        <v>4</v>
      </c>
      <c r="CH10" s="53" t="str">
        <f t="shared" si="3"/>
        <v>n</v>
      </c>
      <c r="CI10" s="53" t="str">
        <f t="shared" si="4"/>
        <v>n</v>
      </c>
      <c r="CJ10" s="53" t="str">
        <f t="shared" si="5"/>
        <v>y</v>
      </c>
      <c r="CK10" s="53" t="str">
        <f t="shared" si="6"/>
        <v>n</v>
      </c>
      <c r="CL10" s="53" t="str">
        <f t="shared" si="7"/>
        <v>n</v>
      </c>
      <c r="CM10" s="53" t="str">
        <f t="shared" si="8"/>
        <v>n</v>
      </c>
      <c r="CN10" s="53" t="str">
        <f t="shared" si="9"/>
        <v>n</v>
      </c>
      <c r="CO10" s="53" t="str">
        <f t="shared" si="10"/>
        <v>y</v>
      </c>
      <c r="CP10" s="53" t="str">
        <f t="shared" si="11"/>
        <v>y</v>
      </c>
      <c r="CQ10" s="53" t="str">
        <f t="shared" si="12"/>
        <v>n</v>
      </c>
      <c r="CR10" s="53" t="str">
        <f t="shared" si="13"/>
        <v>n</v>
      </c>
      <c r="CS10" s="53" t="str">
        <f t="shared" si="14"/>
        <v>n</v>
      </c>
      <c r="CT10" s="38" t="str">
        <f t="shared" si="15"/>
        <v>"[VEN] Carabobo"</v>
      </c>
      <c r="CU10" s="63" t="str">
        <f t="shared" si="16"/>
        <v>"rgn_South America"</v>
      </c>
      <c r="CV10" s="44" t="str">
        <f t="shared" si="17"/>
        <v>"https://upload.wikimedia.org/wikipedia/commons/thumb/5/52/Flag_of_Carabobo_State.svg/320px-Flag_of_Carabobo_State.svg.png"</v>
      </c>
      <c r="CW10" s="44" t="str">
        <f t="shared" si="18"/>
        <v/>
      </c>
      <c r="CX10" s="44" t="str">
        <f t="shared" si="19"/>
        <v/>
      </c>
      <c r="CY10" s="44" t="str">
        <f t="shared" si="20"/>
        <v>"4Color",</v>
      </c>
      <c r="CZ10" s="44" t="str">
        <f t="shared" si="21"/>
        <v/>
      </c>
      <c r="DA10" s="44" t="str">
        <f t="shared" si="22"/>
        <v/>
      </c>
      <c r="DB10" s="44" t="str">
        <f t="shared" si="23"/>
        <v/>
      </c>
      <c r="DD10" s="44" t="str">
        <f t="shared" si="136"/>
        <v>"lets08",</v>
      </c>
      <c r="DE10" s="44" t="str">
        <f t="shared" si="137"/>
        <v>"startC",</v>
      </c>
      <c r="DF10" s="44" t="str">
        <f t="shared" si="24"/>
        <v/>
      </c>
      <c r="DG10" s="44" t="str">
        <f t="shared" si="25"/>
        <v/>
      </c>
      <c r="DH10" s="44" t="str">
        <f t="shared" si="26"/>
        <v>"with_v",</v>
      </c>
      <c r="DI10" s="44" t="str">
        <f t="shared" si="27"/>
        <v/>
      </c>
      <c r="DJ10" s="44" t="str">
        <f t="shared" si="28"/>
        <v/>
      </c>
      <c r="DK10" s="44" t="str">
        <f t="shared" si="29"/>
        <v/>
      </c>
      <c r="DL10" s="44" t="str">
        <f t="shared" si="30"/>
        <v/>
      </c>
      <c r="DM10" s="44" t="str" cm="1">
        <f t="array" ref="DM10">IF(CG10=3,CHAR(34) &amp; _xlfn.TEXTJOIN("", TRUE, RIGHT(HP10:HX10, 2)) &amp; CHAR(34) &amp; ",", "")</f>
        <v/>
      </c>
      <c r="DN10" s="44" t="str">
        <f t="shared" si="31"/>
        <v/>
      </c>
      <c r="DO10" s="44" t="str">
        <f t="shared" si="32"/>
        <v>"year19",</v>
      </c>
      <c r="DP10" s="5" t="str">
        <f t="shared" si="33"/>
        <v/>
      </c>
      <c r="DQ10" s="5" t="str">
        <f t="shared" si="34"/>
        <v/>
      </c>
      <c r="DR10" s="5" t="str">
        <f t="shared" si="35"/>
        <v/>
      </c>
      <c r="DS10" s="5" t="str">
        <f t="shared" si="36"/>
        <v/>
      </c>
      <c r="DT10" s="5" t="str">
        <f t="shared" si="37"/>
        <v>"allhor",</v>
      </c>
      <c r="DU10" s="5" t="str">
        <f t="shared" si="38"/>
        <v/>
      </c>
      <c r="DW10" s="44" t="str">
        <f t="shared" si="39"/>
        <v/>
      </c>
      <c r="DX10" s="44" t="str">
        <f t="shared" si="40"/>
        <v/>
      </c>
      <c r="DY10" s="44" t="str">
        <f t="shared" si="41"/>
        <v/>
      </c>
      <c r="DZ10" s="44" t="str">
        <f t="shared" si="42"/>
        <v>"4+Band",</v>
      </c>
      <c r="EA10" s="44" t="str">
        <f t="shared" si="43"/>
        <v>"Diagon",</v>
      </c>
      <c r="EB10" s="44" t="str">
        <f t="shared" si="44"/>
        <v/>
      </c>
      <c r="EC10" s="44" t="str">
        <f t="shared" si="45"/>
        <v>"Horizo",</v>
      </c>
      <c r="ED10" s="44" t="str">
        <f t="shared" si="46"/>
        <v/>
      </c>
      <c r="EE10" s="44" t="str">
        <f t="shared" si="47"/>
        <v/>
      </c>
      <c r="EF10" s="44" t="str">
        <f t="shared" si="48"/>
        <v/>
      </c>
      <c r="EG10" s="44" t="str">
        <f t="shared" si="49"/>
        <v/>
      </c>
      <c r="EH10" s="44" t="str">
        <f t="shared" si="50"/>
        <v/>
      </c>
      <c r="EI10" s="44" t="str">
        <f t="shared" si="51"/>
        <v/>
      </c>
      <c r="EJ10" s="44" t="str">
        <f t="shared" si="52"/>
        <v/>
      </c>
      <c r="EK10" s="44" t="str">
        <f t="shared" si="53"/>
        <v>"HasSun",</v>
      </c>
      <c r="EL10" s="44" t="str">
        <f t="shared" si="54"/>
        <v/>
      </c>
      <c r="EM10" s="44" t="str">
        <f t="shared" si="55"/>
        <v/>
      </c>
      <c r="EN10" s="44" t="str">
        <f t="shared" si="56"/>
        <v/>
      </c>
      <c r="EO10" s="44" t="str">
        <f t="shared" si="57"/>
        <v/>
      </c>
      <c r="EP10" s="44" t="str">
        <f t="shared" si="58"/>
        <v/>
      </c>
      <c r="EQ10" s="44" t="str">
        <f t="shared" si="59"/>
        <v/>
      </c>
      <c r="ER10" s="44" t="str">
        <f t="shared" si="60"/>
        <v/>
      </c>
      <c r="ES10" s="44" t="str">
        <f t="shared" si="61"/>
        <v/>
      </c>
      <c r="ET10" s="44" t="str">
        <f t="shared" si="62"/>
        <v/>
      </c>
      <c r="EU10" s="44" t="str">
        <f t="shared" si="63"/>
        <v/>
      </c>
      <c r="EV10" s="44" t="str">
        <f t="shared" si="64"/>
        <v>"Builds",</v>
      </c>
      <c r="EW10" s="44" t="str">
        <f t="shared" si="65"/>
        <v/>
      </c>
      <c r="EX10" s="44" t="str">
        <f t="shared" si="66"/>
        <v/>
      </c>
      <c r="EY10" s="44" t="str">
        <f t="shared" si="67"/>
        <v/>
      </c>
      <c r="EZ10" s="44" t="str">
        <f t="shared" si="68"/>
        <v/>
      </c>
      <c r="FA10" s="44" t="str">
        <f t="shared" si="69"/>
        <v/>
      </c>
      <c r="FB10" s="44" t="str">
        <f t="shared" si="70"/>
        <v/>
      </c>
      <c r="FD10" s="44" t="str">
        <f t="shared" si="71"/>
        <v/>
      </c>
      <c r="FE10" s="44" t="str">
        <f t="shared" si="72"/>
        <v/>
      </c>
      <c r="FF10" s="44" t="str">
        <f t="shared" si="73"/>
        <v>"NO_WHI",</v>
      </c>
      <c r="FG10" s="44" t="str">
        <f t="shared" si="74"/>
        <v/>
      </c>
      <c r="FH10" s="44" t="str">
        <f t="shared" si="75"/>
        <v/>
      </c>
      <c r="FI10" s="44" t="str">
        <f t="shared" si="76"/>
        <v/>
      </c>
      <c r="FJ10" s="44" t="str">
        <f t="shared" si="77"/>
        <v>"NO_BLA",</v>
      </c>
      <c r="FK10" s="44" t="str">
        <f t="shared" si="78"/>
        <v/>
      </c>
      <c r="FL10" s="44" t="str">
        <f t="shared" si="79"/>
        <v/>
      </c>
      <c r="FM10" s="44" t="str">
        <f t="shared" si="80"/>
        <v>"BAWHNO",</v>
      </c>
      <c r="FN10" s="44" t="str">
        <f t="shared" si="81"/>
        <v/>
      </c>
      <c r="FO10" s="44" t="str">
        <f t="shared" si="82"/>
        <v/>
      </c>
      <c r="FP10" s="44" t="str">
        <f t="shared" si="83"/>
        <v>"WHRENO",</v>
      </c>
      <c r="FQ10" s="44" t="str">
        <f t="shared" si="84"/>
        <v>"001RED",</v>
      </c>
      <c r="FR10" s="44" t="str">
        <f t="shared" si="85"/>
        <v/>
      </c>
      <c r="FS10" s="44" t="str">
        <f t="shared" si="86"/>
        <v>"003RED",</v>
      </c>
      <c r="FT10" s="44" t="str">
        <f t="shared" si="87"/>
        <v>"myrRED",</v>
      </c>
      <c r="FU10" s="44" t="str">
        <f t="shared" si="88"/>
        <v/>
      </c>
      <c r="FV10" s="44" t="str">
        <f t="shared" si="89"/>
        <v/>
      </c>
      <c r="FW10" s="44" t="str">
        <f t="shared" si="90"/>
        <v/>
      </c>
      <c r="FY10" s="44" t="str">
        <f t="shared" si="91"/>
        <v/>
      </c>
      <c r="FZ10" s="44" t="str">
        <f t="shared" si="92"/>
        <v/>
      </c>
      <c r="GA10" s="44" t="str">
        <f t="shared" si="93"/>
        <v/>
      </c>
      <c r="GB10" s="44" t="str">
        <f t="shared" si="94"/>
        <v/>
      </c>
      <c r="GE10" s="44" t="str">
        <f t="shared" si="95"/>
        <v/>
      </c>
      <c r="GF10" s="44" t="str">
        <f t="shared" si="138"/>
        <v/>
      </c>
      <c r="GG10" s="44" t="str">
        <f t="shared" si="96"/>
        <v/>
      </c>
      <c r="GH10" s="44" t="str">
        <f t="shared" si="97"/>
        <v/>
      </c>
      <c r="GI10" s="44" t="str">
        <f t="shared" si="98"/>
        <v/>
      </c>
      <c r="GJ10" s="44" t="str">
        <f t="shared" si="99"/>
        <v>"NoStar",</v>
      </c>
      <c r="GK10" s="44" t="str">
        <f t="shared" si="100"/>
        <v/>
      </c>
      <c r="GL10" s="44" t="str">
        <f t="shared" si="101"/>
        <v/>
      </c>
      <c r="GM10" s="44" t="str">
        <f t="shared" si="102"/>
        <v/>
      </c>
      <c r="GN10" s="44" t="str">
        <f t="shared" si="103"/>
        <v/>
      </c>
      <c r="GP10" s="44" t="str">
        <f t="shared" si="104"/>
        <v>"State"</v>
      </c>
      <c r="GS10" s="44" t="str">
        <f t="shared" si="105"/>
        <v>["4Color","lets08","startC","with_v","year19","allhor","4+Band","Diagon","Horizo","HasSun","Builds","NO_WHI","NO_BLA","BAWHNO","WHRENO","001RED","003RED","myrRED","NoStar"]</v>
      </c>
      <c r="GT10" s="44" t="str">
        <f t="shared" si="106"/>
        <v/>
      </c>
      <c r="GU10" s="44" t="str">
        <f t="shared" si="107"/>
        <v>"cl_BLU",</v>
      </c>
      <c r="GV10" s="44" t="str">
        <f t="shared" si="108"/>
        <v>"cl_GRE",</v>
      </c>
      <c r="GW10" s="44" t="str">
        <f t="shared" si="109"/>
        <v>"cl_RED",</v>
      </c>
      <c r="GX10" s="44" t="str">
        <f t="shared" si="110"/>
        <v>"cl_YEL",</v>
      </c>
      <c r="GY10" s="44" t="str">
        <f t="shared" si="111"/>
        <v/>
      </c>
      <c r="GZ10" s="44" t="str">
        <f t="shared" si="112"/>
        <v/>
      </c>
      <c r="HA10" s="44" t="str">
        <f t="shared" si="113"/>
        <v/>
      </c>
      <c r="HB10" s="44" t="str">
        <f t="shared" si="114"/>
        <v/>
      </c>
      <c r="HC10" s="44" t="str">
        <f t="shared" si="115"/>
        <v>["cl_BLU","cl_GRE","cl_RED","cl_YEL"]</v>
      </c>
      <c r="HE10" s="64"/>
      <c r="HF10" s="65" t="str">
        <f t="shared" si="116"/>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links: "https://en.wikipedia.org/wiki/List_of_flags_of_Venezuela#Administrative_divisions_flags"},</v>
      </c>
      <c r="HG10" s="66" t="str">
        <f t="shared" si="117"/>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links: "https://en.wikipedia.org/wiki/List_of_flags_of_Venezuela#Administrative_divisions_flags"},</v>
      </c>
      <c r="HH10" s="44" t="str">
        <f t="shared" si="118"/>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I10" s="44" t="str">
        <f t="shared" si="119"/>
        <v>"\nHorizontal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v>
      </c>
      <c r="HJ10" s="44" t="str">
        <f t="shared" si="120"/>
        <v>"1995"</v>
      </c>
      <c r="HL10" s="44" t="str">
        <f t="shared" si="121"/>
        <v>"https://en.wikipedia.org/wiki/List_of_flags_of_Venezuela#Administrative_divisions_flags"</v>
      </c>
      <c r="HM10" s="65" t="str">
        <f t="shared" si="122"/>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N10" s="67" t="str">
        <f t="shared" si="123"/>
        <v>{"couname":"[VEN] Carabobo","year":"1995","region":"rgn_South America","Colors":["cl_BLU","cl_GRE","cl_RED","cl_YEL"],"Items":["4Color","lets08","startC","with_v","year19","allhor","4+Band","Diagon","Horizo","HasSun","Builds","NO_WHI","NO_BLA","BAWHNO","WHRENO","001RED","003RED","myrRED","NoStar"],"Flag":"https://upload.wikimedia.org/wikipedia/commons/thumb/5/52/Flag_of_Carabobo_State.svg/320px-Flag_of_Carabobo_State.svg.png","HDFlag":"https://upload.wikimedia.org/wikipedia/commons/thumb/5/52/Flag_of_Carabobo_State.svg/640px-Flag_of_Carabobo_State.svg.png","type":"State", "describe": "\nHorizontal triband of red, blue and red again, in which the upper red band takes three fifths of the flag. The red band is charged with a yellow sun based on the fly side of the blue band. The sun is charged with the Arc of Carabobo. The upper side of the blue band is bordered by a green line.", "isnew": ".", "links": "https://en.wikipedia.org/wiki/List_of_flags_of_Venezuela#Administrative_divisions_flags"},</v>
      </c>
      <c r="HO10" s="71">
        <v>45610</v>
      </c>
      <c r="HP10" s="44" t="str" cm="1">
        <f t="array" ref="HP10">IF(_xlfn.TEXTJOIN(", ", TRUE, IF(ISNUMBER(SEARCH("BLA", BL10:BT10)), COLUMN(BL10:BT10) - COLUMN(BL10) + 1, ""))&lt;&gt;"","BLA","")</f>
        <v/>
      </c>
      <c r="HQ10" s="44" t="str" cm="1">
        <f t="array" ref="HQ10">IF(_xlfn.TEXTJOIN(", ", TRUE, IF(ISNUMBER(SEARCH("BLU", BL10:BT10)), COLUMN(BL10:BT10) - COLUMN(BL10) + 1, ""))&lt;&gt;"","BLU","")</f>
        <v>BLU</v>
      </c>
      <c r="HR10" s="44" t="str" cm="1">
        <f t="array" ref="HR10">IF(_xlfn.TEXTJOIN(", ", TRUE, IF(ISNUMBER(SEARCH("GRE", BL10:BT10)), COLUMN(BL10:BT10) - COLUMN(BL10) + 1, ""))&lt;&gt;"","GRE","")</f>
        <v>GRE</v>
      </c>
      <c r="HS10" s="44" t="str" cm="1">
        <f t="array" ref="HS10">IF(_xlfn.TEXTJOIN(", ", TRUE, IF(ISNUMBER(SEARCH("RED", BL10:BT10)), COLUMN(BL10:BT10) - COLUMN(BL10) + 1, ""))&lt;&gt;"","RED","")</f>
        <v>RED</v>
      </c>
      <c r="HT10" s="44" t="str" cm="1">
        <f t="array" ref="HT10">IF(_xlfn.TEXTJOIN(", ", TRUE, IF(ISNUMBER(SEARCH("YEL", BL10:BT10)), COLUMN(BL10:BT10) - COLUMN(BL10) + 1, ""))&lt;&gt;"","YEL","")</f>
        <v>YEL</v>
      </c>
      <c r="HU10" s="44" t="str" cm="1">
        <f t="array" ref="HU10">IF(_xlfn.TEXTJOIN(", ", TRUE, IF(ISNUMBER(SEARCH("ORA", BL10:BT10)), COLUMN(BL10:BT10) - COLUMN(BL10) + 1, ""))&lt;&gt;"","ORA","")</f>
        <v/>
      </c>
      <c r="HV10" s="44" t="str" cm="1">
        <f t="array" ref="HV10">IF(_xlfn.TEXTJOIN(", ", TRUE, IF(ISNUMBER(SEARCH("BRO", BL10:BT10)), COLUMN(BL10:BT10) - COLUMN(BL10) + 1, ""))&lt;&gt;"","BRO","")</f>
        <v/>
      </c>
      <c r="HW10" s="44" t="str" cm="1">
        <f t="array" ref="HW10">IF(_xlfn.TEXTJOIN(", ", TRUE, IF(ISNUMBER(SEARCH("PUR", BL10:BT10)), COLUMN(BL10:BT10) - COLUMN(BL10) + 1, ""))&lt;&gt;"","PUR","")</f>
        <v/>
      </c>
      <c r="HX10" s="44" t="str" cm="1">
        <f t="array" ref="HX10">IF(_xlfn.TEXTJOIN(", ", TRUE, IF(ISNUMBER(SEARCH("WHI", BL10:BT10)), COLUMN(BL10:BT10) - COLUMN(BL10) + 1, ""))&lt;&gt;"","WHI","")</f>
        <v/>
      </c>
      <c r="HY10" s="72"/>
      <c r="HZ10" s="72"/>
      <c r="IA10" s="5"/>
      <c r="IB10" s="5"/>
      <c r="IC10" s="68"/>
      <c r="ID10" s="68"/>
      <c r="IE10" s="68"/>
      <c r="IF10" s="68"/>
      <c r="IG10" s="68"/>
      <c r="IH10" s="68"/>
      <c r="II10" s="68"/>
      <c r="IJ10" s="68"/>
      <c r="IK10" s="68"/>
      <c r="IM10" s="42">
        <f t="shared" si="124"/>
        <v>-4</v>
      </c>
      <c r="IN10" s="69" t="str">
        <f t="shared" si="125"/>
        <v>http://mkweb.bcgsc.ca/color-summarizer/?url=https://upload.wikimedia.org/wikipedia/commons/thumb/5/52/Flag_of_Carabobo_State.svg/320px-Flag_of_Carabobo_State.svg.png&amp;precision=low&amp;num_clusters=4&amp;text=1</v>
      </c>
      <c r="IO10" s="44" t="str">
        <f t="shared" si="126"/>
        <v/>
      </c>
      <c r="IP10" s="44" t="str">
        <f t="shared" si="127"/>
        <v>"blue"</v>
      </c>
      <c r="IQ10" s="44" t="str">
        <f t="shared" si="128"/>
        <v>"green"</v>
      </c>
      <c r="IR10" s="44" t="str">
        <f t="shared" si="129"/>
        <v>"red"</v>
      </c>
      <c r="IS10" s="44" t="str">
        <f t="shared" si="130"/>
        <v>"yellow"</v>
      </c>
      <c r="IT10" s="44" t="str">
        <f t="shared" si="131"/>
        <v/>
      </c>
      <c r="IU10" s="44" t="str">
        <f t="shared" si="132"/>
        <v/>
      </c>
      <c r="IV10" s="44" t="str">
        <f t="shared" si="133"/>
        <v/>
      </c>
      <c r="IW10" s="44" t="str">
        <f t="shared" si="134"/>
        <v/>
      </c>
      <c r="IX10" s="44" t="str">
        <f t="shared" si="135"/>
        <v>{"url":"http://mkweb.bcgsc.ca/color-summarizer/?url=https://upload.wikimedia.org/wikipedia/commons/thumb/5/52/Flag_of_Carabobo_State.svg/320px-Flag_of_Carabobo_State.svg.png&amp;precision=low&amp;num_clusters=4&amp;text=1","name":"[VEN] Carabobo"},</v>
      </c>
      <c r="IY10" s="44">
        <v>1474</v>
      </c>
    </row>
    <row r="11" spans="1:259" s="44" customFormat="1" ht="38.4" customHeight="1" thickBot="1" x14ac:dyDescent="0.35">
      <c r="A11" s="84" t="s">
        <v>764</v>
      </c>
      <c r="B11" s="83" t="e" vm="110">
        <v>#VALUE!</v>
      </c>
      <c r="C11" s="39">
        <v>2</v>
      </c>
      <c r="D11" s="70" t="s">
        <v>765</v>
      </c>
      <c r="E11" s="40" t="s">
        <v>766</v>
      </c>
      <c r="F11" s="41" t="s">
        <v>163</v>
      </c>
      <c r="G11" s="42">
        <f t="shared" si="0"/>
        <v>1</v>
      </c>
      <c r="H11" s="43"/>
      <c r="I11" s="59" t="s">
        <v>767</v>
      </c>
      <c r="J11" s="44" t="str">
        <f>""</f>
        <v/>
      </c>
      <c r="K11" s="45"/>
      <c r="L11" s="46"/>
      <c r="M11" s="46"/>
      <c r="N11" s="47" t="s">
        <v>177</v>
      </c>
      <c r="O11" s="74">
        <v>1997</v>
      </c>
      <c r="P11" s="48" t="s">
        <v>768</v>
      </c>
      <c r="Q11" s="73">
        <v>1</v>
      </c>
      <c r="R11" s="49" t="s">
        <v>177</v>
      </c>
      <c r="S11" s="50">
        <v>3</v>
      </c>
      <c r="T11" s="51" t="s">
        <v>164</v>
      </c>
      <c r="U11" s="52" t="s">
        <v>164</v>
      </c>
      <c r="V11" s="52" t="s">
        <v>165</v>
      </c>
      <c r="W11" s="52" t="s">
        <v>164</v>
      </c>
      <c r="X11" s="52" t="s">
        <v>165</v>
      </c>
      <c r="Y11" s="52" t="s">
        <v>164</v>
      </c>
      <c r="Z11" s="52" t="s">
        <v>164</v>
      </c>
      <c r="AA11" s="52" t="s">
        <v>164</v>
      </c>
      <c r="AB11" s="52" t="s">
        <v>164</v>
      </c>
      <c r="AC11" s="52" t="s">
        <v>164</v>
      </c>
      <c r="AD11" s="52" t="s">
        <v>165</v>
      </c>
      <c r="AE11" s="52" t="s">
        <v>164</v>
      </c>
      <c r="AF11" s="53" t="s">
        <v>164</v>
      </c>
      <c r="AG11" s="53" t="s">
        <v>164</v>
      </c>
      <c r="AH11" s="53" t="s">
        <v>164</v>
      </c>
      <c r="AI11" s="53" t="s">
        <v>164</v>
      </c>
      <c r="AJ11" s="53" t="s">
        <v>164</v>
      </c>
      <c r="AK11" s="53" t="s">
        <v>164</v>
      </c>
      <c r="AL11" s="53" t="s">
        <v>164</v>
      </c>
      <c r="AM11" s="53" t="s">
        <v>164</v>
      </c>
      <c r="AN11" s="53" t="s">
        <v>164</v>
      </c>
      <c r="AO11" s="53" t="s">
        <v>164</v>
      </c>
      <c r="AP11" s="53" t="s">
        <v>164</v>
      </c>
      <c r="AQ11" s="53" t="s">
        <v>164</v>
      </c>
      <c r="AR11" s="53" t="s">
        <v>164</v>
      </c>
      <c r="AS11" s="53" t="s">
        <v>164</v>
      </c>
      <c r="AT11" s="54">
        <v>0</v>
      </c>
      <c r="AU11" s="53" t="s">
        <v>308</v>
      </c>
      <c r="AV11" s="53" t="str">
        <f t="shared" si="1"/>
        <v>[VEN]State[VEN] Cojedes</v>
      </c>
      <c r="AW11" s="53" t="str">
        <f t="shared" si="2"/>
        <v>2[VEN] Cojedes</v>
      </c>
      <c r="AX11" s="55"/>
      <c r="AY11" s="55"/>
      <c r="AZ11" s="56" t="s">
        <v>234</v>
      </c>
      <c r="BA11" s="56" t="s">
        <v>234</v>
      </c>
      <c r="BB11" s="56"/>
      <c r="BC11" s="57"/>
      <c r="BD11" s="58" t="s">
        <v>156</v>
      </c>
      <c r="BE11" s="59"/>
      <c r="BF11" s="58" t="s">
        <v>156</v>
      </c>
      <c r="BG11" s="58" t="s">
        <v>151</v>
      </c>
      <c r="BH11" s="58" t="s">
        <v>152</v>
      </c>
      <c r="BI11" s="58"/>
      <c r="BJ11" s="58"/>
      <c r="BK11" s="59"/>
      <c r="BL11" s="58" t="s">
        <v>151</v>
      </c>
      <c r="BM11" s="58" t="s">
        <v>152</v>
      </c>
      <c r="BN11" s="58" t="s">
        <v>234</v>
      </c>
      <c r="BO11" s="58" t="s">
        <v>234</v>
      </c>
      <c r="BP11" s="58" t="s">
        <v>155</v>
      </c>
      <c r="BQ11" s="58" t="s">
        <v>156</v>
      </c>
      <c r="BR11" s="58" t="s">
        <v>234</v>
      </c>
      <c r="BS11" s="58" t="s">
        <v>234</v>
      </c>
      <c r="BT11" s="58" t="s">
        <v>234</v>
      </c>
      <c r="BU11" s="60"/>
      <c r="BV11" s="61"/>
      <c r="BW11" s="61">
        <v>0</v>
      </c>
      <c r="BX11" s="59"/>
      <c r="CB11" s="5"/>
      <c r="CC11" s="5"/>
      <c r="CD11" s="62">
        <v>0</v>
      </c>
      <c r="CE11" s="62">
        <v>0</v>
      </c>
      <c r="CF11" s="62" t="e">
        <v>#REF!</v>
      </c>
      <c r="CG11" s="75" cm="1">
        <f t="array" ref="CG11">SUMPRODUCT(--(LEN(TRIM(BL11:BT11))&gt;0))</f>
        <v>4</v>
      </c>
      <c r="CH11" s="53" t="str">
        <f t="shared" si="3"/>
        <v>n</v>
      </c>
      <c r="CI11" s="53" t="str">
        <f t="shared" si="4"/>
        <v>n</v>
      </c>
      <c r="CJ11" s="53" t="str">
        <f t="shared" si="5"/>
        <v>y</v>
      </c>
      <c r="CK11" s="53" t="str">
        <f t="shared" si="6"/>
        <v>n</v>
      </c>
      <c r="CL11" s="53" t="str">
        <f t="shared" si="7"/>
        <v>n</v>
      </c>
      <c r="CM11" s="53" t="str">
        <f t="shared" si="8"/>
        <v>n</v>
      </c>
      <c r="CN11" s="53" t="str">
        <f t="shared" si="9"/>
        <v>y</v>
      </c>
      <c r="CO11" s="53" t="str">
        <f t="shared" si="10"/>
        <v>n</v>
      </c>
      <c r="CP11" s="53" t="str">
        <f t="shared" si="11"/>
        <v>y</v>
      </c>
      <c r="CQ11" s="53" t="str">
        <f t="shared" si="12"/>
        <v>n</v>
      </c>
      <c r="CR11" s="53" t="str">
        <f t="shared" si="13"/>
        <v>n</v>
      </c>
      <c r="CS11" s="53" t="str">
        <f t="shared" si="14"/>
        <v>n</v>
      </c>
      <c r="CT11" s="38" t="str">
        <f t="shared" si="15"/>
        <v>"[VEN] Cojedes"</v>
      </c>
      <c r="CU11" s="63" t="str">
        <f t="shared" si="16"/>
        <v>"rgn_South America"</v>
      </c>
      <c r="CV11" s="44" t="str">
        <f t="shared" si="17"/>
        <v>"https://upload.wikimedia.org/wikipedia/commons/thumb/7/7d/Flag_of_Cojedes_State.svg/320px-Flag_of_Cojedes_State.svg.png"</v>
      </c>
      <c r="CW11" s="44" t="str">
        <f t="shared" si="18"/>
        <v/>
      </c>
      <c r="CX11" s="44" t="str">
        <f t="shared" si="19"/>
        <v/>
      </c>
      <c r="CY11" s="44" t="str">
        <f t="shared" si="20"/>
        <v>"4Color",</v>
      </c>
      <c r="CZ11" s="44" t="str">
        <f t="shared" si="21"/>
        <v/>
      </c>
      <c r="DA11" s="44" t="str">
        <f t="shared" si="22"/>
        <v/>
      </c>
      <c r="DB11" s="44" t="str">
        <f t="shared" si="23"/>
        <v/>
      </c>
      <c r="DD11" s="44" t="str">
        <f t="shared" si="136"/>
        <v>"lets07",</v>
      </c>
      <c r="DE11" s="44" t="str">
        <f t="shared" si="137"/>
        <v>"startC",</v>
      </c>
      <c r="DF11" s="44" t="str">
        <f t="shared" si="24"/>
        <v/>
      </c>
      <c r="DG11" s="44" t="str">
        <f t="shared" si="25"/>
        <v/>
      </c>
      <c r="DH11" s="44" t="str">
        <f t="shared" si="26"/>
        <v>"with_v",</v>
      </c>
      <c r="DI11" s="44" t="str">
        <f t="shared" si="27"/>
        <v/>
      </c>
      <c r="DJ11" s="44" t="str">
        <f t="shared" si="28"/>
        <v/>
      </c>
      <c r="DK11" s="44" t="str">
        <f t="shared" si="29"/>
        <v/>
      </c>
      <c r="DL11" s="44" t="str">
        <f t="shared" si="30"/>
        <v/>
      </c>
      <c r="DM11" s="44" t="str" cm="1">
        <f t="array" ref="DM11">IF(CG11=3,CHAR(34) &amp; _xlfn.TEXTJOIN("", TRUE, RIGHT(HP11:HX11, 2)) &amp; CHAR(34) &amp; ",", "")</f>
        <v/>
      </c>
      <c r="DN11" s="44" t="str">
        <f t="shared" si="31"/>
        <v/>
      </c>
      <c r="DO11" s="44" t="str">
        <f t="shared" si="32"/>
        <v>"year19",</v>
      </c>
      <c r="DP11" s="5" t="str">
        <f t="shared" si="33"/>
        <v/>
      </c>
      <c r="DQ11" s="5" t="str">
        <f t="shared" si="34"/>
        <v/>
      </c>
      <c r="DR11" s="5" t="str">
        <f t="shared" si="35"/>
        <v/>
      </c>
      <c r="DS11" s="5" t="str">
        <f t="shared" si="36"/>
        <v/>
      </c>
      <c r="DT11" s="5" t="str">
        <f t="shared" si="37"/>
        <v>"allhor",</v>
      </c>
      <c r="DU11" s="5" t="str">
        <f t="shared" si="38"/>
        <v/>
      </c>
      <c r="DW11" s="44" t="str">
        <f t="shared" si="39"/>
        <v/>
      </c>
      <c r="DX11" s="44" t="str">
        <f t="shared" si="40"/>
        <v/>
      </c>
      <c r="DY11" s="44" t="str">
        <f t="shared" si="41"/>
        <v>"3Bands",</v>
      </c>
      <c r="DZ11" s="44" t="str">
        <f t="shared" si="42"/>
        <v/>
      </c>
      <c r="EA11" s="44" t="str">
        <f t="shared" si="43"/>
        <v/>
      </c>
      <c r="EB11" s="44" t="str">
        <f t="shared" si="44"/>
        <v/>
      </c>
      <c r="EC11" s="44" t="str">
        <f t="shared" si="45"/>
        <v>"Horizo",</v>
      </c>
      <c r="ED11" s="44" t="str">
        <f t="shared" si="46"/>
        <v/>
      </c>
      <c r="EE11" s="44" t="str">
        <f t="shared" si="47"/>
        <v>"Circle",</v>
      </c>
      <c r="EF11" s="44" t="str">
        <f t="shared" si="48"/>
        <v/>
      </c>
      <c r="EG11" s="44" t="str">
        <f t="shared" si="49"/>
        <v/>
      </c>
      <c r="EH11" s="44" t="str">
        <f t="shared" si="50"/>
        <v/>
      </c>
      <c r="EI11" s="44" t="str">
        <f t="shared" si="51"/>
        <v/>
      </c>
      <c r="EJ11" s="44" t="str">
        <f t="shared" si="52"/>
        <v/>
      </c>
      <c r="EK11" s="44" t="str">
        <f t="shared" si="53"/>
        <v>"HasSun",</v>
      </c>
      <c r="EL11" s="44" t="str">
        <f t="shared" si="54"/>
        <v/>
      </c>
      <c r="EM11" s="44" t="str">
        <f t="shared" si="55"/>
        <v/>
      </c>
      <c r="EN11" s="44" t="str">
        <f t="shared" si="56"/>
        <v/>
      </c>
      <c r="EO11" s="44" t="str">
        <f t="shared" si="57"/>
        <v/>
      </c>
      <c r="EP11" s="44" t="str">
        <f t="shared" si="58"/>
        <v/>
      </c>
      <c r="EQ11" s="44" t="str">
        <f t="shared" si="59"/>
        <v/>
      </c>
      <c r="ER11" s="44" t="str">
        <f t="shared" si="60"/>
        <v/>
      </c>
      <c r="ES11" s="44" t="str">
        <f t="shared" si="61"/>
        <v/>
      </c>
      <c r="ET11" s="44" t="str">
        <f t="shared" si="62"/>
        <v/>
      </c>
      <c r="EU11" s="44" t="str">
        <f t="shared" si="63"/>
        <v/>
      </c>
      <c r="EV11" s="44" t="str">
        <f t="shared" si="64"/>
        <v/>
      </c>
      <c r="EW11" s="44" t="str">
        <f t="shared" si="65"/>
        <v/>
      </c>
      <c r="EX11" s="44" t="str">
        <f t="shared" si="66"/>
        <v/>
      </c>
      <c r="EY11" s="44" t="str">
        <f t="shared" si="67"/>
        <v/>
      </c>
      <c r="EZ11" s="44" t="str">
        <f t="shared" si="68"/>
        <v/>
      </c>
      <c r="FA11" s="44" t="str">
        <f t="shared" si="69"/>
        <v/>
      </c>
      <c r="FB11" s="44" t="str">
        <f t="shared" si="70"/>
        <v/>
      </c>
      <c r="FD11" s="44" t="str">
        <f t="shared" si="71"/>
        <v/>
      </c>
      <c r="FE11" s="44" t="str">
        <f t="shared" si="72"/>
        <v/>
      </c>
      <c r="FF11" s="44" t="str">
        <f t="shared" si="73"/>
        <v>"NO_WHI",</v>
      </c>
      <c r="FG11" s="44" t="str">
        <f t="shared" si="74"/>
        <v>"NO_RED",</v>
      </c>
      <c r="FH11" s="44" t="str">
        <f t="shared" si="75"/>
        <v>"NO_GRE",</v>
      </c>
      <c r="FI11" s="44" t="str">
        <f t="shared" si="76"/>
        <v/>
      </c>
      <c r="FJ11" s="44" t="str">
        <f t="shared" si="77"/>
        <v/>
      </c>
      <c r="FK11" s="44" t="str">
        <f t="shared" si="78"/>
        <v>"WHGRNO",</v>
      </c>
      <c r="FL11" s="44" t="str">
        <f t="shared" si="79"/>
        <v/>
      </c>
      <c r="FM11" s="44" t="str">
        <f t="shared" si="80"/>
        <v/>
      </c>
      <c r="FN11" s="44" t="str">
        <f t="shared" si="81"/>
        <v/>
      </c>
      <c r="FO11" s="44" t="str">
        <f t="shared" si="82"/>
        <v/>
      </c>
      <c r="FP11" s="44" t="str">
        <f t="shared" si="83"/>
        <v>"WHRENO",</v>
      </c>
      <c r="FQ11" s="44" t="str">
        <f t="shared" si="84"/>
        <v>"001ORA",</v>
      </c>
      <c r="FR11" s="44" t="str">
        <f t="shared" si="85"/>
        <v>"002BLA",</v>
      </c>
      <c r="FS11" s="44" t="str">
        <f t="shared" si="86"/>
        <v>"003BLU",</v>
      </c>
      <c r="FT11" s="44" t="str">
        <f t="shared" si="87"/>
        <v>"myrORA",</v>
      </c>
      <c r="FU11" s="44" t="str">
        <f t="shared" si="88"/>
        <v/>
      </c>
      <c r="FV11" s="44" t="str">
        <f t="shared" si="89"/>
        <v/>
      </c>
      <c r="FW11" s="44" t="str">
        <f t="shared" si="90"/>
        <v/>
      </c>
      <c r="FY11" s="44" t="str">
        <f t="shared" si="91"/>
        <v/>
      </c>
      <c r="FZ11" s="44" t="str">
        <f t="shared" si="92"/>
        <v/>
      </c>
      <c r="GA11" s="44" t="str">
        <f t="shared" si="93"/>
        <v/>
      </c>
      <c r="GB11" s="44" t="str">
        <f t="shared" si="94"/>
        <v/>
      </c>
      <c r="GE11" s="44" t="str">
        <f t="shared" si="95"/>
        <v/>
      </c>
      <c r="GF11" s="44" t="str">
        <f t="shared" si="138"/>
        <v/>
      </c>
      <c r="GG11" s="44" t="str">
        <f t="shared" si="96"/>
        <v/>
      </c>
      <c r="GH11" s="44" t="str">
        <f t="shared" si="97"/>
        <v/>
      </c>
      <c r="GI11" s="44" t="str">
        <f t="shared" si="98"/>
        <v/>
      </c>
      <c r="GJ11" s="44" t="str">
        <f t="shared" si="99"/>
        <v>"NoStar",</v>
      </c>
      <c r="GK11" s="44" t="str">
        <f t="shared" si="100"/>
        <v/>
      </c>
      <c r="GL11" s="44" t="str">
        <f t="shared" si="101"/>
        <v/>
      </c>
      <c r="GM11" s="44" t="str">
        <f t="shared" si="102"/>
        <v/>
      </c>
      <c r="GN11" s="44" t="str">
        <f t="shared" si="103"/>
        <v/>
      </c>
      <c r="GP11" s="44" t="str">
        <f t="shared" si="104"/>
        <v>"State"</v>
      </c>
      <c r="GS11" s="44" t="str">
        <f t="shared" si="105"/>
        <v>["4Color","lets07","startC","with_v","year19","allhor","3Bands","Horizo","Circle","HasSun","NO_WHI","NO_RED","NO_GRE","WHGRNO","WHRENO","001ORA","002BLA","003BLU","myrORA","NoStar"]</v>
      </c>
      <c r="GT11" s="44" t="str">
        <f t="shared" si="106"/>
        <v>"cl_BLA",</v>
      </c>
      <c r="GU11" s="44" t="str">
        <f t="shared" si="107"/>
        <v>"cl_BLU",</v>
      </c>
      <c r="GV11" s="44" t="str">
        <f t="shared" si="108"/>
        <v/>
      </c>
      <c r="GW11" s="44" t="str">
        <f t="shared" si="109"/>
        <v/>
      </c>
      <c r="GX11" s="44" t="str">
        <f t="shared" si="110"/>
        <v>"cl_YEL",</v>
      </c>
      <c r="GY11" s="44" t="str">
        <f t="shared" si="111"/>
        <v>"cl_ORA",</v>
      </c>
      <c r="GZ11" s="44" t="str">
        <f t="shared" si="112"/>
        <v/>
      </c>
      <c r="HA11" s="44" t="str">
        <f t="shared" si="113"/>
        <v/>
      </c>
      <c r="HB11" s="44" t="str">
        <f t="shared" si="114"/>
        <v/>
      </c>
      <c r="HC11" s="44" t="str">
        <f t="shared" si="115"/>
        <v>["cl_BLA","cl_BLU","cl_YEL","cl_ORA"]</v>
      </c>
      <c r="HE11" s="64"/>
      <c r="HF11" s="65" t="str">
        <f t="shared" si="116"/>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links: "https://www.crwflags.com/fotw/flags/ve-h.html"},</v>
      </c>
      <c r="HG11" s="66" t="str">
        <f t="shared" si="117"/>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links: "https://www.crwflags.com/fotw/flags/ve-h.html"},</v>
      </c>
      <c r="HH11" s="44" t="str">
        <f t="shared" si="118"/>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I11" s="44" t="str">
        <f t="shared" si="119"/>
        <v>"\nThe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v>
      </c>
      <c r="HJ11" s="44" t="str">
        <f t="shared" si="120"/>
        <v>"1997"</v>
      </c>
      <c r="HL11" s="44" t="str">
        <f t="shared" si="121"/>
        <v>"https://www.crwflags.com/fotw/flags/ve-h.html"</v>
      </c>
      <c r="HM11" s="65" t="str">
        <f t="shared" si="122"/>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N11" s="67" t="str">
        <f t="shared" si="123"/>
        <v>{"couname":"[VEN] Cojedes","year":"1997","region":"rgn_South America","Colors":["cl_BLA","cl_BLU","cl_YEL","cl_ORA"],"Items":["4Color","lets07","startC","with_v","year19","allhor","3Bands","Horizo","Circle","HasSun","NO_WHI","NO_RED","NO_GRE","WHGRNO","WHRENO","001ORA","002BLA","003BLU","myrORA","NoStar"],"Flag":"https://upload.wikimedia.org/wikipedia/commons/thumb/7/7d/Flag_of_Cojedes_State.svg/320px-Flag_of_Cojedes_State.svg.png","HDFlag":"https://upload.wikimedia.org/wikipedia/commons/thumb/7/7d/Flag_of_Cojedes_State.svg/800px-Flag_of_Cojedes_State.svg.png","type":"State", "describe": "\nThe flag was designed by Professor Pedro Gramcko and it was approved on 1997 by the Special Commission.\n\nThe flag is divided into three horizontal stripes. The orange stripe which occupied the majority of the field, is a combination of the values represented by the colors yellow and red: the region's ground richness, purity, the people's faith, the courage, and valor of the heroes who shed their blood on this land. The black stripe under the orange stripe symbolizes the temper of the metal, the science, the industry, and the fortitude of the people, as a reminder of the laborious pledge of their ancestors. It also represents the tenacity and spiritual values of the people. The blue stripe and the same colored circle symbolize majesty and beauty, while it represents the firmament covering that covers the land and the characteristic values of its stock. At the same time, it reminds the water in a time of abundance alluding to the generosity of the sources of the State that do not only calm thirst, but the one from the region to which belong. The yellow sun represents the heroic gest of the Battle of Taguanes in 1813 and the preparations for the Battle of Carabobo in 1821: its rays evoke the lances of the 'llaneros' of the emancipation war and the flaming rays remember the patriotic fire that burned and will burn in the heart of the people.", "isnew": ".", "links": "https://www.crwflags.com/fotw/flags/ve-h.html"},</v>
      </c>
      <c r="HO11" s="71">
        <v>45610</v>
      </c>
      <c r="HP11" s="44" t="str" cm="1">
        <f t="array" ref="HP11">IF(_xlfn.TEXTJOIN(", ", TRUE, IF(ISNUMBER(SEARCH("BLA", BL11:BT11)), COLUMN(BL11:BT11) - COLUMN(BL11) + 1, ""))&lt;&gt;"","BLA","")</f>
        <v>BLA</v>
      </c>
      <c r="HQ11" s="44" t="str" cm="1">
        <f t="array" ref="HQ11">IF(_xlfn.TEXTJOIN(", ", TRUE, IF(ISNUMBER(SEARCH("BLU", BL11:BT11)), COLUMN(BL11:BT11) - COLUMN(BL11) + 1, ""))&lt;&gt;"","BLU","")</f>
        <v>BLU</v>
      </c>
      <c r="HR11" s="44" t="str" cm="1">
        <f t="array" ref="HR11">IF(_xlfn.TEXTJOIN(", ", TRUE, IF(ISNUMBER(SEARCH("GRE", BL11:BT11)), COLUMN(BL11:BT11) - COLUMN(BL11) + 1, ""))&lt;&gt;"","GRE","")</f>
        <v/>
      </c>
      <c r="HS11" s="44" t="str" cm="1">
        <f t="array" ref="HS11">IF(_xlfn.TEXTJOIN(", ", TRUE, IF(ISNUMBER(SEARCH("RED", BL11:BT11)), COLUMN(BL11:BT11) - COLUMN(BL11) + 1, ""))&lt;&gt;"","RED","")</f>
        <v/>
      </c>
      <c r="HT11" s="44" t="str" cm="1">
        <f t="array" ref="HT11">IF(_xlfn.TEXTJOIN(", ", TRUE, IF(ISNUMBER(SEARCH("YEL", BL11:BT11)), COLUMN(BL11:BT11) - COLUMN(BL11) + 1, ""))&lt;&gt;"","YEL","")</f>
        <v>YEL</v>
      </c>
      <c r="HU11" s="44" t="str" cm="1">
        <f t="array" ref="HU11">IF(_xlfn.TEXTJOIN(", ", TRUE, IF(ISNUMBER(SEARCH("ORA", BL11:BT11)), COLUMN(BL11:BT11) - COLUMN(BL11) + 1, ""))&lt;&gt;"","ORA","")</f>
        <v>ORA</v>
      </c>
      <c r="HV11" s="44" t="str" cm="1">
        <f t="array" ref="HV11">IF(_xlfn.TEXTJOIN(", ", TRUE, IF(ISNUMBER(SEARCH("BRO", BL11:BT11)), COLUMN(BL11:BT11) - COLUMN(BL11) + 1, ""))&lt;&gt;"","BRO","")</f>
        <v/>
      </c>
      <c r="HW11" s="44" t="str" cm="1">
        <f t="array" ref="HW11">IF(_xlfn.TEXTJOIN(", ", TRUE, IF(ISNUMBER(SEARCH("PUR", BL11:BT11)), COLUMN(BL11:BT11) - COLUMN(BL11) + 1, ""))&lt;&gt;"","PUR","")</f>
        <v/>
      </c>
      <c r="HX11" s="44" t="str" cm="1">
        <f t="array" ref="HX11">IF(_xlfn.TEXTJOIN(", ", TRUE, IF(ISNUMBER(SEARCH("WHI", BL11:BT11)), COLUMN(BL11:BT11) - COLUMN(BL11) + 1, ""))&lt;&gt;"","WHI","")</f>
        <v/>
      </c>
      <c r="HY11" s="72"/>
      <c r="HZ11" s="72"/>
      <c r="IA11" s="5"/>
      <c r="IB11" s="5"/>
      <c r="IC11" s="68"/>
      <c r="ID11" s="68"/>
      <c r="IE11" s="68"/>
      <c r="IF11" s="68"/>
      <c r="IG11" s="68"/>
      <c r="IH11" s="68"/>
      <c r="II11" s="68"/>
      <c r="IJ11" s="68"/>
      <c r="IK11" s="68"/>
      <c r="IM11" s="42">
        <f t="shared" si="124"/>
        <v>-4</v>
      </c>
      <c r="IN11" s="69" t="str">
        <f t="shared" si="125"/>
        <v>http://mkweb.bcgsc.ca/color-summarizer/?url=https://upload.wikimedia.org/wikipedia/commons/thumb/7/7d/Flag_of_Cojedes_State.svg/320px-Flag_of_Cojedes_State.svg.png&amp;precision=low&amp;num_clusters=4&amp;text=1</v>
      </c>
      <c r="IO11" s="44" t="str">
        <f t="shared" si="126"/>
        <v>"black"</v>
      </c>
      <c r="IP11" s="44" t="str">
        <f t="shared" si="127"/>
        <v>"blue"</v>
      </c>
      <c r="IQ11" s="44" t="str">
        <f t="shared" si="128"/>
        <v/>
      </c>
      <c r="IR11" s="44" t="str">
        <f t="shared" si="129"/>
        <v/>
      </c>
      <c r="IS11" s="44" t="str">
        <f t="shared" si="130"/>
        <v>"yellow"</v>
      </c>
      <c r="IT11" s="44" t="str">
        <f t="shared" si="131"/>
        <v>"orange"</v>
      </c>
      <c r="IU11" s="44" t="str">
        <f t="shared" si="132"/>
        <v/>
      </c>
      <c r="IV11" s="44" t="str">
        <f t="shared" si="133"/>
        <v/>
      </c>
      <c r="IW11" s="44" t="str">
        <f t="shared" si="134"/>
        <v/>
      </c>
      <c r="IX11" s="44" t="str">
        <f t="shared" si="135"/>
        <v>{"url":"http://mkweb.bcgsc.ca/color-summarizer/?url=https://upload.wikimedia.org/wikipedia/commons/thumb/7/7d/Flag_of_Cojedes_State.svg/320px-Flag_of_Cojedes_State.svg.png&amp;precision=low&amp;num_clusters=4&amp;text=1","name":"[VEN] Cojedes"},</v>
      </c>
      <c r="IY11" s="44">
        <v>1475</v>
      </c>
    </row>
    <row r="12" spans="1:259" s="44" customFormat="1" ht="38.4" customHeight="1" thickBot="1" x14ac:dyDescent="0.35">
      <c r="A12" s="84" t="s">
        <v>769</v>
      </c>
      <c r="B12" s="83" t="e" vm="111">
        <v>#VALUE!</v>
      </c>
      <c r="C12" s="39">
        <v>2</v>
      </c>
      <c r="D12" s="70" t="s">
        <v>770</v>
      </c>
      <c r="E12" s="40" t="s">
        <v>771</v>
      </c>
      <c r="F12" s="41" t="s">
        <v>163</v>
      </c>
      <c r="G12" s="42">
        <f t="shared" si="0"/>
        <v>1</v>
      </c>
      <c r="H12" s="43"/>
      <c r="I12" s="59" t="s">
        <v>772</v>
      </c>
      <c r="J12" s="44" t="str">
        <f>""</f>
        <v/>
      </c>
      <c r="K12" s="45"/>
      <c r="L12" s="46"/>
      <c r="M12" s="46"/>
      <c r="N12" s="47" t="s">
        <v>177</v>
      </c>
      <c r="O12" s="74">
        <v>2004</v>
      </c>
      <c r="P12" s="48" t="s">
        <v>773</v>
      </c>
      <c r="Q12" s="73">
        <v>2</v>
      </c>
      <c r="R12" s="49" t="s">
        <v>177</v>
      </c>
      <c r="S12" s="50">
        <v>3</v>
      </c>
      <c r="T12" s="51" t="s">
        <v>165</v>
      </c>
      <c r="U12" s="52" t="s">
        <v>164</v>
      </c>
      <c r="V12" s="52" t="s">
        <v>165</v>
      </c>
      <c r="W12" s="52" t="s">
        <v>164</v>
      </c>
      <c r="X12" s="52" t="s">
        <v>165</v>
      </c>
      <c r="Y12" s="52" t="s">
        <v>164</v>
      </c>
      <c r="Z12" s="52" t="s">
        <v>164</v>
      </c>
      <c r="AA12" s="52" t="s">
        <v>165</v>
      </c>
      <c r="AB12" s="52" t="s">
        <v>165</v>
      </c>
      <c r="AC12" s="52" t="s">
        <v>164</v>
      </c>
      <c r="AD12" s="52" t="s">
        <v>165</v>
      </c>
      <c r="AE12" s="52" t="s">
        <v>164</v>
      </c>
      <c r="AF12" s="53" t="s">
        <v>165</v>
      </c>
      <c r="AG12" s="53" t="s">
        <v>165</v>
      </c>
      <c r="AH12" s="53" t="s">
        <v>164</v>
      </c>
      <c r="AI12" s="53" t="s">
        <v>164</v>
      </c>
      <c r="AJ12" s="53" t="s">
        <v>164</v>
      </c>
      <c r="AK12" s="53" t="s">
        <v>164</v>
      </c>
      <c r="AL12" s="53" t="s">
        <v>164</v>
      </c>
      <c r="AM12" s="53" t="s">
        <v>165</v>
      </c>
      <c r="AN12" s="53" t="s">
        <v>165</v>
      </c>
      <c r="AO12" s="53" t="s">
        <v>164</v>
      </c>
      <c r="AP12" s="53" t="s">
        <v>164</v>
      </c>
      <c r="AQ12" s="53" t="s">
        <v>164</v>
      </c>
      <c r="AR12" s="53" t="s">
        <v>164</v>
      </c>
      <c r="AS12" s="53" t="s">
        <v>164</v>
      </c>
      <c r="AT12" s="54">
        <v>5</v>
      </c>
      <c r="AU12" s="53" t="s">
        <v>308</v>
      </c>
      <c r="AV12" s="53" t="str">
        <f t="shared" si="1"/>
        <v>[VEN]State[VEN] Delta Amacuro</v>
      </c>
      <c r="AW12" s="53" t="str">
        <f t="shared" si="2"/>
        <v>2[VEN] Delta Amacuro</v>
      </c>
      <c r="AX12" s="55"/>
      <c r="AY12" s="55"/>
      <c r="AZ12" s="56" t="s">
        <v>159</v>
      </c>
      <c r="BA12" s="56"/>
      <c r="BB12" s="56"/>
      <c r="BC12" s="57"/>
      <c r="BD12" s="58" t="s">
        <v>167</v>
      </c>
      <c r="BE12" s="59"/>
      <c r="BF12" s="58" t="s">
        <v>152</v>
      </c>
      <c r="BG12" s="58" t="s">
        <v>153</v>
      </c>
      <c r="BH12" s="58" t="s">
        <v>152</v>
      </c>
      <c r="BI12" s="58"/>
      <c r="BJ12" s="58"/>
      <c r="BK12" s="59"/>
      <c r="BL12" s="58" t="s">
        <v>151</v>
      </c>
      <c r="BM12" s="58" t="s">
        <v>152</v>
      </c>
      <c r="BN12" s="58" t="s">
        <v>153</v>
      </c>
      <c r="BO12" s="58" t="s">
        <v>154</v>
      </c>
      <c r="BP12" s="58" t="s">
        <v>155</v>
      </c>
      <c r="BQ12" s="58" t="s">
        <v>156</v>
      </c>
      <c r="BR12" s="58" t="s">
        <v>157</v>
      </c>
      <c r="BS12" s="58" t="s">
        <v>234</v>
      </c>
      <c r="BT12" s="58" t="s">
        <v>159</v>
      </c>
      <c r="BU12" s="60"/>
      <c r="BV12" s="61"/>
      <c r="BW12" s="61">
        <v>0</v>
      </c>
      <c r="BX12" s="59"/>
      <c r="BY12" s="44" t="s">
        <v>164</v>
      </c>
      <c r="CB12" s="5"/>
      <c r="CC12" s="5"/>
      <c r="CD12" s="62">
        <v>0</v>
      </c>
      <c r="CE12" s="62">
        <v>1</v>
      </c>
      <c r="CF12" s="62" t="e">
        <v>#REF!</v>
      </c>
      <c r="CG12" s="75" cm="1">
        <f t="array" ref="CG12">SUMPRODUCT(--(LEN(TRIM(BL12:BT12))&gt;0))</f>
        <v>8</v>
      </c>
      <c r="CH12" s="53" t="str">
        <f t="shared" si="3"/>
        <v>n</v>
      </c>
      <c r="CI12" s="53" t="str">
        <f t="shared" si="4"/>
        <v>n</v>
      </c>
      <c r="CJ12" s="53" t="str">
        <f t="shared" si="5"/>
        <v>n</v>
      </c>
      <c r="CK12" s="53" t="str">
        <f t="shared" si="6"/>
        <v>y</v>
      </c>
      <c r="CL12" s="53" t="str">
        <f t="shared" si="7"/>
        <v>n</v>
      </c>
      <c r="CM12" s="53" t="str">
        <f t="shared" si="8"/>
        <v>n</v>
      </c>
      <c r="CN12" s="53" t="str">
        <f t="shared" si="9"/>
        <v>y</v>
      </c>
      <c r="CO12" s="53" t="str">
        <f t="shared" si="10"/>
        <v>n</v>
      </c>
      <c r="CP12" s="53" t="str">
        <f t="shared" si="11"/>
        <v>n</v>
      </c>
      <c r="CQ12" s="53" t="str">
        <f t="shared" si="12"/>
        <v>n</v>
      </c>
      <c r="CR12" s="53" t="str">
        <f t="shared" si="13"/>
        <v>n</v>
      </c>
      <c r="CS12" s="53" t="str">
        <f t="shared" si="14"/>
        <v>y</v>
      </c>
      <c r="CT12" s="38" t="str">
        <f t="shared" si="15"/>
        <v>"[VEN] Delta Amacuro"</v>
      </c>
      <c r="CU12" s="63" t="str">
        <f t="shared" si="16"/>
        <v>"rgn_South America"</v>
      </c>
      <c r="CV12" s="44" t="str">
        <f t="shared" si="17"/>
        <v>"https://upload.wikimedia.org/wikipedia/commons/thumb/2/20/Flag_of_Delta_Amacuro_State.svg/320px-Flag_of_Delta_Amacuro_State.svg.png"</v>
      </c>
      <c r="CW12" s="44" t="str">
        <f t="shared" si="18"/>
        <v/>
      </c>
      <c r="CX12" s="44" t="str">
        <f t="shared" si="19"/>
        <v/>
      </c>
      <c r="CY12" s="44" t="str">
        <f t="shared" si="20"/>
        <v/>
      </c>
      <c r="CZ12" s="44" t="str">
        <f t="shared" si="21"/>
        <v>"5+Colo",</v>
      </c>
      <c r="DA12" s="44" t="str">
        <f t="shared" si="22"/>
        <v>"words2",</v>
      </c>
      <c r="DB12" s="44" t="str">
        <f t="shared" si="23"/>
        <v/>
      </c>
      <c r="DD12" s="44" t="str">
        <f t="shared" si="136"/>
        <v>"lets12",</v>
      </c>
      <c r="DE12" s="44" t="str">
        <f t="shared" si="137"/>
        <v>"startD",</v>
      </c>
      <c r="DF12" s="44" t="str">
        <f t="shared" si="24"/>
        <v/>
      </c>
      <c r="DG12" s="44" t="str">
        <f t="shared" si="25"/>
        <v/>
      </c>
      <c r="DH12" s="44" t="str">
        <f t="shared" si="26"/>
        <v>"with_v",</v>
      </c>
      <c r="DI12" s="44" t="str">
        <f t="shared" si="27"/>
        <v/>
      </c>
      <c r="DJ12" s="44" t="str">
        <f t="shared" si="28"/>
        <v/>
      </c>
      <c r="DK12" s="44" t="str">
        <f t="shared" si="29"/>
        <v/>
      </c>
      <c r="DL12" s="44" t="str">
        <f t="shared" si="30"/>
        <v/>
      </c>
      <c r="DM12" s="44" t="str" cm="1">
        <f t="array" ref="DM12">IF(CG12=3,CHAR(34) &amp; _xlfn.TEXTJOIN("", TRUE, RIGHT(HP12:HX12, 2)) &amp; CHAR(34) &amp; ",", "")</f>
        <v/>
      </c>
      <c r="DN12" s="44" t="str">
        <f t="shared" si="31"/>
        <v/>
      </c>
      <c r="DO12" s="44" t="str">
        <f t="shared" si="32"/>
        <v/>
      </c>
      <c r="DP12" s="5" t="str">
        <f t="shared" si="33"/>
        <v>"year00",</v>
      </c>
      <c r="DQ12" s="5" t="str">
        <f t="shared" si="34"/>
        <v/>
      </c>
      <c r="DR12" s="5" t="str">
        <f t="shared" si="35"/>
        <v/>
      </c>
      <c r="DS12" s="5" t="str">
        <f t="shared" si="36"/>
        <v/>
      </c>
      <c r="DT12" s="5" t="str">
        <f t="shared" si="37"/>
        <v>"allhor",</v>
      </c>
      <c r="DU12" s="5" t="str">
        <f t="shared" si="38"/>
        <v/>
      </c>
      <c r="DW12" s="44" t="str">
        <f t="shared" si="39"/>
        <v/>
      </c>
      <c r="DX12" s="44" t="str">
        <f t="shared" si="40"/>
        <v/>
      </c>
      <c r="DY12" s="44" t="str">
        <f t="shared" si="41"/>
        <v>"3Bands",</v>
      </c>
      <c r="DZ12" s="44" t="str">
        <f t="shared" si="42"/>
        <v/>
      </c>
      <c r="EA12" s="44" t="str">
        <f t="shared" si="43"/>
        <v>"Diagon",</v>
      </c>
      <c r="EB12" s="44" t="str">
        <f t="shared" si="44"/>
        <v/>
      </c>
      <c r="EC12" s="44" t="str">
        <f t="shared" si="45"/>
        <v>"Horizo",</v>
      </c>
      <c r="ED12" s="44" t="str">
        <f t="shared" si="46"/>
        <v/>
      </c>
      <c r="EE12" s="44" t="str">
        <f t="shared" si="47"/>
        <v>"Circle",</v>
      </c>
      <c r="EF12" s="44" t="str">
        <f t="shared" si="48"/>
        <v/>
      </c>
      <c r="EG12" s="44" t="str">
        <f t="shared" si="49"/>
        <v/>
      </c>
      <c r="EH12" s="44" t="str">
        <f t="shared" si="50"/>
        <v>"Plants",</v>
      </c>
      <c r="EI12" s="44" t="str">
        <f t="shared" si="51"/>
        <v>"Texted",</v>
      </c>
      <c r="EJ12" s="44" t="str">
        <f t="shared" si="52"/>
        <v/>
      </c>
      <c r="EK12" s="44" t="str">
        <f t="shared" si="53"/>
        <v>"HasSun",</v>
      </c>
      <c r="EL12" s="44" t="str">
        <f t="shared" si="54"/>
        <v/>
      </c>
      <c r="EM12" s="44" t="str">
        <f t="shared" si="55"/>
        <v>"Trside",</v>
      </c>
      <c r="EN12" s="44" t="str">
        <f t="shared" si="56"/>
        <v>"Unequa",</v>
      </c>
      <c r="EO12" s="44" t="str">
        <f t="shared" si="57"/>
        <v/>
      </c>
      <c r="EP12" s="44" t="str">
        <f t="shared" si="58"/>
        <v/>
      </c>
      <c r="EQ12" s="44" t="str">
        <f t="shared" si="59"/>
        <v/>
      </c>
      <c r="ER12" s="44" t="str">
        <f t="shared" si="60"/>
        <v/>
      </c>
      <c r="ES12" s="44" t="str">
        <f t="shared" si="61"/>
        <v/>
      </c>
      <c r="ET12" s="44" t="str">
        <f t="shared" si="62"/>
        <v>"Geogrh",</v>
      </c>
      <c r="EU12" s="44" t="str">
        <f t="shared" si="63"/>
        <v>"Humans",</v>
      </c>
      <c r="EV12" s="44" t="str">
        <f t="shared" si="64"/>
        <v/>
      </c>
      <c r="EW12" s="44" t="str">
        <f t="shared" si="65"/>
        <v/>
      </c>
      <c r="EX12" s="44" t="str">
        <f t="shared" si="66"/>
        <v/>
      </c>
      <c r="EY12" s="44" t="str">
        <f t="shared" si="67"/>
        <v/>
      </c>
      <c r="EZ12" s="44" t="str">
        <f t="shared" si="68"/>
        <v/>
      </c>
      <c r="FA12" s="44" t="str">
        <f t="shared" si="69"/>
        <v>"staWHI",</v>
      </c>
      <c r="FB12" s="44" t="str">
        <f t="shared" si="70"/>
        <v/>
      </c>
      <c r="FD12" s="44" t="str">
        <f t="shared" si="71"/>
        <v/>
      </c>
      <c r="FE12" s="44" t="str">
        <f t="shared" si="72"/>
        <v/>
      </c>
      <c r="FF12" s="44" t="str">
        <f t="shared" si="73"/>
        <v/>
      </c>
      <c r="FG12" s="44" t="str">
        <f t="shared" si="74"/>
        <v/>
      </c>
      <c r="FH12" s="44" t="str">
        <f t="shared" si="75"/>
        <v/>
      </c>
      <c r="FI12" s="44" t="str">
        <f t="shared" si="76"/>
        <v/>
      </c>
      <c r="FJ12" s="44" t="str">
        <f t="shared" si="77"/>
        <v/>
      </c>
      <c r="FK12" s="44" t="str">
        <f t="shared" si="78"/>
        <v/>
      </c>
      <c r="FL12" s="44" t="str">
        <f t="shared" si="79"/>
        <v/>
      </c>
      <c r="FM12" s="44" t="str">
        <f t="shared" si="80"/>
        <v/>
      </c>
      <c r="FN12" s="44" t="str">
        <f t="shared" si="81"/>
        <v/>
      </c>
      <c r="FO12" s="44" t="str">
        <f t="shared" si="82"/>
        <v/>
      </c>
      <c r="FP12" s="44" t="str">
        <f t="shared" si="83"/>
        <v/>
      </c>
      <c r="FQ12" s="44" t="str">
        <f t="shared" si="84"/>
        <v>"001BLU",</v>
      </c>
      <c r="FR12" s="44" t="str">
        <f t="shared" si="85"/>
        <v>"002GRE",</v>
      </c>
      <c r="FS12" s="44" t="str">
        <f t="shared" si="86"/>
        <v>"003BLU",</v>
      </c>
      <c r="FT12" s="44" t="str">
        <f t="shared" si="87"/>
        <v>"myrEQ",</v>
      </c>
      <c r="FU12" s="44" t="str">
        <f t="shared" si="88"/>
        <v/>
      </c>
      <c r="FV12" s="44" t="str">
        <f t="shared" si="89"/>
        <v/>
      </c>
      <c r="FW12" s="44" t="str">
        <f t="shared" si="90"/>
        <v/>
      </c>
      <c r="FY12" s="44" t="str">
        <f t="shared" si="91"/>
        <v/>
      </c>
      <c r="FZ12" s="44" t="str">
        <f t="shared" si="92"/>
        <v/>
      </c>
      <c r="GA12" s="44" t="str">
        <f t="shared" si="93"/>
        <v/>
      </c>
      <c r="GB12" s="44" t="str">
        <f t="shared" si="94"/>
        <v/>
      </c>
      <c r="GE12" s="44" t="str">
        <f t="shared" si="95"/>
        <v/>
      </c>
      <c r="GF12" s="44" t="str">
        <f t="shared" si="138"/>
        <v/>
      </c>
      <c r="GG12" s="44" t="str">
        <f t="shared" si="96"/>
        <v/>
      </c>
      <c r="GH12" s="44" t="str">
        <f t="shared" si="97"/>
        <v/>
      </c>
      <c r="GI12" s="44" t="str">
        <f t="shared" si="98"/>
        <v>"hasmap",</v>
      </c>
      <c r="GJ12" s="44" t="str">
        <f t="shared" si="99"/>
        <v/>
      </c>
      <c r="GK12" s="44" t="str">
        <f t="shared" si="100"/>
        <v>"HasSta",</v>
      </c>
      <c r="GL12" s="44" t="str">
        <f t="shared" si="101"/>
        <v/>
      </c>
      <c r="GM12" s="44" t="str">
        <f t="shared" si="102"/>
        <v/>
      </c>
      <c r="GN12" s="44" t="str">
        <f t="shared" si="103"/>
        <v>"3+Star",</v>
      </c>
      <c r="GP12" s="44" t="str">
        <f t="shared" si="104"/>
        <v>"State"</v>
      </c>
      <c r="GS12" s="44" t="str">
        <f t="shared" si="105"/>
        <v>["5+Colo","words2","lets12","startD","with_v","year00","allhor","3Bands","Diagon","Horizo","Circle","Plants","Texted","HasSun","Trside","Unequa","Geogrh","Humans","staWHI","001BLU","002GRE","003BLU","myrEQ","hasmap","HasSta","3+Star"]</v>
      </c>
      <c r="GT12" s="44" t="str">
        <f t="shared" si="106"/>
        <v>"cl_BLA",</v>
      </c>
      <c r="GU12" s="44" t="str">
        <f t="shared" si="107"/>
        <v>"cl_BLU",</v>
      </c>
      <c r="GV12" s="44" t="str">
        <f t="shared" si="108"/>
        <v>"cl_GRE",</v>
      </c>
      <c r="GW12" s="44" t="str">
        <f t="shared" si="109"/>
        <v>"cl_RED",</v>
      </c>
      <c r="GX12" s="44" t="str">
        <f t="shared" si="110"/>
        <v>"cl_YEL",</v>
      </c>
      <c r="GY12" s="44" t="str">
        <f t="shared" si="111"/>
        <v>"cl_ORA",</v>
      </c>
      <c r="GZ12" s="44" t="str">
        <f t="shared" si="112"/>
        <v>"cl_BRO",</v>
      </c>
      <c r="HA12" s="44" t="str">
        <f t="shared" si="113"/>
        <v/>
      </c>
      <c r="HB12" s="44" t="str">
        <f t="shared" si="114"/>
        <v>"cl_WHI",</v>
      </c>
      <c r="HC12" s="44" t="str">
        <f t="shared" si="115"/>
        <v>["cl_BLA","cl_BLU","cl_GRE","cl_RED","cl_YEL","cl_ORA","cl_BRO","cl_WHI"]</v>
      </c>
      <c r="HE12" s="64"/>
      <c r="HF12" s="65" t="str">
        <f t="shared" si="116"/>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links: "https://www.crwflags.com/fotw/flags/ve-y.html"},</v>
      </c>
      <c r="HG12" s="66" t="str">
        <f t="shared" si="117"/>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links: "https://www.crwflags.com/fotw/flags/ve-y.html"},</v>
      </c>
      <c r="HH12" s="44" t="str">
        <f t="shared" si="118"/>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I12" s="44" t="str">
        <f t="shared" si="119"/>
        <v>"\nThe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v>
      </c>
      <c r="HJ12" s="44" t="str">
        <f t="shared" si="120"/>
        <v>"2004"</v>
      </c>
      <c r="HL12" s="44" t="str">
        <f t="shared" si="121"/>
        <v>"https://www.crwflags.com/fotw/flags/ve-y.html"</v>
      </c>
      <c r="HM12" s="65" t="str">
        <f t="shared" si="122"/>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N12" s="67" t="str">
        <f t="shared" si="123"/>
        <v>{"couname":"[VEN] Delta Amacuro","year":"2004","region":"rgn_South America","Colors":["cl_BLA","cl_BLU","cl_GRE","cl_RED","cl_YEL","cl_ORA","cl_BRO","cl_WHI"],"Items":["5+Colo","words2","lets12","startD","with_v","year00","allhor","3Bands","Diagon","Horizo","Circle","Plants","Texted","HasSun","Trside","Unequa","Geogrh","Humans","staWHI","001BLU","002GRE","003BLU","myrEQ","hasmap","HasSta","3+Star"],"Flag":"https://upload.wikimedia.org/wikipedia/commons/thumb/2/20/Flag_of_Delta_Amacuro_State.svg/320px-Flag_of_Delta_Amacuro_State.svg.png","HDFlag":"https://upload.wikimedia.org/wikipedia/commons/thumb/2/20/Flag_of_Delta_Amacuro_State.svg/640px-Flag_of_Delta_Amacuro_State.svg.png","type":"State", "describe": "\nThe flag was made by Miss Maria Tivisay Marcano Valderrey as a result of the contest organized to the effect by the Government of the State in 2004 and realized in the same year, it was officially established on 2004. \n\nThe flag is horizontally divided into three stripes. The sky blue represents the sky where hope covers and protects the inhabitants of the region. The stars symbolize the four municipalities that conform to the state and are white to remember the peace, harmony, and bonanza necessary for the well-being of the community. Dark blue represents the hydrographic extension of the State: its multiple fluvial routes and the volume of the numerous sewers that the Orinoco River scatters with its arms over the region. Clear green alludes to the vegetation of the State alerting contemporary man about the rational exploding of palmetto (a product obtained from the palm tree in the region), the forest resources, the preservation of the flora and fauna of the delicate regional ecosystem, and also represents the farming production and whatever makes it possible. \n\nThe triangle remembers the mouth of the Orinoco River spilling its waters on the Atlantic Ocean through countless sewers and symbolizes the fourth letter of the Greek alphabet, which alludes properly to the name of the State also represented through its territorial profile. The white fimbriation one is a tribute to the discoverers of the Delta who over time were based there and mixed themselves to found Tucupita giving origin to the settlers of the region, emphasizing its friendly and kind purity; the yellow one represents the wealth of the region and the reflex of the sun that is formed on its aquatic surface in the dusks; the brown one alludes to the fertility of the ground and the skin’s tone of the Warao people; the black symbolizes the oil, gas and wealth of the land.  ", "isnew": ".", "links": "https://www.crwflags.com/fotw/flags/ve-y.html"},</v>
      </c>
      <c r="HO12" s="71">
        <v>45610</v>
      </c>
      <c r="HP12" s="44" t="str" cm="1">
        <f t="array" ref="HP12">IF(_xlfn.TEXTJOIN(", ", TRUE, IF(ISNUMBER(SEARCH("BLA", BL12:BT12)), COLUMN(BL12:BT12) - COLUMN(BL12) + 1, ""))&lt;&gt;"","BLA","")</f>
        <v>BLA</v>
      </c>
      <c r="HQ12" s="44" t="str" cm="1">
        <f t="array" ref="HQ12">IF(_xlfn.TEXTJOIN(", ", TRUE, IF(ISNUMBER(SEARCH("BLU", BL12:BT12)), COLUMN(BL12:BT12) - COLUMN(BL12) + 1, ""))&lt;&gt;"","BLU","")</f>
        <v>BLU</v>
      </c>
      <c r="HR12" s="44" t="str" cm="1">
        <f t="array" ref="HR12">IF(_xlfn.TEXTJOIN(", ", TRUE, IF(ISNUMBER(SEARCH("GRE", BL12:BT12)), COLUMN(BL12:BT12) - COLUMN(BL12) + 1, ""))&lt;&gt;"","GRE","")</f>
        <v>GRE</v>
      </c>
      <c r="HS12" s="44" t="str" cm="1">
        <f t="array" ref="HS12">IF(_xlfn.TEXTJOIN(", ", TRUE, IF(ISNUMBER(SEARCH("RED", BL12:BT12)), COLUMN(BL12:BT12) - COLUMN(BL12) + 1, ""))&lt;&gt;"","RED","")</f>
        <v>RED</v>
      </c>
      <c r="HT12" s="44" t="str" cm="1">
        <f t="array" ref="HT12">IF(_xlfn.TEXTJOIN(", ", TRUE, IF(ISNUMBER(SEARCH("YEL", BL12:BT12)), COLUMN(BL12:BT12) - COLUMN(BL12) + 1, ""))&lt;&gt;"","YEL","")</f>
        <v>YEL</v>
      </c>
      <c r="HU12" s="44" t="str" cm="1">
        <f t="array" ref="HU12">IF(_xlfn.TEXTJOIN(", ", TRUE, IF(ISNUMBER(SEARCH("ORA", BL12:BT12)), COLUMN(BL12:BT12) - COLUMN(BL12) + 1, ""))&lt;&gt;"","ORA","")</f>
        <v>ORA</v>
      </c>
      <c r="HV12" s="44" t="str" cm="1">
        <f t="array" ref="HV12">IF(_xlfn.TEXTJOIN(", ", TRUE, IF(ISNUMBER(SEARCH("BRO", BL12:BT12)), COLUMN(BL12:BT12) - COLUMN(BL12) + 1, ""))&lt;&gt;"","BRO","")</f>
        <v>BRO</v>
      </c>
      <c r="HW12" s="44" t="str" cm="1">
        <f t="array" ref="HW12">IF(_xlfn.TEXTJOIN(", ", TRUE, IF(ISNUMBER(SEARCH("PUR", BL12:BT12)), COLUMN(BL12:BT12) - COLUMN(BL12) + 1, ""))&lt;&gt;"","PUR","")</f>
        <v/>
      </c>
      <c r="HX12" s="44" t="str" cm="1">
        <f t="array" ref="HX12">IF(_xlfn.TEXTJOIN(", ", TRUE, IF(ISNUMBER(SEARCH("WHI", BL12:BT12)), COLUMN(BL12:BT12) - COLUMN(BL12) + 1, ""))&lt;&gt;"","WHI","")</f>
        <v>WHI</v>
      </c>
      <c r="HY12" s="72"/>
      <c r="HZ12" s="72"/>
      <c r="IA12" s="5"/>
      <c r="IB12" s="5"/>
      <c r="IC12" s="68"/>
      <c r="ID12" s="68"/>
      <c r="IE12" s="68"/>
      <c r="IF12" s="68"/>
      <c r="IG12" s="68"/>
      <c r="IH12" s="68"/>
      <c r="II12" s="68"/>
      <c r="IJ12" s="68"/>
      <c r="IK12" s="68"/>
      <c r="IM12" s="42">
        <f t="shared" si="124"/>
        <v>-8</v>
      </c>
      <c r="IN12" s="69" t="str">
        <f t="shared" si="125"/>
        <v>http://mkweb.bcgsc.ca/color-summarizer/?url=https://upload.wikimedia.org/wikipedia/commons/thumb/2/20/Flag_of_Delta_Amacuro_State.svg/320px-Flag_of_Delta_Amacuro_State.svg.png&amp;precision=low&amp;num_clusters=8&amp;text=1</v>
      </c>
      <c r="IO12" s="44" t="str">
        <f t="shared" si="126"/>
        <v>"black"</v>
      </c>
      <c r="IP12" s="44" t="str">
        <f t="shared" si="127"/>
        <v>"blue"</v>
      </c>
      <c r="IQ12" s="44" t="str">
        <f t="shared" si="128"/>
        <v>"green"</v>
      </c>
      <c r="IR12" s="44" t="str">
        <f t="shared" si="129"/>
        <v>"red"</v>
      </c>
      <c r="IS12" s="44" t="str">
        <f t="shared" si="130"/>
        <v>"yellow"</v>
      </c>
      <c r="IT12" s="44" t="str">
        <f t="shared" si="131"/>
        <v>"orange"</v>
      </c>
      <c r="IU12" s="44" t="str">
        <f t="shared" si="132"/>
        <v>"brown"</v>
      </c>
      <c r="IV12" s="44" t="str">
        <f t="shared" si="133"/>
        <v/>
      </c>
      <c r="IW12" s="44" t="str">
        <f t="shared" si="134"/>
        <v>"white"</v>
      </c>
      <c r="IX12" s="44" t="str">
        <f t="shared" si="135"/>
        <v>{"url":"http://mkweb.bcgsc.ca/color-summarizer/?url=https://upload.wikimedia.org/wikipedia/commons/thumb/2/20/Flag_of_Delta_Amacuro_State.svg/320px-Flag_of_Delta_Amacuro_State.svg.png&amp;precision=low&amp;num_clusters=8&amp;text=1","name":"[VEN] Delta Amacuro"},</v>
      </c>
      <c r="IY12" s="44">
        <v>1476</v>
      </c>
    </row>
    <row r="13" spans="1:259" s="44" customFormat="1" ht="38.4" customHeight="1" thickBot="1" x14ac:dyDescent="0.35">
      <c r="A13" s="84" t="s">
        <v>774</v>
      </c>
      <c r="B13" s="83" t="e" vm="112">
        <v>#VALUE!</v>
      </c>
      <c r="C13" s="39">
        <v>2</v>
      </c>
      <c r="D13" s="70" t="s">
        <v>775</v>
      </c>
      <c r="E13" s="40" t="s">
        <v>776</v>
      </c>
      <c r="F13" s="41" t="s">
        <v>163</v>
      </c>
      <c r="G13" s="42">
        <f t="shared" si="0"/>
        <v>1</v>
      </c>
      <c r="H13" s="43"/>
      <c r="I13" s="59" t="s">
        <v>777</v>
      </c>
      <c r="J13" s="44" t="str">
        <f>""</f>
        <v/>
      </c>
      <c r="K13" s="45"/>
      <c r="L13" s="46"/>
      <c r="M13" s="46"/>
      <c r="N13" s="47" t="s">
        <v>177</v>
      </c>
      <c r="O13" s="74">
        <v>2006</v>
      </c>
      <c r="P13" s="48" t="s">
        <v>778</v>
      </c>
      <c r="Q13" s="73">
        <v>1</v>
      </c>
      <c r="R13" s="49" t="s">
        <v>177</v>
      </c>
      <c r="S13" s="50">
        <v>2</v>
      </c>
      <c r="T13" s="51" t="s">
        <v>164</v>
      </c>
      <c r="U13" s="52" t="s">
        <v>164</v>
      </c>
      <c r="V13" s="52" t="s">
        <v>165</v>
      </c>
      <c r="W13" s="52" t="s">
        <v>164</v>
      </c>
      <c r="X13" s="52" t="s">
        <v>165</v>
      </c>
      <c r="Y13" s="52" t="s">
        <v>164</v>
      </c>
      <c r="Z13" s="52" t="s">
        <v>164</v>
      </c>
      <c r="AA13" s="52" t="s">
        <v>164</v>
      </c>
      <c r="AB13" s="52" t="s">
        <v>165</v>
      </c>
      <c r="AC13" s="52" t="s">
        <v>164</v>
      </c>
      <c r="AD13" s="52" t="s">
        <v>165</v>
      </c>
      <c r="AE13" s="52" t="s">
        <v>165</v>
      </c>
      <c r="AF13" s="53" t="s">
        <v>164</v>
      </c>
      <c r="AG13" s="53" t="s">
        <v>164</v>
      </c>
      <c r="AH13" s="53" t="s">
        <v>164</v>
      </c>
      <c r="AI13" s="53" t="s">
        <v>164</v>
      </c>
      <c r="AJ13" s="53" t="s">
        <v>164</v>
      </c>
      <c r="AK13" s="53" t="s">
        <v>164</v>
      </c>
      <c r="AL13" s="53" t="s">
        <v>164</v>
      </c>
      <c r="AM13" s="53" t="s">
        <v>164</v>
      </c>
      <c r="AN13" s="53" t="s">
        <v>164</v>
      </c>
      <c r="AO13" s="53" t="s">
        <v>164</v>
      </c>
      <c r="AP13" s="53" t="s">
        <v>164</v>
      </c>
      <c r="AQ13" s="53" t="s">
        <v>164</v>
      </c>
      <c r="AR13" s="53" t="s">
        <v>164</v>
      </c>
      <c r="AS13" s="53" t="s">
        <v>164</v>
      </c>
      <c r="AT13" s="54">
        <v>0</v>
      </c>
      <c r="AU13" s="53" t="s">
        <v>308</v>
      </c>
      <c r="AV13" s="53" t="str">
        <f t="shared" si="1"/>
        <v>[VEN]State[VEN] Falcón</v>
      </c>
      <c r="AW13" s="53" t="str">
        <f t="shared" si="2"/>
        <v>2[VEN] Falcón</v>
      </c>
      <c r="AX13" s="55"/>
      <c r="AY13" s="55"/>
      <c r="AZ13" s="56" t="s">
        <v>234</v>
      </c>
      <c r="BA13" s="56" t="s">
        <v>234</v>
      </c>
      <c r="BB13" s="56"/>
      <c r="BC13" s="57"/>
      <c r="BD13" s="58" t="s">
        <v>152</v>
      </c>
      <c r="BE13" s="59"/>
      <c r="BF13" s="58" t="s">
        <v>154</v>
      </c>
      <c r="BG13" s="58" t="s">
        <v>234</v>
      </c>
      <c r="BH13" s="58" t="s">
        <v>152</v>
      </c>
      <c r="BI13" s="58"/>
      <c r="BJ13" s="58"/>
      <c r="BK13" s="59"/>
      <c r="BL13" s="58" t="s">
        <v>234</v>
      </c>
      <c r="BM13" s="58" t="s">
        <v>152</v>
      </c>
      <c r="BN13" s="58" t="s">
        <v>234</v>
      </c>
      <c r="BO13" s="58" t="s">
        <v>154</v>
      </c>
      <c r="BP13" s="58" t="s">
        <v>155</v>
      </c>
      <c r="BQ13" s="58" t="s">
        <v>234</v>
      </c>
      <c r="BR13" s="58" t="s">
        <v>234</v>
      </c>
      <c r="BS13" s="58" t="s">
        <v>234</v>
      </c>
      <c r="BT13" s="58" t="s">
        <v>159</v>
      </c>
      <c r="BU13" s="60"/>
      <c r="BV13" s="61"/>
      <c r="BW13" s="61">
        <v>0</v>
      </c>
      <c r="BX13" s="59"/>
      <c r="CB13" s="5"/>
      <c r="CC13" s="5"/>
      <c r="CD13" s="62">
        <v>0</v>
      </c>
      <c r="CE13" s="62">
        <v>0</v>
      </c>
      <c r="CF13" s="62" t="e">
        <v>#REF!</v>
      </c>
      <c r="CG13" s="75" cm="1">
        <f t="array" ref="CG13">SUMPRODUCT(--(LEN(TRIM(BL13:BT13))&gt;0))</f>
        <v>4</v>
      </c>
      <c r="CH13" s="53" t="str">
        <f t="shared" si="3"/>
        <v>n</v>
      </c>
      <c r="CI13" s="53" t="str">
        <f t="shared" si="4"/>
        <v>n</v>
      </c>
      <c r="CJ13" s="53" t="str">
        <f t="shared" si="5"/>
        <v>y</v>
      </c>
      <c r="CK13" s="53" t="str">
        <f t="shared" si="6"/>
        <v>n</v>
      </c>
      <c r="CL13" s="53" t="str">
        <f t="shared" si="7"/>
        <v>n</v>
      </c>
      <c r="CM13" s="53" t="str">
        <f t="shared" si="8"/>
        <v>y</v>
      </c>
      <c r="CN13" s="53" t="str">
        <f t="shared" si="9"/>
        <v>n</v>
      </c>
      <c r="CO13" s="53" t="str">
        <f t="shared" si="10"/>
        <v>n</v>
      </c>
      <c r="CP13" s="53" t="str">
        <f t="shared" si="11"/>
        <v>y</v>
      </c>
      <c r="CQ13" s="53" t="str">
        <f t="shared" si="12"/>
        <v>n</v>
      </c>
      <c r="CR13" s="53" t="str">
        <f t="shared" si="13"/>
        <v>n</v>
      </c>
      <c r="CS13" s="53" t="str">
        <f t="shared" si="14"/>
        <v>n</v>
      </c>
      <c r="CT13" s="38" t="str">
        <f t="shared" si="15"/>
        <v>"[VEN] Falcón"</v>
      </c>
      <c r="CU13" s="63" t="str">
        <f t="shared" si="16"/>
        <v>"rgn_South America"</v>
      </c>
      <c r="CV13" s="44" t="str">
        <f t="shared" si="17"/>
        <v>"https://upload.wikimedia.org/wikipedia/commons/thumb/0/0e/Flag_of_Falc%C3%B3n.svg/320px-Flag_of_Falc%C3%B3n.svg.png"</v>
      </c>
      <c r="CW13" s="44" t="str">
        <f t="shared" si="18"/>
        <v/>
      </c>
      <c r="CX13" s="44" t="str">
        <f t="shared" si="19"/>
        <v/>
      </c>
      <c r="CY13" s="44" t="str">
        <f t="shared" si="20"/>
        <v>"4Color",</v>
      </c>
      <c r="CZ13" s="44" t="str">
        <f t="shared" si="21"/>
        <v/>
      </c>
      <c r="DA13" s="44" t="str">
        <f t="shared" si="22"/>
        <v/>
      </c>
      <c r="DB13" s="44" t="str">
        <f t="shared" si="23"/>
        <v/>
      </c>
      <c r="DD13" s="44" t="str">
        <f t="shared" si="136"/>
        <v>"lets06",</v>
      </c>
      <c r="DE13" s="44" t="str">
        <f t="shared" si="137"/>
        <v>"startF",</v>
      </c>
      <c r="DF13" s="44" t="str">
        <f t="shared" si="24"/>
        <v/>
      </c>
      <c r="DG13" s="44" t="str">
        <f t="shared" si="25"/>
        <v/>
      </c>
      <c r="DH13" s="44" t="str">
        <f t="shared" si="26"/>
        <v>"with_v",</v>
      </c>
      <c r="DI13" s="44" t="str">
        <f t="shared" si="27"/>
        <v/>
      </c>
      <c r="DJ13" s="44" t="str">
        <f t="shared" si="28"/>
        <v/>
      </c>
      <c r="DK13" s="44" t="str">
        <f t="shared" si="29"/>
        <v/>
      </c>
      <c r="DL13" s="44" t="str">
        <f t="shared" si="30"/>
        <v/>
      </c>
      <c r="DM13" s="44" t="str" cm="1">
        <f t="array" ref="DM13">IF(CG13=3,CHAR(34) &amp; _xlfn.TEXTJOIN("", TRUE, RIGHT(HP13:HX13, 2)) &amp; CHAR(34) &amp; ",", "")</f>
        <v/>
      </c>
      <c r="DN13" s="44" t="str">
        <f t="shared" si="31"/>
        <v/>
      </c>
      <c r="DO13" s="44" t="str">
        <f t="shared" si="32"/>
        <v/>
      </c>
      <c r="DP13" s="5" t="str">
        <f t="shared" si="33"/>
        <v>"year00",</v>
      </c>
      <c r="DQ13" s="5" t="str">
        <f t="shared" si="34"/>
        <v/>
      </c>
      <c r="DR13" s="5" t="str">
        <f t="shared" si="35"/>
        <v/>
      </c>
      <c r="DS13" s="5" t="str">
        <f t="shared" si="36"/>
        <v/>
      </c>
      <c r="DT13" s="5" t="str">
        <f t="shared" si="37"/>
        <v>"allhor",</v>
      </c>
      <c r="DU13" s="5" t="str">
        <f t="shared" si="38"/>
        <v/>
      </c>
      <c r="DW13" s="44" t="str">
        <f t="shared" si="39"/>
        <v/>
      </c>
      <c r="DX13" s="44" t="str">
        <f t="shared" si="40"/>
        <v>"2Bands",</v>
      </c>
      <c r="DY13" s="44" t="str">
        <f t="shared" si="41"/>
        <v/>
      </c>
      <c r="DZ13" s="44" t="str">
        <f t="shared" si="42"/>
        <v/>
      </c>
      <c r="EA13" s="44" t="str">
        <f t="shared" si="43"/>
        <v/>
      </c>
      <c r="EB13" s="44" t="str">
        <f t="shared" si="44"/>
        <v/>
      </c>
      <c r="EC13" s="44" t="str">
        <f t="shared" si="45"/>
        <v>"Horizo",</v>
      </c>
      <c r="ED13" s="44" t="str">
        <f t="shared" si="46"/>
        <v/>
      </c>
      <c r="EE13" s="44" t="str">
        <f t="shared" si="47"/>
        <v>"Circle",</v>
      </c>
      <c r="EF13" s="44" t="str">
        <f t="shared" si="48"/>
        <v/>
      </c>
      <c r="EG13" s="44" t="str">
        <f t="shared" si="49"/>
        <v/>
      </c>
      <c r="EH13" s="44" t="str">
        <f t="shared" si="50"/>
        <v/>
      </c>
      <c r="EI13" s="44" t="str">
        <f t="shared" si="51"/>
        <v>"Texted",</v>
      </c>
      <c r="EJ13" s="44" t="str">
        <f t="shared" si="52"/>
        <v/>
      </c>
      <c r="EK13" s="44" t="str">
        <f t="shared" si="53"/>
        <v>"HasSun",</v>
      </c>
      <c r="EL13" s="44" t="str">
        <f t="shared" si="54"/>
        <v>"IsMoon",</v>
      </c>
      <c r="EM13" s="44" t="str">
        <f t="shared" si="55"/>
        <v/>
      </c>
      <c r="EN13" s="44" t="str">
        <f t="shared" si="56"/>
        <v/>
      </c>
      <c r="EO13" s="44" t="str">
        <f t="shared" si="57"/>
        <v/>
      </c>
      <c r="EP13" s="44" t="str">
        <f t="shared" si="58"/>
        <v/>
      </c>
      <c r="EQ13" s="44" t="str">
        <f t="shared" si="59"/>
        <v/>
      </c>
      <c r="ER13" s="44" t="str">
        <f t="shared" si="60"/>
        <v/>
      </c>
      <c r="ES13" s="44" t="str">
        <f t="shared" si="61"/>
        <v/>
      </c>
      <c r="ET13" s="44" t="str">
        <f t="shared" si="62"/>
        <v/>
      </c>
      <c r="EU13" s="44" t="str">
        <f t="shared" si="63"/>
        <v/>
      </c>
      <c r="EV13" s="44" t="str">
        <f t="shared" si="64"/>
        <v/>
      </c>
      <c r="EW13" s="44" t="str">
        <f t="shared" si="65"/>
        <v/>
      </c>
      <c r="EX13" s="44" t="str">
        <f t="shared" si="66"/>
        <v/>
      </c>
      <c r="EY13" s="44" t="str">
        <f t="shared" si="67"/>
        <v/>
      </c>
      <c r="EZ13" s="44" t="str">
        <f t="shared" si="68"/>
        <v/>
      </c>
      <c r="FA13" s="44" t="str">
        <f t="shared" si="69"/>
        <v/>
      </c>
      <c r="FB13" s="44" t="str">
        <f t="shared" si="70"/>
        <v/>
      </c>
      <c r="FD13" s="44" t="str">
        <f t="shared" si="71"/>
        <v/>
      </c>
      <c r="FE13" s="44" t="str">
        <f t="shared" si="72"/>
        <v/>
      </c>
      <c r="FF13" s="44" t="str">
        <f t="shared" si="73"/>
        <v/>
      </c>
      <c r="FG13" s="44" t="str">
        <f t="shared" si="74"/>
        <v/>
      </c>
      <c r="FH13" s="44" t="str">
        <f t="shared" si="75"/>
        <v>"NO_GRE",</v>
      </c>
      <c r="FI13" s="44" t="str">
        <f t="shared" si="76"/>
        <v/>
      </c>
      <c r="FJ13" s="44" t="str">
        <f t="shared" si="77"/>
        <v>"NO_BLA",</v>
      </c>
      <c r="FK13" s="44" t="str">
        <f t="shared" si="78"/>
        <v/>
      </c>
      <c r="FL13" s="44" t="str">
        <f t="shared" si="79"/>
        <v/>
      </c>
      <c r="FM13" s="44" t="str">
        <f t="shared" si="80"/>
        <v/>
      </c>
      <c r="FN13" s="44" t="str">
        <f t="shared" si="81"/>
        <v/>
      </c>
      <c r="FO13" s="44" t="str">
        <f t="shared" si="82"/>
        <v/>
      </c>
      <c r="FP13" s="44" t="str">
        <f t="shared" si="83"/>
        <v/>
      </c>
      <c r="FQ13" s="44" t="str">
        <f t="shared" si="84"/>
        <v>"001RED",</v>
      </c>
      <c r="FR13" s="44" t="str">
        <f t="shared" si="85"/>
        <v/>
      </c>
      <c r="FS13" s="44" t="str">
        <f t="shared" si="86"/>
        <v>"003BLU",</v>
      </c>
      <c r="FT13" s="44" t="str">
        <f t="shared" si="87"/>
        <v>"myrBLU",</v>
      </c>
      <c r="FU13" s="44" t="str">
        <f t="shared" si="88"/>
        <v/>
      </c>
      <c r="FV13" s="44" t="str">
        <f t="shared" si="89"/>
        <v/>
      </c>
      <c r="FW13" s="44" t="str">
        <f t="shared" si="90"/>
        <v/>
      </c>
      <c r="FY13" s="44" t="str">
        <f t="shared" si="91"/>
        <v/>
      </c>
      <c r="FZ13" s="44" t="str">
        <f t="shared" si="92"/>
        <v/>
      </c>
      <c r="GA13" s="44" t="str">
        <f t="shared" si="93"/>
        <v/>
      </c>
      <c r="GB13" s="44" t="str">
        <f t="shared" si="94"/>
        <v/>
      </c>
      <c r="GE13" s="44" t="str">
        <f t="shared" si="95"/>
        <v/>
      </c>
      <c r="GF13" s="44" t="str">
        <f t="shared" si="138"/>
        <v/>
      </c>
      <c r="GG13" s="44" t="str">
        <f t="shared" si="96"/>
        <v/>
      </c>
      <c r="GH13" s="44" t="str">
        <f t="shared" si="97"/>
        <v/>
      </c>
      <c r="GI13" s="44" t="str">
        <f t="shared" si="98"/>
        <v/>
      </c>
      <c r="GJ13" s="44" t="str">
        <f t="shared" si="99"/>
        <v>"NoStar",</v>
      </c>
      <c r="GK13" s="44" t="str">
        <f t="shared" si="100"/>
        <v/>
      </c>
      <c r="GL13" s="44" t="str">
        <f t="shared" si="101"/>
        <v/>
      </c>
      <c r="GM13" s="44" t="str">
        <f t="shared" si="102"/>
        <v/>
      </c>
      <c r="GN13" s="44" t="str">
        <f t="shared" si="103"/>
        <v/>
      </c>
      <c r="GP13" s="44" t="str">
        <f t="shared" si="104"/>
        <v>"State"</v>
      </c>
      <c r="GS13" s="44" t="str">
        <f t="shared" si="105"/>
        <v>["4Color","lets06","startF","with_v","year00","allhor","2Bands","Horizo","Circle","Texted","HasSun","IsMoon","NO_GRE","NO_BLA","001RED","003BLU","myrBLU","NoStar"]</v>
      </c>
      <c r="GT13" s="44" t="str">
        <f t="shared" si="106"/>
        <v/>
      </c>
      <c r="GU13" s="44" t="str">
        <f t="shared" si="107"/>
        <v>"cl_BLU",</v>
      </c>
      <c r="GV13" s="44" t="str">
        <f t="shared" si="108"/>
        <v/>
      </c>
      <c r="GW13" s="44" t="str">
        <f t="shared" si="109"/>
        <v>"cl_RED",</v>
      </c>
      <c r="GX13" s="44" t="str">
        <f t="shared" si="110"/>
        <v>"cl_YEL",</v>
      </c>
      <c r="GY13" s="44" t="str">
        <f t="shared" si="111"/>
        <v/>
      </c>
      <c r="GZ13" s="44" t="str">
        <f t="shared" si="112"/>
        <v/>
      </c>
      <c r="HA13" s="44" t="str">
        <f t="shared" si="113"/>
        <v/>
      </c>
      <c r="HB13" s="44" t="str">
        <f t="shared" si="114"/>
        <v>"cl_WHI",</v>
      </c>
      <c r="HC13" s="44" t="str">
        <f t="shared" si="115"/>
        <v>["cl_BLU","cl_RED","cl_YEL","cl_WHI"]</v>
      </c>
      <c r="HE13" s="64"/>
      <c r="HF13" s="65" t="str">
        <f t="shared" si="116"/>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links: "https://en.wikipedia.org/wiki/Flag_of_Falc%C3%B3n"},</v>
      </c>
      <c r="HG13" s="66" t="str">
        <f t="shared" si="117"/>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links: "https://en.wikipedia.org/wiki/Flag_of_Falc%C3%B3n"},</v>
      </c>
      <c r="HH13" s="44" t="str">
        <f t="shared" si="118"/>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I13" s="44" t="str">
        <f t="shared" si="119"/>
        <v>"\nThe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v>
      </c>
      <c r="HJ13" s="44" t="str">
        <f t="shared" si="120"/>
        <v>"2006"</v>
      </c>
      <c r="HL13" s="44" t="str">
        <f t="shared" si="121"/>
        <v>"https://en.wikipedia.org/wiki/Flag_of_Falc%C3%B3n"</v>
      </c>
      <c r="HM13" s="65" t="str">
        <f t="shared" si="122"/>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N13" s="67" t="str">
        <f t="shared" si="123"/>
        <v>{"couname":"[VEN] Falcón","year":"2006","region":"rgn_South America","Colors":["cl_BLU","cl_RED","cl_YEL","cl_WHI"],"Items":["4Color","lets06","startF","with_v","year00","allhor","2Bands","Horizo","Circle","Texted","HasSun","IsMoon","NO_GRE","NO_BLA","001RED","003BLU","myrBLU","NoStar"],"Flag":"https://upload.wikimedia.org/wikipedia/commons/thumb/0/0e/Flag_of_Falc%C3%B3n.svg/320px-Flag_of_Falc%C3%B3n.svg.png","HDFlag":"https://upload.wikimedia.org/wikipedia/commons/thumb/0/0e/Flag_of_Falc%C3%B3n.svg/800px-Flag_of_Falc%C3%B3n.svg.png","type":"State", "describe": "\nThe current state flag was adopted in 2006. The flag design is based on a naval flag used by Miranda on the voyage of his warship Leander. \n\nFor a long time, the prevailing understanding in Venezuela was that Leander had carried the yellow-blue-red tricolour flag as its naval flag. This position had been corroborated by testimonies of participants in Miranda's 1806 mission. But in the 1910s Dr. Manuel Segundo Sánchez, director of the National Library of Caracas, challenged the notion that the tricolour had been flown as the naval flag of Leander. At the General Archive of the Indies in Seville, Sanchez had uncovered correspondence of the Spanish colonial authorities which included a facsimile drawing of a naval flag used by Miranda in 1806. It was a blue banner with a sun and a moon – in Sanchez's interpretation, the blue colour would represent both sky and sea, whilst the rising sun would represent the rising American liberty and the full moon of the declining Spanish empire. Above the flag, there was a red pennant with the words 'MVERA LA TIRANIA Y VIVA LA &amp;&amp;&amp;' – for Sanchez, '&amp;&amp;&amp;' would have represented the word 'libertad' ('Liberty').", "isnew": ".", "links": "https://en.wikipedia.org/wiki/Flag_of_Falc%C3%B3n"},</v>
      </c>
      <c r="HO13" s="71">
        <v>45610</v>
      </c>
      <c r="HP13" s="44" t="str" cm="1">
        <f t="array" ref="HP13">IF(_xlfn.TEXTJOIN(", ", TRUE, IF(ISNUMBER(SEARCH("BLA", BL13:BT13)), COLUMN(BL13:BT13) - COLUMN(BL13) + 1, ""))&lt;&gt;"","BLA","")</f>
        <v/>
      </c>
      <c r="HQ13" s="44" t="str" cm="1">
        <f t="array" ref="HQ13">IF(_xlfn.TEXTJOIN(", ", TRUE, IF(ISNUMBER(SEARCH("BLU", BL13:BT13)), COLUMN(BL13:BT13) - COLUMN(BL13) + 1, ""))&lt;&gt;"","BLU","")</f>
        <v>BLU</v>
      </c>
      <c r="HR13" s="44" t="str" cm="1">
        <f t="array" ref="HR13">IF(_xlfn.TEXTJOIN(", ", TRUE, IF(ISNUMBER(SEARCH("GRE", BL13:BT13)), COLUMN(BL13:BT13) - COLUMN(BL13) + 1, ""))&lt;&gt;"","GRE","")</f>
        <v/>
      </c>
      <c r="HS13" s="44" t="str" cm="1">
        <f t="array" ref="HS13">IF(_xlfn.TEXTJOIN(", ", TRUE, IF(ISNUMBER(SEARCH("RED", BL13:BT13)), COLUMN(BL13:BT13) - COLUMN(BL13) + 1, ""))&lt;&gt;"","RED","")</f>
        <v>RED</v>
      </c>
      <c r="HT13" s="44" t="str" cm="1">
        <f t="array" ref="HT13">IF(_xlfn.TEXTJOIN(", ", TRUE, IF(ISNUMBER(SEARCH("YEL", BL13:BT13)), COLUMN(BL13:BT13) - COLUMN(BL13) + 1, ""))&lt;&gt;"","YEL","")</f>
        <v>YEL</v>
      </c>
      <c r="HU13" s="44" t="str" cm="1">
        <f t="array" ref="HU13">IF(_xlfn.TEXTJOIN(", ", TRUE, IF(ISNUMBER(SEARCH("ORA", BL13:BT13)), COLUMN(BL13:BT13) - COLUMN(BL13) + 1, ""))&lt;&gt;"","ORA","")</f>
        <v/>
      </c>
      <c r="HV13" s="44" t="str" cm="1">
        <f t="array" ref="HV13">IF(_xlfn.TEXTJOIN(", ", TRUE, IF(ISNUMBER(SEARCH("BRO", BL13:BT13)), COLUMN(BL13:BT13) - COLUMN(BL13) + 1, ""))&lt;&gt;"","BRO","")</f>
        <v/>
      </c>
      <c r="HW13" s="44" t="str" cm="1">
        <f t="array" ref="HW13">IF(_xlfn.TEXTJOIN(", ", TRUE, IF(ISNUMBER(SEARCH("PUR", BL13:BT13)), COLUMN(BL13:BT13) - COLUMN(BL13) + 1, ""))&lt;&gt;"","PUR","")</f>
        <v/>
      </c>
      <c r="HX13" s="44" t="str" cm="1">
        <f t="array" ref="HX13">IF(_xlfn.TEXTJOIN(", ", TRUE, IF(ISNUMBER(SEARCH("WHI", BL13:BT13)), COLUMN(BL13:BT13) - COLUMN(BL13) + 1, ""))&lt;&gt;"","WHI","")</f>
        <v>WHI</v>
      </c>
      <c r="HY13" s="72"/>
      <c r="HZ13" s="72"/>
      <c r="IA13" s="5"/>
      <c r="IB13" s="5"/>
      <c r="IC13" s="68"/>
      <c r="ID13" s="68"/>
      <c r="IE13" s="68"/>
      <c r="IF13" s="68"/>
      <c r="IG13" s="68"/>
      <c r="IH13" s="68"/>
      <c r="II13" s="68"/>
      <c r="IJ13" s="68"/>
      <c r="IK13" s="68"/>
      <c r="IM13" s="42">
        <f t="shared" si="124"/>
        <v>-4</v>
      </c>
      <c r="IN13" s="69" t="str">
        <f t="shared" si="125"/>
        <v>http://mkweb.bcgsc.ca/color-summarizer/?url=https://upload.wikimedia.org/wikipedia/commons/thumb/0/0e/Flag_of_Falc%C3%B3n.svg/320px-Flag_of_Falc%C3%B3n.svg.png&amp;precision=low&amp;num_clusters=4&amp;text=1</v>
      </c>
      <c r="IO13" s="44" t="str">
        <f t="shared" si="126"/>
        <v/>
      </c>
      <c r="IP13" s="44" t="str">
        <f t="shared" si="127"/>
        <v>"blue"</v>
      </c>
      <c r="IQ13" s="44" t="str">
        <f t="shared" si="128"/>
        <v/>
      </c>
      <c r="IR13" s="44" t="str">
        <f t="shared" si="129"/>
        <v>"red"</v>
      </c>
      <c r="IS13" s="44" t="str">
        <f t="shared" si="130"/>
        <v>"yellow"</v>
      </c>
      <c r="IT13" s="44" t="str">
        <f t="shared" si="131"/>
        <v/>
      </c>
      <c r="IU13" s="44" t="str">
        <f t="shared" si="132"/>
        <v/>
      </c>
      <c r="IV13" s="44" t="str">
        <f t="shared" si="133"/>
        <v/>
      </c>
      <c r="IW13" s="44" t="str">
        <f t="shared" si="134"/>
        <v>"white"</v>
      </c>
      <c r="IX13" s="44" t="str">
        <f t="shared" si="135"/>
        <v>{"url":"http://mkweb.bcgsc.ca/color-summarizer/?url=https://upload.wikimedia.org/wikipedia/commons/thumb/0/0e/Flag_of_Falc%C3%B3n.svg/320px-Flag_of_Falc%C3%B3n.svg.png&amp;precision=low&amp;num_clusters=4&amp;text=1","name":"[VEN] Falcón"},</v>
      </c>
      <c r="IY13" s="44">
        <v>1477</v>
      </c>
    </row>
    <row r="14" spans="1:259" s="44" customFormat="1" ht="38.4" customHeight="1" thickBot="1" x14ac:dyDescent="0.35">
      <c r="A14" s="84" t="s">
        <v>779</v>
      </c>
      <c r="B14" s="83" t="e" vm="113">
        <v>#VALUE!</v>
      </c>
      <c r="C14" s="39">
        <v>2</v>
      </c>
      <c r="D14" s="70" t="s">
        <v>780</v>
      </c>
      <c r="E14" s="40" t="s">
        <v>781</v>
      </c>
      <c r="F14" s="41" t="s">
        <v>163</v>
      </c>
      <c r="G14" s="42">
        <f t="shared" si="0"/>
        <v>1</v>
      </c>
      <c r="H14" s="43"/>
      <c r="I14" s="59" t="s">
        <v>758</v>
      </c>
      <c r="J14" s="44" t="str">
        <f>""</f>
        <v/>
      </c>
      <c r="K14" s="45"/>
      <c r="L14" s="46"/>
      <c r="M14" s="46"/>
      <c r="N14" s="47" t="s">
        <v>177</v>
      </c>
      <c r="O14" s="74">
        <v>1995</v>
      </c>
      <c r="P14" s="48" t="s">
        <v>782</v>
      </c>
      <c r="Q14" s="73">
        <v>1</v>
      </c>
      <c r="R14" s="49" t="s">
        <v>177</v>
      </c>
      <c r="S14" s="50">
        <v>4</v>
      </c>
      <c r="T14" s="51" t="s">
        <v>164</v>
      </c>
      <c r="U14" s="52" t="s">
        <v>164</v>
      </c>
      <c r="V14" s="52" t="s">
        <v>165</v>
      </c>
      <c r="W14" s="52" t="s">
        <v>164</v>
      </c>
      <c r="X14" s="52" t="s">
        <v>164</v>
      </c>
      <c r="Y14" s="52" t="s">
        <v>165</v>
      </c>
      <c r="Z14" s="52" t="s">
        <v>164</v>
      </c>
      <c r="AA14" s="52" t="s">
        <v>165</v>
      </c>
      <c r="AB14" s="52" t="s">
        <v>164</v>
      </c>
      <c r="AC14" s="52" t="s">
        <v>165</v>
      </c>
      <c r="AD14" s="52" t="s">
        <v>164</v>
      </c>
      <c r="AE14" s="52" t="s">
        <v>164</v>
      </c>
      <c r="AF14" s="53" t="s">
        <v>164</v>
      </c>
      <c r="AG14" s="53" t="s">
        <v>165</v>
      </c>
      <c r="AH14" s="53" t="s">
        <v>165</v>
      </c>
      <c r="AI14" s="53" t="s">
        <v>164</v>
      </c>
      <c r="AJ14" s="53" t="s">
        <v>164</v>
      </c>
      <c r="AK14" s="53" t="s">
        <v>164</v>
      </c>
      <c r="AL14" s="53" t="s">
        <v>164</v>
      </c>
      <c r="AM14" s="53" t="s">
        <v>165</v>
      </c>
      <c r="AN14" s="53" t="s">
        <v>165</v>
      </c>
      <c r="AO14" s="53" t="s">
        <v>164</v>
      </c>
      <c r="AP14" s="53" t="s">
        <v>164</v>
      </c>
      <c r="AQ14" s="53" t="s">
        <v>164</v>
      </c>
      <c r="AR14" s="53" t="s">
        <v>164</v>
      </c>
      <c r="AS14" s="53" t="s">
        <v>164</v>
      </c>
      <c r="AT14" s="54">
        <v>15</v>
      </c>
      <c r="AU14" s="53" t="s">
        <v>308</v>
      </c>
      <c r="AV14" s="53" t="str">
        <f t="shared" si="1"/>
        <v>[VEN]State[VEN] Guárico</v>
      </c>
      <c r="AW14" s="53" t="str">
        <f t="shared" si="2"/>
        <v>2[VEN] Guárico</v>
      </c>
      <c r="AX14" s="55"/>
      <c r="AY14" s="55"/>
      <c r="AZ14" s="56" t="s">
        <v>151</v>
      </c>
      <c r="BA14" s="56" t="s">
        <v>155</v>
      </c>
      <c r="BB14" s="56"/>
      <c r="BC14" s="57"/>
      <c r="BD14" s="58" t="s">
        <v>167</v>
      </c>
      <c r="BE14" s="59"/>
      <c r="BF14" s="58" t="s">
        <v>152</v>
      </c>
      <c r="BG14" s="58" t="s">
        <v>234</v>
      </c>
      <c r="BH14" s="58" t="s">
        <v>153</v>
      </c>
      <c r="BI14" s="58"/>
      <c r="BJ14" s="58"/>
      <c r="BK14" s="59"/>
      <c r="BL14" s="58" t="s">
        <v>151</v>
      </c>
      <c r="BM14" s="58" t="s">
        <v>152</v>
      </c>
      <c r="BN14" s="58" t="s">
        <v>153</v>
      </c>
      <c r="BO14" s="58" t="s">
        <v>154</v>
      </c>
      <c r="BP14" s="58" t="s">
        <v>155</v>
      </c>
      <c r="BQ14" s="58" t="s">
        <v>234</v>
      </c>
      <c r="BR14" s="58" t="s">
        <v>157</v>
      </c>
      <c r="BS14" s="58" t="s">
        <v>234</v>
      </c>
      <c r="BT14" s="58" t="s">
        <v>159</v>
      </c>
      <c r="BU14" s="60"/>
      <c r="BV14" s="61"/>
      <c r="BW14" s="61">
        <v>0</v>
      </c>
      <c r="BX14" s="59"/>
      <c r="CB14" s="5"/>
      <c r="CC14" s="5"/>
      <c r="CD14" s="62">
        <v>0</v>
      </c>
      <c r="CE14" s="62">
        <v>1</v>
      </c>
      <c r="CF14" s="62" t="e">
        <v>#REF!</v>
      </c>
      <c r="CG14" s="75" cm="1">
        <f t="array" ref="CG14">SUMPRODUCT(--(LEN(TRIM(BL14:BT14))&gt;0))</f>
        <v>7</v>
      </c>
      <c r="CH14" s="53" t="str">
        <f t="shared" si="3"/>
        <v>n</v>
      </c>
      <c r="CI14" s="53" t="str">
        <f t="shared" si="4"/>
        <v>n</v>
      </c>
      <c r="CJ14" s="53" t="str">
        <f t="shared" si="5"/>
        <v>n</v>
      </c>
      <c r="CK14" s="53" t="str">
        <f t="shared" si="6"/>
        <v>y</v>
      </c>
      <c r="CL14" s="53" t="str">
        <f t="shared" si="7"/>
        <v>n</v>
      </c>
      <c r="CM14" s="53" t="str">
        <f t="shared" si="8"/>
        <v>n</v>
      </c>
      <c r="CN14" s="53" t="str">
        <f t="shared" si="9"/>
        <v>n</v>
      </c>
      <c r="CO14" s="53" t="str">
        <f t="shared" si="10"/>
        <v>y</v>
      </c>
      <c r="CP14" s="53" t="str">
        <f t="shared" si="11"/>
        <v>n</v>
      </c>
      <c r="CQ14" s="53" t="str">
        <f t="shared" si="12"/>
        <v>n</v>
      </c>
      <c r="CR14" s="53" t="str">
        <f t="shared" si="13"/>
        <v>n</v>
      </c>
      <c r="CS14" s="53" t="str">
        <f t="shared" si="14"/>
        <v>y</v>
      </c>
      <c r="CT14" s="38" t="str">
        <f t="shared" si="15"/>
        <v>"[VEN] Guárico"</v>
      </c>
      <c r="CU14" s="63" t="str">
        <f t="shared" si="16"/>
        <v>"rgn_South America"</v>
      </c>
      <c r="CV14" s="44" t="str">
        <f t="shared" si="17"/>
        <v>"https://upload.wikimedia.org/wikipedia/commons/thumb/a/a2/Flag_of_Gu%C3%A1rico_State.svg/320px-Flag_of_Gu%C3%A1rico_State.svg.png"</v>
      </c>
      <c r="CW14" s="44" t="str">
        <f t="shared" si="18"/>
        <v/>
      </c>
      <c r="CX14" s="44" t="str">
        <f t="shared" si="19"/>
        <v/>
      </c>
      <c r="CY14" s="44" t="str">
        <f t="shared" si="20"/>
        <v/>
      </c>
      <c r="CZ14" s="44" t="str">
        <f t="shared" si="21"/>
        <v>"5+Colo",</v>
      </c>
      <c r="DA14" s="44" t="str">
        <f t="shared" si="22"/>
        <v/>
      </c>
      <c r="DB14" s="44" t="str">
        <f t="shared" si="23"/>
        <v/>
      </c>
      <c r="DD14" s="44" t="str">
        <f t="shared" si="136"/>
        <v>"lets07",</v>
      </c>
      <c r="DE14" s="44" t="str">
        <f t="shared" si="137"/>
        <v>"startG",</v>
      </c>
      <c r="DF14" s="44" t="str">
        <f t="shared" si="24"/>
        <v/>
      </c>
      <c r="DG14" s="44" t="str">
        <f t="shared" si="25"/>
        <v/>
      </c>
      <c r="DH14" s="44" t="str">
        <f t="shared" si="26"/>
        <v>"with_v",</v>
      </c>
      <c r="DI14" s="44" t="str">
        <f t="shared" si="27"/>
        <v/>
      </c>
      <c r="DJ14" s="44" t="str">
        <f t="shared" si="28"/>
        <v/>
      </c>
      <c r="DK14" s="44" t="str">
        <f t="shared" si="29"/>
        <v/>
      </c>
      <c r="DL14" s="44" t="str">
        <f t="shared" si="30"/>
        <v/>
      </c>
      <c r="DM14" s="44" t="str" cm="1">
        <f t="array" ref="DM14">IF(CG14=3,CHAR(34) &amp; _xlfn.TEXTJOIN("", TRUE, RIGHT(HP14:HX14, 2)) &amp; CHAR(34) &amp; ",", "")</f>
        <v/>
      </c>
      <c r="DN14" s="44" t="str">
        <f t="shared" si="31"/>
        <v/>
      </c>
      <c r="DO14" s="44" t="str">
        <f t="shared" si="32"/>
        <v>"year19",</v>
      </c>
      <c r="DP14" s="5" t="str">
        <f t="shared" si="33"/>
        <v/>
      </c>
      <c r="DQ14" s="5" t="str">
        <f t="shared" si="34"/>
        <v/>
      </c>
      <c r="DR14" s="5" t="str">
        <f t="shared" si="35"/>
        <v/>
      </c>
      <c r="DS14" s="5" t="str">
        <f t="shared" si="36"/>
        <v/>
      </c>
      <c r="DT14" s="5" t="str">
        <f t="shared" si="37"/>
        <v>"allhor",</v>
      </c>
      <c r="DU14" s="5" t="str">
        <f t="shared" si="38"/>
        <v/>
      </c>
      <c r="DW14" s="44" t="str">
        <f t="shared" si="39"/>
        <v/>
      </c>
      <c r="DX14" s="44" t="str">
        <f t="shared" si="40"/>
        <v/>
      </c>
      <c r="DY14" s="44" t="str">
        <f t="shared" si="41"/>
        <v/>
      </c>
      <c r="DZ14" s="44" t="str">
        <f t="shared" si="42"/>
        <v>"4+Band",</v>
      </c>
      <c r="EA14" s="44" t="str">
        <f t="shared" si="43"/>
        <v/>
      </c>
      <c r="EB14" s="44" t="str">
        <f t="shared" si="44"/>
        <v/>
      </c>
      <c r="EC14" s="44" t="str">
        <f t="shared" si="45"/>
        <v>"Horizo",</v>
      </c>
      <c r="ED14" s="44" t="str">
        <f t="shared" si="46"/>
        <v/>
      </c>
      <c r="EE14" s="44" t="str">
        <f t="shared" si="47"/>
        <v/>
      </c>
      <c r="EF14" s="44" t="str">
        <f t="shared" si="48"/>
        <v>"Animal",</v>
      </c>
      <c r="EG14" s="44" t="str">
        <f t="shared" si="49"/>
        <v/>
      </c>
      <c r="EH14" s="44" t="str">
        <f t="shared" si="50"/>
        <v>"Plants",</v>
      </c>
      <c r="EI14" s="44" t="str">
        <f t="shared" si="51"/>
        <v/>
      </c>
      <c r="EJ14" s="44" t="str">
        <f t="shared" si="52"/>
        <v>"Weapon",</v>
      </c>
      <c r="EK14" s="44" t="str">
        <f t="shared" si="53"/>
        <v/>
      </c>
      <c r="EL14" s="44" t="str">
        <f t="shared" si="54"/>
        <v/>
      </c>
      <c r="EM14" s="44" t="str">
        <f t="shared" si="55"/>
        <v/>
      </c>
      <c r="EN14" s="44" t="str">
        <f t="shared" si="56"/>
        <v>"Unequa",</v>
      </c>
      <c r="EO14" s="44" t="str">
        <f t="shared" si="57"/>
        <v>"Center",</v>
      </c>
      <c r="EP14" s="44" t="str">
        <f t="shared" si="58"/>
        <v/>
      </c>
      <c r="EQ14" s="44" t="str">
        <f t="shared" si="59"/>
        <v/>
      </c>
      <c r="ER14" s="44" t="str">
        <f t="shared" si="60"/>
        <v/>
      </c>
      <c r="ES14" s="44" t="str">
        <f t="shared" si="61"/>
        <v/>
      </c>
      <c r="ET14" s="44" t="str">
        <f t="shared" si="62"/>
        <v>"Geogrh",</v>
      </c>
      <c r="EU14" s="44" t="str">
        <f t="shared" si="63"/>
        <v>"Humans",</v>
      </c>
      <c r="EV14" s="44" t="str">
        <f t="shared" si="64"/>
        <v/>
      </c>
      <c r="EW14" s="44" t="str">
        <f t="shared" si="65"/>
        <v/>
      </c>
      <c r="EX14" s="44" t="str">
        <f t="shared" si="66"/>
        <v/>
      </c>
      <c r="EY14" s="44" t="str">
        <f t="shared" si="67"/>
        <v/>
      </c>
      <c r="EZ14" s="44" t="str">
        <f t="shared" si="68"/>
        <v/>
      </c>
      <c r="FA14" s="44" t="str">
        <f t="shared" si="69"/>
        <v>"staBLA",</v>
      </c>
      <c r="FB14" s="44" t="str">
        <f t="shared" si="70"/>
        <v>"staYEL",</v>
      </c>
      <c r="FD14" s="44" t="str">
        <f t="shared" si="71"/>
        <v/>
      </c>
      <c r="FE14" s="44" t="str">
        <f t="shared" si="72"/>
        <v/>
      </c>
      <c r="FF14" s="44" t="str">
        <f t="shared" si="73"/>
        <v/>
      </c>
      <c r="FG14" s="44" t="str">
        <f t="shared" si="74"/>
        <v/>
      </c>
      <c r="FH14" s="44" t="str">
        <f t="shared" si="75"/>
        <v/>
      </c>
      <c r="FI14" s="44" t="str">
        <f t="shared" si="76"/>
        <v/>
      </c>
      <c r="FJ14" s="44" t="str">
        <f t="shared" si="77"/>
        <v/>
      </c>
      <c r="FK14" s="44" t="str">
        <f t="shared" si="78"/>
        <v/>
      </c>
      <c r="FL14" s="44" t="str">
        <f t="shared" si="79"/>
        <v/>
      </c>
      <c r="FM14" s="44" t="str">
        <f t="shared" si="80"/>
        <v/>
      </c>
      <c r="FN14" s="44" t="str">
        <f t="shared" si="81"/>
        <v/>
      </c>
      <c r="FO14" s="44" t="str">
        <f t="shared" si="82"/>
        <v/>
      </c>
      <c r="FP14" s="44" t="str">
        <f t="shared" si="83"/>
        <v/>
      </c>
      <c r="FQ14" s="44" t="str">
        <f t="shared" si="84"/>
        <v>"001BLU",</v>
      </c>
      <c r="FR14" s="44" t="str">
        <f t="shared" si="85"/>
        <v/>
      </c>
      <c r="FS14" s="44" t="str">
        <f t="shared" si="86"/>
        <v>"003GRE",</v>
      </c>
      <c r="FT14" s="44" t="str">
        <f t="shared" si="87"/>
        <v>"myrEQ",</v>
      </c>
      <c r="FU14" s="44" t="str">
        <f t="shared" si="88"/>
        <v/>
      </c>
      <c r="FV14" s="44" t="str">
        <f t="shared" si="89"/>
        <v/>
      </c>
      <c r="FW14" s="44" t="str">
        <f t="shared" si="90"/>
        <v/>
      </c>
      <c r="FY14" s="44" t="str">
        <f t="shared" si="91"/>
        <v/>
      </c>
      <c r="FZ14" s="44" t="str">
        <f t="shared" si="92"/>
        <v/>
      </c>
      <c r="GA14" s="44" t="str">
        <f t="shared" si="93"/>
        <v/>
      </c>
      <c r="GB14" s="44" t="str">
        <f t="shared" si="94"/>
        <v/>
      </c>
      <c r="GE14" s="44" t="str">
        <f t="shared" si="95"/>
        <v/>
      </c>
      <c r="GF14" s="44" t="str">
        <f t="shared" si="138"/>
        <v/>
      </c>
      <c r="GG14" s="44" t="str">
        <f t="shared" si="96"/>
        <v/>
      </c>
      <c r="GH14" s="44" t="str">
        <f t="shared" si="97"/>
        <v/>
      </c>
      <c r="GI14" s="44" t="str">
        <f t="shared" si="98"/>
        <v>"hasmap",</v>
      </c>
      <c r="GJ14" s="44" t="str">
        <f t="shared" si="99"/>
        <v/>
      </c>
      <c r="GK14" s="44" t="str">
        <f t="shared" si="100"/>
        <v>"HasSta",</v>
      </c>
      <c r="GL14" s="44" t="str">
        <f t="shared" si="101"/>
        <v/>
      </c>
      <c r="GM14" s="44" t="str">
        <f t="shared" si="102"/>
        <v/>
      </c>
      <c r="GN14" s="44" t="str">
        <f t="shared" si="103"/>
        <v>"3+Star",</v>
      </c>
      <c r="GP14" s="44" t="str">
        <f t="shared" si="104"/>
        <v>"State"</v>
      </c>
      <c r="GS14" s="44" t="str">
        <f t="shared" si="105"/>
        <v>["5+Colo","lets07","startG","with_v","year19","allhor","4+Band","Horizo","Animal","Plants","Weapon","Unequa","Center","Geogrh","Humans","staBLA","staYEL","001BLU","003GRE","myrEQ","hasmap","HasSta","3+Star"]</v>
      </c>
      <c r="GT14" s="44" t="str">
        <f t="shared" si="106"/>
        <v>"cl_BLA",</v>
      </c>
      <c r="GU14" s="44" t="str">
        <f t="shared" si="107"/>
        <v>"cl_BLU",</v>
      </c>
      <c r="GV14" s="44" t="str">
        <f t="shared" si="108"/>
        <v>"cl_GRE",</v>
      </c>
      <c r="GW14" s="44" t="str">
        <f t="shared" si="109"/>
        <v>"cl_RED",</v>
      </c>
      <c r="GX14" s="44" t="str">
        <f t="shared" si="110"/>
        <v>"cl_YEL",</v>
      </c>
      <c r="GY14" s="44" t="str">
        <f t="shared" si="111"/>
        <v/>
      </c>
      <c r="GZ14" s="44" t="str">
        <f t="shared" si="112"/>
        <v>"cl_BRO",</v>
      </c>
      <c r="HA14" s="44" t="str">
        <f t="shared" si="113"/>
        <v/>
      </c>
      <c r="HB14" s="44" t="str">
        <f t="shared" si="114"/>
        <v>"cl_WHI",</v>
      </c>
      <c r="HC14" s="44" t="str">
        <f t="shared" si="115"/>
        <v>["cl_BLA","cl_BLU","cl_GRE","cl_RED","cl_YEL","cl_BRO","cl_WHI"]</v>
      </c>
      <c r="HE14" s="64"/>
      <c r="HF14" s="65" t="str">
        <f t="shared" si="116"/>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links: "https://en.wikipedia.org/wiki/List_of_flags_of_Venezuela#Administrative_divisions_flags"},</v>
      </c>
      <c r="HG14" s="66" t="str">
        <f t="shared" si="117"/>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links: "https://en.wikipedia.org/wiki/List_of_flags_of_Venezuela#Administrative_divisions_flags"},</v>
      </c>
      <c r="HH14" s="44" t="str">
        <f t="shared" si="118"/>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I14" s="44" t="str">
        <f t="shared" si="119"/>
        <v>"\nThe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v>
      </c>
      <c r="HJ14" s="44" t="str">
        <f t="shared" si="120"/>
        <v>"1995"</v>
      </c>
      <c r="HL14" s="44" t="str">
        <f t="shared" si="121"/>
        <v>"https://en.wikipedia.org/wiki/List_of_flags_of_Venezuela#Administrative_divisions_flags"</v>
      </c>
      <c r="HM14" s="65" t="str">
        <f t="shared" si="122"/>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N14" s="67" t="str">
        <f t="shared" si="123"/>
        <v>{"couname":"[VEN] Guárico","year":"1995","region":"rgn_South America","Colors":["cl_BLA","cl_BLU","cl_GRE","cl_RED","cl_YEL","cl_BRO","cl_WHI"],"Items":["5+Colo","lets07","startG","with_v","year19","allhor","4+Band","Horizo","Animal","Plants","Weapon","Unequa","Center","Geogrh","Humans","staBLA","staYEL","001BLU","003GRE","myrEQ","hasmap","HasSta","3+Star"],"Flag":"https://upload.wikimedia.org/wikipedia/commons/thumb/a/a2/Flag_of_Gu%C3%A1rico_State.svg/320px-Flag_of_Gu%C3%A1rico_State.svg.png","HDFlag":"https://upload.wikimedia.org/wikipedia/commons/thumb/a/a2/Flag_of_Gu%C3%A1rico_State.svg/800px-Flag_of_Gu%C3%A1rico_State.svg.png","type":"State", "describe": "\nThe is divided into four horizontal bands of blue, white, yellow, and green, with the state's coat of arms on the hoist side of the blue band; charged with a half-blue, half-green outline of the map bearing a cow's head sided by an ear of rice and an ear of sorghum, and an image of the Morros de San Juan. The map is surrounded by fifteen golden stars, seven on each side and one in the bottom.", "isnew": ".", "links": "https://en.wikipedia.org/wiki/List_of_flags_of_Venezuela#Administrative_divisions_flags"},</v>
      </c>
      <c r="HO14" s="71">
        <v>45610</v>
      </c>
      <c r="HP14" s="44" t="str" cm="1">
        <f t="array" ref="HP14">IF(_xlfn.TEXTJOIN(", ", TRUE, IF(ISNUMBER(SEARCH("BLA", BL14:BT14)), COLUMN(BL14:BT14) - COLUMN(BL14) + 1, ""))&lt;&gt;"","BLA","")</f>
        <v>BLA</v>
      </c>
      <c r="HQ14" s="44" t="str" cm="1">
        <f t="array" ref="HQ14">IF(_xlfn.TEXTJOIN(", ", TRUE, IF(ISNUMBER(SEARCH("BLU", BL14:BT14)), COLUMN(BL14:BT14) - COLUMN(BL14) + 1, ""))&lt;&gt;"","BLU","")</f>
        <v>BLU</v>
      </c>
      <c r="HR14" s="44" t="str" cm="1">
        <f t="array" ref="HR14">IF(_xlfn.TEXTJOIN(", ", TRUE, IF(ISNUMBER(SEARCH("GRE", BL14:BT14)), COLUMN(BL14:BT14) - COLUMN(BL14) + 1, ""))&lt;&gt;"","GRE","")</f>
        <v>GRE</v>
      </c>
      <c r="HS14" s="44" t="str" cm="1">
        <f t="array" ref="HS14">IF(_xlfn.TEXTJOIN(", ", TRUE, IF(ISNUMBER(SEARCH("RED", BL14:BT14)), COLUMN(BL14:BT14) - COLUMN(BL14) + 1, ""))&lt;&gt;"","RED","")</f>
        <v>RED</v>
      </c>
      <c r="HT14" s="44" t="str" cm="1">
        <f t="array" ref="HT14">IF(_xlfn.TEXTJOIN(", ", TRUE, IF(ISNUMBER(SEARCH("YEL", BL14:BT14)), COLUMN(BL14:BT14) - COLUMN(BL14) + 1, ""))&lt;&gt;"","YEL","")</f>
        <v>YEL</v>
      </c>
      <c r="HU14" s="44" t="str" cm="1">
        <f t="array" ref="HU14">IF(_xlfn.TEXTJOIN(", ", TRUE, IF(ISNUMBER(SEARCH("ORA", BL14:BT14)), COLUMN(BL14:BT14) - COLUMN(BL14) + 1, ""))&lt;&gt;"","ORA","")</f>
        <v/>
      </c>
      <c r="HV14" s="44" t="str" cm="1">
        <f t="array" ref="HV14">IF(_xlfn.TEXTJOIN(", ", TRUE, IF(ISNUMBER(SEARCH("BRO", BL14:BT14)), COLUMN(BL14:BT14) - COLUMN(BL14) + 1, ""))&lt;&gt;"","BRO","")</f>
        <v>BRO</v>
      </c>
      <c r="HW14" s="44" t="str" cm="1">
        <f t="array" ref="HW14">IF(_xlfn.TEXTJOIN(", ", TRUE, IF(ISNUMBER(SEARCH("PUR", BL14:BT14)), COLUMN(BL14:BT14) - COLUMN(BL14) + 1, ""))&lt;&gt;"","PUR","")</f>
        <v/>
      </c>
      <c r="HX14" s="44" t="str" cm="1">
        <f t="array" ref="HX14">IF(_xlfn.TEXTJOIN(", ", TRUE, IF(ISNUMBER(SEARCH("WHI", BL14:BT14)), COLUMN(BL14:BT14) - COLUMN(BL14) + 1, ""))&lt;&gt;"","WHI","")</f>
        <v>WHI</v>
      </c>
      <c r="HY14" s="72"/>
      <c r="HZ14" s="72"/>
      <c r="IA14" s="5"/>
      <c r="IB14" s="5"/>
      <c r="IC14" s="68"/>
      <c r="ID14" s="68"/>
      <c r="IE14" s="68"/>
      <c r="IF14" s="68"/>
      <c r="IG14" s="68"/>
      <c r="IH14" s="68"/>
      <c r="II14" s="68"/>
      <c r="IJ14" s="68"/>
      <c r="IK14" s="68"/>
      <c r="IM14" s="42">
        <f t="shared" si="124"/>
        <v>-7</v>
      </c>
      <c r="IN14" s="69" t="str">
        <f t="shared" si="125"/>
        <v>http://mkweb.bcgsc.ca/color-summarizer/?url=https://upload.wikimedia.org/wikipedia/commons/thumb/a/a2/Flag_of_Gu%C3%A1rico_State.svg/320px-Flag_of_Gu%C3%A1rico_State.svg.png&amp;precision=low&amp;num_clusters=7&amp;text=1</v>
      </c>
      <c r="IO14" s="44" t="str">
        <f t="shared" si="126"/>
        <v>"black"</v>
      </c>
      <c r="IP14" s="44" t="str">
        <f t="shared" si="127"/>
        <v>"blue"</v>
      </c>
      <c r="IQ14" s="44" t="str">
        <f t="shared" si="128"/>
        <v>"green"</v>
      </c>
      <c r="IR14" s="44" t="str">
        <f t="shared" si="129"/>
        <v>"red"</v>
      </c>
      <c r="IS14" s="44" t="str">
        <f t="shared" si="130"/>
        <v>"yellow"</v>
      </c>
      <c r="IT14" s="44" t="str">
        <f t="shared" si="131"/>
        <v/>
      </c>
      <c r="IU14" s="44" t="str">
        <f t="shared" si="132"/>
        <v>"brown"</v>
      </c>
      <c r="IV14" s="44" t="str">
        <f t="shared" si="133"/>
        <v/>
      </c>
      <c r="IW14" s="44" t="str">
        <f t="shared" si="134"/>
        <v>"white"</v>
      </c>
      <c r="IX14" s="44" t="str">
        <f t="shared" si="135"/>
        <v>{"url":"http://mkweb.bcgsc.ca/color-summarizer/?url=https://upload.wikimedia.org/wikipedia/commons/thumb/a/a2/Flag_of_Gu%C3%A1rico_State.svg/320px-Flag_of_Gu%C3%A1rico_State.svg.png&amp;precision=low&amp;num_clusters=7&amp;text=1","name":"[VEN] Guárico"},</v>
      </c>
      <c r="IY14" s="44">
        <v>1478</v>
      </c>
    </row>
    <row r="15" spans="1:259" s="44" customFormat="1" ht="38.4" customHeight="1" thickBot="1" x14ac:dyDescent="0.35">
      <c r="A15" s="84" t="s">
        <v>783</v>
      </c>
      <c r="B15" s="83" t="e" vm="114">
        <v>#VALUE!</v>
      </c>
      <c r="C15" s="39">
        <v>2</v>
      </c>
      <c r="D15" s="70" t="s">
        <v>784</v>
      </c>
      <c r="E15" s="40" t="s">
        <v>785</v>
      </c>
      <c r="F15" s="41" t="s">
        <v>163</v>
      </c>
      <c r="G15" s="42">
        <f t="shared" si="0"/>
        <v>1</v>
      </c>
      <c r="H15" s="43"/>
      <c r="I15" s="59" t="s">
        <v>786</v>
      </c>
      <c r="J15" s="44" t="str">
        <f>""</f>
        <v/>
      </c>
      <c r="K15" s="45"/>
      <c r="L15" s="46"/>
      <c r="M15" s="46"/>
      <c r="N15" s="47" t="s">
        <v>177</v>
      </c>
      <c r="O15" s="74">
        <v>1999</v>
      </c>
      <c r="P15" s="48" t="s">
        <v>787</v>
      </c>
      <c r="Q15" s="73">
        <v>2</v>
      </c>
      <c r="R15" s="49" t="s">
        <v>177</v>
      </c>
      <c r="S15" s="50">
        <v>6</v>
      </c>
      <c r="T15" s="51" t="s">
        <v>164</v>
      </c>
      <c r="U15" s="52" t="s">
        <v>164</v>
      </c>
      <c r="V15" s="52" t="s">
        <v>165</v>
      </c>
      <c r="W15" s="52" t="s">
        <v>165</v>
      </c>
      <c r="X15" s="52" t="s">
        <v>165</v>
      </c>
      <c r="Y15" s="52" t="s">
        <v>164</v>
      </c>
      <c r="Z15" s="52" t="s">
        <v>164</v>
      </c>
      <c r="AA15" s="52" t="s">
        <v>164</v>
      </c>
      <c r="AB15" s="52" t="s">
        <v>164</v>
      </c>
      <c r="AC15" s="52" t="s">
        <v>164</v>
      </c>
      <c r="AD15" s="52" t="s">
        <v>165</v>
      </c>
      <c r="AE15" s="52" t="s">
        <v>164</v>
      </c>
      <c r="AF15" s="53" t="s">
        <v>164</v>
      </c>
      <c r="AG15" s="53" t="s">
        <v>164</v>
      </c>
      <c r="AH15" s="53" t="s">
        <v>164</v>
      </c>
      <c r="AI15" s="53" t="s">
        <v>164</v>
      </c>
      <c r="AJ15" s="53" t="s">
        <v>164</v>
      </c>
      <c r="AK15" s="53" t="s">
        <v>164</v>
      </c>
      <c r="AL15" s="53" t="s">
        <v>164</v>
      </c>
      <c r="AM15" s="53" t="s">
        <v>164</v>
      </c>
      <c r="AN15" s="53" t="s">
        <v>165</v>
      </c>
      <c r="AO15" s="53" t="s">
        <v>164</v>
      </c>
      <c r="AP15" s="53" t="s">
        <v>164</v>
      </c>
      <c r="AQ15" s="53" t="s">
        <v>164</v>
      </c>
      <c r="AR15" s="53" t="s">
        <v>164</v>
      </c>
      <c r="AS15" s="53" t="s">
        <v>164</v>
      </c>
      <c r="AT15" s="54">
        <v>4</v>
      </c>
      <c r="AU15" s="53" t="s">
        <v>308</v>
      </c>
      <c r="AV15" s="53" t="str">
        <f t="shared" si="1"/>
        <v>[VEN]State[VEN] La Guaira</v>
      </c>
      <c r="AW15" s="53" t="str">
        <f t="shared" si="2"/>
        <v>2[VEN] La Guaira</v>
      </c>
      <c r="AX15" s="55"/>
      <c r="AY15" s="55"/>
      <c r="AZ15" s="56" t="s">
        <v>159</v>
      </c>
      <c r="BA15" s="56" t="s">
        <v>234</v>
      </c>
      <c r="BB15" s="56"/>
      <c r="BC15" s="57"/>
      <c r="BD15" s="58" t="s">
        <v>159</v>
      </c>
      <c r="BE15" s="59"/>
      <c r="BF15" s="58" t="s">
        <v>159</v>
      </c>
      <c r="BG15" s="58" t="s">
        <v>154</v>
      </c>
      <c r="BH15" s="58" t="s">
        <v>152</v>
      </c>
      <c r="BI15" s="58"/>
      <c r="BJ15" s="58"/>
      <c r="BK15" s="59"/>
      <c r="BL15" s="58" t="s">
        <v>234</v>
      </c>
      <c r="BM15" s="58" t="s">
        <v>152</v>
      </c>
      <c r="BN15" s="58" t="s">
        <v>234</v>
      </c>
      <c r="BO15" s="58" t="s">
        <v>154</v>
      </c>
      <c r="BP15" s="58" t="s">
        <v>155</v>
      </c>
      <c r="BQ15" s="58" t="s">
        <v>234</v>
      </c>
      <c r="BR15" s="58" t="s">
        <v>234</v>
      </c>
      <c r="BS15" s="58" t="s">
        <v>234</v>
      </c>
      <c r="BT15" s="58" t="s">
        <v>159</v>
      </c>
      <c r="BU15" s="60"/>
      <c r="BV15" s="61"/>
      <c r="BW15" s="61">
        <v>0</v>
      </c>
      <c r="BX15" s="59"/>
      <c r="CB15" s="5"/>
      <c r="CC15" s="5"/>
      <c r="CD15" s="62">
        <v>0</v>
      </c>
      <c r="CE15" s="62">
        <v>0</v>
      </c>
      <c r="CF15" s="62" t="e">
        <v>#REF!</v>
      </c>
      <c r="CG15" s="75" cm="1">
        <f t="array" ref="CG15">SUMPRODUCT(--(LEN(TRIM(BL15:BT15))&gt;0))</f>
        <v>4</v>
      </c>
      <c r="CH15" s="53" t="str">
        <f t="shared" si="3"/>
        <v>n</v>
      </c>
      <c r="CI15" s="53" t="str">
        <f t="shared" si="4"/>
        <v>n</v>
      </c>
      <c r="CJ15" s="53" t="str">
        <f t="shared" si="5"/>
        <v>y</v>
      </c>
      <c r="CK15" s="53" t="str">
        <f t="shared" si="6"/>
        <v>n</v>
      </c>
      <c r="CL15" s="53" t="str">
        <f t="shared" si="7"/>
        <v>n</v>
      </c>
      <c r="CM15" s="53" t="str">
        <f t="shared" si="8"/>
        <v>n</v>
      </c>
      <c r="CN15" s="53" t="str">
        <f t="shared" si="9"/>
        <v>n</v>
      </c>
      <c r="CO15" s="53" t="str">
        <f t="shared" si="10"/>
        <v>y</v>
      </c>
      <c r="CP15" s="53" t="str">
        <f t="shared" si="11"/>
        <v>n</v>
      </c>
      <c r="CQ15" s="53" t="str">
        <f t="shared" si="12"/>
        <v>n</v>
      </c>
      <c r="CR15" s="53" t="str">
        <f t="shared" si="13"/>
        <v>n</v>
      </c>
      <c r="CS15" s="53" t="str">
        <f t="shared" si="14"/>
        <v>y</v>
      </c>
      <c r="CT15" s="38" t="str">
        <f t="shared" si="15"/>
        <v>"[VEN] La Guaira"</v>
      </c>
      <c r="CU15" s="63" t="str">
        <f t="shared" si="16"/>
        <v>"rgn_South America"</v>
      </c>
      <c r="CV15" s="44" t="str">
        <f t="shared" si="17"/>
        <v>"https://upload.wikimedia.org/wikipedia/commons/thumb/a/a9/Flag_of_Vargas_State.svg/320px-Flag_of_Vargas_State.svg.png"</v>
      </c>
      <c r="CW15" s="44" t="str">
        <f t="shared" si="18"/>
        <v/>
      </c>
      <c r="CX15" s="44" t="str">
        <f t="shared" si="19"/>
        <v/>
      </c>
      <c r="CY15" s="44" t="str">
        <f t="shared" si="20"/>
        <v>"4Color",</v>
      </c>
      <c r="CZ15" s="44" t="str">
        <f t="shared" si="21"/>
        <v/>
      </c>
      <c r="DA15" s="44" t="str">
        <f t="shared" si="22"/>
        <v>"words2",</v>
      </c>
      <c r="DB15" s="44" t="str">
        <f t="shared" si="23"/>
        <v/>
      </c>
      <c r="DD15" s="44" t="str">
        <f t="shared" si="136"/>
        <v>"lets08",</v>
      </c>
      <c r="DE15" s="44" t="str">
        <f t="shared" si="137"/>
        <v>"startL",</v>
      </c>
      <c r="DF15" s="44" t="str">
        <f t="shared" si="24"/>
        <v/>
      </c>
      <c r="DG15" s="44" t="str">
        <f t="shared" si="25"/>
        <v/>
      </c>
      <c r="DH15" s="44" t="str">
        <f t="shared" si="26"/>
        <v>"with_v",</v>
      </c>
      <c r="DI15" s="44" t="str">
        <f t="shared" si="27"/>
        <v/>
      </c>
      <c r="DJ15" s="44" t="str">
        <f t="shared" si="28"/>
        <v/>
      </c>
      <c r="DK15" s="44" t="str">
        <f t="shared" si="29"/>
        <v/>
      </c>
      <c r="DL15" s="44" t="str">
        <f t="shared" si="30"/>
        <v/>
      </c>
      <c r="DM15" s="44" t="str" cm="1">
        <f t="array" ref="DM15">IF(CG15=3,CHAR(34) &amp; _xlfn.TEXTJOIN("", TRUE, RIGHT(HP15:HX15, 2)) &amp; CHAR(34) &amp; ",", "")</f>
        <v/>
      </c>
      <c r="DN15" s="44" t="str">
        <f t="shared" si="31"/>
        <v/>
      </c>
      <c r="DO15" s="44" t="str">
        <f t="shared" si="32"/>
        <v>"year19",</v>
      </c>
      <c r="DP15" s="5" t="str">
        <f t="shared" si="33"/>
        <v/>
      </c>
      <c r="DQ15" s="5" t="str">
        <f t="shared" si="34"/>
        <v/>
      </c>
      <c r="DR15" s="5" t="str">
        <f t="shared" si="35"/>
        <v/>
      </c>
      <c r="DS15" s="5" t="str">
        <f t="shared" si="36"/>
        <v/>
      </c>
      <c r="DT15" s="5" t="str">
        <f t="shared" si="37"/>
        <v/>
      </c>
      <c r="DU15" s="5" t="str">
        <f t="shared" si="38"/>
        <v/>
      </c>
      <c r="DW15" s="44" t="str">
        <f t="shared" si="39"/>
        <v/>
      </c>
      <c r="DX15" s="44" t="str">
        <f t="shared" si="40"/>
        <v/>
      </c>
      <c r="DY15" s="44" t="str">
        <f t="shared" si="41"/>
        <v/>
      </c>
      <c r="DZ15" s="44" t="str">
        <f t="shared" si="42"/>
        <v>"4+Band",</v>
      </c>
      <c r="EA15" s="44" t="str">
        <f t="shared" si="43"/>
        <v/>
      </c>
      <c r="EB15" s="44" t="str">
        <f t="shared" si="44"/>
        <v/>
      </c>
      <c r="EC15" s="44" t="str">
        <f t="shared" si="45"/>
        <v>"Horizo",</v>
      </c>
      <c r="ED15" s="44" t="str">
        <f t="shared" si="46"/>
        <v>"Vertic",</v>
      </c>
      <c r="EE15" s="44" t="str">
        <f t="shared" si="47"/>
        <v>"Circle",</v>
      </c>
      <c r="EF15" s="44" t="str">
        <f t="shared" si="48"/>
        <v/>
      </c>
      <c r="EG15" s="44" t="str">
        <f t="shared" si="49"/>
        <v/>
      </c>
      <c r="EH15" s="44" t="str">
        <f t="shared" si="50"/>
        <v/>
      </c>
      <c r="EI15" s="44" t="str">
        <f t="shared" si="51"/>
        <v/>
      </c>
      <c r="EJ15" s="44" t="str">
        <f t="shared" si="52"/>
        <v/>
      </c>
      <c r="EK15" s="44" t="str">
        <f t="shared" si="53"/>
        <v>"HasSun",</v>
      </c>
      <c r="EL15" s="44" t="str">
        <f t="shared" si="54"/>
        <v/>
      </c>
      <c r="EM15" s="44" t="str">
        <f t="shared" si="55"/>
        <v/>
      </c>
      <c r="EN15" s="44" t="str">
        <f t="shared" si="56"/>
        <v/>
      </c>
      <c r="EO15" s="44" t="str">
        <f t="shared" si="57"/>
        <v/>
      </c>
      <c r="EP15" s="44" t="str">
        <f t="shared" si="58"/>
        <v/>
      </c>
      <c r="EQ15" s="44" t="str">
        <f t="shared" si="59"/>
        <v/>
      </c>
      <c r="ER15" s="44" t="str">
        <f t="shared" si="60"/>
        <v/>
      </c>
      <c r="ES15" s="44" t="str">
        <f t="shared" si="61"/>
        <v/>
      </c>
      <c r="ET15" s="44" t="str">
        <f t="shared" si="62"/>
        <v/>
      </c>
      <c r="EU15" s="44" t="str">
        <f t="shared" si="63"/>
        <v>"Humans",</v>
      </c>
      <c r="EV15" s="44" t="str">
        <f t="shared" si="64"/>
        <v/>
      </c>
      <c r="EW15" s="44" t="str">
        <f t="shared" si="65"/>
        <v/>
      </c>
      <c r="EX15" s="44" t="str">
        <f t="shared" si="66"/>
        <v/>
      </c>
      <c r="EY15" s="44" t="str">
        <f t="shared" si="67"/>
        <v/>
      </c>
      <c r="EZ15" s="44" t="str">
        <f t="shared" si="68"/>
        <v/>
      </c>
      <c r="FA15" s="44" t="str">
        <f t="shared" si="69"/>
        <v>"staWHI",</v>
      </c>
      <c r="FB15" s="44" t="str">
        <f t="shared" si="70"/>
        <v/>
      </c>
      <c r="FD15" s="44" t="str">
        <f t="shared" si="71"/>
        <v/>
      </c>
      <c r="FE15" s="44" t="str">
        <f t="shared" si="72"/>
        <v/>
      </c>
      <c r="FF15" s="44" t="str">
        <f t="shared" si="73"/>
        <v/>
      </c>
      <c r="FG15" s="44" t="str">
        <f t="shared" si="74"/>
        <v/>
      </c>
      <c r="FH15" s="44" t="str">
        <f t="shared" si="75"/>
        <v>"NO_GRE",</v>
      </c>
      <c r="FI15" s="44" t="str">
        <f t="shared" si="76"/>
        <v/>
      </c>
      <c r="FJ15" s="44" t="str">
        <f t="shared" si="77"/>
        <v>"NO_BLA",</v>
      </c>
      <c r="FK15" s="44" t="str">
        <f t="shared" si="78"/>
        <v/>
      </c>
      <c r="FL15" s="44" t="str">
        <f t="shared" si="79"/>
        <v/>
      </c>
      <c r="FM15" s="44" t="str">
        <f t="shared" si="80"/>
        <v/>
      </c>
      <c r="FN15" s="44" t="str">
        <f t="shared" si="81"/>
        <v/>
      </c>
      <c r="FO15" s="44" t="str">
        <f t="shared" si="82"/>
        <v/>
      </c>
      <c r="FP15" s="44" t="str">
        <f t="shared" si="83"/>
        <v/>
      </c>
      <c r="FQ15" s="44" t="str">
        <f t="shared" si="84"/>
        <v>"001WHI",</v>
      </c>
      <c r="FR15" s="44" t="str">
        <f t="shared" si="85"/>
        <v>"002RED",</v>
      </c>
      <c r="FS15" s="44" t="str">
        <f t="shared" si="86"/>
        <v>"003BLU",</v>
      </c>
      <c r="FT15" s="44" t="str">
        <f t="shared" si="87"/>
        <v>"myrWHI",</v>
      </c>
      <c r="FU15" s="44" t="str">
        <f t="shared" si="88"/>
        <v/>
      </c>
      <c r="FV15" s="44" t="str">
        <f t="shared" si="89"/>
        <v/>
      </c>
      <c r="FW15" s="44" t="str">
        <f t="shared" si="90"/>
        <v/>
      </c>
      <c r="FY15" s="44" t="str">
        <f t="shared" si="91"/>
        <v/>
      </c>
      <c r="FZ15" s="44" t="str">
        <f t="shared" si="92"/>
        <v/>
      </c>
      <c r="GA15" s="44" t="str">
        <f t="shared" si="93"/>
        <v/>
      </c>
      <c r="GB15" s="44" t="str">
        <f t="shared" si="94"/>
        <v/>
      </c>
      <c r="GE15" s="44" t="str">
        <f t="shared" si="95"/>
        <v/>
      </c>
      <c r="GF15" s="44" t="str">
        <f t="shared" si="138"/>
        <v/>
      </c>
      <c r="GG15" s="44" t="str">
        <f t="shared" si="96"/>
        <v/>
      </c>
      <c r="GH15" s="44" t="str">
        <f t="shared" si="97"/>
        <v/>
      </c>
      <c r="GI15" s="44" t="str">
        <f t="shared" si="98"/>
        <v/>
      </c>
      <c r="GJ15" s="44" t="str">
        <f t="shared" si="99"/>
        <v/>
      </c>
      <c r="GK15" s="44" t="str">
        <f t="shared" si="100"/>
        <v>"HasSta",</v>
      </c>
      <c r="GL15" s="44" t="str">
        <f t="shared" si="101"/>
        <v/>
      </c>
      <c r="GM15" s="44" t="str">
        <f t="shared" si="102"/>
        <v/>
      </c>
      <c r="GN15" s="44" t="str">
        <f t="shared" si="103"/>
        <v>"3+Star",</v>
      </c>
      <c r="GP15" s="44" t="str">
        <f t="shared" si="104"/>
        <v>"State"</v>
      </c>
      <c r="GS15" s="44" t="str">
        <f t="shared" si="105"/>
        <v>["4Color","words2","lets08","startL","with_v","year19","4+Band","Horizo","Vertic","Circle","HasSun","Humans","staWHI","NO_GRE","NO_BLA","001WHI","002RED","003BLU","myrWHI","HasSta","3+Star"]</v>
      </c>
      <c r="GT15" s="44" t="str">
        <f t="shared" si="106"/>
        <v/>
      </c>
      <c r="GU15" s="44" t="str">
        <f t="shared" si="107"/>
        <v>"cl_BLU",</v>
      </c>
      <c r="GV15" s="44" t="str">
        <f t="shared" si="108"/>
        <v/>
      </c>
      <c r="GW15" s="44" t="str">
        <f t="shared" si="109"/>
        <v>"cl_RED",</v>
      </c>
      <c r="GX15" s="44" t="str">
        <f t="shared" si="110"/>
        <v>"cl_YEL",</v>
      </c>
      <c r="GY15" s="44" t="str">
        <f t="shared" si="111"/>
        <v/>
      </c>
      <c r="GZ15" s="44" t="str">
        <f t="shared" si="112"/>
        <v/>
      </c>
      <c r="HA15" s="44" t="str">
        <f t="shared" si="113"/>
        <v/>
      </c>
      <c r="HB15" s="44" t="str">
        <f t="shared" si="114"/>
        <v>"cl_WHI",</v>
      </c>
      <c r="HC15" s="44" t="str">
        <f t="shared" si="115"/>
        <v>["cl_BLU","cl_RED","cl_YEL","cl_WHI"]</v>
      </c>
      <c r="HE15" s="64"/>
      <c r="HF15" s="65" t="str">
        <f t="shared" si="116"/>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links: "https://en.wikipedia.org/wiki/Flag_of_La_Guaira"},</v>
      </c>
      <c r="HG15" s="66" t="str">
        <f t="shared" si="117"/>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links: "https://en.wikipedia.org/wiki/Flag_of_La_Guaira"},</v>
      </c>
      <c r="HH15" s="44" t="str">
        <f t="shared" si="118"/>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I15" s="44" t="str">
        <f t="shared" si="119"/>
        <v>"\nManuel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v>
      </c>
      <c r="HJ15" s="44" t="str">
        <f t="shared" si="120"/>
        <v>"1999"</v>
      </c>
      <c r="HL15" s="44" t="str">
        <f t="shared" si="121"/>
        <v>"https://en.wikipedia.org/wiki/Flag_of_La_Guaira"</v>
      </c>
      <c r="HM15" s="65" t="str">
        <f t="shared" si="122"/>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N15" s="67" t="str">
        <f t="shared" si="123"/>
        <v>{"couname":"[VEN] La Guaira","year":"1999","region":"rgn_South America","Colors":["cl_BLU","cl_RED","cl_YEL","cl_WHI"],"Items":["4Color","words2","lets08","startL","with_v","year19","4+Band","Horizo","Vertic","Circle","HasSun","Humans","staWHI","NO_GRE","NO_BLA","001WHI","002RED","003BLU","myrWHI","HasSta","3+Star"],"Flag":"https://upload.wikimedia.org/wikipedia/commons/thumb/a/a9/Flag_of_Vargas_State.svg/320px-Flag_of_Vargas_State.svg.png","HDFlag":"https://upload.wikimedia.org/wikipedia/commons/thumb/a/a9/Flag_of_Vargas_State.svg/800px-Flag_of_Vargas_State.svg.png","type":"State", "describe": "\nManuel Gual, the designer of the flag, intended for the four colors of the flag to represent the four races of Venezuela – Indians, blacks, browns, and whites. The four white stars reflect the union of the four provinces that would become independent - Caracas, Province of Cumaná, Guyana, and Maracaibo. The sun would represent the wisdom that all republicans should have to act in a just manner and the equality that should prevail. Moreover, it was to intended symbolize the ideals of liberty, equality, property, and security.", "isnew": ".", "links": "https://en.wikipedia.org/wiki/Flag_of_La_Guaira"},</v>
      </c>
      <c r="HO15" s="71">
        <v>45610</v>
      </c>
      <c r="HP15" s="44" t="str" cm="1">
        <f t="array" ref="HP15">IF(_xlfn.TEXTJOIN(", ", TRUE, IF(ISNUMBER(SEARCH("BLA", BL15:BT15)), COLUMN(BL15:BT15) - COLUMN(BL15) + 1, ""))&lt;&gt;"","BLA","")</f>
        <v/>
      </c>
      <c r="HQ15" s="44" t="str" cm="1">
        <f t="array" ref="HQ15">IF(_xlfn.TEXTJOIN(", ", TRUE, IF(ISNUMBER(SEARCH("BLU", BL15:BT15)), COLUMN(BL15:BT15) - COLUMN(BL15) + 1, ""))&lt;&gt;"","BLU","")</f>
        <v>BLU</v>
      </c>
      <c r="HR15" s="44" t="str" cm="1">
        <f t="array" ref="HR15">IF(_xlfn.TEXTJOIN(", ", TRUE, IF(ISNUMBER(SEARCH("GRE", BL15:BT15)), COLUMN(BL15:BT15) - COLUMN(BL15) + 1, ""))&lt;&gt;"","GRE","")</f>
        <v/>
      </c>
      <c r="HS15" s="44" t="str" cm="1">
        <f t="array" ref="HS15">IF(_xlfn.TEXTJOIN(", ", TRUE, IF(ISNUMBER(SEARCH("RED", BL15:BT15)), COLUMN(BL15:BT15) - COLUMN(BL15) + 1, ""))&lt;&gt;"","RED","")</f>
        <v>RED</v>
      </c>
      <c r="HT15" s="44" t="str" cm="1">
        <f t="array" ref="HT15">IF(_xlfn.TEXTJOIN(", ", TRUE, IF(ISNUMBER(SEARCH("YEL", BL15:BT15)), COLUMN(BL15:BT15) - COLUMN(BL15) + 1, ""))&lt;&gt;"","YEL","")</f>
        <v>YEL</v>
      </c>
      <c r="HU15" s="44" t="str" cm="1">
        <f t="array" ref="HU15">IF(_xlfn.TEXTJOIN(", ", TRUE, IF(ISNUMBER(SEARCH("ORA", BL15:BT15)), COLUMN(BL15:BT15) - COLUMN(BL15) + 1, ""))&lt;&gt;"","ORA","")</f>
        <v/>
      </c>
      <c r="HV15" s="44" t="str" cm="1">
        <f t="array" ref="HV15">IF(_xlfn.TEXTJOIN(", ", TRUE, IF(ISNUMBER(SEARCH("BRO", BL15:BT15)), COLUMN(BL15:BT15) - COLUMN(BL15) + 1, ""))&lt;&gt;"","BRO","")</f>
        <v/>
      </c>
      <c r="HW15" s="44" t="str" cm="1">
        <f t="array" ref="HW15">IF(_xlfn.TEXTJOIN(", ", TRUE, IF(ISNUMBER(SEARCH("PUR", BL15:BT15)), COLUMN(BL15:BT15) - COLUMN(BL15) + 1, ""))&lt;&gt;"","PUR","")</f>
        <v/>
      </c>
      <c r="HX15" s="44" t="str" cm="1">
        <f t="array" ref="HX15">IF(_xlfn.TEXTJOIN(", ", TRUE, IF(ISNUMBER(SEARCH("WHI", BL15:BT15)), COLUMN(BL15:BT15) - COLUMN(BL15) + 1, ""))&lt;&gt;"","WHI","")</f>
        <v>WHI</v>
      </c>
      <c r="HY15" s="72"/>
      <c r="HZ15" s="72"/>
      <c r="IA15" s="5"/>
      <c r="IB15" s="5"/>
      <c r="IC15" s="68"/>
      <c r="ID15" s="68"/>
      <c r="IE15" s="68"/>
      <c r="IF15" s="68"/>
      <c r="IG15" s="68"/>
      <c r="IH15" s="68"/>
      <c r="II15" s="68"/>
      <c r="IJ15" s="68"/>
      <c r="IK15" s="68"/>
      <c r="IM15" s="42">
        <f t="shared" si="124"/>
        <v>-4</v>
      </c>
      <c r="IN15" s="69" t="str">
        <f t="shared" si="125"/>
        <v>http://mkweb.bcgsc.ca/color-summarizer/?url=https://upload.wikimedia.org/wikipedia/commons/thumb/a/a9/Flag_of_Vargas_State.svg/320px-Flag_of_Vargas_State.svg.png&amp;precision=low&amp;num_clusters=4&amp;text=1</v>
      </c>
      <c r="IO15" s="44" t="str">
        <f t="shared" si="126"/>
        <v/>
      </c>
      <c r="IP15" s="44" t="str">
        <f t="shared" si="127"/>
        <v>"blue"</v>
      </c>
      <c r="IQ15" s="44" t="str">
        <f t="shared" si="128"/>
        <v/>
      </c>
      <c r="IR15" s="44" t="str">
        <f t="shared" si="129"/>
        <v>"red"</v>
      </c>
      <c r="IS15" s="44" t="str">
        <f t="shared" si="130"/>
        <v>"yellow"</v>
      </c>
      <c r="IT15" s="44" t="str">
        <f t="shared" si="131"/>
        <v/>
      </c>
      <c r="IU15" s="44" t="str">
        <f t="shared" si="132"/>
        <v/>
      </c>
      <c r="IV15" s="44" t="str">
        <f t="shared" si="133"/>
        <v/>
      </c>
      <c r="IW15" s="44" t="str">
        <f t="shared" si="134"/>
        <v>"white"</v>
      </c>
      <c r="IX15" s="44" t="str">
        <f t="shared" si="135"/>
        <v>{"url":"http://mkweb.bcgsc.ca/color-summarizer/?url=https://upload.wikimedia.org/wikipedia/commons/thumb/a/a9/Flag_of_Vargas_State.svg/320px-Flag_of_Vargas_State.svg.png&amp;precision=low&amp;num_clusters=4&amp;text=1","name":"[VEN] La Guaira"},</v>
      </c>
      <c r="IY15" s="44">
        <v>1479</v>
      </c>
    </row>
    <row r="16" spans="1:259" s="44" customFormat="1" ht="38.4" customHeight="1" thickBot="1" x14ac:dyDescent="0.35">
      <c r="A16" s="84" t="s">
        <v>788</v>
      </c>
      <c r="B16" s="83" t="e" vm="115">
        <v>#VALUE!</v>
      </c>
      <c r="C16" s="39">
        <v>2</v>
      </c>
      <c r="D16" s="70" t="s">
        <v>789</v>
      </c>
      <c r="E16" s="40" t="s">
        <v>790</v>
      </c>
      <c r="F16" s="41" t="s">
        <v>163</v>
      </c>
      <c r="G16" s="42">
        <f t="shared" si="0"/>
        <v>1</v>
      </c>
      <c r="H16" s="43"/>
      <c r="I16" s="59" t="s">
        <v>791</v>
      </c>
      <c r="J16" s="44" t="str">
        <f>""</f>
        <v/>
      </c>
      <c r="K16" s="45"/>
      <c r="L16" s="46"/>
      <c r="M16" s="46"/>
      <c r="N16" s="47" t="s">
        <v>177</v>
      </c>
      <c r="O16" s="74">
        <v>2000</v>
      </c>
      <c r="P16" s="48" t="s">
        <v>792</v>
      </c>
      <c r="Q16" s="73">
        <v>1</v>
      </c>
      <c r="R16" s="49" t="s">
        <v>177</v>
      </c>
      <c r="S16" s="50">
        <v>2</v>
      </c>
      <c r="T16" s="51" t="s">
        <v>165</v>
      </c>
      <c r="U16" s="52" t="s">
        <v>164</v>
      </c>
      <c r="V16" s="52" t="s">
        <v>165</v>
      </c>
      <c r="W16" s="52" t="s">
        <v>165</v>
      </c>
      <c r="X16" s="52" t="s">
        <v>164</v>
      </c>
      <c r="Y16" s="52" t="s">
        <v>164</v>
      </c>
      <c r="Z16" s="52" t="s">
        <v>164</v>
      </c>
      <c r="AA16" s="52" t="s">
        <v>164</v>
      </c>
      <c r="AB16" s="52" t="s">
        <v>164</v>
      </c>
      <c r="AC16" s="52" t="s">
        <v>164</v>
      </c>
      <c r="AD16" s="52" t="s">
        <v>165</v>
      </c>
      <c r="AE16" s="52" t="s">
        <v>164</v>
      </c>
      <c r="AF16" s="53" t="s">
        <v>164</v>
      </c>
      <c r="AG16" s="53" t="s">
        <v>164</v>
      </c>
      <c r="AH16" s="53" t="s">
        <v>164</v>
      </c>
      <c r="AI16" s="53" t="s">
        <v>164</v>
      </c>
      <c r="AJ16" s="53" t="s">
        <v>164</v>
      </c>
      <c r="AK16" s="53" t="s">
        <v>164</v>
      </c>
      <c r="AL16" s="53" t="s">
        <v>164</v>
      </c>
      <c r="AM16" s="53" t="s">
        <v>164</v>
      </c>
      <c r="AN16" s="53" t="s">
        <v>164</v>
      </c>
      <c r="AO16" s="53" t="s">
        <v>164</v>
      </c>
      <c r="AP16" s="53" t="s">
        <v>164</v>
      </c>
      <c r="AQ16" s="53" t="s">
        <v>164</v>
      </c>
      <c r="AR16" s="53" t="s">
        <v>164</v>
      </c>
      <c r="AS16" s="53" t="s">
        <v>164</v>
      </c>
      <c r="AT16" s="54">
        <v>0</v>
      </c>
      <c r="AU16" s="53" t="s">
        <v>308</v>
      </c>
      <c r="AV16" s="53" t="str">
        <f t="shared" si="1"/>
        <v>[VEN]State[VEN] Lara</v>
      </c>
      <c r="AW16" s="53" t="str">
        <f t="shared" si="2"/>
        <v>2[VEN] Lara</v>
      </c>
      <c r="AX16" s="55"/>
      <c r="AY16" s="55"/>
      <c r="AZ16" s="56" t="s">
        <v>234</v>
      </c>
      <c r="BA16" s="56" t="s">
        <v>234</v>
      </c>
      <c r="BB16" s="56"/>
      <c r="BC16" s="57"/>
      <c r="BD16" s="58" t="s">
        <v>167</v>
      </c>
      <c r="BE16" s="59"/>
      <c r="BF16" s="58" t="s">
        <v>154</v>
      </c>
      <c r="BG16" s="58" t="s">
        <v>234</v>
      </c>
      <c r="BH16" s="58" t="s">
        <v>153</v>
      </c>
      <c r="BI16" s="58"/>
      <c r="BJ16" s="58"/>
      <c r="BK16" s="59"/>
      <c r="BL16" s="58" t="s">
        <v>234</v>
      </c>
      <c r="BM16" s="58" t="s">
        <v>234</v>
      </c>
      <c r="BN16" s="58" t="s">
        <v>153</v>
      </c>
      <c r="BO16" s="58" t="s">
        <v>154</v>
      </c>
      <c r="BP16" s="58" t="s">
        <v>155</v>
      </c>
      <c r="BQ16" s="58" t="s">
        <v>234</v>
      </c>
      <c r="BR16" s="58" t="s">
        <v>234</v>
      </c>
      <c r="BS16" s="58" t="s">
        <v>234</v>
      </c>
      <c r="BT16" s="58" t="s">
        <v>159</v>
      </c>
      <c r="BU16" s="60"/>
      <c r="BV16" s="61"/>
      <c r="BW16" s="61">
        <v>0</v>
      </c>
      <c r="BX16" s="59"/>
      <c r="BY16" s="44" t="s">
        <v>164</v>
      </c>
      <c r="CB16" s="5"/>
      <c r="CC16" s="5"/>
      <c r="CD16" s="62">
        <v>0</v>
      </c>
      <c r="CE16" s="62">
        <v>0</v>
      </c>
      <c r="CF16" s="62" t="e">
        <v>#REF!</v>
      </c>
      <c r="CG16" s="75" cm="1">
        <f t="array" ref="CG16">SUMPRODUCT(--(LEN(TRIM(BL16:BT16))&gt;0))</f>
        <v>4</v>
      </c>
      <c r="CH16" s="53" t="str">
        <f t="shared" si="3"/>
        <v>n</v>
      </c>
      <c r="CI16" s="53" t="str">
        <f t="shared" si="4"/>
        <v>n</v>
      </c>
      <c r="CJ16" s="53" t="str">
        <f t="shared" si="5"/>
        <v>y</v>
      </c>
      <c r="CK16" s="53" t="str">
        <f t="shared" si="6"/>
        <v>n</v>
      </c>
      <c r="CL16" s="53" t="str">
        <f t="shared" si="7"/>
        <v>n</v>
      </c>
      <c r="CM16" s="53" t="str">
        <f t="shared" si="8"/>
        <v>y</v>
      </c>
      <c r="CN16" s="53" t="str">
        <f t="shared" si="9"/>
        <v>n</v>
      </c>
      <c r="CO16" s="53" t="str">
        <f t="shared" si="10"/>
        <v>n</v>
      </c>
      <c r="CP16" s="53" t="str">
        <f t="shared" si="11"/>
        <v>y</v>
      </c>
      <c r="CQ16" s="53" t="str">
        <f t="shared" si="12"/>
        <v>n</v>
      </c>
      <c r="CR16" s="53" t="str">
        <f t="shared" si="13"/>
        <v>n</v>
      </c>
      <c r="CS16" s="53" t="str">
        <f t="shared" si="14"/>
        <v>n</v>
      </c>
      <c r="CT16" s="38" t="str">
        <f t="shared" si="15"/>
        <v>"[VEN] Lara"</v>
      </c>
      <c r="CU16" s="63" t="str">
        <f t="shared" si="16"/>
        <v>"rgn_South America"</v>
      </c>
      <c r="CV16" s="44" t="str">
        <f t="shared" si="17"/>
        <v>"https://upload.wikimedia.org/wikipedia/commons/thumb/4/4b/Flag_of_Lara_State.svg/320px-Flag_of_Lara_State.svg.png"</v>
      </c>
      <c r="CW16" s="44" t="str">
        <f t="shared" si="18"/>
        <v/>
      </c>
      <c r="CX16" s="44" t="str">
        <f t="shared" si="19"/>
        <v/>
      </c>
      <c r="CY16" s="44" t="str">
        <f t="shared" si="20"/>
        <v>"4Color",</v>
      </c>
      <c r="CZ16" s="44" t="str">
        <f t="shared" si="21"/>
        <v/>
      </c>
      <c r="DA16" s="44" t="str">
        <f t="shared" si="22"/>
        <v/>
      </c>
      <c r="DB16" s="44" t="str">
        <f t="shared" si="23"/>
        <v/>
      </c>
      <c r="DD16" s="44" t="str">
        <f t="shared" si="136"/>
        <v>"lets04",</v>
      </c>
      <c r="DE16" s="44" t="str">
        <f t="shared" si="137"/>
        <v>"startL",</v>
      </c>
      <c r="DF16" s="44" t="str">
        <f t="shared" si="24"/>
        <v/>
      </c>
      <c r="DG16" s="44" t="str">
        <f t="shared" si="25"/>
        <v/>
      </c>
      <c r="DH16" s="44" t="str">
        <f t="shared" si="26"/>
        <v>"with_v",</v>
      </c>
      <c r="DI16" s="44" t="str">
        <f t="shared" si="27"/>
        <v/>
      </c>
      <c r="DJ16" s="44" t="str">
        <f t="shared" si="28"/>
        <v/>
      </c>
      <c r="DK16" s="44" t="str">
        <f t="shared" si="29"/>
        <v/>
      </c>
      <c r="DL16" s="44" t="str">
        <f t="shared" si="30"/>
        <v/>
      </c>
      <c r="DM16" s="44" t="str" cm="1">
        <f t="array" ref="DM16">IF(CG16=3,CHAR(34) &amp; _xlfn.TEXTJOIN("", TRUE, RIGHT(HP16:HX16, 2)) &amp; CHAR(34) &amp; ",", "")</f>
        <v/>
      </c>
      <c r="DN16" s="44" t="str">
        <f t="shared" si="31"/>
        <v/>
      </c>
      <c r="DO16" s="44" t="str">
        <f t="shared" si="32"/>
        <v/>
      </c>
      <c r="DP16" s="5" t="str">
        <f t="shared" si="33"/>
        <v>"year00",</v>
      </c>
      <c r="DQ16" s="5" t="str">
        <f t="shared" si="34"/>
        <v/>
      </c>
      <c r="DR16" s="5" t="str">
        <f t="shared" si="35"/>
        <v/>
      </c>
      <c r="DS16" s="5" t="str">
        <f t="shared" si="36"/>
        <v/>
      </c>
      <c r="DT16" s="5" t="str">
        <f t="shared" si="37"/>
        <v/>
      </c>
      <c r="DU16" s="5" t="str">
        <f t="shared" si="38"/>
        <v/>
      </c>
      <c r="DW16" s="44" t="str">
        <f t="shared" si="39"/>
        <v/>
      </c>
      <c r="DX16" s="44" t="str">
        <f t="shared" si="40"/>
        <v>"2Bands",</v>
      </c>
      <c r="DY16" s="44" t="str">
        <f t="shared" si="41"/>
        <v/>
      </c>
      <c r="DZ16" s="44" t="str">
        <f t="shared" si="42"/>
        <v/>
      </c>
      <c r="EA16" s="44" t="str">
        <f t="shared" si="43"/>
        <v>"Diagon",</v>
      </c>
      <c r="EB16" s="44" t="str">
        <f t="shared" si="44"/>
        <v/>
      </c>
      <c r="EC16" s="44" t="str">
        <f t="shared" si="45"/>
        <v>"Horizo",</v>
      </c>
      <c r="ED16" s="44" t="str">
        <f t="shared" si="46"/>
        <v>"Vertic",</v>
      </c>
      <c r="EE16" s="44" t="str">
        <f t="shared" si="47"/>
        <v/>
      </c>
      <c r="EF16" s="44" t="str">
        <f t="shared" si="48"/>
        <v/>
      </c>
      <c r="EG16" s="44" t="str">
        <f t="shared" si="49"/>
        <v/>
      </c>
      <c r="EH16" s="44" t="str">
        <f t="shared" si="50"/>
        <v/>
      </c>
      <c r="EI16" s="44" t="str">
        <f t="shared" si="51"/>
        <v/>
      </c>
      <c r="EJ16" s="44" t="str">
        <f t="shared" si="52"/>
        <v/>
      </c>
      <c r="EK16" s="44" t="str">
        <f t="shared" si="53"/>
        <v>"HasSun",</v>
      </c>
      <c r="EL16" s="44" t="str">
        <f t="shared" si="54"/>
        <v/>
      </c>
      <c r="EM16" s="44" t="str">
        <f t="shared" si="55"/>
        <v/>
      </c>
      <c r="EN16" s="44" t="str">
        <f t="shared" si="56"/>
        <v/>
      </c>
      <c r="EO16" s="44" t="str">
        <f t="shared" si="57"/>
        <v/>
      </c>
      <c r="EP16" s="44" t="str">
        <f t="shared" si="58"/>
        <v/>
      </c>
      <c r="EQ16" s="44" t="str">
        <f t="shared" si="59"/>
        <v/>
      </c>
      <c r="ER16" s="44" t="str">
        <f t="shared" si="60"/>
        <v/>
      </c>
      <c r="ES16" s="44" t="str">
        <f t="shared" si="61"/>
        <v/>
      </c>
      <c r="ET16" s="44" t="str">
        <f t="shared" si="62"/>
        <v/>
      </c>
      <c r="EU16" s="44" t="str">
        <f t="shared" si="63"/>
        <v/>
      </c>
      <c r="EV16" s="44" t="str">
        <f t="shared" si="64"/>
        <v/>
      </c>
      <c r="EW16" s="44" t="str">
        <f t="shared" si="65"/>
        <v/>
      </c>
      <c r="EX16" s="44" t="str">
        <f t="shared" si="66"/>
        <v/>
      </c>
      <c r="EY16" s="44" t="str">
        <f t="shared" si="67"/>
        <v/>
      </c>
      <c r="EZ16" s="44" t="str">
        <f t="shared" si="68"/>
        <v/>
      </c>
      <c r="FA16" s="44" t="str">
        <f t="shared" si="69"/>
        <v/>
      </c>
      <c r="FB16" s="44" t="str">
        <f t="shared" si="70"/>
        <v/>
      </c>
      <c r="FD16" s="44" t="str">
        <f t="shared" si="71"/>
        <v/>
      </c>
      <c r="FE16" s="44" t="str">
        <f t="shared" si="72"/>
        <v>"NO_BLU",</v>
      </c>
      <c r="FF16" s="44" t="str">
        <f t="shared" si="73"/>
        <v/>
      </c>
      <c r="FG16" s="44" t="str">
        <f t="shared" si="74"/>
        <v/>
      </c>
      <c r="FH16" s="44" t="str">
        <f t="shared" si="75"/>
        <v/>
      </c>
      <c r="FI16" s="44" t="str">
        <f t="shared" si="76"/>
        <v/>
      </c>
      <c r="FJ16" s="44" t="str">
        <f t="shared" si="77"/>
        <v>"NO_BLA",</v>
      </c>
      <c r="FK16" s="44" t="str">
        <f t="shared" si="78"/>
        <v/>
      </c>
      <c r="FL16" s="44" t="str">
        <f t="shared" si="79"/>
        <v/>
      </c>
      <c r="FM16" s="44" t="str">
        <f t="shared" si="80"/>
        <v/>
      </c>
      <c r="FN16" s="44" t="str">
        <f t="shared" si="81"/>
        <v/>
      </c>
      <c r="FO16" s="44" t="str">
        <f t="shared" si="82"/>
        <v/>
      </c>
      <c r="FP16" s="44" t="str">
        <f t="shared" si="83"/>
        <v/>
      </c>
      <c r="FQ16" s="44" t="str">
        <f t="shared" si="84"/>
        <v>"001RED",</v>
      </c>
      <c r="FR16" s="44" t="str">
        <f t="shared" si="85"/>
        <v/>
      </c>
      <c r="FS16" s="44" t="str">
        <f t="shared" si="86"/>
        <v>"003GRE",</v>
      </c>
      <c r="FT16" s="44" t="str">
        <f t="shared" si="87"/>
        <v>"myrEQ",</v>
      </c>
      <c r="FU16" s="44" t="str">
        <f t="shared" si="88"/>
        <v/>
      </c>
      <c r="FV16" s="44" t="str">
        <f t="shared" si="89"/>
        <v/>
      </c>
      <c r="FW16" s="44" t="str">
        <f t="shared" si="90"/>
        <v/>
      </c>
      <c r="FY16" s="44" t="str">
        <f t="shared" si="91"/>
        <v/>
      </c>
      <c r="FZ16" s="44" t="str">
        <f t="shared" si="92"/>
        <v/>
      </c>
      <c r="GA16" s="44" t="str">
        <f t="shared" si="93"/>
        <v/>
      </c>
      <c r="GB16" s="44" t="str">
        <f t="shared" si="94"/>
        <v/>
      </c>
      <c r="GE16" s="44" t="str">
        <f t="shared" si="95"/>
        <v/>
      </c>
      <c r="GF16" s="44" t="str">
        <f t="shared" si="138"/>
        <v/>
      </c>
      <c r="GG16" s="44" t="str">
        <f t="shared" si="96"/>
        <v/>
      </c>
      <c r="GH16" s="44" t="str">
        <f t="shared" si="97"/>
        <v/>
      </c>
      <c r="GI16" s="44" t="str">
        <f t="shared" si="98"/>
        <v/>
      </c>
      <c r="GJ16" s="44" t="str">
        <f t="shared" si="99"/>
        <v>"NoStar",</v>
      </c>
      <c r="GK16" s="44" t="str">
        <f t="shared" si="100"/>
        <v/>
      </c>
      <c r="GL16" s="44" t="str">
        <f t="shared" si="101"/>
        <v/>
      </c>
      <c r="GM16" s="44" t="str">
        <f t="shared" si="102"/>
        <v/>
      </c>
      <c r="GN16" s="44" t="str">
        <f t="shared" si="103"/>
        <v/>
      </c>
      <c r="GP16" s="44" t="str">
        <f t="shared" si="104"/>
        <v>"State"</v>
      </c>
      <c r="GS16" s="44" t="str">
        <f t="shared" si="105"/>
        <v>["4Color","lets04","startL","with_v","year00","2Bands","Diagon","Horizo","Vertic","HasSun","NO_BLU","NO_BLA","001RED","003GRE","myrEQ","NoStar"]</v>
      </c>
      <c r="GT16" s="44" t="str">
        <f t="shared" si="106"/>
        <v/>
      </c>
      <c r="GU16" s="44" t="str">
        <f t="shared" si="107"/>
        <v/>
      </c>
      <c r="GV16" s="44" t="str">
        <f t="shared" si="108"/>
        <v>"cl_GRE",</v>
      </c>
      <c r="GW16" s="44" t="str">
        <f t="shared" si="109"/>
        <v>"cl_RED",</v>
      </c>
      <c r="GX16" s="44" t="str">
        <f t="shared" si="110"/>
        <v>"cl_YEL",</v>
      </c>
      <c r="GY16" s="44" t="str">
        <f t="shared" si="111"/>
        <v/>
      </c>
      <c r="GZ16" s="44" t="str">
        <f t="shared" si="112"/>
        <v/>
      </c>
      <c r="HA16" s="44" t="str">
        <f t="shared" si="113"/>
        <v/>
      </c>
      <c r="HB16" s="44" t="str">
        <f t="shared" si="114"/>
        <v>"cl_WHI",</v>
      </c>
      <c r="HC16" s="44" t="str">
        <f t="shared" si="115"/>
        <v>["cl_GRE","cl_RED","cl_YEL","cl_WHI"]</v>
      </c>
      <c r="HE16" s="64"/>
      <c r="HF16" s="65" t="str">
        <f t="shared" si="116"/>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links: "https://www.crwflags.com/fotw/flags/ve-k.html#:~:text=Urdaneta%20(Siquisique)-,Overview,-Flag%20of%20the"},</v>
      </c>
      <c r="HG16" s="66" t="str">
        <f t="shared" si="117"/>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links: "https://www.crwflags.com/fotw/flags/ve-k.html#:~:text=Urdaneta%20(Siquisique)-,Overview,-Flag%20of%20the"},</v>
      </c>
      <c r="HH16" s="44" t="str">
        <f t="shared" si="118"/>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I16" s="44" t="str">
        <f t="shared" si="119"/>
        <v>"\nThe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v>
      </c>
      <c r="HJ16" s="44" t="str">
        <f t="shared" si="120"/>
        <v>"2000"</v>
      </c>
      <c r="HL16" s="44" t="str">
        <f t="shared" si="121"/>
        <v>"https://www.crwflags.com/fotw/flags/ve-k.html#:~:text=Urdaneta%20(Siquisique)-,Overview,-Flag%20of%20the"</v>
      </c>
      <c r="HM16" s="65" t="str">
        <f t="shared" si="122"/>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N16" s="67" t="str">
        <f t="shared" si="123"/>
        <v>{"couname":"[VEN] Lara","year":"2000","region":"rgn_South America","Colors":["cl_GRE","cl_RED","cl_YEL","cl_WHI"],"Items":["4Color","lets04","startL","with_v","year00","2Bands","Diagon","Horizo","Vertic","HasSun","NO_BLU","NO_BLA","001RED","003GRE","myrEQ","NoStar"],"Flag":"https://upload.wikimedia.org/wikipedia/commons/thumb/4/4b/Flag_of_Lara_State.svg/320px-Flag_of_Lara_State.svg.png","HDFlag":"https://upload.wikimedia.org/wikipedia/commons/thumb/4/4b/Flag_of_Lara_State.svg/800px-Flag_of_Lara_State.svg.png","type":"State", "describe": "\nThe flag is divided into two stripes: the top one is red and is charged with thirteen yellow and white oblique rays which form a twilight sun symbolizing the memory of the characteristic twilight of the region, the historical inheritance, the hope, the greatness, the courage, the passion, the wealth, the force and the faith of the Larensian people searching for obtain an integral development. The green stripe alludes to the fertility of the land and the abundance and productivity of the people.", "isnew": ".", "links": "https://www.crwflags.com/fotw/flags/ve-k.html#:~:text=Urdaneta%20(Siquisique)-,Overview,-Flag%20of%20the"},</v>
      </c>
      <c r="HO16" s="71">
        <v>45610</v>
      </c>
      <c r="HP16" s="44" t="str" cm="1">
        <f t="array" ref="HP16">IF(_xlfn.TEXTJOIN(", ", TRUE, IF(ISNUMBER(SEARCH("BLA", BL16:BT16)), COLUMN(BL16:BT16) - COLUMN(BL16) + 1, ""))&lt;&gt;"","BLA","")</f>
        <v/>
      </c>
      <c r="HQ16" s="44" t="str" cm="1">
        <f t="array" ref="HQ16">IF(_xlfn.TEXTJOIN(", ", TRUE, IF(ISNUMBER(SEARCH("BLU", BL16:BT16)), COLUMN(BL16:BT16) - COLUMN(BL16) + 1, ""))&lt;&gt;"","BLU","")</f>
        <v/>
      </c>
      <c r="HR16" s="44" t="str" cm="1">
        <f t="array" ref="HR16">IF(_xlfn.TEXTJOIN(", ", TRUE, IF(ISNUMBER(SEARCH("GRE", BL16:BT16)), COLUMN(BL16:BT16) - COLUMN(BL16) + 1, ""))&lt;&gt;"","GRE","")</f>
        <v>GRE</v>
      </c>
      <c r="HS16" s="44" t="str" cm="1">
        <f t="array" ref="HS16">IF(_xlfn.TEXTJOIN(", ", TRUE, IF(ISNUMBER(SEARCH("RED", BL16:BT16)), COLUMN(BL16:BT16) - COLUMN(BL16) + 1, ""))&lt;&gt;"","RED","")</f>
        <v>RED</v>
      </c>
      <c r="HT16" s="44" t="str" cm="1">
        <f t="array" ref="HT16">IF(_xlfn.TEXTJOIN(", ", TRUE, IF(ISNUMBER(SEARCH("YEL", BL16:BT16)), COLUMN(BL16:BT16) - COLUMN(BL16) + 1, ""))&lt;&gt;"","YEL","")</f>
        <v>YEL</v>
      </c>
      <c r="HU16" s="44" t="str" cm="1">
        <f t="array" ref="HU16">IF(_xlfn.TEXTJOIN(", ", TRUE, IF(ISNUMBER(SEARCH("ORA", BL16:BT16)), COLUMN(BL16:BT16) - COLUMN(BL16) + 1, ""))&lt;&gt;"","ORA","")</f>
        <v/>
      </c>
      <c r="HV16" s="44" t="str" cm="1">
        <f t="array" ref="HV16">IF(_xlfn.TEXTJOIN(", ", TRUE, IF(ISNUMBER(SEARCH("BRO", BL16:BT16)), COLUMN(BL16:BT16) - COLUMN(BL16) + 1, ""))&lt;&gt;"","BRO","")</f>
        <v/>
      </c>
      <c r="HW16" s="44" t="str" cm="1">
        <f t="array" ref="HW16">IF(_xlfn.TEXTJOIN(", ", TRUE, IF(ISNUMBER(SEARCH("PUR", BL16:BT16)), COLUMN(BL16:BT16) - COLUMN(BL16) + 1, ""))&lt;&gt;"","PUR","")</f>
        <v/>
      </c>
      <c r="HX16" s="44" t="str" cm="1">
        <f t="array" ref="HX16">IF(_xlfn.TEXTJOIN(", ", TRUE, IF(ISNUMBER(SEARCH("WHI", BL16:BT16)), COLUMN(BL16:BT16) - COLUMN(BL16) + 1, ""))&lt;&gt;"","WHI","")</f>
        <v>WHI</v>
      </c>
      <c r="HY16" s="72"/>
      <c r="HZ16" s="72"/>
      <c r="IA16" s="5"/>
      <c r="IB16" s="5"/>
      <c r="IC16" s="68"/>
      <c r="ID16" s="68"/>
      <c r="IE16" s="68"/>
      <c r="IF16" s="68"/>
      <c r="IG16" s="68"/>
      <c r="IH16" s="68"/>
      <c r="II16" s="68"/>
      <c r="IJ16" s="68"/>
      <c r="IK16" s="68"/>
      <c r="IM16" s="42">
        <f t="shared" si="124"/>
        <v>-4</v>
      </c>
      <c r="IN16" s="69" t="str">
        <f t="shared" si="125"/>
        <v>http://mkweb.bcgsc.ca/color-summarizer/?url=https://upload.wikimedia.org/wikipedia/commons/thumb/4/4b/Flag_of_Lara_State.svg/320px-Flag_of_Lara_State.svg.png&amp;precision=low&amp;num_clusters=4&amp;text=1</v>
      </c>
      <c r="IO16" s="44" t="str">
        <f t="shared" si="126"/>
        <v/>
      </c>
      <c r="IP16" s="44" t="str">
        <f t="shared" si="127"/>
        <v/>
      </c>
      <c r="IQ16" s="44" t="str">
        <f t="shared" si="128"/>
        <v>"green"</v>
      </c>
      <c r="IR16" s="44" t="str">
        <f t="shared" si="129"/>
        <v>"red"</v>
      </c>
      <c r="IS16" s="44" t="str">
        <f t="shared" si="130"/>
        <v>"yellow"</v>
      </c>
      <c r="IT16" s="44" t="str">
        <f t="shared" si="131"/>
        <v/>
      </c>
      <c r="IU16" s="44" t="str">
        <f t="shared" si="132"/>
        <v/>
      </c>
      <c r="IV16" s="44" t="str">
        <f t="shared" si="133"/>
        <v/>
      </c>
      <c r="IW16" s="44" t="str">
        <f t="shared" si="134"/>
        <v>"white"</v>
      </c>
      <c r="IX16" s="44" t="str">
        <f t="shared" si="135"/>
        <v>{"url":"http://mkweb.bcgsc.ca/color-summarizer/?url=https://upload.wikimedia.org/wikipedia/commons/thumb/4/4b/Flag_of_Lara_State.svg/320px-Flag_of_Lara_State.svg.png&amp;precision=low&amp;num_clusters=4&amp;text=1","name":"[VEN] Lara"},</v>
      </c>
      <c r="IY16" s="44">
        <v>1480</v>
      </c>
    </row>
    <row r="17" spans="1:259" s="44" customFormat="1" ht="38.4" customHeight="1" thickBot="1" x14ac:dyDescent="0.35">
      <c r="A17" s="84" t="s">
        <v>793</v>
      </c>
      <c r="B17" s="83" t="e" vm="116">
        <v>#VALUE!</v>
      </c>
      <c r="C17" s="39">
        <v>2</v>
      </c>
      <c r="D17" s="70" t="s">
        <v>794</v>
      </c>
      <c r="E17" s="40" t="s">
        <v>795</v>
      </c>
      <c r="F17" s="41" t="s">
        <v>163</v>
      </c>
      <c r="G17" s="42">
        <f t="shared" si="0"/>
        <v>1</v>
      </c>
      <c r="H17" s="43"/>
      <c r="I17" s="59" t="s">
        <v>796</v>
      </c>
      <c r="J17" s="44" t="str">
        <f>""</f>
        <v/>
      </c>
      <c r="K17" s="45"/>
      <c r="L17" s="46"/>
      <c r="M17" s="46"/>
      <c r="N17" s="47" t="s">
        <v>177</v>
      </c>
      <c r="O17" s="74">
        <v>1996</v>
      </c>
      <c r="P17" s="48" t="s">
        <v>797</v>
      </c>
      <c r="Q17" s="73">
        <v>1</v>
      </c>
      <c r="R17" s="49" t="s">
        <v>177</v>
      </c>
      <c r="S17" s="50">
        <v>3</v>
      </c>
      <c r="T17" s="51" t="s">
        <v>165</v>
      </c>
      <c r="U17" s="52" t="s">
        <v>164</v>
      </c>
      <c r="V17" s="52" t="s">
        <v>164</v>
      </c>
      <c r="W17" s="52" t="s">
        <v>164</v>
      </c>
      <c r="X17" s="52" t="s">
        <v>164</v>
      </c>
      <c r="Y17" s="52" t="s">
        <v>164</v>
      </c>
      <c r="Z17" s="52" t="s">
        <v>164</v>
      </c>
      <c r="AA17" s="52" t="s">
        <v>164</v>
      </c>
      <c r="AB17" s="52" t="s">
        <v>164</v>
      </c>
      <c r="AC17" s="52" t="s">
        <v>164</v>
      </c>
      <c r="AD17" s="52" t="s">
        <v>164</v>
      </c>
      <c r="AE17" s="52" t="s">
        <v>164</v>
      </c>
      <c r="AF17" s="53" t="s">
        <v>165</v>
      </c>
      <c r="AG17" s="53" t="s">
        <v>164</v>
      </c>
      <c r="AH17" s="53" t="s">
        <v>165</v>
      </c>
      <c r="AI17" s="53" t="s">
        <v>164</v>
      </c>
      <c r="AJ17" s="53" t="s">
        <v>164</v>
      </c>
      <c r="AK17" s="53" t="s">
        <v>164</v>
      </c>
      <c r="AL17" s="53" t="s">
        <v>164</v>
      </c>
      <c r="AM17" s="53" t="s">
        <v>164</v>
      </c>
      <c r="AN17" s="53" t="s">
        <v>164</v>
      </c>
      <c r="AO17" s="53" t="s">
        <v>164</v>
      </c>
      <c r="AP17" s="53" t="s">
        <v>164</v>
      </c>
      <c r="AQ17" s="53" t="s">
        <v>164</v>
      </c>
      <c r="AR17" s="53" t="s">
        <v>164</v>
      </c>
      <c r="AS17" s="53" t="s">
        <v>164</v>
      </c>
      <c r="AT17" s="54">
        <v>1</v>
      </c>
      <c r="AU17" s="53" t="s">
        <v>308</v>
      </c>
      <c r="AV17" s="53" t="str">
        <f t="shared" si="1"/>
        <v>[VEN]State[VEN] Mérida</v>
      </c>
      <c r="AW17" s="53" t="str">
        <f t="shared" si="2"/>
        <v>2[VEN] Mérida</v>
      </c>
      <c r="AX17" s="55"/>
      <c r="AY17" s="55"/>
      <c r="AZ17" s="56" t="s">
        <v>154</v>
      </c>
      <c r="BA17" s="56" t="s">
        <v>234</v>
      </c>
      <c r="BB17" s="56"/>
      <c r="BC17" s="57"/>
      <c r="BD17" s="58" t="s">
        <v>167</v>
      </c>
      <c r="BE17" s="59"/>
      <c r="BF17" s="58" t="s">
        <v>153</v>
      </c>
      <c r="BG17" s="58" t="s">
        <v>159</v>
      </c>
      <c r="BH17" s="58" t="s">
        <v>152</v>
      </c>
      <c r="BI17" s="58"/>
      <c r="BJ17" s="58"/>
      <c r="BK17" s="59"/>
      <c r="BL17" s="58" t="s">
        <v>234</v>
      </c>
      <c r="BM17" s="58" t="s">
        <v>152</v>
      </c>
      <c r="BN17" s="58" t="s">
        <v>153</v>
      </c>
      <c r="BO17" s="58" t="s">
        <v>154</v>
      </c>
      <c r="BP17" s="58" t="s">
        <v>234</v>
      </c>
      <c r="BQ17" s="58" t="s">
        <v>234</v>
      </c>
      <c r="BR17" s="58" t="s">
        <v>234</v>
      </c>
      <c r="BS17" s="58" t="s">
        <v>234</v>
      </c>
      <c r="BT17" s="58" t="s">
        <v>159</v>
      </c>
      <c r="BU17" s="60"/>
      <c r="BV17" s="61"/>
      <c r="BW17" s="61">
        <v>0</v>
      </c>
      <c r="BX17" s="59"/>
      <c r="BY17" s="44" t="s">
        <v>164</v>
      </c>
      <c r="CB17" s="5"/>
      <c r="CC17" s="5"/>
      <c r="CD17" s="62">
        <v>0</v>
      </c>
      <c r="CE17" s="62">
        <v>0</v>
      </c>
      <c r="CF17" s="62" t="e">
        <v>#REF!</v>
      </c>
      <c r="CG17" s="75" cm="1">
        <f t="array" ref="CG17">SUMPRODUCT(--(LEN(TRIM(BL17:BT17))&gt;0))</f>
        <v>4</v>
      </c>
      <c r="CH17" s="53" t="str">
        <f t="shared" si="3"/>
        <v>n</v>
      </c>
      <c r="CI17" s="53" t="str">
        <f t="shared" si="4"/>
        <v>n</v>
      </c>
      <c r="CJ17" s="53" t="str">
        <f t="shared" si="5"/>
        <v>y</v>
      </c>
      <c r="CK17" s="53" t="str">
        <f t="shared" si="6"/>
        <v>n</v>
      </c>
      <c r="CL17" s="53" t="str">
        <f t="shared" si="7"/>
        <v>n</v>
      </c>
      <c r="CM17" s="53" t="str">
        <f t="shared" si="8"/>
        <v>n</v>
      </c>
      <c r="CN17" s="53" t="str">
        <f t="shared" si="9"/>
        <v>y</v>
      </c>
      <c r="CO17" s="53" t="str">
        <f t="shared" si="10"/>
        <v>n</v>
      </c>
      <c r="CP17" s="53" t="str">
        <f t="shared" si="11"/>
        <v>n</v>
      </c>
      <c r="CQ17" s="53" t="str">
        <f t="shared" si="12"/>
        <v>y</v>
      </c>
      <c r="CR17" s="53" t="str">
        <f t="shared" si="13"/>
        <v>n</v>
      </c>
      <c r="CS17" s="53" t="str">
        <f t="shared" si="14"/>
        <v>n</v>
      </c>
      <c r="CT17" s="38" t="str">
        <f t="shared" si="15"/>
        <v>"[VEN] Mérida"</v>
      </c>
      <c r="CU17" s="63" t="str">
        <f t="shared" si="16"/>
        <v>"rgn_South America"</v>
      </c>
      <c r="CV17" s="44" t="str">
        <f t="shared" si="17"/>
        <v>"https://upload.wikimedia.org/wikipedia/commons/thumb/9/9f/Flag_of_M%C3%A9rida_State.svg/320px-Flag_of_M%C3%A9rida_State.svg.png"</v>
      </c>
      <c r="CW17" s="44" t="str">
        <f t="shared" si="18"/>
        <v/>
      </c>
      <c r="CX17" s="44" t="str">
        <f t="shared" si="19"/>
        <v/>
      </c>
      <c r="CY17" s="44" t="str">
        <f t="shared" si="20"/>
        <v>"4Color",</v>
      </c>
      <c r="CZ17" s="44" t="str">
        <f t="shared" si="21"/>
        <v/>
      </c>
      <c r="DA17" s="44" t="str">
        <f t="shared" si="22"/>
        <v/>
      </c>
      <c r="DB17" s="44" t="str">
        <f t="shared" si="23"/>
        <v/>
      </c>
      <c r="DD17" s="44" t="str">
        <f t="shared" si="136"/>
        <v>"lets06",</v>
      </c>
      <c r="DE17" s="44" t="str">
        <f t="shared" si="137"/>
        <v>"startM",</v>
      </c>
      <c r="DF17" s="44" t="str">
        <f t="shared" si="24"/>
        <v/>
      </c>
      <c r="DG17" s="44" t="str">
        <f t="shared" si="25"/>
        <v/>
      </c>
      <c r="DH17" s="44" t="str">
        <f t="shared" si="26"/>
        <v>"with_v",</v>
      </c>
      <c r="DI17" s="44" t="str">
        <f t="shared" si="27"/>
        <v/>
      </c>
      <c r="DJ17" s="44" t="str">
        <f t="shared" si="28"/>
        <v/>
      </c>
      <c r="DK17" s="44" t="str">
        <f t="shared" si="29"/>
        <v/>
      </c>
      <c r="DL17" s="44" t="str">
        <f t="shared" si="30"/>
        <v/>
      </c>
      <c r="DM17" s="44" t="str" cm="1">
        <f t="array" ref="DM17">IF(CG17=3,CHAR(34) &amp; _xlfn.TEXTJOIN("", TRUE, RIGHT(HP17:HX17, 2)) &amp; CHAR(34) &amp; ",", "")</f>
        <v/>
      </c>
      <c r="DN17" s="44" t="str">
        <f t="shared" si="31"/>
        <v/>
      </c>
      <c r="DO17" s="44" t="str">
        <f t="shared" si="32"/>
        <v>"year19",</v>
      </c>
      <c r="DP17" s="5" t="str">
        <f t="shared" si="33"/>
        <v/>
      </c>
      <c r="DQ17" s="5" t="str">
        <f t="shared" si="34"/>
        <v/>
      </c>
      <c r="DR17" s="5" t="str">
        <f t="shared" si="35"/>
        <v/>
      </c>
      <c r="DS17" s="5" t="str">
        <f t="shared" si="36"/>
        <v/>
      </c>
      <c r="DT17" s="5" t="str">
        <f t="shared" si="37"/>
        <v/>
      </c>
      <c r="DU17" s="5" t="str">
        <f t="shared" si="38"/>
        <v/>
      </c>
      <c r="DW17" s="44" t="str">
        <f t="shared" si="39"/>
        <v/>
      </c>
      <c r="DX17" s="44" t="str">
        <f t="shared" si="40"/>
        <v/>
      </c>
      <c r="DY17" s="44" t="str">
        <f t="shared" si="41"/>
        <v>"3Bands",</v>
      </c>
      <c r="DZ17" s="44" t="str">
        <f t="shared" si="42"/>
        <v/>
      </c>
      <c r="EA17" s="44" t="str">
        <f t="shared" si="43"/>
        <v>"Diagon",</v>
      </c>
      <c r="EB17" s="44" t="str">
        <f t="shared" si="44"/>
        <v/>
      </c>
      <c r="EC17" s="44" t="str">
        <f t="shared" si="45"/>
        <v/>
      </c>
      <c r="ED17" s="44" t="str">
        <f t="shared" si="46"/>
        <v/>
      </c>
      <c r="EE17" s="44" t="str">
        <f t="shared" si="47"/>
        <v/>
      </c>
      <c r="EF17" s="44" t="str">
        <f t="shared" si="48"/>
        <v/>
      </c>
      <c r="EG17" s="44" t="str">
        <f t="shared" si="49"/>
        <v/>
      </c>
      <c r="EH17" s="44" t="str">
        <f t="shared" si="50"/>
        <v/>
      </c>
      <c r="EI17" s="44" t="str">
        <f t="shared" si="51"/>
        <v/>
      </c>
      <c r="EJ17" s="44" t="str">
        <f t="shared" si="52"/>
        <v/>
      </c>
      <c r="EK17" s="44" t="str">
        <f t="shared" si="53"/>
        <v/>
      </c>
      <c r="EL17" s="44" t="str">
        <f t="shared" si="54"/>
        <v/>
      </c>
      <c r="EM17" s="44" t="str">
        <f t="shared" si="55"/>
        <v>"Trside",</v>
      </c>
      <c r="EN17" s="44" t="str">
        <f t="shared" si="56"/>
        <v/>
      </c>
      <c r="EO17" s="44" t="str">
        <f t="shared" si="57"/>
        <v>"Center",</v>
      </c>
      <c r="EP17" s="44" t="str">
        <f t="shared" si="58"/>
        <v/>
      </c>
      <c r="EQ17" s="44" t="str">
        <f t="shared" si="59"/>
        <v/>
      </c>
      <c r="ER17" s="44" t="str">
        <f t="shared" si="60"/>
        <v/>
      </c>
      <c r="ES17" s="44" t="str">
        <f t="shared" si="61"/>
        <v/>
      </c>
      <c r="ET17" s="44" t="str">
        <f t="shared" si="62"/>
        <v/>
      </c>
      <c r="EU17" s="44" t="str">
        <f t="shared" si="63"/>
        <v/>
      </c>
      <c r="EV17" s="44" t="str">
        <f t="shared" si="64"/>
        <v/>
      </c>
      <c r="EW17" s="44" t="str">
        <f t="shared" si="65"/>
        <v/>
      </c>
      <c r="EX17" s="44" t="str">
        <f t="shared" si="66"/>
        <v/>
      </c>
      <c r="EY17" s="44" t="str">
        <f t="shared" si="67"/>
        <v/>
      </c>
      <c r="EZ17" s="44" t="str">
        <f t="shared" si="68"/>
        <v/>
      </c>
      <c r="FA17" s="44" t="str">
        <f t="shared" si="69"/>
        <v>"staRED",</v>
      </c>
      <c r="FB17" s="44" t="str">
        <f t="shared" si="70"/>
        <v/>
      </c>
      <c r="FD17" s="44" t="str">
        <f t="shared" si="71"/>
        <v/>
      </c>
      <c r="FE17" s="44" t="str">
        <f t="shared" si="72"/>
        <v/>
      </c>
      <c r="FF17" s="44" t="str">
        <f t="shared" si="73"/>
        <v/>
      </c>
      <c r="FG17" s="44" t="str">
        <f t="shared" si="74"/>
        <v/>
      </c>
      <c r="FH17" s="44" t="str">
        <f t="shared" si="75"/>
        <v/>
      </c>
      <c r="FI17" s="44" t="str">
        <f t="shared" si="76"/>
        <v>"NO_YEL",</v>
      </c>
      <c r="FJ17" s="44" t="str">
        <f t="shared" si="77"/>
        <v>"NO_BLA",</v>
      </c>
      <c r="FK17" s="44" t="str">
        <f t="shared" si="78"/>
        <v/>
      </c>
      <c r="FL17" s="44" t="str">
        <f t="shared" si="79"/>
        <v/>
      </c>
      <c r="FM17" s="44" t="str">
        <f t="shared" si="80"/>
        <v/>
      </c>
      <c r="FN17" s="44" t="str">
        <f t="shared" si="81"/>
        <v/>
      </c>
      <c r="FO17" s="44" t="str">
        <f t="shared" si="82"/>
        <v/>
      </c>
      <c r="FP17" s="44" t="str">
        <f t="shared" si="83"/>
        <v/>
      </c>
      <c r="FQ17" s="44" t="str">
        <f t="shared" si="84"/>
        <v>"001GRE",</v>
      </c>
      <c r="FR17" s="44" t="str">
        <f t="shared" si="85"/>
        <v>"002WHI",</v>
      </c>
      <c r="FS17" s="44" t="str">
        <f t="shared" si="86"/>
        <v>"003BLU",</v>
      </c>
      <c r="FT17" s="44" t="str">
        <f t="shared" si="87"/>
        <v>"myrEQ",</v>
      </c>
      <c r="FU17" s="44" t="str">
        <f t="shared" si="88"/>
        <v/>
      </c>
      <c r="FV17" s="44" t="str">
        <f t="shared" si="89"/>
        <v/>
      </c>
      <c r="FW17" s="44" t="str">
        <f t="shared" si="90"/>
        <v/>
      </c>
      <c r="FY17" s="44" t="str">
        <f t="shared" si="91"/>
        <v/>
      </c>
      <c r="FZ17" s="44" t="str">
        <f t="shared" si="92"/>
        <v/>
      </c>
      <c r="GA17" s="44" t="str">
        <f t="shared" si="93"/>
        <v/>
      </c>
      <c r="GB17" s="44" t="str">
        <f t="shared" si="94"/>
        <v/>
      </c>
      <c r="GE17" s="44" t="str">
        <f t="shared" si="95"/>
        <v/>
      </c>
      <c r="GF17" s="44" t="str">
        <f t="shared" si="138"/>
        <v/>
      </c>
      <c r="GG17" s="44" t="str">
        <f t="shared" si="96"/>
        <v/>
      </c>
      <c r="GH17" s="44" t="str">
        <f t="shared" si="97"/>
        <v/>
      </c>
      <c r="GI17" s="44" t="str">
        <f t="shared" si="98"/>
        <v/>
      </c>
      <c r="GJ17" s="44" t="str">
        <f t="shared" si="99"/>
        <v/>
      </c>
      <c r="GK17" s="44" t="str">
        <f t="shared" si="100"/>
        <v>"HasSta",</v>
      </c>
      <c r="GL17" s="44" t="str">
        <f t="shared" si="101"/>
        <v>"1Stars",</v>
      </c>
      <c r="GM17" s="44" t="str">
        <f t="shared" si="102"/>
        <v/>
      </c>
      <c r="GN17" s="44" t="str">
        <f t="shared" si="103"/>
        <v/>
      </c>
      <c r="GP17" s="44" t="str">
        <f t="shared" si="104"/>
        <v>"State"</v>
      </c>
      <c r="GS17" s="44" t="str">
        <f t="shared" si="105"/>
        <v>["4Color","lets06","startM","with_v","year19","3Bands","Diagon","Trside","Center","staRED","NO_YEL","NO_BLA","001GRE","002WHI","003BLU","myrEQ","HasSta","1Stars"]</v>
      </c>
      <c r="GT17" s="44" t="str">
        <f t="shared" si="106"/>
        <v/>
      </c>
      <c r="GU17" s="44" t="str">
        <f t="shared" si="107"/>
        <v>"cl_BLU",</v>
      </c>
      <c r="GV17" s="44" t="str">
        <f t="shared" si="108"/>
        <v>"cl_GRE",</v>
      </c>
      <c r="GW17" s="44" t="str">
        <f t="shared" si="109"/>
        <v>"cl_RED",</v>
      </c>
      <c r="GX17" s="44" t="str">
        <f t="shared" si="110"/>
        <v/>
      </c>
      <c r="GY17" s="44" t="str">
        <f t="shared" si="111"/>
        <v/>
      </c>
      <c r="GZ17" s="44" t="str">
        <f t="shared" si="112"/>
        <v/>
      </c>
      <c r="HA17" s="44" t="str">
        <f t="shared" si="113"/>
        <v/>
      </c>
      <c r="HB17" s="44" t="str">
        <f t="shared" si="114"/>
        <v>"cl_WHI",</v>
      </c>
      <c r="HC17" s="44" t="str">
        <f t="shared" si="115"/>
        <v>["cl_BLU","cl_GRE","cl_RED","cl_WHI"]</v>
      </c>
      <c r="HE17" s="64"/>
      <c r="HF17" s="65" t="str">
        <f t="shared" si="116"/>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links: "https://www.crwflags.com/fotw/flags/ve-l.html#:~:text=(in%20Spanish)-,Overview,-The%20M%C3%A9rida%20flag"},</v>
      </c>
      <c r="HG17" s="66" t="str">
        <f t="shared" si="117"/>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links: "https://www.crwflags.com/fotw/flags/ve-l.html#:~:text=(in%20Spanish)-,Overview,-The%20M%C3%A9rida%20flag"},</v>
      </c>
      <c r="HH17" s="44" t="str">
        <f t="shared" si="118"/>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I17" s="44" t="str">
        <f t="shared" si="119"/>
        <v>"\nThe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v>
      </c>
      <c r="HJ17" s="44" t="str">
        <f t="shared" si="120"/>
        <v>"1996"</v>
      </c>
      <c r="HL17" s="44" t="str">
        <f t="shared" si="121"/>
        <v>"https://www.crwflags.com/fotw/flags/ve-l.html#:~:text=(in%20Spanish)-,Overview,-The%20M%C3%A9rida%20flag"</v>
      </c>
      <c r="HM17" s="65" t="str">
        <f t="shared" si="122"/>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N17" s="67" t="str">
        <f t="shared" si="123"/>
        <v>{"couname":"[VEN] Mérida","year":"1996","region":"rgn_South America","Colors":["cl_BLU","cl_GRE","cl_RED","cl_WHI"],"Items":["4Color","lets06","startM","with_v","year19","3Bands","Diagon","Trside","Center","staRED","NO_YEL","NO_BLA","001GRE","002WHI","003BLU","myrEQ","HasSta","1Stars"],"Flag":"https://upload.wikimedia.org/wikipedia/commons/thumb/9/9f/Flag_of_M%C3%A9rida_State.svg/320px-Flag_of_M%C3%A9rida_State.svg.png","HDFlag":"https://upload.wikimedia.org/wikipedia/commons/thumb/9/9f/Flag_of_M%C3%A9rida_State.svg/800px-Flag_of_M%C3%A9rida_State.svg.png","type":"State", "describe": "\nThe flag has a mantled field divided into three triangles. The scalene emerald green triangle near the staff represents the landscape of the State geography. The white triangle in the center reminds the eternal snow of their 'Sierra Nevada' ('the Snowed Ridge' - the Venezuelan Andes). The scalene sky-blue triangle represents the sky, the rivers, the lake, and the lagoons of the region. The three triangles in conjunction symbolize Justice, Equality, and Freedom: the three principal basements of the Venezuelan Independent Heroes and the Red Star remind the courage and heroism of the Meridenian People. The name of the State reminds the ancient Province of Merida, one of the seven which declared the Independence of Venezuela on 1811.", "isnew": ".", "links": "https://www.crwflags.com/fotw/flags/ve-l.html#:~:text=(in%20Spanish)-,Overview,-The%20M%C3%A9rida%20flag"},</v>
      </c>
      <c r="HO17" s="71">
        <v>45610</v>
      </c>
      <c r="HP17" s="44" t="str" cm="1">
        <f t="array" ref="HP17">IF(_xlfn.TEXTJOIN(", ", TRUE, IF(ISNUMBER(SEARCH("BLA", BL17:BT17)), COLUMN(BL17:BT17) - COLUMN(BL17) + 1, ""))&lt;&gt;"","BLA","")</f>
        <v/>
      </c>
      <c r="HQ17" s="44" t="str" cm="1">
        <f t="array" ref="HQ17">IF(_xlfn.TEXTJOIN(", ", TRUE, IF(ISNUMBER(SEARCH("BLU", BL17:BT17)), COLUMN(BL17:BT17) - COLUMN(BL17) + 1, ""))&lt;&gt;"","BLU","")</f>
        <v>BLU</v>
      </c>
      <c r="HR17" s="44" t="str" cm="1">
        <f t="array" ref="HR17">IF(_xlfn.TEXTJOIN(", ", TRUE, IF(ISNUMBER(SEARCH("GRE", BL17:BT17)), COLUMN(BL17:BT17) - COLUMN(BL17) + 1, ""))&lt;&gt;"","GRE","")</f>
        <v>GRE</v>
      </c>
      <c r="HS17" s="44" t="str" cm="1">
        <f t="array" ref="HS17">IF(_xlfn.TEXTJOIN(", ", TRUE, IF(ISNUMBER(SEARCH("RED", BL17:BT17)), COLUMN(BL17:BT17) - COLUMN(BL17) + 1, ""))&lt;&gt;"","RED","")</f>
        <v>RED</v>
      </c>
      <c r="HT17" s="44" t="str" cm="1">
        <f t="array" ref="HT17">IF(_xlfn.TEXTJOIN(", ", TRUE, IF(ISNUMBER(SEARCH("YEL", BL17:BT17)), COLUMN(BL17:BT17) - COLUMN(BL17) + 1, ""))&lt;&gt;"","YEL","")</f>
        <v/>
      </c>
      <c r="HU17" s="44" t="str" cm="1">
        <f t="array" ref="HU17">IF(_xlfn.TEXTJOIN(", ", TRUE, IF(ISNUMBER(SEARCH("ORA", BL17:BT17)), COLUMN(BL17:BT17) - COLUMN(BL17) + 1, ""))&lt;&gt;"","ORA","")</f>
        <v/>
      </c>
      <c r="HV17" s="44" t="str" cm="1">
        <f t="array" ref="HV17">IF(_xlfn.TEXTJOIN(", ", TRUE, IF(ISNUMBER(SEARCH("BRO", BL17:BT17)), COLUMN(BL17:BT17) - COLUMN(BL17) + 1, ""))&lt;&gt;"","BRO","")</f>
        <v/>
      </c>
      <c r="HW17" s="44" t="str" cm="1">
        <f t="array" ref="HW17">IF(_xlfn.TEXTJOIN(", ", TRUE, IF(ISNUMBER(SEARCH("PUR", BL17:BT17)), COLUMN(BL17:BT17) - COLUMN(BL17) + 1, ""))&lt;&gt;"","PUR","")</f>
        <v/>
      </c>
      <c r="HX17" s="44" t="str" cm="1">
        <f t="array" ref="HX17">IF(_xlfn.TEXTJOIN(", ", TRUE, IF(ISNUMBER(SEARCH("WHI", BL17:BT17)), COLUMN(BL17:BT17) - COLUMN(BL17) + 1, ""))&lt;&gt;"","WHI","")</f>
        <v>WHI</v>
      </c>
      <c r="HY17" s="72"/>
      <c r="HZ17" s="72"/>
      <c r="IA17" s="5"/>
      <c r="IB17" s="5"/>
      <c r="IC17" s="68"/>
      <c r="ID17" s="68"/>
      <c r="IE17" s="68"/>
      <c r="IF17" s="68"/>
      <c r="IG17" s="68"/>
      <c r="IH17" s="68"/>
      <c r="II17" s="68"/>
      <c r="IJ17" s="68"/>
      <c r="IK17" s="68"/>
      <c r="IM17" s="42">
        <f t="shared" si="124"/>
        <v>-4</v>
      </c>
      <c r="IN17" s="69" t="str">
        <f t="shared" si="125"/>
        <v>http://mkweb.bcgsc.ca/color-summarizer/?url=https://upload.wikimedia.org/wikipedia/commons/thumb/9/9f/Flag_of_M%C3%A9rida_State.svg/320px-Flag_of_M%C3%A9rida_State.svg.png&amp;precision=low&amp;num_clusters=4&amp;text=1</v>
      </c>
      <c r="IO17" s="44" t="str">
        <f t="shared" si="126"/>
        <v/>
      </c>
      <c r="IP17" s="44" t="str">
        <f t="shared" si="127"/>
        <v>"blue"</v>
      </c>
      <c r="IQ17" s="44" t="str">
        <f t="shared" si="128"/>
        <v>"green"</v>
      </c>
      <c r="IR17" s="44" t="str">
        <f t="shared" si="129"/>
        <v>"red"</v>
      </c>
      <c r="IS17" s="44" t="str">
        <f t="shared" si="130"/>
        <v/>
      </c>
      <c r="IT17" s="44" t="str">
        <f t="shared" si="131"/>
        <v/>
      </c>
      <c r="IU17" s="44" t="str">
        <f t="shared" si="132"/>
        <v/>
      </c>
      <c r="IV17" s="44" t="str">
        <f t="shared" si="133"/>
        <v/>
      </c>
      <c r="IW17" s="44" t="str">
        <f t="shared" si="134"/>
        <v>"white"</v>
      </c>
      <c r="IX17" s="44" t="str">
        <f t="shared" si="135"/>
        <v>{"url":"http://mkweb.bcgsc.ca/color-summarizer/?url=https://upload.wikimedia.org/wikipedia/commons/thumb/9/9f/Flag_of_M%C3%A9rida_State.svg/320px-Flag_of_M%C3%A9rida_State.svg.png&amp;precision=low&amp;num_clusters=4&amp;text=1","name":"[VEN] Mérida"},</v>
      </c>
      <c r="IY17" s="44">
        <v>1481</v>
      </c>
    </row>
    <row r="18" spans="1:259" s="44" customFormat="1" ht="38.4" customHeight="1" thickBot="1" x14ac:dyDescent="0.35">
      <c r="A18" s="84" t="s">
        <v>798</v>
      </c>
      <c r="B18" s="83" t="e" vm="117">
        <v>#VALUE!</v>
      </c>
      <c r="C18" s="39">
        <v>2</v>
      </c>
      <c r="D18" s="70" t="s">
        <v>799</v>
      </c>
      <c r="E18" s="40" t="s">
        <v>800</v>
      </c>
      <c r="F18" s="41" t="s">
        <v>163</v>
      </c>
      <c r="G18" s="42">
        <f t="shared" si="0"/>
        <v>1</v>
      </c>
      <c r="H18" s="43"/>
      <c r="I18" s="59" t="s">
        <v>801</v>
      </c>
      <c r="J18" s="44" t="str">
        <f>""</f>
        <v/>
      </c>
      <c r="K18" s="45"/>
      <c r="L18" s="46"/>
      <c r="M18" s="46"/>
      <c r="N18" s="47" t="s">
        <v>177</v>
      </c>
      <c r="O18" s="74">
        <v>2006</v>
      </c>
      <c r="P18" s="48" t="s">
        <v>802</v>
      </c>
      <c r="Q18" s="73">
        <v>1</v>
      </c>
      <c r="R18" s="49" t="s">
        <v>177</v>
      </c>
      <c r="S18" s="50">
        <v>3</v>
      </c>
      <c r="T18" s="51" t="s">
        <v>164</v>
      </c>
      <c r="U18" s="52" t="s">
        <v>164</v>
      </c>
      <c r="V18" s="52" t="s">
        <v>165</v>
      </c>
      <c r="W18" s="52" t="s">
        <v>164</v>
      </c>
      <c r="X18" s="52" t="s">
        <v>165</v>
      </c>
      <c r="Y18" s="52" t="s">
        <v>164</v>
      </c>
      <c r="Z18" s="52" t="s">
        <v>164</v>
      </c>
      <c r="AA18" s="52" t="s">
        <v>165</v>
      </c>
      <c r="AB18" s="52" t="s">
        <v>165</v>
      </c>
      <c r="AC18" s="52" t="s">
        <v>164</v>
      </c>
      <c r="AD18" s="52" t="s">
        <v>164</v>
      </c>
      <c r="AE18" s="52" t="s">
        <v>164</v>
      </c>
      <c r="AF18" s="53" t="s">
        <v>164</v>
      </c>
      <c r="AG18" s="53" t="s">
        <v>165</v>
      </c>
      <c r="AH18" s="53" t="s">
        <v>165</v>
      </c>
      <c r="AI18" s="53" t="s">
        <v>164</v>
      </c>
      <c r="AJ18" s="53" t="s">
        <v>164</v>
      </c>
      <c r="AK18" s="53" t="s">
        <v>164</v>
      </c>
      <c r="AL18" s="53" t="s">
        <v>164</v>
      </c>
      <c r="AM18" s="53" t="s">
        <v>164</v>
      </c>
      <c r="AN18" s="53" t="s">
        <v>164</v>
      </c>
      <c r="AO18" s="53" t="s">
        <v>164</v>
      </c>
      <c r="AP18" s="53" t="s">
        <v>164</v>
      </c>
      <c r="AQ18" s="53" t="s">
        <v>164</v>
      </c>
      <c r="AR18" s="53" t="s">
        <v>164</v>
      </c>
      <c r="AS18" s="53" t="s">
        <v>164</v>
      </c>
      <c r="AT18" s="54">
        <v>6</v>
      </c>
      <c r="AU18" s="53" t="s">
        <v>308</v>
      </c>
      <c r="AV18" s="53" t="str">
        <f t="shared" si="1"/>
        <v>[VEN]State[VEN] Miranda</v>
      </c>
      <c r="AW18" s="53" t="str">
        <f t="shared" si="2"/>
        <v>2[VEN] Miranda</v>
      </c>
      <c r="AX18" s="55"/>
      <c r="AY18" s="55"/>
      <c r="AZ18" s="56" t="s">
        <v>159</v>
      </c>
      <c r="BA18" s="56" t="s">
        <v>234</v>
      </c>
      <c r="BB18" s="56"/>
      <c r="BC18" s="57"/>
      <c r="BD18" s="58" t="s">
        <v>167</v>
      </c>
      <c r="BE18" s="59"/>
      <c r="BF18" s="58" t="s">
        <v>151</v>
      </c>
      <c r="BG18" s="58" t="s">
        <v>154</v>
      </c>
      <c r="BH18" s="58" t="s">
        <v>155</v>
      </c>
      <c r="BI18" s="58"/>
      <c r="BJ18" s="58"/>
      <c r="BK18" s="59"/>
      <c r="BL18" s="58" t="s">
        <v>151</v>
      </c>
      <c r="BM18" s="58" t="s">
        <v>234</v>
      </c>
      <c r="BN18" s="58" t="s">
        <v>153</v>
      </c>
      <c r="BO18" s="58" t="s">
        <v>154</v>
      </c>
      <c r="BP18" s="58" t="s">
        <v>155</v>
      </c>
      <c r="BQ18" s="58" t="s">
        <v>156</v>
      </c>
      <c r="BR18" s="58" t="s">
        <v>157</v>
      </c>
      <c r="BS18" s="58" t="s">
        <v>234</v>
      </c>
      <c r="BT18" s="58" t="s">
        <v>159</v>
      </c>
      <c r="BU18" s="60"/>
      <c r="BV18" s="61"/>
      <c r="BW18" s="61">
        <v>0</v>
      </c>
      <c r="BX18" s="59"/>
      <c r="CB18" s="5"/>
      <c r="CC18" s="5"/>
      <c r="CD18" s="62">
        <v>0</v>
      </c>
      <c r="CE18" s="62">
        <v>0</v>
      </c>
      <c r="CF18" s="62" t="e">
        <v>#REF!</v>
      </c>
      <c r="CG18" s="75" cm="1">
        <f t="array" ref="CG18">SUMPRODUCT(--(LEN(TRIM(BL18:BT18))&gt;0))</f>
        <v>7</v>
      </c>
      <c r="CH18" s="53" t="str">
        <f t="shared" si="3"/>
        <v>n</v>
      </c>
      <c r="CI18" s="53" t="str">
        <f t="shared" si="4"/>
        <v>n</v>
      </c>
      <c r="CJ18" s="53" t="str">
        <f t="shared" si="5"/>
        <v>n</v>
      </c>
      <c r="CK18" s="53" t="str">
        <f t="shared" si="6"/>
        <v>y</v>
      </c>
      <c r="CL18" s="53" t="str">
        <f t="shared" si="7"/>
        <v>n</v>
      </c>
      <c r="CM18" s="53" t="str">
        <f t="shared" si="8"/>
        <v>n</v>
      </c>
      <c r="CN18" s="53" t="str">
        <f t="shared" si="9"/>
        <v>y</v>
      </c>
      <c r="CO18" s="53" t="str">
        <f t="shared" si="10"/>
        <v>n</v>
      </c>
      <c r="CP18" s="53" t="str">
        <f t="shared" si="11"/>
        <v>n</v>
      </c>
      <c r="CQ18" s="53" t="str">
        <f t="shared" si="12"/>
        <v>n</v>
      </c>
      <c r="CR18" s="53" t="str">
        <f t="shared" si="13"/>
        <v>n</v>
      </c>
      <c r="CS18" s="53" t="str">
        <f t="shared" si="14"/>
        <v>y</v>
      </c>
      <c r="CT18" s="38" t="str">
        <f t="shared" si="15"/>
        <v>"[VEN] Miranda"</v>
      </c>
      <c r="CU18" s="63" t="str">
        <f t="shared" si="16"/>
        <v>"rgn_South America"</v>
      </c>
      <c r="CV18" s="44" t="str">
        <f t="shared" si="17"/>
        <v>"https://upload.wikimedia.org/wikipedia/commons/thumb/9/92/Flag_of_Miranda_state.svg/320px-Flag_of_Miranda_state.svg.png"</v>
      </c>
      <c r="CW18" s="44" t="str">
        <f t="shared" si="18"/>
        <v/>
      </c>
      <c r="CX18" s="44" t="str">
        <f t="shared" si="19"/>
        <v/>
      </c>
      <c r="CY18" s="44" t="str">
        <f t="shared" si="20"/>
        <v/>
      </c>
      <c r="CZ18" s="44" t="str">
        <f t="shared" si="21"/>
        <v>"5+Colo",</v>
      </c>
      <c r="DA18" s="44" t="str">
        <f t="shared" si="22"/>
        <v/>
      </c>
      <c r="DB18" s="44" t="str">
        <f t="shared" si="23"/>
        <v/>
      </c>
      <c r="DD18" s="44" t="str">
        <f t="shared" si="136"/>
        <v>"lets07",</v>
      </c>
      <c r="DE18" s="44" t="str">
        <f t="shared" si="137"/>
        <v>"startM",</v>
      </c>
      <c r="DF18" s="44" t="str">
        <f t="shared" si="24"/>
        <v/>
      </c>
      <c r="DG18" s="44" t="str">
        <f t="shared" si="25"/>
        <v/>
      </c>
      <c r="DH18" s="44" t="str">
        <f t="shared" si="26"/>
        <v>"with_v",</v>
      </c>
      <c r="DI18" s="44" t="str">
        <f t="shared" si="27"/>
        <v/>
      </c>
      <c r="DJ18" s="44" t="str">
        <f t="shared" si="28"/>
        <v/>
      </c>
      <c r="DK18" s="44" t="str">
        <f t="shared" si="29"/>
        <v/>
      </c>
      <c r="DL18" s="44" t="str">
        <f t="shared" si="30"/>
        <v/>
      </c>
      <c r="DM18" s="44" t="str" cm="1">
        <f t="array" ref="DM18">IF(CG18=3,CHAR(34) &amp; _xlfn.TEXTJOIN("", TRUE, RIGHT(HP18:HX18, 2)) &amp; CHAR(34) &amp; ",", "")</f>
        <v/>
      </c>
      <c r="DN18" s="44" t="str">
        <f t="shared" si="31"/>
        <v/>
      </c>
      <c r="DO18" s="44" t="str">
        <f t="shared" si="32"/>
        <v/>
      </c>
      <c r="DP18" s="5" t="str">
        <f t="shared" si="33"/>
        <v>"year00",</v>
      </c>
      <c r="DQ18" s="5" t="str">
        <f t="shared" si="34"/>
        <v/>
      </c>
      <c r="DR18" s="5" t="str">
        <f t="shared" si="35"/>
        <v/>
      </c>
      <c r="DS18" s="5" t="str">
        <f t="shared" si="36"/>
        <v/>
      </c>
      <c r="DT18" s="5" t="str">
        <f t="shared" si="37"/>
        <v>"allhor",</v>
      </c>
      <c r="DU18" s="5" t="str">
        <f t="shared" si="38"/>
        <v/>
      </c>
      <c r="DW18" s="44" t="str">
        <f t="shared" si="39"/>
        <v/>
      </c>
      <c r="DX18" s="44" t="str">
        <f t="shared" si="40"/>
        <v/>
      </c>
      <c r="DY18" s="44" t="str">
        <f t="shared" si="41"/>
        <v>"3Bands",</v>
      </c>
      <c r="DZ18" s="44" t="str">
        <f t="shared" si="42"/>
        <v/>
      </c>
      <c r="EA18" s="44" t="str">
        <f t="shared" si="43"/>
        <v/>
      </c>
      <c r="EB18" s="44" t="str">
        <f t="shared" si="44"/>
        <v/>
      </c>
      <c r="EC18" s="44" t="str">
        <f t="shared" si="45"/>
        <v>"Horizo",</v>
      </c>
      <c r="ED18" s="44" t="str">
        <f t="shared" si="46"/>
        <v/>
      </c>
      <c r="EE18" s="44" t="str">
        <f t="shared" si="47"/>
        <v>"Circle",</v>
      </c>
      <c r="EF18" s="44" t="str">
        <f t="shared" si="48"/>
        <v/>
      </c>
      <c r="EG18" s="44" t="str">
        <f t="shared" si="49"/>
        <v/>
      </c>
      <c r="EH18" s="44" t="str">
        <f t="shared" si="50"/>
        <v>"Plants",</v>
      </c>
      <c r="EI18" s="44" t="str">
        <f t="shared" si="51"/>
        <v>"Texted",</v>
      </c>
      <c r="EJ18" s="44" t="str">
        <f t="shared" si="52"/>
        <v/>
      </c>
      <c r="EK18" s="44" t="str">
        <f t="shared" si="53"/>
        <v/>
      </c>
      <c r="EL18" s="44" t="str">
        <f t="shared" si="54"/>
        <v/>
      </c>
      <c r="EM18" s="44" t="str">
        <f t="shared" si="55"/>
        <v/>
      </c>
      <c r="EN18" s="44" t="str">
        <f t="shared" si="56"/>
        <v>"Unequa",</v>
      </c>
      <c r="EO18" s="44" t="str">
        <f t="shared" si="57"/>
        <v>"Center",</v>
      </c>
      <c r="EP18" s="44" t="str">
        <f t="shared" si="58"/>
        <v/>
      </c>
      <c r="EQ18" s="44" t="str">
        <f t="shared" si="59"/>
        <v/>
      </c>
      <c r="ER18" s="44" t="str">
        <f t="shared" si="60"/>
        <v/>
      </c>
      <c r="ES18" s="44" t="str">
        <f t="shared" si="61"/>
        <v/>
      </c>
      <c r="ET18" s="44" t="str">
        <f t="shared" si="62"/>
        <v/>
      </c>
      <c r="EU18" s="44" t="str">
        <f t="shared" si="63"/>
        <v/>
      </c>
      <c r="EV18" s="44" t="str">
        <f t="shared" si="64"/>
        <v/>
      </c>
      <c r="EW18" s="44" t="str">
        <f t="shared" si="65"/>
        <v/>
      </c>
      <c r="EX18" s="44" t="str">
        <f t="shared" si="66"/>
        <v/>
      </c>
      <c r="EY18" s="44" t="str">
        <f t="shared" si="67"/>
        <v/>
      </c>
      <c r="EZ18" s="44" t="str">
        <f t="shared" si="68"/>
        <v/>
      </c>
      <c r="FA18" s="44" t="str">
        <f t="shared" si="69"/>
        <v>"staWHI",</v>
      </c>
      <c r="FB18" s="44" t="str">
        <f t="shared" si="70"/>
        <v/>
      </c>
      <c r="FD18" s="44" t="str">
        <f t="shared" si="71"/>
        <v/>
      </c>
      <c r="FE18" s="44" t="str">
        <f t="shared" si="72"/>
        <v>"NO_BLU",</v>
      </c>
      <c r="FF18" s="44" t="str">
        <f t="shared" si="73"/>
        <v/>
      </c>
      <c r="FG18" s="44" t="str">
        <f t="shared" si="74"/>
        <v/>
      </c>
      <c r="FH18" s="44" t="str">
        <f t="shared" si="75"/>
        <v/>
      </c>
      <c r="FI18" s="44" t="str">
        <f t="shared" si="76"/>
        <v/>
      </c>
      <c r="FJ18" s="44" t="str">
        <f t="shared" si="77"/>
        <v/>
      </c>
      <c r="FK18" s="44" t="str">
        <f t="shared" si="78"/>
        <v/>
      </c>
      <c r="FL18" s="44" t="str">
        <f t="shared" si="79"/>
        <v/>
      </c>
      <c r="FM18" s="44" t="str">
        <f t="shared" si="80"/>
        <v/>
      </c>
      <c r="FN18" s="44" t="str">
        <f t="shared" si="81"/>
        <v/>
      </c>
      <c r="FO18" s="44" t="str">
        <f t="shared" si="82"/>
        <v/>
      </c>
      <c r="FP18" s="44" t="str">
        <f t="shared" si="83"/>
        <v/>
      </c>
      <c r="FQ18" s="44" t="str">
        <f t="shared" si="84"/>
        <v>"001BLA",</v>
      </c>
      <c r="FR18" s="44" t="str">
        <f t="shared" si="85"/>
        <v>"002RED",</v>
      </c>
      <c r="FS18" s="44" t="str">
        <f t="shared" si="86"/>
        <v>"003YEL",</v>
      </c>
      <c r="FT18" s="44" t="str">
        <f t="shared" si="87"/>
        <v>"myrEQ",</v>
      </c>
      <c r="FU18" s="44" t="str">
        <f t="shared" si="88"/>
        <v/>
      </c>
      <c r="FV18" s="44" t="str">
        <f t="shared" si="89"/>
        <v/>
      </c>
      <c r="FW18" s="44" t="str">
        <f t="shared" si="90"/>
        <v/>
      </c>
      <c r="FY18" s="44" t="str">
        <f t="shared" si="91"/>
        <v/>
      </c>
      <c r="FZ18" s="44" t="str">
        <f t="shared" si="92"/>
        <v/>
      </c>
      <c r="GA18" s="44" t="str">
        <f t="shared" si="93"/>
        <v/>
      </c>
      <c r="GB18" s="44" t="str">
        <f t="shared" si="94"/>
        <v/>
      </c>
      <c r="GE18" s="44" t="str">
        <f t="shared" si="95"/>
        <v/>
      </c>
      <c r="GF18" s="44" t="str">
        <f t="shared" si="138"/>
        <v/>
      </c>
      <c r="GG18" s="44" t="str">
        <f t="shared" si="96"/>
        <v/>
      </c>
      <c r="GH18" s="44" t="str">
        <f t="shared" si="97"/>
        <v/>
      </c>
      <c r="GI18" s="44" t="str">
        <f t="shared" si="98"/>
        <v/>
      </c>
      <c r="GJ18" s="44" t="str">
        <f t="shared" si="99"/>
        <v/>
      </c>
      <c r="GK18" s="44" t="str">
        <f t="shared" si="100"/>
        <v>"HasSta",</v>
      </c>
      <c r="GL18" s="44" t="str">
        <f t="shared" si="101"/>
        <v/>
      </c>
      <c r="GM18" s="44" t="str">
        <f t="shared" si="102"/>
        <v/>
      </c>
      <c r="GN18" s="44" t="str">
        <f t="shared" si="103"/>
        <v>"3+Star",</v>
      </c>
      <c r="GP18" s="44" t="str">
        <f t="shared" si="104"/>
        <v>"State"</v>
      </c>
      <c r="GS18" s="44" t="str">
        <f t="shared" si="105"/>
        <v>["5+Colo","lets07","startM","with_v","year00","allhor","3Bands","Horizo","Circle","Plants","Texted","Unequa","Center","staWHI","NO_BLU","001BLA","002RED","003YEL","myrEQ","HasSta","3+Star"]</v>
      </c>
      <c r="GT18" s="44" t="str">
        <f t="shared" si="106"/>
        <v>"cl_BLA",</v>
      </c>
      <c r="GU18" s="44" t="str">
        <f t="shared" si="107"/>
        <v/>
      </c>
      <c r="GV18" s="44" t="str">
        <f t="shared" si="108"/>
        <v>"cl_GRE",</v>
      </c>
      <c r="GW18" s="44" t="str">
        <f t="shared" si="109"/>
        <v>"cl_RED",</v>
      </c>
      <c r="GX18" s="44" t="str">
        <f t="shared" si="110"/>
        <v>"cl_YEL",</v>
      </c>
      <c r="GY18" s="44" t="str">
        <f t="shared" si="111"/>
        <v>"cl_ORA",</v>
      </c>
      <c r="GZ18" s="44" t="str">
        <f t="shared" si="112"/>
        <v>"cl_BRO",</v>
      </c>
      <c r="HA18" s="44" t="str">
        <f t="shared" si="113"/>
        <v/>
      </c>
      <c r="HB18" s="44" t="str">
        <f t="shared" si="114"/>
        <v>"cl_WHI",</v>
      </c>
      <c r="HC18" s="44" t="str">
        <f t="shared" si="115"/>
        <v>["cl_BLA","cl_GRE","cl_RED","cl_YEL","cl_ORA","cl_BRO","cl_WHI"]</v>
      </c>
      <c r="HE18" s="64"/>
      <c r="HF18" s="65" t="str">
        <f t="shared" si="116"/>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links: "https://www.crwflags.com/fotw/flags/ve-m.html#:~:text=(previous%20symbols)-,Overview,-According%20to%20report"},</v>
      </c>
      <c r="HG18" s="66" t="str">
        <f t="shared" si="117"/>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links: "https://www.crwflags.com/fotw/flags/ve-m.html#:~:text=(previous%20symbols)-,Overview,-According%20to%20report"},</v>
      </c>
      <c r="HH18" s="44" t="str">
        <f t="shared" si="118"/>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I18" s="44" t="str">
        <f t="shared" si="119"/>
        <v>"\nSeven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v>
      </c>
      <c r="HJ18" s="44" t="str">
        <f t="shared" si="120"/>
        <v>"2006"</v>
      </c>
      <c r="HL18" s="44" t="str">
        <f t="shared" si="121"/>
        <v>"https://www.crwflags.com/fotw/flags/ve-m.html#:~:text=(previous%20symbols)-,Overview,-According%20to%20report"</v>
      </c>
      <c r="HM18" s="65" t="str">
        <f t="shared" si="122"/>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N18" s="67" t="str">
        <f t="shared" si="123"/>
        <v>{"couname":"[VEN] Miranda","year":"2006","region":"rgn_South America","Colors":["cl_BLA","cl_GRE","cl_RED","cl_YEL","cl_ORA","cl_BRO","cl_WHI"],"Items":["5+Colo","lets07","startM","with_v","year00","allhor","3Bands","Horizo","Circle","Plants","Texted","Unequa","Center","staWHI","NO_BLU","001BLA","002RED","003YEL","myrEQ","HasSta","3+Star"],"Flag":"https://upload.wikimedia.org/wikipedia/commons/thumb/9/92/Flag_of_Miranda_state.svg/320px-Flag_of_Miranda_state.svg.png","HDFlag":"https://upload.wikimedia.org/wikipedia/commons/thumb/9/92/Flag_of_Miranda_state.svg/800px-Flag_of_Miranda_state.svg.png","type":"State", "describe": "\nSeven days after Falcón adopted a new flag, Miranda also adopted a new flag. Due to its evident similarity with the present Flag of Germany, the promoters of the change announced months ago and reviewed in the allied forums had to characterize it and added six five-pointed stars placed at an angle in such a way that three were oriented upwards and three downwards on the central stripe for represent the six regions of the state. In contrast, the sun of the old flag now appears streamlined on the lateral superior canton on the upper stripe charged with two branches of cocoa and includes a text ('Freedom or Death': war voice that according to them is commented by Simon Bolivar took for himself during the War of Independence). The three stripes black, red, and yellow which initially were attributed to the meaning of the union of Blacks, Browns, and Indians for emancipation now allude to the same three races that now integrate the community. Nevertheless, people of the white race are also included in the flag, as much in the state as in all of Venezuela due to the country's multiethnic wealth.", "isnew": ".", "links": "https://www.crwflags.com/fotw/flags/ve-m.html#:~:text=(previous%20symbols)-,Overview,-According%20to%20report"},</v>
      </c>
      <c r="HO18" s="71">
        <v>45610</v>
      </c>
      <c r="HP18" s="44" t="str" cm="1">
        <f t="array" ref="HP18">IF(_xlfn.TEXTJOIN(", ", TRUE, IF(ISNUMBER(SEARCH("BLA", BL18:BT18)), COLUMN(BL18:BT18) - COLUMN(BL18) + 1, ""))&lt;&gt;"","BLA","")</f>
        <v>BLA</v>
      </c>
      <c r="HQ18" s="44" t="str" cm="1">
        <f t="array" ref="HQ18">IF(_xlfn.TEXTJOIN(", ", TRUE, IF(ISNUMBER(SEARCH("BLU", BL18:BT18)), COLUMN(BL18:BT18) - COLUMN(BL18) + 1, ""))&lt;&gt;"","BLU","")</f>
        <v/>
      </c>
      <c r="HR18" s="44" t="str" cm="1">
        <f t="array" ref="HR18">IF(_xlfn.TEXTJOIN(", ", TRUE, IF(ISNUMBER(SEARCH("GRE", BL18:BT18)), COLUMN(BL18:BT18) - COLUMN(BL18) + 1, ""))&lt;&gt;"","GRE","")</f>
        <v>GRE</v>
      </c>
      <c r="HS18" s="44" t="str" cm="1">
        <f t="array" ref="HS18">IF(_xlfn.TEXTJOIN(", ", TRUE, IF(ISNUMBER(SEARCH("RED", BL18:BT18)), COLUMN(BL18:BT18) - COLUMN(BL18) + 1, ""))&lt;&gt;"","RED","")</f>
        <v>RED</v>
      </c>
      <c r="HT18" s="44" t="str" cm="1">
        <f t="array" ref="HT18">IF(_xlfn.TEXTJOIN(", ", TRUE, IF(ISNUMBER(SEARCH("YEL", BL18:BT18)), COLUMN(BL18:BT18) - COLUMN(BL18) + 1, ""))&lt;&gt;"","YEL","")</f>
        <v>YEL</v>
      </c>
      <c r="HU18" s="44" t="str" cm="1">
        <f t="array" ref="HU18">IF(_xlfn.TEXTJOIN(", ", TRUE, IF(ISNUMBER(SEARCH("ORA", BL18:BT18)), COLUMN(BL18:BT18) - COLUMN(BL18) + 1, ""))&lt;&gt;"","ORA","")</f>
        <v>ORA</v>
      </c>
      <c r="HV18" s="44" t="str" cm="1">
        <f t="array" ref="HV18">IF(_xlfn.TEXTJOIN(", ", TRUE, IF(ISNUMBER(SEARCH("BRO", BL18:BT18)), COLUMN(BL18:BT18) - COLUMN(BL18) + 1, ""))&lt;&gt;"","BRO","")</f>
        <v>BRO</v>
      </c>
      <c r="HW18" s="44" t="str" cm="1">
        <f t="array" ref="HW18">IF(_xlfn.TEXTJOIN(", ", TRUE, IF(ISNUMBER(SEARCH("PUR", BL18:BT18)), COLUMN(BL18:BT18) - COLUMN(BL18) + 1, ""))&lt;&gt;"","PUR","")</f>
        <v/>
      </c>
      <c r="HX18" s="44" t="str" cm="1">
        <f t="array" ref="HX18">IF(_xlfn.TEXTJOIN(", ", TRUE, IF(ISNUMBER(SEARCH("WHI", BL18:BT18)), COLUMN(BL18:BT18) - COLUMN(BL18) + 1, ""))&lt;&gt;"","WHI","")</f>
        <v>WHI</v>
      </c>
      <c r="HY18" s="72"/>
      <c r="HZ18" s="72"/>
      <c r="IA18" s="5"/>
      <c r="IB18" s="5"/>
      <c r="IC18" s="68"/>
      <c r="ID18" s="68"/>
      <c r="IE18" s="68"/>
      <c r="IF18" s="68"/>
      <c r="IG18" s="68"/>
      <c r="IH18" s="68"/>
      <c r="II18" s="68"/>
      <c r="IJ18" s="68"/>
      <c r="IK18" s="68"/>
      <c r="IM18" s="42">
        <f t="shared" si="124"/>
        <v>-7</v>
      </c>
      <c r="IN18" s="69" t="str">
        <f t="shared" si="125"/>
        <v>http://mkweb.bcgsc.ca/color-summarizer/?url=https://upload.wikimedia.org/wikipedia/commons/thumb/9/92/Flag_of_Miranda_state.svg/320px-Flag_of_Miranda_state.svg.png&amp;precision=low&amp;num_clusters=7&amp;text=1</v>
      </c>
      <c r="IO18" s="44" t="str">
        <f t="shared" si="126"/>
        <v>"black"</v>
      </c>
      <c r="IP18" s="44" t="str">
        <f t="shared" si="127"/>
        <v/>
      </c>
      <c r="IQ18" s="44" t="str">
        <f t="shared" si="128"/>
        <v>"green"</v>
      </c>
      <c r="IR18" s="44" t="str">
        <f t="shared" si="129"/>
        <v>"red"</v>
      </c>
      <c r="IS18" s="44" t="str">
        <f t="shared" si="130"/>
        <v>"yellow"</v>
      </c>
      <c r="IT18" s="44" t="str">
        <f t="shared" si="131"/>
        <v>"orange"</v>
      </c>
      <c r="IU18" s="44" t="str">
        <f t="shared" si="132"/>
        <v>"brown"</v>
      </c>
      <c r="IV18" s="44" t="str">
        <f t="shared" si="133"/>
        <v/>
      </c>
      <c r="IW18" s="44" t="str">
        <f t="shared" si="134"/>
        <v>"white"</v>
      </c>
      <c r="IX18" s="44" t="str">
        <f t="shared" si="135"/>
        <v>{"url":"http://mkweb.bcgsc.ca/color-summarizer/?url=https://upload.wikimedia.org/wikipedia/commons/thumb/9/92/Flag_of_Miranda_state.svg/320px-Flag_of_Miranda_state.svg.png&amp;precision=low&amp;num_clusters=7&amp;text=1","name":"[VEN] Miranda"},</v>
      </c>
      <c r="IY18" s="44">
        <v>1482</v>
      </c>
    </row>
    <row r="19" spans="1:259" s="44" customFormat="1" ht="38.4" customHeight="1" thickBot="1" x14ac:dyDescent="0.35">
      <c r="A19" s="84" t="s">
        <v>803</v>
      </c>
      <c r="B19" s="83" t="e" vm="118">
        <v>#VALUE!</v>
      </c>
      <c r="C19" s="39">
        <v>2</v>
      </c>
      <c r="D19" s="70" t="s">
        <v>804</v>
      </c>
      <c r="E19" s="40" t="s">
        <v>805</v>
      </c>
      <c r="F19" s="41" t="s">
        <v>163</v>
      </c>
      <c r="G19" s="42">
        <f t="shared" si="0"/>
        <v>1</v>
      </c>
      <c r="H19" s="43"/>
      <c r="I19" s="59" t="s">
        <v>806</v>
      </c>
      <c r="J19" s="44" t="str">
        <f>""</f>
        <v/>
      </c>
      <c r="K19" s="45"/>
      <c r="L19" s="46"/>
      <c r="M19" s="46"/>
      <c r="N19" s="47" t="s">
        <v>177</v>
      </c>
      <c r="O19" s="74">
        <v>2003</v>
      </c>
      <c r="P19" s="48" t="s">
        <v>807</v>
      </c>
      <c r="Q19" s="73">
        <v>1</v>
      </c>
      <c r="R19" s="49" t="s">
        <v>177</v>
      </c>
      <c r="S19" s="50">
        <v>7</v>
      </c>
      <c r="T19" s="51" t="s">
        <v>164</v>
      </c>
      <c r="U19" s="52" t="s">
        <v>164</v>
      </c>
      <c r="V19" s="52" t="s">
        <v>165</v>
      </c>
      <c r="W19" s="52" t="s">
        <v>164</v>
      </c>
      <c r="X19" s="52" t="s">
        <v>164</v>
      </c>
      <c r="Y19" s="52" t="s">
        <v>164</v>
      </c>
      <c r="Z19" s="52" t="s">
        <v>164</v>
      </c>
      <c r="AA19" s="52" t="s">
        <v>164</v>
      </c>
      <c r="AB19" s="52" t="s">
        <v>164</v>
      </c>
      <c r="AC19" s="52" t="s">
        <v>165</v>
      </c>
      <c r="AD19" s="52" t="s">
        <v>165</v>
      </c>
      <c r="AE19" s="52" t="s">
        <v>164</v>
      </c>
      <c r="AF19" s="53" t="s">
        <v>164</v>
      </c>
      <c r="AG19" s="53" t="s">
        <v>164</v>
      </c>
      <c r="AH19" s="53" t="s">
        <v>165</v>
      </c>
      <c r="AI19" s="53" t="s">
        <v>164</v>
      </c>
      <c r="AJ19" s="53" t="s">
        <v>164</v>
      </c>
      <c r="AK19" s="53" t="s">
        <v>164</v>
      </c>
      <c r="AL19" s="53" t="s">
        <v>164</v>
      </c>
      <c r="AM19" s="53" t="s">
        <v>164</v>
      </c>
      <c r="AN19" s="53" t="s">
        <v>165</v>
      </c>
      <c r="AO19" s="53" t="s">
        <v>164</v>
      </c>
      <c r="AP19" s="53" t="s">
        <v>164</v>
      </c>
      <c r="AQ19" s="53" t="s">
        <v>164</v>
      </c>
      <c r="AR19" s="53" t="s">
        <v>164</v>
      </c>
      <c r="AS19" s="53" t="s">
        <v>164</v>
      </c>
      <c r="AT19" s="54">
        <v>13</v>
      </c>
      <c r="AU19" s="53" t="s">
        <v>308</v>
      </c>
      <c r="AV19" s="53" t="str">
        <f t="shared" si="1"/>
        <v>[VEN]State[VEN] Monagas</v>
      </c>
      <c r="AW19" s="53" t="str">
        <f t="shared" si="2"/>
        <v>2[VEN] Monagas</v>
      </c>
      <c r="AX19" s="55"/>
      <c r="AY19" s="55"/>
      <c r="AZ19" s="56" t="s">
        <v>159</v>
      </c>
      <c r="BA19" s="56" t="s">
        <v>234</v>
      </c>
      <c r="BB19" s="56"/>
      <c r="BC19" s="57"/>
      <c r="BD19" s="58" t="s">
        <v>152</v>
      </c>
      <c r="BE19" s="59"/>
      <c r="BF19" s="58" t="s">
        <v>152</v>
      </c>
      <c r="BG19" s="58" t="s">
        <v>153</v>
      </c>
      <c r="BH19" s="58" t="s">
        <v>152</v>
      </c>
      <c r="BI19" s="58"/>
      <c r="BJ19" s="58"/>
      <c r="BK19" s="59"/>
      <c r="BL19" s="58" t="s">
        <v>151</v>
      </c>
      <c r="BM19" s="58" t="s">
        <v>152</v>
      </c>
      <c r="BN19" s="58" t="s">
        <v>153</v>
      </c>
      <c r="BO19" s="58" t="s">
        <v>234</v>
      </c>
      <c r="BP19" s="58" t="s">
        <v>155</v>
      </c>
      <c r="BQ19" s="58" t="s">
        <v>234</v>
      </c>
      <c r="BR19" s="58" t="s">
        <v>234</v>
      </c>
      <c r="BS19" s="58" t="s">
        <v>234</v>
      </c>
      <c r="BT19" s="58" t="s">
        <v>159</v>
      </c>
      <c r="BU19" s="60"/>
      <c r="BV19" s="61"/>
      <c r="BW19" s="61">
        <v>0</v>
      </c>
      <c r="BX19" s="59"/>
      <c r="CB19" s="5"/>
      <c r="CC19" s="5"/>
      <c r="CD19" s="62">
        <v>0</v>
      </c>
      <c r="CE19" s="62">
        <v>0</v>
      </c>
      <c r="CF19" s="62" t="e">
        <v>#REF!</v>
      </c>
      <c r="CG19" s="75" cm="1">
        <f t="array" ref="CG19">SUMPRODUCT(--(LEN(TRIM(BL19:BT19))&gt;0))</f>
        <v>5</v>
      </c>
      <c r="CH19" s="53" t="str">
        <f t="shared" si="3"/>
        <v>n</v>
      </c>
      <c r="CI19" s="53" t="str">
        <f t="shared" si="4"/>
        <v>n</v>
      </c>
      <c r="CJ19" s="53" t="str">
        <f t="shared" si="5"/>
        <v>n</v>
      </c>
      <c r="CK19" s="53" t="str">
        <f t="shared" si="6"/>
        <v>y</v>
      </c>
      <c r="CL19" s="53" t="str">
        <f t="shared" si="7"/>
        <v>n</v>
      </c>
      <c r="CM19" s="53" t="str">
        <f t="shared" si="8"/>
        <v>n</v>
      </c>
      <c r="CN19" s="53" t="str">
        <f t="shared" si="9"/>
        <v>n</v>
      </c>
      <c r="CO19" s="53" t="str">
        <f t="shared" si="10"/>
        <v>y</v>
      </c>
      <c r="CP19" s="53" t="str">
        <f t="shared" si="11"/>
        <v>n</v>
      </c>
      <c r="CQ19" s="53" t="str">
        <f t="shared" si="12"/>
        <v>n</v>
      </c>
      <c r="CR19" s="53" t="str">
        <f t="shared" si="13"/>
        <v>n</v>
      </c>
      <c r="CS19" s="53" t="str">
        <f t="shared" si="14"/>
        <v>y</v>
      </c>
      <c r="CT19" s="38" t="str">
        <f t="shared" si="15"/>
        <v>"[VEN] Monagas"</v>
      </c>
      <c r="CU19" s="63" t="str">
        <f t="shared" si="16"/>
        <v>"rgn_South America"</v>
      </c>
      <c r="CV19" s="44" t="str">
        <f t="shared" si="17"/>
        <v>"https://upload.wikimedia.org/wikipedia/commons/thumb/3/31/Flag_of_Monagas_State.svg/320px-Flag_of_Monagas_State.svg.png"</v>
      </c>
      <c r="CW19" s="44" t="str">
        <f t="shared" si="18"/>
        <v/>
      </c>
      <c r="CX19" s="44" t="str">
        <f t="shared" si="19"/>
        <v/>
      </c>
      <c r="CY19" s="44" t="str">
        <f t="shared" si="20"/>
        <v/>
      </c>
      <c r="CZ19" s="44" t="str">
        <f t="shared" si="21"/>
        <v>"5+Colo",</v>
      </c>
      <c r="DA19" s="44" t="str">
        <f t="shared" si="22"/>
        <v/>
      </c>
      <c r="DB19" s="44" t="str">
        <f t="shared" si="23"/>
        <v/>
      </c>
      <c r="DD19" s="44" t="str">
        <f t="shared" si="136"/>
        <v>"lets07",</v>
      </c>
      <c r="DE19" s="44" t="str">
        <f t="shared" si="137"/>
        <v>"startM",</v>
      </c>
      <c r="DF19" s="44" t="str">
        <f t="shared" si="24"/>
        <v/>
      </c>
      <c r="DG19" s="44" t="str">
        <f t="shared" si="25"/>
        <v/>
      </c>
      <c r="DH19" s="44" t="str">
        <f t="shared" si="26"/>
        <v>"with_v",</v>
      </c>
      <c r="DI19" s="44" t="str">
        <f t="shared" si="27"/>
        <v/>
      </c>
      <c r="DJ19" s="44" t="str">
        <f t="shared" si="28"/>
        <v/>
      </c>
      <c r="DK19" s="44" t="str">
        <f t="shared" si="29"/>
        <v/>
      </c>
      <c r="DL19" s="44" t="str">
        <f t="shared" si="30"/>
        <v/>
      </c>
      <c r="DM19" s="44" t="str" cm="1">
        <f t="array" ref="DM19">IF(CG19=3,CHAR(34) &amp; _xlfn.TEXTJOIN("", TRUE, RIGHT(HP19:HX19, 2)) &amp; CHAR(34) &amp; ",", "")</f>
        <v/>
      </c>
      <c r="DN19" s="44" t="str">
        <f t="shared" si="31"/>
        <v/>
      </c>
      <c r="DO19" s="44" t="str">
        <f t="shared" si="32"/>
        <v/>
      </c>
      <c r="DP19" s="5" t="str">
        <f t="shared" si="33"/>
        <v>"year00",</v>
      </c>
      <c r="DQ19" s="5" t="str">
        <f t="shared" si="34"/>
        <v/>
      </c>
      <c r="DR19" s="5" t="str">
        <f t="shared" si="35"/>
        <v/>
      </c>
      <c r="DS19" s="5" t="str">
        <f t="shared" si="36"/>
        <v/>
      </c>
      <c r="DT19" s="5" t="str">
        <f t="shared" si="37"/>
        <v>"allhor",</v>
      </c>
      <c r="DU19" s="5" t="str">
        <f t="shared" si="38"/>
        <v/>
      </c>
      <c r="DW19" s="44" t="str">
        <f t="shared" si="39"/>
        <v/>
      </c>
      <c r="DX19" s="44" t="str">
        <f t="shared" si="40"/>
        <v/>
      </c>
      <c r="DY19" s="44" t="str">
        <f t="shared" si="41"/>
        <v/>
      </c>
      <c r="DZ19" s="44" t="str">
        <f t="shared" si="42"/>
        <v>"4+Band",</v>
      </c>
      <c r="EA19" s="44" t="str">
        <f t="shared" si="43"/>
        <v/>
      </c>
      <c r="EB19" s="44" t="str">
        <f t="shared" si="44"/>
        <v/>
      </c>
      <c r="EC19" s="44" t="str">
        <f t="shared" si="45"/>
        <v>"Horizo",</v>
      </c>
      <c r="ED19" s="44" t="str">
        <f t="shared" si="46"/>
        <v/>
      </c>
      <c r="EE19" s="44" t="str">
        <f t="shared" si="47"/>
        <v/>
      </c>
      <c r="EF19" s="44" t="str">
        <f t="shared" si="48"/>
        <v/>
      </c>
      <c r="EG19" s="44" t="str">
        <f t="shared" si="49"/>
        <v/>
      </c>
      <c r="EH19" s="44" t="str">
        <f t="shared" si="50"/>
        <v/>
      </c>
      <c r="EI19" s="44" t="str">
        <f t="shared" si="51"/>
        <v/>
      </c>
      <c r="EJ19" s="44" t="str">
        <f t="shared" si="52"/>
        <v>"Weapon",</v>
      </c>
      <c r="EK19" s="44" t="str">
        <f t="shared" si="53"/>
        <v>"HasSun",</v>
      </c>
      <c r="EL19" s="44" t="str">
        <f t="shared" si="54"/>
        <v/>
      </c>
      <c r="EM19" s="44" t="str">
        <f t="shared" si="55"/>
        <v/>
      </c>
      <c r="EN19" s="44" t="str">
        <f t="shared" si="56"/>
        <v/>
      </c>
      <c r="EO19" s="44" t="str">
        <f t="shared" si="57"/>
        <v>"Center",</v>
      </c>
      <c r="EP19" s="44" t="str">
        <f t="shared" si="58"/>
        <v/>
      </c>
      <c r="EQ19" s="44" t="str">
        <f t="shared" si="59"/>
        <v/>
      </c>
      <c r="ER19" s="44" t="str">
        <f t="shared" si="60"/>
        <v/>
      </c>
      <c r="ES19" s="44" t="str">
        <f t="shared" si="61"/>
        <v/>
      </c>
      <c r="ET19" s="44" t="str">
        <f t="shared" si="62"/>
        <v/>
      </c>
      <c r="EU19" s="44" t="str">
        <f t="shared" si="63"/>
        <v>"Humans",</v>
      </c>
      <c r="EV19" s="44" t="str">
        <f t="shared" si="64"/>
        <v/>
      </c>
      <c r="EW19" s="44" t="str">
        <f t="shared" si="65"/>
        <v/>
      </c>
      <c r="EX19" s="44" t="str">
        <f t="shared" si="66"/>
        <v/>
      </c>
      <c r="EY19" s="44" t="str">
        <f t="shared" si="67"/>
        <v/>
      </c>
      <c r="EZ19" s="44" t="str">
        <f t="shared" si="68"/>
        <v/>
      </c>
      <c r="FA19" s="44" t="str">
        <f t="shared" si="69"/>
        <v>"staWHI",</v>
      </c>
      <c r="FB19" s="44" t="str">
        <f t="shared" si="70"/>
        <v/>
      </c>
      <c r="FD19" s="44" t="str">
        <f t="shared" si="71"/>
        <v/>
      </c>
      <c r="FE19" s="44" t="str">
        <f t="shared" si="72"/>
        <v/>
      </c>
      <c r="FF19" s="44" t="str">
        <f t="shared" si="73"/>
        <v/>
      </c>
      <c r="FG19" s="44" t="str">
        <f t="shared" si="74"/>
        <v>"NO_RED",</v>
      </c>
      <c r="FH19" s="44" t="str">
        <f t="shared" si="75"/>
        <v/>
      </c>
      <c r="FI19" s="44" t="str">
        <f t="shared" si="76"/>
        <v/>
      </c>
      <c r="FJ19" s="44" t="str">
        <f t="shared" si="77"/>
        <v/>
      </c>
      <c r="FK19" s="44" t="str">
        <f t="shared" si="78"/>
        <v/>
      </c>
      <c r="FL19" s="44" t="str">
        <f t="shared" si="79"/>
        <v/>
      </c>
      <c r="FM19" s="44" t="str">
        <f t="shared" si="80"/>
        <v/>
      </c>
      <c r="FN19" s="44" t="str">
        <f t="shared" si="81"/>
        <v/>
      </c>
      <c r="FO19" s="44" t="str">
        <f t="shared" si="82"/>
        <v/>
      </c>
      <c r="FP19" s="44" t="str">
        <f t="shared" si="83"/>
        <v/>
      </c>
      <c r="FQ19" s="44" t="str">
        <f t="shared" si="84"/>
        <v>"001BLU",</v>
      </c>
      <c r="FR19" s="44" t="str">
        <f t="shared" si="85"/>
        <v>"002GRE",</v>
      </c>
      <c r="FS19" s="44" t="str">
        <f t="shared" si="86"/>
        <v>"003BLU",</v>
      </c>
      <c r="FT19" s="44" t="str">
        <f t="shared" si="87"/>
        <v>"myrBLU",</v>
      </c>
      <c r="FU19" s="44" t="str">
        <f t="shared" si="88"/>
        <v/>
      </c>
      <c r="FV19" s="44" t="str">
        <f t="shared" si="89"/>
        <v/>
      </c>
      <c r="FW19" s="44" t="str">
        <f t="shared" si="90"/>
        <v/>
      </c>
      <c r="FY19" s="44" t="str">
        <f t="shared" si="91"/>
        <v/>
      </c>
      <c r="FZ19" s="44" t="str">
        <f t="shared" si="92"/>
        <v/>
      </c>
      <c r="GA19" s="44" t="str">
        <f t="shared" si="93"/>
        <v/>
      </c>
      <c r="GB19" s="44" t="str">
        <f t="shared" si="94"/>
        <v/>
      </c>
      <c r="GE19" s="44" t="str">
        <f t="shared" si="95"/>
        <v/>
      </c>
      <c r="GF19" s="44" t="str">
        <f t="shared" si="138"/>
        <v/>
      </c>
      <c r="GG19" s="44" t="str">
        <f t="shared" si="96"/>
        <v/>
      </c>
      <c r="GH19" s="44" t="str">
        <f t="shared" si="97"/>
        <v/>
      </c>
      <c r="GI19" s="44" t="str">
        <f t="shared" si="98"/>
        <v/>
      </c>
      <c r="GJ19" s="44" t="str">
        <f t="shared" si="99"/>
        <v/>
      </c>
      <c r="GK19" s="44" t="str">
        <f t="shared" si="100"/>
        <v>"HasSta",</v>
      </c>
      <c r="GL19" s="44" t="str">
        <f t="shared" si="101"/>
        <v/>
      </c>
      <c r="GM19" s="44" t="str">
        <f t="shared" si="102"/>
        <v/>
      </c>
      <c r="GN19" s="44" t="str">
        <f t="shared" si="103"/>
        <v>"3+Star",</v>
      </c>
      <c r="GP19" s="44" t="str">
        <f t="shared" si="104"/>
        <v>"State"</v>
      </c>
      <c r="GS19" s="44" t="str">
        <f t="shared" si="105"/>
        <v>["5+Colo","lets07","startM","with_v","year00","allhor","4+Band","Horizo","Weapon","HasSun","Center","Humans","staWHI","NO_RED","001BLU","002GRE","003BLU","myrBLU","HasSta","3+Star"]</v>
      </c>
      <c r="GT19" s="44" t="str">
        <f t="shared" si="106"/>
        <v>"cl_BLA",</v>
      </c>
      <c r="GU19" s="44" t="str">
        <f t="shared" si="107"/>
        <v>"cl_BLU",</v>
      </c>
      <c r="GV19" s="44" t="str">
        <f t="shared" si="108"/>
        <v>"cl_GRE",</v>
      </c>
      <c r="GW19" s="44" t="str">
        <f t="shared" si="109"/>
        <v/>
      </c>
      <c r="GX19" s="44" t="str">
        <f t="shared" si="110"/>
        <v>"cl_YEL",</v>
      </c>
      <c r="GY19" s="44" t="str">
        <f t="shared" si="111"/>
        <v/>
      </c>
      <c r="GZ19" s="44" t="str">
        <f t="shared" si="112"/>
        <v/>
      </c>
      <c r="HA19" s="44" t="str">
        <f t="shared" si="113"/>
        <v/>
      </c>
      <c r="HB19" s="44" t="str">
        <f t="shared" si="114"/>
        <v>"cl_WHI",</v>
      </c>
      <c r="HC19" s="44" t="str">
        <f t="shared" si="115"/>
        <v>["cl_BLA","cl_BLU","cl_GRE","cl_YEL","cl_WHI"]</v>
      </c>
      <c r="HE19" s="64"/>
      <c r="HF19" s="65" t="str">
        <f t="shared" si="116"/>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links: "https://venezuela.justia.com/estatales/monagas/leyes/reforma-de-la-ley-de-simbolos-y-sellos-del-estado-monagas/gdoc/"},</v>
      </c>
      <c r="HG19" s="66" t="str">
        <f t="shared" si="117"/>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links: "https://venezuela.justia.com/estatales/monagas/leyes/reforma-de-la-ley-de-simbolos-y-sellos-del-estado-monagas/gdoc/"},</v>
      </c>
      <c r="HH19" s="44" t="str">
        <f t="shared" si="118"/>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I19" s="44" t="str">
        <f t="shared" si="119"/>
        <v>"\nThe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v>
      </c>
      <c r="HJ19" s="44" t="str">
        <f t="shared" si="120"/>
        <v>"2003"</v>
      </c>
      <c r="HL19" s="44" t="str">
        <f t="shared" si="121"/>
        <v>"https://venezuela.justia.com/estatales/monagas/leyes/reforma-de-la-ley-de-simbolos-y-sellos-del-estado-monagas/gdoc/"</v>
      </c>
      <c r="HM19" s="65" t="str">
        <f t="shared" si="122"/>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N19" s="67" t="str">
        <f t="shared" si="123"/>
        <v>{"couname":"[VEN] Monagas","year":"2003","region":"rgn_South America","Colors":["cl_BLA","cl_BLU","cl_GRE","cl_YEL","cl_WHI"],"Items":["5+Colo","lets07","startM","with_v","year00","allhor","4+Band","Horizo","Weapon","HasSun","Center","Humans","staWHI","NO_RED","001BLU","002GRE","003BLU","myrBLU","HasSta","3+Star"],"Flag":"https://upload.wikimedia.org/wikipedia/commons/thumb/3/31/Flag_of_Monagas_State.svg/320px-Flag_of_Monagas_State.svg.png","HDFlag":"https://upload.wikimedia.org/wikipedia/commons/thumb/3/31/Flag_of_Monagas_State.svg/800px-Flag_of_Monagas_State.svg.png","type":"State", "describe": "\nThe composition of the Monagas State Flag is as follows: It is a sky blue rectangle, with three colored stripes: navy blue, green, and black, above the green stripe is a sun rising and above the sun the image of Juana Ramírez La Avanzadora, Independist Bastion of Monaguense Freedom, surrounded by Thirteen white stars. \n\nThe meaning of the shapes and colors included in the Flag is the following:\n\n- Sky blue represents the sky.\n\n- The 13 stars represent the 13 Municipalities and the large star in the center identifies the Capital Municipality.\n\n- Green represents soils, crops, mountains, forests, and plains.\n\n- Black represents oil.\n\n- The sun represents the aura, life, and strength of the town and its seven points symbolize the 7 original districts that gave way to the current 13 Municipalities. The black bow inside the sun represents the weapons of our indigenous people. The Sun rises in the middle of the central strip (green) and its maximum height reaches the upper edge of the first strip.\n\n7. Navy Blue represents the Delta, Rivers, Lakes, and Reservoirs.\n\n8. The image of Juana Ramírez La Avanzadora which represents the heroism of the Monaguense woman.\n\n9. The daggers that intersect at the bottom of the image of Juana La Avanzadora represent the brothers José Tadeo Monagas and José Gregorio Monagas, both heroes of the Republic.", "isnew": ".", "links": "https://venezuela.justia.com/estatales/monagas/leyes/reforma-de-la-ley-de-simbolos-y-sellos-del-estado-monagas/gdoc/"},</v>
      </c>
      <c r="HO19" s="71">
        <v>45610</v>
      </c>
      <c r="HP19" s="44" t="str" cm="1">
        <f t="array" ref="HP19">IF(_xlfn.TEXTJOIN(", ", TRUE, IF(ISNUMBER(SEARCH("BLA", BL19:BT19)), COLUMN(BL19:BT19) - COLUMN(BL19) + 1, ""))&lt;&gt;"","BLA","")</f>
        <v>BLA</v>
      </c>
      <c r="HQ19" s="44" t="str" cm="1">
        <f t="array" ref="HQ19">IF(_xlfn.TEXTJOIN(", ", TRUE, IF(ISNUMBER(SEARCH("BLU", BL19:BT19)), COLUMN(BL19:BT19) - COLUMN(BL19) + 1, ""))&lt;&gt;"","BLU","")</f>
        <v>BLU</v>
      </c>
      <c r="HR19" s="44" t="str" cm="1">
        <f t="array" ref="HR19">IF(_xlfn.TEXTJOIN(", ", TRUE, IF(ISNUMBER(SEARCH("GRE", BL19:BT19)), COLUMN(BL19:BT19) - COLUMN(BL19) + 1, ""))&lt;&gt;"","GRE","")</f>
        <v>GRE</v>
      </c>
      <c r="HS19" s="44" t="str" cm="1">
        <f t="array" ref="HS19">IF(_xlfn.TEXTJOIN(", ", TRUE, IF(ISNUMBER(SEARCH("RED", BL19:BT19)), COLUMN(BL19:BT19) - COLUMN(BL19) + 1, ""))&lt;&gt;"","RED","")</f>
        <v/>
      </c>
      <c r="HT19" s="44" t="str" cm="1">
        <f t="array" ref="HT19">IF(_xlfn.TEXTJOIN(", ", TRUE, IF(ISNUMBER(SEARCH("YEL", BL19:BT19)), COLUMN(BL19:BT19) - COLUMN(BL19) + 1, ""))&lt;&gt;"","YEL","")</f>
        <v>YEL</v>
      </c>
      <c r="HU19" s="44" t="str" cm="1">
        <f t="array" ref="HU19">IF(_xlfn.TEXTJOIN(", ", TRUE, IF(ISNUMBER(SEARCH("ORA", BL19:BT19)), COLUMN(BL19:BT19) - COLUMN(BL19) + 1, ""))&lt;&gt;"","ORA","")</f>
        <v/>
      </c>
      <c r="HV19" s="44" t="str" cm="1">
        <f t="array" ref="HV19">IF(_xlfn.TEXTJOIN(", ", TRUE, IF(ISNUMBER(SEARCH("BRO", BL19:BT19)), COLUMN(BL19:BT19) - COLUMN(BL19) + 1, ""))&lt;&gt;"","BRO","")</f>
        <v/>
      </c>
      <c r="HW19" s="44" t="str" cm="1">
        <f t="array" ref="HW19">IF(_xlfn.TEXTJOIN(", ", TRUE, IF(ISNUMBER(SEARCH("PUR", BL19:BT19)), COLUMN(BL19:BT19) - COLUMN(BL19) + 1, ""))&lt;&gt;"","PUR","")</f>
        <v/>
      </c>
      <c r="HX19" s="44" t="str" cm="1">
        <f t="array" ref="HX19">IF(_xlfn.TEXTJOIN(", ", TRUE, IF(ISNUMBER(SEARCH("WHI", BL19:BT19)), COLUMN(BL19:BT19) - COLUMN(BL19) + 1, ""))&lt;&gt;"","WHI","")</f>
        <v>WHI</v>
      </c>
      <c r="HY19" s="72"/>
      <c r="HZ19" s="72"/>
      <c r="IA19" s="5"/>
      <c r="IB19" s="5"/>
      <c r="IC19" s="68"/>
      <c r="ID19" s="68"/>
      <c r="IE19" s="68"/>
      <c r="IF19" s="68"/>
      <c r="IG19" s="68"/>
      <c r="IH19" s="68"/>
      <c r="II19" s="68"/>
      <c r="IJ19" s="68"/>
      <c r="IK19" s="68"/>
      <c r="IM19" s="42">
        <f t="shared" si="124"/>
        <v>-5</v>
      </c>
      <c r="IN19" s="69" t="str">
        <f t="shared" si="125"/>
        <v>http://mkweb.bcgsc.ca/color-summarizer/?url=https://upload.wikimedia.org/wikipedia/commons/thumb/3/31/Flag_of_Monagas_State.svg/320px-Flag_of_Monagas_State.svg.png&amp;precision=low&amp;num_clusters=5&amp;text=1</v>
      </c>
      <c r="IO19" s="44" t="str">
        <f t="shared" si="126"/>
        <v>"black"</v>
      </c>
      <c r="IP19" s="44" t="str">
        <f t="shared" si="127"/>
        <v>"blue"</v>
      </c>
      <c r="IQ19" s="44" t="str">
        <f t="shared" si="128"/>
        <v>"green"</v>
      </c>
      <c r="IR19" s="44" t="str">
        <f t="shared" si="129"/>
        <v/>
      </c>
      <c r="IS19" s="44" t="str">
        <f t="shared" si="130"/>
        <v>"yellow"</v>
      </c>
      <c r="IT19" s="44" t="str">
        <f t="shared" si="131"/>
        <v/>
      </c>
      <c r="IU19" s="44" t="str">
        <f t="shared" si="132"/>
        <v/>
      </c>
      <c r="IV19" s="44" t="str">
        <f t="shared" si="133"/>
        <v/>
      </c>
      <c r="IW19" s="44" t="str">
        <f t="shared" si="134"/>
        <v>"white"</v>
      </c>
      <c r="IX19" s="44" t="str">
        <f t="shared" si="135"/>
        <v>{"url":"http://mkweb.bcgsc.ca/color-summarizer/?url=https://upload.wikimedia.org/wikipedia/commons/thumb/3/31/Flag_of_Monagas_State.svg/320px-Flag_of_Monagas_State.svg.png&amp;precision=low&amp;num_clusters=5&amp;text=1","name":"[VEN] Monagas"},</v>
      </c>
      <c r="IY19" s="44">
        <v>1483</v>
      </c>
    </row>
    <row r="20" spans="1:259" s="44" customFormat="1" ht="38.4" customHeight="1" thickBot="1" x14ac:dyDescent="0.35">
      <c r="A20" s="84" t="s">
        <v>808</v>
      </c>
      <c r="B20" s="83" t="e" vm="119">
        <v>#VALUE!</v>
      </c>
      <c r="C20" s="39">
        <v>2</v>
      </c>
      <c r="D20" s="70" t="s">
        <v>809</v>
      </c>
      <c r="E20" s="40" t="s">
        <v>810</v>
      </c>
      <c r="F20" s="41" t="s">
        <v>163</v>
      </c>
      <c r="G20" s="42">
        <f t="shared" si="0"/>
        <v>1</v>
      </c>
      <c r="H20" s="43"/>
      <c r="I20" s="59" t="s">
        <v>811</v>
      </c>
      <c r="J20" s="44" t="str">
        <f>""</f>
        <v/>
      </c>
      <c r="K20" s="45"/>
      <c r="L20" s="46"/>
      <c r="M20" s="46"/>
      <c r="N20" s="47" t="s">
        <v>177</v>
      </c>
      <c r="O20" s="74">
        <v>1998</v>
      </c>
      <c r="P20" s="48" t="s">
        <v>812</v>
      </c>
      <c r="Q20" s="73">
        <v>2</v>
      </c>
      <c r="R20" s="49" t="s">
        <v>177</v>
      </c>
      <c r="S20" s="50">
        <v>3</v>
      </c>
      <c r="T20" s="51" t="s">
        <v>164</v>
      </c>
      <c r="U20" s="52" t="s">
        <v>164</v>
      </c>
      <c r="V20" s="52" t="s">
        <v>165</v>
      </c>
      <c r="W20" s="52" t="s">
        <v>164</v>
      </c>
      <c r="X20" s="52" t="s">
        <v>164</v>
      </c>
      <c r="Y20" s="52" t="s">
        <v>164</v>
      </c>
      <c r="Z20" s="52" t="s">
        <v>164</v>
      </c>
      <c r="AA20" s="52" t="s">
        <v>164</v>
      </c>
      <c r="AB20" s="52" t="s">
        <v>164</v>
      </c>
      <c r="AC20" s="52" t="s">
        <v>164</v>
      </c>
      <c r="AD20" s="52" t="s">
        <v>165</v>
      </c>
      <c r="AE20" s="52" t="s">
        <v>164</v>
      </c>
      <c r="AF20" s="53" t="s">
        <v>164</v>
      </c>
      <c r="AG20" s="53" t="s">
        <v>164</v>
      </c>
      <c r="AH20" s="53" t="s">
        <v>164</v>
      </c>
      <c r="AI20" s="53" t="s">
        <v>164</v>
      </c>
      <c r="AJ20" s="53" t="s">
        <v>164</v>
      </c>
      <c r="AK20" s="53" t="s">
        <v>164</v>
      </c>
      <c r="AL20" s="53" t="s">
        <v>164</v>
      </c>
      <c r="AM20" s="53" t="s">
        <v>164</v>
      </c>
      <c r="AN20" s="53" t="s">
        <v>164</v>
      </c>
      <c r="AO20" s="53" t="s">
        <v>164</v>
      </c>
      <c r="AP20" s="53" t="s">
        <v>164</v>
      </c>
      <c r="AQ20" s="53" t="s">
        <v>164</v>
      </c>
      <c r="AR20" s="53" t="s">
        <v>164</v>
      </c>
      <c r="AS20" s="53" t="s">
        <v>164</v>
      </c>
      <c r="AT20" s="54">
        <v>3</v>
      </c>
      <c r="AU20" s="53" t="s">
        <v>308</v>
      </c>
      <c r="AV20" s="53" t="str">
        <f t="shared" si="1"/>
        <v>[VEN]State[VEN] Nueva Esparta</v>
      </c>
      <c r="AW20" s="53" t="str">
        <f t="shared" si="2"/>
        <v>2[VEN] Nueva Esparta</v>
      </c>
      <c r="AX20" s="55"/>
      <c r="AY20" s="55"/>
      <c r="AZ20" s="56" t="s">
        <v>159</v>
      </c>
      <c r="BA20" s="56" t="s">
        <v>234</v>
      </c>
      <c r="BB20" s="56"/>
      <c r="BC20" s="57"/>
      <c r="BD20" s="58" t="s">
        <v>155</v>
      </c>
      <c r="BE20" s="59"/>
      <c r="BF20" s="58" t="s">
        <v>155</v>
      </c>
      <c r="BG20" s="58" t="s">
        <v>153</v>
      </c>
      <c r="BH20" s="58" t="s">
        <v>152</v>
      </c>
      <c r="BI20" s="58"/>
      <c r="BJ20" s="58"/>
      <c r="BK20" s="59"/>
      <c r="BL20" s="58" t="s">
        <v>234</v>
      </c>
      <c r="BM20" s="58" t="s">
        <v>152</v>
      </c>
      <c r="BN20" s="58" t="s">
        <v>153</v>
      </c>
      <c r="BO20" s="58" t="s">
        <v>234</v>
      </c>
      <c r="BP20" s="58" t="s">
        <v>155</v>
      </c>
      <c r="BQ20" s="58" t="s">
        <v>234</v>
      </c>
      <c r="BR20" s="58" t="s">
        <v>234</v>
      </c>
      <c r="BS20" s="58" t="s">
        <v>234</v>
      </c>
      <c r="BT20" s="58" t="s">
        <v>159</v>
      </c>
      <c r="BU20" s="60"/>
      <c r="BV20" s="61"/>
      <c r="BW20" s="61">
        <v>0</v>
      </c>
      <c r="BX20" s="59"/>
      <c r="CB20" s="5"/>
      <c r="CC20" s="5"/>
      <c r="CD20" s="62">
        <v>0</v>
      </c>
      <c r="CE20" s="62">
        <v>0</v>
      </c>
      <c r="CF20" s="62" t="e">
        <v>#REF!</v>
      </c>
      <c r="CG20" s="75" cm="1">
        <f t="array" ref="CG20">SUMPRODUCT(--(LEN(TRIM(BL20:BT20))&gt;0))</f>
        <v>4</v>
      </c>
      <c r="CH20" s="53" t="str">
        <f t="shared" si="3"/>
        <v>n</v>
      </c>
      <c r="CI20" s="53" t="str">
        <f t="shared" si="4"/>
        <v>n</v>
      </c>
      <c r="CJ20" s="53" t="str">
        <f t="shared" si="5"/>
        <v>y</v>
      </c>
      <c r="CK20" s="53" t="str">
        <f t="shared" si="6"/>
        <v>n</v>
      </c>
      <c r="CL20" s="53" t="str">
        <f t="shared" si="7"/>
        <v>n</v>
      </c>
      <c r="CM20" s="53" t="str">
        <f t="shared" si="8"/>
        <v>n</v>
      </c>
      <c r="CN20" s="53" t="str">
        <f t="shared" si="9"/>
        <v>y</v>
      </c>
      <c r="CO20" s="53" t="str">
        <f t="shared" si="10"/>
        <v>n</v>
      </c>
      <c r="CP20" s="53" t="str">
        <f t="shared" si="11"/>
        <v>n</v>
      </c>
      <c r="CQ20" s="53" t="str">
        <f t="shared" si="12"/>
        <v>n</v>
      </c>
      <c r="CR20" s="53" t="str">
        <f t="shared" si="13"/>
        <v>n</v>
      </c>
      <c r="CS20" s="53" t="str">
        <f t="shared" si="14"/>
        <v>y</v>
      </c>
      <c r="CT20" s="38" t="str">
        <f t="shared" si="15"/>
        <v>"[VEN] Nueva Esparta"</v>
      </c>
      <c r="CU20" s="63" t="str">
        <f t="shared" si="16"/>
        <v>"rgn_South America"</v>
      </c>
      <c r="CV20" s="44" t="str">
        <f t="shared" si="17"/>
        <v>"https://upload.wikimedia.org/wikipedia/commons/thumb/6/6a/Flag_of_Nueva_Esparta.svg/320px-Flag_of_Nueva_Esparta.svg.png"</v>
      </c>
      <c r="CW20" s="44" t="str">
        <f t="shared" si="18"/>
        <v/>
      </c>
      <c r="CX20" s="44" t="str">
        <f t="shared" si="19"/>
        <v/>
      </c>
      <c r="CY20" s="44" t="str">
        <f t="shared" si="20"/>
        <v>"4Color",</v>
      </c>
      <c r="CZ20" s="44" t="str">
        <f t="shared" si="21"/>
        <v/>
      </c>
      <c r="DA20" s="44" t="str">
        <f t="shared" si="22"/>
        <v>"words2",</v>
      </c>
      <c r="DB20" s="44" t="str">
        <f t="shared" si="23"/>
        <v/>
      </c>
      <c r="DD20" s="44" t="str">
        <f t="shared" si="136"/>
        <v>"lets12",</v>
      </c>
      <c r="DE20" s="44" t="str">
        <f t="shared" si="137"/>
        <v>"startN",</v>
      </c>
      <c r="DF20" s="44" t="str">
        <f t="shared" si="24"/>
        <v/>
      </c>
      <c r="DG20" s="44" t="str">
        <f t="shared" si="25"/>
        <v/>
      </c>
      <c r="DH20" s="44" t="str">
        <f t="shared" si="26"/>
        <v>"with_v",</v>
      </c>
      <c r="DI20" s="44" t="str">
        <f t="shared" si="27"/>
        <v/>
      </c>
      <c r="DJ20" s="44" t="str">
        <f t="shared" si="28"/>
        <v/>
      </c>
      <c r="DK20" s="44" t="str">
        <f t="shared" si="29"/>
        <v/>
      </c>
      <c r="DL20" s="44" t="str">
        <f t="shared" si="30"/>
        <v/>
      </c>
      <c r="DM20" s="44" t="str" cm="1">
        <f t="array" ref="DM20">IF(CG20=3,CHAR(34) &amp; _xlfn.TEXTJOIN("", TRUE, RIGHT(HP20:HX20, 2)) &amp; CHAR(34) &amp; ",", "")</f>
        <v/>
      </c>
      <c r="DN20" s="44" t="str">
        <f t="shared" si="31"/>
        <v/>
      </c>
      <c r="DO20" s="44" t="str">
        <f t="shared" si="32"/>
        <v>"year19",</v>
      </c>
      <c r="DP20" s="5" t="str">
        <f t="shared" si="33"/>
        <v/>
      </c>
      <c r="DQ20" s="5" t="str">
        <f t="shared" si="34"/>
        <v/>
      </c>
      <c r="DR20" s="5" t="str">
        <f t="shared" si="35"/>
        <v/>
      </c>
      <c r="DS20" s="5" t="str">
        <f t="shared" si="36"/>
        <v/>
      </c>
      <c r="DT20" s="5" t="str">
        <f t="shared" si="37"/>
        <v>"allhor",</v>
      </c>
      <c r="DU20" s="5" t="str">
        <f t="shared" si="38"/>
        <v/>
      </c>
      <c r="DW20" s="44" t="str">
        <f t="shared" si="39"/>
        <v/>
      </c>
      <c r="DX20" s="44" t="str">
        <f t="shared" si="40"/>
        <v/>
      </c>
      <c r="DY20" s="44" t="str">
        <f t="shared" si="41"/>
        <v>"3Bands",</v>
      </c>
      <c r="DZ20" s="44" t="str">
        <f t="shared" si="42"/>
        <v/>
      </c>
      <c r="EA20" s="44" t="str">
        <f t="shared" si="43"/>
        <v/>
      </c>
      <c r="EB20" s="44" t="str">
        <f t="shared" si="44"/>
        <v/>
      </c>
      <c r="EC20" s="44" t="str">
        <f t="shared" si="45"/>
        <v>"Horizo",</v>
      </c>
      <c r="ED20" s="44" t="str">
        <f t="shared" si="46"/>
        <v/>
      </c>
      <c r="EE20" s="44" t="str">
        <f t="shared" si="47"/>
        <v/>
      </c>
      <c r="EF20" s="44" t="str">
        <f t="shared" si="48"/>
        <v/>
      </c>
      <c r="EG20" s="44" t="str">
        <f t="shared" si="49"/>
        <v/>
      </c>
      <c r="EH20" s="44" t="str">
        <f t="shared" si="50"/>
        <v/>
      </c>
      <c r="EI20" s="44" t="str">
        <f t="shared" si="51"/>
        <v/>
      </c>
      <c r="EJ20" s="44" t="str">
        <f t="shared" si="52"/>
        <v/>
      </c>
      <c r="EK20" s="44" t="str">
        <f t="shared" si="53"/>
        <v>"HasSun",</v>
      </c>
      <c r="EL20" s="44" t="str">
        <f t="shared" si="54"/>
        <v/>
      </c>
      <c r="EM20" s="44" t="str">
        <f t="shared" si="55"/>
        <v/>
      </c>
      <c r="EN20" s="44" t="str">
        <f t="shared" si="56"/>
        <v/>
      </c>
      <c r="EO20" s="44" t="str">
        <f t="shared" si="57"/>
        <v/>
      </c>
      <c r="EP20" s="44" t="str">
        <f t="shared" si="58"/>
        <v/>
      </c>
      <c r="EQ20" s="44" t="str">
        <f t="shared" si="59"/>
        <v/>
      </c>
      <c r="ER20" s="44" t="str">
        <f t="shared" si="60"/>
        <v/>
      </c>
      <c r="ES20" s="44" t="str">
        <f t="shared" si="61"/>
        <v/>
      </c>
      <c r="ET20" s="44" t="str">
        <f t="shared" si="62"/>
        <v/>
      </c>
      <c r="EU20" s="44" t="str">
        <f t="shared" si="63"/>
        <v/>
      </c>
      <c r="EV20" s="44" t="str">
        <f t="shared" si="64"/>
        <v/>
      </c>
      <c r="EW20" s="44" t="str">
        <f t="shared" si="65"/>
        <v/>
      </c>
      <c r="EX20" s="44" t="str">
        <f t="shared" si="66"/>
        <v/>
      </c>
      <c r="EY20" s="44" t="str">
        <f t="shared" si="67"/>
        <v/>
      </c>
      <c r="EZ20" s="44" t="str">
        <f t="shared" si="68"/>
        <v/>
      </c>
      <c r="FA20" s="44" t="str">
        <f t="shared" si="69"/>
        <v>"staWHI",</v>
      </c>
      <c r="FB20" s="44" t="str">
        <f t="shared" si="70"/>
        <v/>
      </c>
      <c r="FD20" s="44" t="str">
        <f t="shared" si="71"/>
        <v/>
      </c>
      <c r="FE20" s="44" t="str">
        <f t="shared" si="72"/>
        <v/>
      </c>
      <c r="FF20" s="44" t="str">
        <f t="shared" si="73"/>
        <v/>
      </c>
      <c r="FG20" s="44" t="str">
        <f t="shared" si="74"/>
        <v>"NO_RED",</v>
      </c>
      <c r="FH20" s="44" t="str">
        <f t="shared" si="75"/>
        <v/>
      </c>
      <c r="FI20" s="44" t="str">
        <f t="shared" si="76"/>
        <v/>
      </c>
      <c r="FJ20" s="44" t="str">
        <f t="shared" si="77"/>
        <v>"NO_BLA",</v>
      </c>
      <c r="FK20" s="44" t="str">
        <f t="shared" si="78"/>
        <v/>
      </c>
      <c r="FL20" s="44" t="str">
        <f t="shared" si="79"/>
        <v/>
      </c>
      <c r="FM20" s="44" t="str">
        <f t="shared" si="80"/>
        <v/>
      </c>
      <c r="FN20" s="44" t="str">
        <f t="shared" si="81"/>
        <v/>
      </c>
      <c r="FO20" s="44" t="str">
        <f t="shared" si="82"/>
        <v/>
      </c>
      <c r="FP20" s="44" t="str">
        <f t="shared" si="83"/>
        <v/>
      </c>
      <c r="FQ20" s="44" t="str">
        <f t="shared" si="84"/>
        <v>"001YEL",</v>
      </c>
      <c r="FR20" s="44" t="str">
        <f t="shared" si="85"/>
        <v>"002GRE",</v>
      </c>
      <c r="FS20" s="44" t="str">
        <f t="shared" si="86"/>
        <v>"003BLU",</v>
      </c>
      <c r="FT20" s="44" t="str">
        <f t="shared" si="87"/>
        <v>"myrYEL",</v>
      </c>
      <c r="FU20" s="44" t="str">
        <f t="shared" si="88"/>
        <v/>
      </c>
      <c r="FV20" s="44" t="str">
        <f t="shared" si="89"/>
        <v/>
      </c>
      <c r="FW20" s="44" t="str">
        <f t="shared" si="90"/>
        <v/>
      </c>
      <c r="FY20" s="44" t="str">
        <f t="shared" si="91"/>
        <v/>
      </c>
      <c r="FZ20" s="44" t="str">
        <f t="shared" si="92"/>
        <v/>
      </c>
      <c r="GA20" s="44" t="str">
        <f t="shared" si="93"/>
        <v/>
      </c>
      <c r="GB20" s="44" t="str">
        <f t="shared" si="94"/>
        <v/>
      </c>
      <c r="GE20" s="44" t="str">
        <f t="shared" si="95"/>
        <v/>
      </c>
      <c r="GF20" s="44" t="str">
        <f t="shared" si="138"/>
        <v/>
      </c>
      <c r="GG20" s="44" t="str">
        <f t="shared" si="96"/>
        <v/>
      </c>
      <c r="GH20" s="44" t="str">
        <f t="shared" si="97"/>
        <v/>
      </c>
      <c r="GI20" s="44" t="str">
        <f t="shared" si="98"/>
        <v/>
      </c>
      <c r="GJ20" s="44" t="str">
        <f t="shared" si="99"/>
        <v/>
      </c>
      <c r="GK20" s="44" t="str">
        <f t="shared" si="100"/>
        <v>"HasSta",</v>
      </c>
      <c r="GL20" s="44" t="str">
        <f t="shared" si="101"/>
        <v/>
      </c>
      <c r="GM20" s="44" t="str">
        <f t="shared" si="102"/>
        <v/>
      </c>
      <c r="GN20" s="44" t="str">
        <f t="shared" si="103"/>
        <v>"3+Star",</v>
      </c>
      <c r="GP20" s="44" t="str">
        <f t="shared" si="104"/>
        <v>"State"</v>
      </c>
      <c r="GS20" s="44" t="str">
        <f t="shared" si="105"/>
        <v>["4Color","words2","lets12","startN","with_v","year19","allhor","3Bands","Horizo","HasSun","staWHI","NO_RED","NO_BLA","001YEL","002GRE","003BLU","myrYEL","HasSta","3+Star"]</v>
      </c>
      <c r="GT20" s="44" t="str">
        <f t="shared" si="106"/>
        <v/>
      </c>
      <c r="GU20" s="44" t="str">
        <f t="shared" si="107"/>
        <v>"cl_BLU",</v>
      </c>
      <c r="GV20" s="44" t="str">
        <f t="shared" si="108"/>
        <v>"cl_GRE",</v>
      </c>
      <c r="GW20" s="44" t="str">
        <f t="shared" si="109"/>
        <v/>
      </c>
      <c r="GX20" s="44" t="str">
        <f t="shared" si="110"/>
        <v>"cl_YEL",</v>
      </c>
      <c r="GY20" s="44" t="str">
        <f t="shared" si="111"/>
        <v/>
      </c>
      <c r="GZ20" s="44" t="str">
        <f t="shared" si="112"/>
        <v/>
      </c>
      <c r="HA20" s="44" t="str">
        <f t="shared" si="113"/>
        <v/>
      </c>
      <c r="HB20" s="44" t="str">
        <f t="shared" si="114"/>
        <v>"cl_WHI",</v>
      </c>
      <c r="HC20" s="44" t="str">
        <f t="shared" si="115"/>
        <v>["cl_BLU","cl_GRE","cl_YEL","cl_WHI"]</v>
      </c>
      <c r="HE20" s="64"/>
      <c r="HF20" s="65" t="str">
        <f t="shared" si="116"/>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links: "https://www.crwflags.com/fotw/flags/ve-o.html"},</v>
      </c>
      <c r="HG20" s="66" t="str">
        <f t="shared" si="117"/>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links: "https://www.crwflags.com/fotw/flags/ve-o.html"},</v>
      </c>
      <c r="HH20" s="44" t="str">
        <f t="shared" si="118"/>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I20" s="44" t="str">
        <f t="shared" si="119"/>
        <v>"\nThe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v>
      </c>
      <c r="HJ20" s="44" t="str">
        <f t="shared" si="120"/>
        <v>"1998"</v>
      </c>
      <c r="HL20" s="44" t="str">
        <f t="shared" si="121"/>
        <v>"https://www.crwflags.com/fotw/flags/ve-o.html"</v>
      </c>
      <c r="HM20" s="65" t="str">
        <f t="shared" si="122"/>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N20" s="67" t="str">
        <f t="shared" si="123"/>
        <v>{"couname":"[VEN] Nueva Esparta","year":"1998","region":"rgn_South America","Colors":["cl_BLU","cl_GRE","cl_YEL","cl_WHI"],"Items":["4Color","words2","lets12","startN","with_v","year19","allhor","3Bands","Horizo","HasSun","staWHI","NO_RED","NO_BLA","001YEL","002GRE","003BLU","myrYEL","HasSta","3+Star"],"Flag":"https://upload.wikimedia.org/wikipedia/commons/thumb/6/6a/Flag_of_Nueva_Esparta.svg/320px-Flag_of_Nueva_Esparta.svg.png","HDFlag":"https://upload.wikimedia.org/wikipedia/commons/thumb/6/6a/Flag_of_Nueva_Esparta.svg/800px-Flag_of_Nueva_Esparta.svg.png","type":"State", "describe": "\nThe Nueva Esparta State flag has three bands, which get thin as they approach the bottom of the flag. The first band, yellow, represents the rice of the islands, and the light of its people. A third of a circle begins to show above the horizon line of this yellow stripe, in white, representing alternatively a sun and the ancient pearl trade which made these islands famous centuries back. Such remembrance stirs the patriotic fire of the inhabitants of the three islands that conform to the state, represented by three equidistant, white, five-pointed stars of the second stripe, in blue (the color of the sea). Green, recalls both of Continental Venezuela and of the islands themselves, and their link with the rest of the country.", "isnew": ".", "links": "https://www.crwflags.com/fotw/flags/ve-o.html"},</v>
      </c>
      <c r="HO20" s="71">
        <v>45610</v>
      </c>
      <c r="HP20" s="44" t="str" cm="1">
        <f t="array" ref="HP20">IF(_xlfn.TEXTJOIN(", ", TRUE, IF(ISNUMBER(SEARCH("BLA", BL20:BT20)), COLUMN(BL20:BT20) - COLUMN(BL20) + 1, ""))&lt;&gt;"","BLA","")</f>
        <v/>
      </c>
      <c r="HQ20" s="44" t="str" cm="1">
        <f t="array" ref="HQ20">IF(_xlfn.TEXTJOIN(", ", TRUE, IF(ISNUMBER(SEARCH("BLU", BL20:BT20)), COLUMN(BL20:BT20) - COLUMN(BL20) + 1, ""))&lt;&gt;"","BLU","")</f>
        <v>BLU</v>
      </c>
      <c r="HR20" s="44" t="str" cm="1">
        <f t="array" ref="HR20">IF(_xlfn.TEXTJOIN(", ", TRUE, IF(ISNUMBER(SEARCH("GRE", BL20:BT20)), COLUMN(BL20:BT20) - COLUMN(BL20) + 1, ""))&lt;&gt;"","GRE","")</f>
        <v>GRE</v>
      </c>
      <c r="HS20" s="44" t="str" cm="1">
        <f t="array" ref="HS20">IF(_xlfn.TEXTJOIN(", ", TRUE, IF(ISNUMBER(SEARCH("RED", BL20:BT20)), COLUMN(BL20:BT20) - COLUMN(BL20) + 1, ""))&lt;&gt;"","RED","")</f>
        <v/>
      </c>
      <c r="HT20" s="44" t="str" cm="1">
        <f t="array" ref="HT20">IF(_xlfn.TEXTJOIN(", ", TRUE, IF(ISNUMBER(SEARCH("YEL", BL20:BT20)), COLUMN(BL20:BT20) - COLUMN(BL20) + 1, ""))&lt;&gt;"","YEL","")</f>
        <v>YEL</v>
      </c>
      <c r="HU20" s="44" t="str" cm="1">
        <f t="array" ref="HU20">IF(_xlfn.TEXTJOIN(", ", TRUE, IF(ISNUMBER(SEARCH("ORA", BL20:BT20)), COLUMN(BL20:BT20) - COLUMN(BL20) + 1, ""))&lt;&gt;"","ORA","")</f>
        <v/>
      </c>
      <c r="HV20" s="44" t="str" cm="1">
        <f t="array" ref="HV20">IF(_xlfn.TEXTJOIN(", ", TRUE, IF(ISNUMBER(SEARCH("BRO", BL20:BT20)), COLUMN(BL20:BT20) - COLUMN(BL20) + 1, ""))&lt;&gt;"","BRO","")</f>
        <v/>
      </c>
      <c r="HW20" s="44" t="str" cm="1">
        <f t="array" ref="HW20">IF(_xlfn.TEXTJOIN(", ", TRUE, IF(ISNUMBER(SEARCH("PUR", BL20:BT20)), COLUMN(BL20:BT20) - COLUMN(BL20) + 1, ""))&lt;&gt;"","PUR","")</f>
        <v/>
      </c>
      <c r="HX20" s="44" t="str" cm="1">
        <f t="array" ref="HX20">IF(_xlfn.TEXTJOIN(", ", TRUE, IF(ISNUMBER(SEARCH("WHI", BL20:BT20)), COLUMN(BL20:BT20) - COLUMN(BL20) + 1, ""))&lt;&gt;"","WHI","")</f>
        <v>WHI</v>
      </c>
      <c r="HY20" s="72"/>
      <c r="HZ20" s="72"/>
      <c r="IA20" s="5"/>
      <c r="IB20" s="5"/>
      <c r="IC20" s="68"/>
      <c r="ID20" s="68"/>
      <c r="IE20" s="68"/>
      <c r="IF20" s="68"/>
      <c r="IG20" s="68"/>
      <c r="IH20" s="68"/>
      <c r="II20" s="68"/>
      <c r="IJ20" s="68"/>
      <c r="IK20" s="68"/>
      <c r="IM20" s="42">
        <f t="shared" si="124"/>
        <v>-4</v>
      </c>
      <c r="IN20" s="69" t="str">
        <f t="shared" si="125"/>
        <v>http://mkweb.bcgsc.ca/color-summarizer/?url=https://upload.wikimedia.org/wikipedia/commons/thumb/6/6a/Flag_of_Nueva_Esparta.svg/320px-Flag_of_Nueva_Esparta.svg.png&amp;precision=low&amp;num_clusters=4&amp;text=1</v>
      </c>
      <c r="IO20" s="44" t="str">
        <f t="shared" si="126"/>
        <v/>
      </c>
      <c r="IP20" s="44" t="str">
        <f t="shared" si="127"/>
        <v>"blue"</v>
      </c>
      <c r="IQ20" s="44" t="str">
        <f t="shared" si="128"/>
        <v>"green"</v>
      </c>
      <c r="IR20" s="44" t="str">
        <f t="shared" si="129"/>
        <v/>
      </c>
      <c r="IS20" s="44" t="str">
        <f t="shared" si="130"/>
        <v>"yellow"</v>
      </c>
      <c r="IT20" s="44" t="str">
        <f t="shared" si="131"/>
        <v/>
      </c>
      <c r="IU20" s="44" t="str">
        <f t="shared" si="132"/>
        <v/>
      </c>
      <c r="IV20" s="44" t="str">
        <f t="shared" si="133"/>
        <v/>
      </c>
      <c r="IW20" s="44" t="str">
        <f t="shared" si="134"/>
        <v>"white"</v>
      </c>
      <c r="IX20" s="44" t="str">
        <f t="shared" si="135"/>
        <v>{"url":"http://mkweb.bcgsc.ca/color-summarizer/?url=https://upload.wikimedia.org/wikipedia/commons/thumb/6/6a/Flag_of_Nueva_Esparta.svg/320px-Flag_of_Nueva_Esparta.svg.png&amp;precision=low&amp;num_clusters=4&amp;text=1","name":"[VEN] Nueva Esparta"},</v>
      </c>
      <c r="IY20" s="44">
        <v>1484</v>
      </c>
    </row>
    <row r="21" spans="1:259" s="44" customFormat="1" ht="38.4" customHeight="1" thickBot="1" x14ac:dyDescent="0.35">
      <c r="A21" s="84" t="s">
        <v>813</v>
      </c>
      <c r="B21" s="83" t="e" vm="120">
        <v>#VALUE!</v>
      </c>
      <c r="C21" s="39">
        <v>2</v>
      </c>
      <c r="D21" s="70" t="s">
        <v>814</v>
      </c>
      <c r="E21" s="40" t="s">
        <v>815</v>
      </c>
      <c r="F21" s="41" t="s">
        <v>163</v>
      </c>
      <c r="G21" s="42">
        <f t="shared" si="0"/>
        <v>1</v>
      </c>
      <c r="H21" s="43"/>
      <c r="I21" s="59" t="s">
        <v>816</v>
      </c>
      <c r="J21" s="44" t="str">
        <f>""</f>
        <v/>
      </c>
      <c r="K21" s="45"/>
      <c r="L21" s="46"/>
      <c r="M21" s="46"/>
      <c r="N21" s="47" t="s">
        <v>177</v>
      </c>
      <c r="O21" s="74">
        <v>1996</v>
      </c>
      <c r="P21" s="48" t="s">
        <v>817</v>
      </c>
      <c r="Q21" s="73">
        <v>1</v>
      </c>
      <c r="R21" s="49" t="s">
        <v>177</v>
      </c>
      <c r="S21" s="50">
        <v>3</v>
      </c>
      <c r="T21" s="51" t="s">
        <v>164</v>
      </c>
      <c r="U21" s="52" t="s">
        <v>164</v>
      </c>
      <c r="V21" s="52" t="s">
        <v>165</v>
      </c>
      <c r="W21" s="52" t="s">
        <v>164</v>
      </c>
      <c r="X21" s="52" t="s">
        <v>165</v>
      </c>
      <c r="Y21" s="52" t="s">
        <v>164</v>
      </c>
      <c r="Z21" s="52" t="s">
        <v>164</v>
      </c>
      <c r="AA21" s="52" t="s">
        <v>164</v>
      </c>
      <c r="AB21" s="52" t="s">
        <v>164</v>
      </c>
      <c r="AC21" s="52" t="s">
        <v>164</v>
      </c>
      <c r="AD21" s="52" t="s">
        <v>165</v>
      </c>
      <c r="AE21" s="52" t="s">
        <v>164</v>
      </c>
      <c r="AF21" s="53" t="s">
        <v>164</v>
      </c>
      <c r="AG21" s="53" t="s">
        <v>164</v>
      </c>
      <c r="AH21" s="53" t="s">
        <v>164</v>
      </c>
      <c r="AI21" s="53" t="s">
        <v>164</v>
      </c>
      <c r="AJ21" s="53" t="s">
        <v>164</v>
      </c>
      <c r="AK21" s="53" t="s">
        <v>164</v>
      </c>
      <c r="AL21" s="53" t="s">
        <v>164</v>
      </c>
      <c r="AM21" s="53" t="s">
        <v>164</v>
      </c>
      <c r="AN21" s="53" t="s">
        <v>164</v>
      </c>
      <c r="AO21" s="53" t="s">
        <v>164</v>
      </c>
      <c r="AP21" s="53" t="s">
        <v>164</v>
      </c>
      <c r="AQ21" s="53" t="s">
        <v>164</v>
      </c>
      <c r="AR21" s="53" t="s">
        <v>164</v>
      </c>
      <c r="AS21" s="53" t="s">
        <v>164</v>
      </c>
      <c r="AT21" s="54">
        <v>0</v>
      </c>
      <c r="AU21" s="53" t="s">
        <v>308</v>
      </c>
      <c r="AV21" s="53" t="str">
        <f t="shared" si="1"/>
        <v>[VEN]State[VEN] Portuguesa</v>
      </c>
      <c r="AW21" s="53" t="str">
        <f t="shared" si="2"/>
        <v>2[VEN] Portuguesa</v>
      </c>
      <c r="AX21" s="55"/>
      <c r="AY21" s="55"/>
      <c r="AZ21" s="56" t="s">
        <v>234</v>
      </c>
      <c r="BA21" s="56" t="s">
        <v>234</v>
      </c>
      <c r="BB21" s="56"/>
      <c r="BC21" s="57"/>
      <c r="BD21" s="58" t="s">
        <v>152</v>
      </c>
      <c r="BE21" s="59"/>
      <c r="BF21" s="58" t="s">
        <v>152</v>
      </c>
      <c r="BG21" s="58" t="s">
        <v>159</v>
      </c>
      <c r="BH21" s="58" t="s">
        <v>153</v>
      </c>
      <c r="BI21" s="58"/>
      <c r="BJ21" s="58"/>
      <c r="BK21" s="59"/>
      <c r="BL21" s="58" t="s">
        <v>234</v>
      </c>
      <c r="BM21" s="58" t="s">
        <v>152</v>
      </c>
      <c r="BN21" s="58" t="s">
        <v>153</v>
      </c>
      <c r="BO21" s="58" t="s">
        <v>234</v>
      </c>
      <c r="BP21" s="58" t="s">
        <v>155</v>
      </c>
      <c r="BQ21" s="58" t="s">
        <v>234</v>
      </c>
      <c r="BR21" s="58" t="s">
        <v>234</v>
      </c>
      <c r="BS21" s="58" t="s">
        <v>234</v>
      </c>
      <c r="BT21" s="58" t="s">
        <v>159</v>
      </c>
      <c r="BU21" s="60"/>
      <c r="BV21" s="61"/>
      <c r="BW21" s="61">
        <v>0</v>
      </c>
      <c r="BX21" s="59"/>
      <c r="CB21" s="5"/>
      <c r="CC21" s="5"/>
      <c r="CD21" s="62">
        <v>0</v>
      </c>
      <c r="CE21" s="62">
        <v>0</v>
      </c>
      <c r="CF21" s="62" t="e">
        <v>#REF!</v>
      </c>
      <c r="CG21" s="75" cm="1">
        <f t="array" ref="CG21">SUMPRODUCT(--(LEN(TRIM(BL21:BT21))&gt;0))</f>
        <v>4</v>
      </c>
      <c r="CH21" s="53" t="str">
        <f t="shared" si="3"/>
        <v>n</v>
      </c>
      <c r="CI21" s="53" t="str">
        <f t="shared" si="4"/>
        <v>n</v>
      </c>
      <c r="CJ21" s="53" t="str">
        <f t="shared" si="5"/>
        <v>y</v>
      </c>
      <c r="CK21" s="53" t="str">
        <f t="shared" si="6"/>
        <v>n</v>
      </c>
      <c r="CL21" s="53" t="str">
        <f t="shared" si="7"/>
        <v>n</v>
      </c>
      <c r="CM21" s="53" t="str">
        <f t="shared" si="8"/>
        <v>n</v>
      </c>
      <c r="CN21" s="53" t="str">
        <f t="shared" si="9"/>
        <v>y</v>
      </c>
      <c r="CO21" s="53" t="str">
        <f t="shared" si="10"/>
        <v>n</v>
      </c>
      <c r="CP21" s="53" t="str">
        <f t="shared" si="11"/>
        <v>y</v>
      </c>
      <c r="CQ21" s="53" t="str">
        <f t="shared" si="12"/>
        <v>n</v>
      </c>
      <c r="CR21" s="53" t="str">
        <f t="shared" si="13"/>
        <v>n</v>
      </c>
      <c r="CS21" s="53" t="str">
        <f t="shared" si="14"/>
        <v>n</v>
      </c>
      <c r="CT21" s="38" t="str">
        <f t="shared" si="15"/>
        <v>"[VEN] Portuguesa"</v>
      </c>
      <c r="CU21" s="63" t="str">
        <f t="shared" si="16"/>
        <v>"rgn_South America"</v>
      </c>
      <c r="CV21" s="44" t="str">
        <f t="shared" si="17"/>
        <v>"https://upload.wikimedia.org/wikipedia/commons/thumb/8/81/Flag_of_Portuguesa.svg/320px-Flag_of_Portuguesa.svg.png"</v>
      </c>
      <c r="CW21" s="44" t="str">
        <f t="shared" si="18"/>
        <v/>
      </c>
      <c r="CX21" s="44" t="str">
        <f t="shared" si="19"/>
        <v/>
      </c>
      <c r="CY21" s="44" t="str">
        <f t="shared" si="20"/>
        <v>"4Color",</v>
      </c>
      <c r="CZ21" s="44" t="str">
        <f t="shared" si="21"/>
        <v/>
      </c>
      <c r="DA21" s="44" t="str">
        <f t="shared" si="22"/>
        <v/>
      </c>
      <c r="DB21" s="44" t="str">
        <f t="shared" si="23"/>
        <v/>
      </c>
      <c r="DD21" s="44" t="str">
        <f t="shared" si="136"/>
        <v>"lets10",</v>
      </c>
      <c r="DE21" s="44" t="str">
        <f t="shared" si="137"/>
        <v>"startP",</v>
      </c>
      <c r="DF21" s="44" t="str">
        <f t="shared" si="24"/>
        <v/>
      </c>
      <c r="DG21" s="44" t="str">
        <f t="shared" si="25"/>
        <v/>
      </c>
      <c r="DH21" s="44" t="str">
        <f t="shared" si="26"/>
        <v>"with_v",</v>
      </c>
      <c r="DI21" s="44" t="str">
        <f t="shared" si="27"/>
        <v/>
      </c>
      <c r="DJ21" s="44" t="str">
        <f t="shared" si="28"/>
        <v/>
      </c>
      <c r="DK21" s="44" t="str">
        <f t="shared" si="29"/>
        <v/>
      </c>
      <c r="DL21" s="44" t="str">
        <f t="shared" si="30"/>
        <v/>
      </c>
      <c r="DM21" s="44" t="str" cm="1">
        <f t="array" ref="DM21">IF(CG21=3,CHAR(34) &amp; _xlfn.TEXTJOIN("", TRUE, RIGHT(HP21:HX21, 2)) &amp; CHAR(34) &amp; ",", "")</f>
        <v/>
      </c>
      <c r="DN21" s="44" t="str">
        <f t="shared" si="31"/>
        <v/>
      </c>
      <c r="DO21" s="44" t="str">
        <f t="shared" si="32"/>
        <v>"year19",</v>
      </c>
      <c r="DP21" s="5" t="str">
        <f t="shared" si="33"/>
        <v/>
      </c>
      <c r="DQ21" s="5" t="str">
        <f t="shared" si="34"/>
        <v/>
      </c>
      <c r="DR21" s="5" t="str">
        <f t="shared" si="35"/>
        <v/>
      </c>
      <c r="DS21" s="5" t="str">
        <f t="shared" si="36"/>
        <v/>
      </c>
      <c r="DT21" s="5" t="str">
        <f t="shared" si="37"/>
        <v>"allhor",</v>
      </c>
      <c r="DU21" s="5" t="str">
        <f t="shared" si="38"/>
        <v/>
      </c>
      <c r="DW21" s="44" t="str">
        <f t="shared" si="39"/>
        <v/>
      </c>
      <c r="DX21" s="44" t="str">
        <f t="shared" si="40"/>
        <v/>
      </c>
      <c r="DY21" s="44" t="str">
        <f t="shared" si="41"/>
        <v>"3Bands",</v>
      </c>
      <c r="DZ21" s="44" t="str">
        <f t="shared" si="42"/>
        <v/>
      </c>
      <c r="EA21" s="44" t="str">
        <f t="shared" si="43"/>
        <v/>
      </c>
      <c r="EB21" s="44" t="str">
        <f t="shared" si="44"/>
        <v/>
      </c>
      <c r="EC21" s="44" t="str">
        <f t="shared" si="45"/>
        <v>"Horizo",</v>
      </c>
      <c r="ED21" s="44" t="str">
        <f t="shared" si="46"/>
        <v/>
      </c>
      <c r="EE21" s="44" t="str">
        <f t="shared" si="47"/>
        <v>"Circle",</v>
      </c>
      <c r="EF21" s="44" t="str">
        <f t="shared" si="48"/>
        <v/>
      </c>
      <c r="EG21" s="44" t="str">
        <f t="shared" si="49"/>
        <v/>
      </c>
      <c r="EH21" s="44" t="str">
        <f t="shared" si="50"/>
        <v/>
      </c>
      <c r="EI21" s="44" t="str">
        <f t="shared" si="51"/>
        <v/>
      </c>
      <c r="EJ21" s="44" t="str">
        <f t="shared" si="52"/>
        <v/>
      </c>
      <c r="EK21" s="44" t="str">
        <f t="shared" si="53"/>
        <v>"HasSun",</v>
      </c>
      <c r="EL21" s="44" t="str">
        <f t="shared" si="54"/>
        <v/>
      </c>
      <c r="EM21" s="44" t="str">
        <f t="shared" si="55"/>
        <v/>
      </c>
      <c r="EN21" s="44" t="str">
        <f t="shared" si="56"/>
        <v/>
      </c>
      <c r="EO21" s="44" t="str">
        <f t="shared" si="57"/>
        <v/>
      </c>
      <c r="EP21" s="44" t="str">
        <f t="shared" si="58"/>
        <v/>
      </c>
      <c r="EQ21" s="44" t="str">
        <f t="shared" si="59"/>
        <v/>
      </c>
      <c r="ER21" s="44" t="str">
        <f t="shared" si="60"/>
        <v/>
      </c>
      <c r="ES21" s="44" t="str">
        <f t="shared" si="61"/>
        <v/>
      </c>
      <c r="ET21" s="44" t="str">
        <f t="shared" si="62"/>
        <v/>
      </c>
      <c r="EU21" s="44" t="str">
        <f t="shared" si="63"/>
        <v/>
      </c>
      <c r="EV21" s="44" t="str">
        <f t="shared" si="64"/>
        <v/>
      </c>
      <c r="EW21" s="44" t="str">
        <f t="shared" si="65"/>
        <v/>
      </c>
      <c r="EX21" s="44" t="str">
        <f t="shared" si="66"/>
        <v/>
      </c>
      <c r="EY21" s="44" t="str">
        <f t="shared" si="67"/>
        <v/>
      </c>
      <c r="EZ21" s="44" t="str">
        <f t="shared" si="68"/>
        <v/>
      </c>
      <c r="FA21" s="44" t="str">
        <f t="shared" si="69"/>
        <v/>
      </c>
      <c r="FB21" s="44" t="str">
        <f t="shared" si="70"/>
        <v/>
      </c>
      <c r="FD21" s="44" t="str">
        <f t="shared" si="71"/>
        <v/>
      </c>
      <c r="FE21" s="44" t="str">
        <f t="shared" si="72"/>
        <v/>
      </c>
      <c r="FF21" s="44" t="str">
        <f t="shared" si="73"/>
        <v/>
      </c>
      <c r="FG21" s="44" t="str">
        <f t="shared" si="74"/>
        <v>"NO_RED",</v>
      </c>
      <c r="FH21" s="44" t="str">
        <f t="shared" si="75"/>
        <v/>
      </c>
      <c r="FI21" s="44" t="str">
        <f t="shared" si="76"/>
        <v/>
      </c>
      <c r="FJ21" s="44" t="str">
        <f t="shared" si="77"/>
        <v>"NO_BLA",</v>
      </c>
      <c r="FK21" s="44" t="str">
        <f t="shared" si="78"/>
        <v/>
      </c>
      <c r="FL21" s="44" t="str">
        <f t="shared" si="79"/>
        <v/>
      </c>
      <c r="FM21" s="44" t="str">
        <f t="shared" si="80"/>
        <v/>
      </c>
      <c r="FN21" s="44" t="str">
        <f t="shared" si="81"/>
        <v/>
      </c>
      <c r="FO21" s="44" t="str">
        <f t="shared" si="82"/>
        <v/>
      </c>
      <c r="FP21" s="44" t="str">
        <f t="shared" si="83"/>
        <v/>
      </c>
      <c r="FQ21" s="44" t="str">
        <f t="shared" si="84"/>
        <v>"001BLU",</v>
      </c>
      <c r="FR21" s="44" t="str">
        <f t="shared" si="85"/>
        <v>"002WHI",</v>
      </c>
      <c r="FS21" s="44" t="str">
        <f t="shared" si="86"/>
        <v>"003GRE",</v>
      </c>
      <c r="FT21" s="44" t="str">
        <f t="shared" si="87"/>
        <v>"myrBLU",</v>
      </c>
      <c r="FU21" s="44" t="str">
        <f t="shared" si="88"/>
        <v/>
      </c>
      <c r="FV21" s="44" t="str">
        <f t="shared" si="89"/>
        <v/>
      </c>
      <c r="FW21" s="44" t="str">
        <f t="shared" si="90"/>
        <v/>
      </c>
      <c r="FY21" s="44" t="str">
        <f t="shared" si="91"/>
        <v/>
      </c>
      <c r="FZ21" s="44" t="str">
        <f t="shared" si="92"/>
        <v/>
      </c>
      <c r="GA21" s="44" t="str">
        <f t="shared" si="93"/>
        <v/>
      </c>
      <c r="GB21" s="44" t="str">
        <f t="shared" si="94"/>
        <v/>
      </c>
      <c r="GE21" s="44" t="str">
        <f t="shared" si="95"/>
        <v/>
      </c>
      <c r="GF21" s="44" t="str">
        <f t="shared" si="138"/>
        <v/>
      </c>
      <c r="GG21" s="44" t="str">
        <f t="shared" si="96"/>
        <v/>
      </c>
      <c r="GH21" s="44" t="str">
        <f t="shared" si="97"/>
        <v/>
      </c>
      <c r="GI21" s="44" t="str">
        <f t="shared" si="98"/>
        <v/>
      </c>
      <c r="GJ21" s="44" t="str">
        <f t="shared" si="99"/>
        <v>"NoStar",</v>
      </c>
      <c r="GK21" s="44" t="str">
        <f t="shared" si="100"/>
        <v/>
      </c>
      <c r="GL21" s="44" t="str">
        <f t="shared" si="101"/>
        <v/>
      </c>
      <c r="GM21" s="44" t="str">
        <f t="shared" si="102"/>
        <v/>
      </c>
      <c r="GN21" s="44" t="str">
        <f t="shared" si="103"/>
        <v/>
      </c>
      <c r="GP21" s="44" t="str">
        <f t="shared" si="104"/>
        <v>"State"</v>
      </c>
      <c r="GS21" s="44" t="str">
        <f t="shared" si="105"/>
        <v>["4Color","lets10","startP","with_v","year19","allhor","3Bands","Horizo","Circle","HasSun","NO_RED","NO_BLA","001BLU","002WHI","003GRE","myrBLU","NoStar"]</v>
      </c>
      <c r="GT21" s="44" t="str">
        <f t="shared" si="106"/>
        <v/>
      </c>
      <c r="GU21" s="44" t="str">
        <f t="shared" si="107"/>
        <v>"cl_BLU",</v>
      </c>
      <c r="GV21" s="44" t="str">
        <f t="shared" si="108"/>
        <v>"cl_GRE",</v>
      </c>
      <c r="GW21" s="44" t="str">
        <f t="shared" si="109"/>
        <v/>
      </c>
      <c r="GX21" s="44" t="str">
        <f t="shared" si="110"/>
        <v>"cl_YEL",</v>
      </c>
      <c r="GY21" s="44" t="str">
        <f t="shared" si="111"/>
        <v/>
      </c>
      <c r="GZ21" s="44" t="str">
        <f t="shared" si="112"/>
        <v/>
      </c>
      <c r="HA21" s="44" t="str">
        <f t="shared" si="113"/>
        <v/>
      </c>
      <c r="HB21" s="44" t="str">
        <f t="shared" si="114"/>
        <v>"cl_WHI",</v>
      </c>
      <c r="HC21" s="44" t="str">
        <f t="shared" si="115"/>
        <v>["cl_BLU","cl_GRE","cl_YEL","cl_WHI"]</v>
      </c>
      <c r="HE21" s="64"/>
      <c r="HF21" s="65" t="str">
        <f t="shared" si="116"/>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links: "https://www.crwflags.com/fotw/flags/ve-p.html"},</v>
      </c>
      <c r="HG21" s="66" t="str">
        <f t="shared" si="117"/>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links: "https://www.crwflags.com/fotw/flags/ve-p.html"},</v>
      </c>
      <c r="HH21" s="44" t="str">
        <f t="shared" si="118"/>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I21" s="44" t="str">
        <f t="shared" si="119"/>
        <v>"\nThe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v>
      </c>
      <c r="HJ21" s="44" t="str">
        <f t="shared" si="120"/>
        <v>"1996"</v>
      </c>
      <c r="HL21" s="44" t="str">
        <f t="shared" si="121"/>
        <v>"https://www.crwflags.com/fotw/flags/ve-p.html"</v>
      </c>
      <c r="HM21" s="65" t="str">
        <f t="shared" si="122"/>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N21" s="67" t="str">
        <f t="shared" si="123"/>
        <v>{"couname":"[VEN] Portuguesa","year":"1996","region":"rgn_South America","Colors":["cl_BLU","cl_GRE","cl_YEL","cl_WHI"],"Items":["4Color","lets10","startP","with_v","year19","allhor","3Bands","Horizo","Circle","HasSun","NO_RED","NO_BLA","001BLU","002WHI","003GRE","myrBLU","NoStar"],"Flag":"https://upload.wikimedia.org/wikipedia/commons/thumb/8/81/Flag_of_Portuguesa.svg/320px-Flag_of_Portuguesa.svg.png","HDFlag":"https://upload.wikimedia.org/wikipedia/commons/thumb/8/81/Flag_of_Portuguesa.svg/800px-Flag_of_Portuguesa.svg.png","type":"State", "describe": "\nThe blue stripe represents the celestial vault of the firmament, which serves as a reference to the 'llanero' (the Venezuelan man of the plains region) that populates the region (their life, customs, and daily chores). The white fringe recalls the pristine purity and harmony where they unite the material world and the spiritual world to reach the noblest purposes. The green fringe represents the natural and agricultural wealth of the State, the scenery for the effort, and the work of its inhabitants. On the canton near the staff in the blue fringe appears a Yellow and White sun that irradiates rays of light to symbolize power, wealth, dynamism, and generosity. Their configuration is inspired by a geometric figure of aboriginal root to represent the historical continuity of the population of the State, also constituting a symbol of the creative energy of its inhabitants like a live force that guarantees faith in the future.", "isnew": ".", "links": "https://www.crwflags.com/fotw/flags/ve-p.html"},</v>
      </c>
      <c r="HO21" s="71">
        <v>45610</v>
      </c>
      <c r="HP21" s="44" t="str" cm="1">
        <f t="array" ref="HP21">IF(_xlfn.TEXTJOIN(", ", TRUE, IF(ISNUMBER(SEARCH("BLA", BL21:BT21)), COLUMN(BL21:BT21) - COLUMN(BL21) + 1, ""))&lt;&gt;"","BLA","")</f>
        <v/>
      </c>
      <c r="HQ21" s="44" t="str" cm="1">
        <f t="array" ref="HQ21">IF(_xlfn.TEXTJOIN(", ", TRUE, IF(ISNUMBER(SEARCH("BLU", BL21:BT21)), COLUMN(BL21:BT21) - COLUMN(BL21) + 1, ""))&lt;&gt;"","BLU","")</f>
        <v>BLU</v>
      </c>
      <c r="HR21" s="44" t="str" cm="1">
        <f t="array" ref="HR21">IF(_xlfn.TEXTJOIN(", ", TRUE, IF(ISNUMBER(SEARCH("GRE", BL21:BT21)), COLUMN(BL21:BT21) - COLUMN(BL21) + 1, ""))&lt;&gt;"","GRE","")</f>
        <v>GRE</v>
      </c>
      <c r="HS21" s="44" t="str" cm="1">
        <f t="array" ref="HS21">IF(_xlfn.TEXTJOIN(", ", TRUE, IF(ISNUMBER(SEARCH("RED", BL21:BT21)), COLUMN(BL21:BT21) - COLUMN(BL21) + 1, ""))&lt;&gt;"","RED","")</f>
        <v/>
      </c>
      <c r="HT21" s="44" t="str" cm="1">
        <f t="array" ref="HT21">IF(_xlfn.TEXTJOIN(", ", TRUE, IF(ISNUMBER(SEARCH("YEL", BL21:BT21)), COLUMN(BL21:BT21) - COLUMN(BL21) + 1, ""))&lt;&gt;"","YEL","")</f>
        <v>YEL</v>
      </c>
      <c r="HU21" s="44" t="str" cm="1">
        <f t="array" ref="HU21">IF(_xlfn.TEXTJOIN(", ", TRUE, IF(ISNUMBER(SEARCH("ORA", BL21:BT21)), COLUMN(BL21:BT21) - COLUMN(BL21) + 1, ""))&lt;&gt;"","ORA","")</f>
        <v/>
      </c>
      <c r="HV21" s="44" t="str" cm="1">
        <f t="array" ref="HV21">IF(_xlfn.TEXTJOIN(", ", TRUE, IF(ISNUMBER(SEARCH("BRO", BL21:BT21)), COLUMN(BL21:BT21) - COLUMN(BL21) + 1, ""))&lt;&gt;"","BRO","")</f>
        <v/>
      </c>
      <c r="HW21" s="44" t="str" cm="1">
        <f t="array" ref="HW21">IF(_xlfn.TEXTJOIN(", ", TRUE, IF(ISNUMBER(SEARCH("PUR", BL21:BT21)), COLUMN(BL21:BT21) - COLUMN(BL21) + 1, ""))&lt;&gt;"","PUR","")</f>
        <v/>
      </c>
      <c r="HX21" s="44" t="str" cm="1">
        <f t="array" ref="HX21">IF(_xlfn.TEXTJOIN(", ", TRUE, IF(ISNUMBER(SEARCH("WHI", BL21:BT21)), COLUMN(BL21:BT21) - COLUMN(BL21) + 1, ""))&lt;&gt;"","WHI","")</f>
        <v>WHI</v>
      </c>
      <c r="HY21" s="72"/>
      <c r="HZ21" s="72"/>
      <c r="IA21" s="5"/>
      <c r="IB21" s="5"/>
      <c r="IC21" s="68"/>
      <c r="ID21" s="68"/>
      <c r="IE21" s="68"/>
      <c r="IF21" s="68"/>
      <c r="IG21" s="68"/>
      <c r="IH21" s="68"/>
      <c r="II21" s="68"/>
      <c r="IJ21" s="68"/>
      <c r="IK21" s="68"/>
      <c r="IM21" s="42">
        <f t="shared" si="124"/>
        <v>-4</v>
      </c>
      <c r="IN21" s="69" t="str">
        <f t="shared" si="125"/>
        <v>http://mkweb.bcgsc.ca/color-summarizer/?url=https://upload.wikimedia.org/wikipedia/commons/thumb/8/81/Flag_of_Portuguesa.svg/320px-Flag_of_Portuguesa.svg.png&amp;precision=low&amp;num_clusters=4&amp;text=1</v>
      </c>
      <c r="IO21" s="44" t="str">
        <f t="shared" si="126"/>
        <v/>
      </c>
      <c r="IP21" s="44" t="str">
        <f t="shared" si="127"/>
        <v>"blue"</v>
      </c>
      <c r="IQ21" s="44" t="str">
        <f t="shared" si="128"/>
        <v>"green"</v>
      </c>
      <c r="IR21" s="44" t="str">
        <f t="shared" si="129"/>
        <v/>
      </c>
      <c r="IS21" s="44" t="str">
        <f t="shared" si="130"/>
        <v>"yellow"</v>
      </c>
      <c r="IT21" s="44" t="str">
        <f t="shared" si="131"/>
        <v/>
      </c>
      <c r="IU21" s="44" t="str">
        <f t="shared" si="132"/>
        <v/>
      </c>
      <c r="IV21" s="44" t="str">
        <f t="shared" si="133"/>
        <v/>
      </c>
      <c r="IW21" s="44" t="str">
        <f t="shared" si="134"/>
        <v>"white"</v>
      </c>
      <c r="IX21" s="44" t="str">
        <f t="shared" si="135"/>
        <v>{"url":"http://mkweb.bcgsc.ca/color-summarizer/?url=https://upload.wikimedia.org/wikipedia/commons/thumb/8/81/Flag_of_Portuguesa.svg/320px-Flag_of_Portuguesa.svg.png&amp;precision=low&amp;num_clusters=4&amp;text=1","name":"[VEN] Portuguesa"},</v>
      </c>
      <c r="IY21" s="44">
        <v>1485</v>
      </c>
    </row>
    <row r="22" spans="1:259" s="44" customFormat="1" ht="38.4" customHeight="1" thickBot="1" x14ac:dyDescent="0.35">
      <c r="A22" s="84" t="s">
        <v>818</v>
      </c>
      <c r="B22" s="83" t="e" vm="121">
        <v>#VALUE!</v>
      </c>
      <c r="C22" s="39">
        <v>2</v>
      </c>
      <c r="D22" s="70" t="s">
        <v>819</v>
      </c>
      <c r="E22" s="40" t="s">
        <v>820</v>
      </c>
      <c r="F22" s="41" t="s">
        <v>163</v>
      </c>
      <c r="G22" s="42">
        <f t="shared" si="0"/>
        <v>1</v>
      </c>
      <c r="H22" s="43"/>
      <c r="I22" s="59" t="s">
        <v>821</v>
      </c>
      <c r="J22" s="44" t="str">
        <f>""</f>
        <v/>
      </c>
      <c r="K22" s="45"/>
      <c r="L22" s="46"/>
      <c r="M22" s="46"/>
      <c r="N22" s="47" t="s">
        <v>177</v>
      </c>
      <c r="O22" s="74" t="s">
        <v>822</v>
      </c>
      <c r="P22" s="48" t="s">
        <v>823</v>
      </c>
      <c r="Q22" s="73">
        <v>1</v>
      </c>
      <c r="R22" s="49" t="s">
        <v>177</v>
      </c>
      <c r="S22" s="50">
        <v>2</v>
      </c>
      <c r="T22" s="51" t="s">
        <v>165</v>
      </c>
      <c r="U22" s="52" t="s">
        <v>164</v>
      </c>
      <c r="V22" s="52" t="s">
        <v>164</v>
      </c>
      <c r="W22" s="52" t="s">
        <v>164</v>
      </c>
      <c r="X22" s="52" t="s">
        <v>165</v>
      </c>
      <c r="Y22" s="52" t="s">
        <v>165</v>
      </c>
      <c r="Z22" s="52" t="s">
        <v>164</v>
      </c>
      <c r="AA22" s="52" t="s">
        <v>165</v>
      </c>
      <c r="AB22" s="52" t="s">
        <v>164</v>
      </c>
      <c r="AC22" s="52" t="s">
        <v>164</v>
      </c>
      <c r="AD22" s="52" t="s">
        <v>165</v>
      </c>
      <c r="AE22" s="52" t="s">
        <v>164</v>
      </c>
      <c r="AF22" s="53" t="s">
        <v>164</v>
      </c>
      <c r="AG22" s="53" t="s">
        <v>165</v>
      </c>
      <c r="AH22" s="53" t="s">
        <v>164</v>
      </c>
      <c r="AI22" s="53" t="s">
        <v>164</v>
      </c>
      <c r="AJ22" s="53" t="s">
        <v>164</v>
      </c>
      <c r="AK22" s="53" t="s">
        <v>164</v>
      </c>
      <c r="AL22" s="53" t="s">
        <v>164</v>
      </c>
      <c r="AM22" s="53" t="s">
        <v>165</v>
      </c>
      <c r="AN22" s="53" t="s">
        <v>165</v>
      </c>
      <c r="AO22" s="53" t="s">
        <v>164</v>
      </c>
      <c r="AP22" s="53" t="s">
        <v>165</v>
      </c>
      <c r="AQ22" s="53" t="s">
        <v>164</v>
      </c>
      <c r="AR22" s="53" t="s">
        <v>164</v>
      </c>
      <c r="AS22" s="53" t="s">
        <v>164</v>
      </c>
      <c r="AT22" s="54">
        <v>15</v>
      </c>
      <c r="AU22" s="53" t="s">
        <v>308</v>
      </c>
      <c r="AV22" s="53" t="str">
        <f t="shared" si="1"/>
        <v>[VEN]State[VEN] Sucre</v>
      </c>
      <c r="AW22" s="53" t="str">
        <f t="shared" si="2"/>
        <v>2[VEN] Sucre</v>
      </c>
      <c r="AX22" s="55"/>
      <c r="AY22" s="55"/>
      <c r="AZ22" s="56" t="s">
        <v>159</v>
      </c>
      <c r="BA22" s="56" t="s">
        <v>234</v>
      </c>
      <c r="BB22" s="56"/>
      <c r="BC22" s="57"/>
      <c r="BD22" s="58" t="s">
        <v>167</v>
      </c>
      <c r="BE22" s="59"/>
      <c r="BF22" s="58" t="s">
        <v>159</v>
      </c>
      <c r="BG22" s="58" t="s">
        <v>234</v>
      </c>
      <c r="BH22" s="58" t="s">
        <v>152</v>
      </c>
      <c r="BI22" s="58"/>
      <c r="BJ22" s="58"/>
      <c r="BK22" s="59"/>
      <c r="BL22" s="58" t="s">
        <v>151</v>
      </c>
      <c r="BM22" s="58" t="s">
        <v>152</v>
      </c>
      <c r="BN22" s="58" t="s">
        <v>153</v>
      </c>
      <c r="BO22" s="58" t="s">
        <v>154</v>
      </c>
      <c r="BP22" s="58" t="s">
        <v>155</v>
      </c>
      <c r="BQ22" s="58" t="s">
        <v>156</v>
      </c>
      <c r="BR22" s="58" t="s">
        <v>157</v>
      </c>
      <c r="BS22" s="58" t="s">
        <v>158</v>
      </c>
      <c r="BT22" s="58" t="s">
        <v>159</v>
      </c>
      <c r="BU22" s="60"/>
      <c r="BV22" s="61"/>
      <c r="BW22" s="61">
        <v>0</v>
      </c>
      <c r="BX22" s="59"/>
      <c r="BY22" s="44" t="s">
        <v>165</v>
      </c>
      <c r="CB22" s="5"/>
      <c r="CC22" s="5"/>
      <c r="CD22" s="62">
        <v>0</v>
      </c>
      <c r="CE22" s="62">
        <v>0</v>
      </c>
      <c r="CF22" s="62" t="e">
        <v>#REF!</v>
      </c>
      <c r="CG22" s="75" cm="1">
        <f t="array" ref="CG22">SUMPRODUCT(--(LEN(TRIM(BL22:BT22))&gt;0))</f>
        <v>9</v>
      </c>
      <c r="CH22" s="53" t="str">
        <f t="shared" si="3"/>
        <v>n</v>
      </c>
      <c r="CI22" s="53" t="str">
        <f t="shared" si="4"/>
        <v>n</v>
      </c>
      <c r="CJ22" s="53" t="str">
        <f t="shared" si="5"/>
        <v>n</v>
      </c>
      <c r="CK22" s="53" t="str">
        <f t="shared" si="6"/>
        <v>y</v>
      </c>
      <c r="CL22" s="53" t="str">
        <f t="shared" si="7"/>
        <v>n</v>
      </c>
      <c r="CM22" s="53" t="str">
        <f t="shared" si="8"/>
        <v>y</v>
      </c>
      <c r="CN22" s="53" t="str">
        <f t="shared" si="9"/>
        <v>n</v>
      </c>
      <c r="CO22" s="53" t="str">
        <f t="shared" si="10"/>
        <v>n</v>
      </c>
      <c r="CP22" s="53" t="str">
        <f t="shared" si="11"/>
        <v>n</v>
      </c>
      <c r="CQ22" s="53" t="str">
        <f t="shared" si="12"/>
        <v>n</v>
      </c>
      <c r="CR22" s="53" t="str">
        <f t="shared" si="13"/>
        <v>n</v>
      </c>
      <c r="CS22" s="53" t="str">
        <f t="shared" si="14"/>
        <v>y</v>
      </c>
      <c r="CT22" s="38" t="str">
        <f t="shared" si="15"/>
        <v>"[VEN] Sucre"</v>
      </c>
      <c r="CU22" s="63" t="str">
        <f t="shared" si="16"/>
        <v>"rgn_South America"</v>
      </c>
      <c r="CV22" s="44" t="str">
        <f t="shared" si="17"/>
        <v>"https://upload.wikimedia.org/wikipedia/commons/thumb/c/c1/Flag_of_Sucre_State.svg/320px-Flag_of_Sucre_State.svg.png"</v>
      </c>
      <c r="CW22" s="44" t="str">
        <f t="shared" si="18"/>
        <v/>
      </c>
      <c r="CX22" s="44" t="str">
        <f t="shared" si="19"/>
        <v/>
      </c>
      <c r="CY22" s="44" t="str">
        <f t="shared" si="20"/>
        <v/>
      </c>
      <c r="CZ22" s="44" t="str">
        <f t="shared" si="21"/>
        <v>"5+Colo",</v>
      </c>
      <c r="DA22" s="44" t="str">
        <f t="shared" si="22"/>
        <v/>
      </c>
      <c r="DB22" s="44" t="str">
        <f t="shared" si="23"/>
        <v/>
      </c>
      <c r="DD22" s="44" t="str">
        <f t="shared" si="136"/>
        <v>"lets05",</v>
      </c>
      <c r="DE22" s="44" t="str">
        <f t="shared" si="137"/>
        <v>"startS",</v>
      </c>
      <c r="DF22" s="44" t="str">
        <f t="shared" si="24"/>
        <v/>
      </c>
      <c r="DG22" s="44" t="str">
        <f t="shared" si="25"/>
        <v/>
      </c>
      <c r="DH22" s="44" t="str">
        <f t="shared" si="26"/>
        <v>"with_v",</v>
      </c>
      <c r="DI22" s="44" t="str">
        <f t="shared" si="27"/>
        <v/>
      </c>
      <c r="DJ22" s="44" t="str">
        <f t="shared" si="28"/>
        <v/>
      </c>
      <c r="DK22" s="44" t="str">
        <f t="shared" si="29"/>
        <v/>
      </c>
      <c r="DL22" s="44" t="str">
        <f t="shared" si="30"/>
        <v/>
      </c>
      <c r="DM22" s="44" t="str" cm="1">
        <f t="array" ref="DM22">IF(CG22=3,CHAR(34) &amp; _xlfn.TEXTJOIN("", TRUE, RIGHT(HP22:HX22, 2)) &amp; CHAR(34) &amp; ",", "")</f>
        <v/>
      </c>
      <c r="DN22" s="44" t="str">
        <f t="shared" si="31"/>
        <v/>
      </c>
      <c r="DO22" s="44" t="str">
        <f t="shared" si="32"/>
        <v>"year19",</v>
      </c>
      <c r="DP22" s="5" t="str">
        <f t="shared" si="33"/>
        <v>"year00",</v>
      </c>
      <c r="DQ22" s="5" t="str">
        <f t="shared" si="34"/>
        <v/>
      </c>
      <c r="DR22" s="5" t="str">
        <f t="shared" si="35"/>
        <v>"dgband",</v>
      </c>
      <c r="DS22" s="5" t="str">
        <f t="shared" si="36"/>
        <v/>
      </c>
      <c r="DT22" s="5" t="str">
        <f t="shared" si="37"/>
        <v/>
      </c>
      <c r="DU22" s="5" t="str">
        <f t="shared" si="38"/>
        <v>"alldia",</v>
      </c>
      <c r="DW22" s="44" t="str">
        <f t="shared" si="39"/>
        <v/>
      </c>
      <c r="DX22" s="44" t="str">
        <f t="shared" si="40"/>
        <v>"2Bands",</v>
      </c>
      <c r="DY22" s="44" t="str">
        <f t="shared" si="41"/>
        <v/>
      </c>
      <c r="DZ22" s="44" t="str">
        <f t="shared" si="42"/>
        <v/>
      </c>
      <c r="EA22" s="44" t="str">
        <f t="shared" si="43"/>
        <v>"Diagon",</v>
      </c>
      <c r="EB22" s="44" t="str">
        <f t="shared" si="44"/>
        <v/>
      </c>
      <c r="EC22" s="44" t="str">
        <f t="shared" si="45"/>
        <v/>
      </c>
      <c r="ED22" s="44" t="str">
        <f t="shared" si="46"/>
        <v/>
      </c>
      <c r="EE22" s="44" t="str">
        <f t="shared" si="47"/>
        <v>"Circle",</v>
      </c>
      <c r="EF22" s="44" t="str">
        <f t="shared" si="48"/>
        <v>"Animal",</v>
      </c>
      <c r="EG22" s="44" t="str">
        <f t="shared" si="49"/>
        <v/>
      </c>
      <c r="EH22" s="44" t="str">
        <f t="shared" si="50"/>
        <v>"Plants",</v>
      </c>
      <c r="EI22" s="44" t="str">
        <f t="shared" si="51"/>
        <v/>
      </c>
      <c r="EJ22" s="44" t="str">
        <f t="shared" si="52"/>
        <v/>
      </c>
      <c r="EK22" s="44" t="str">
        <f t="shared" si="53"/>
        <v>"HasSun",</v>
      </c>
      <c r="EL22" s="44" t="str">
        <f t="shared" si="54"/>
        <v/>
      </c>
      <c r="EM22" s="44" t="str">
        <f t="shared" si="55"/>
        <v/>
      </c>
      <c r="EN22" s="44" t="str">
        <f t="shared" si="56"/>
        <v>"Unequa",</v>
      </c>
      <c r="EO22" s="44" t="str">
        <f t="shared" si="57"/>
        <v/>
      </c>
      <c r="EP22" s="44" t="str">
        <f t="shared" si="58"/>
        <v/>
      </c>
      <c r="EQ22" s="44" t="str">
        <f t="shared" si="59"/>
        <v/>
      </c>
      <c r="ER22" s="44" t="str">
        <f t="shared" si="60"/>
        <v/>
      </c>
      <c r="ES22" s="44" t="str">
        <f t="shared" si="61"/>
        <v/>
      </c>
      <c r="ET22" s="44" t="str">
        <f t="shared" si="62"/>
        <v>"Geogrh",</v>
      </c>
      <c r="EU22" s="44" t="str">
        <f t="shared" si="63"/>
        <v>"Humans",</v>
      </c>
      <c r="EV22" s="44" t="str">
        <f t="shared" si="64"/>
        <v/>
      </c>
      <c r="EW22" s="44" t="str">
        <f t="shared" si="65"/>
        <v>"Ships!",</v>
      </c>
      <c r="EX22" s="44" t="str">
        <f t="shared" si="66"/>
        <v/>
      </c>
      <c r="EY22" s="44" t="str">
        <f t="shared" si="67"/>
        <v/>
      </c>
      <c r="EZ22" s="44" t="str">
        <f t="shared" si="68"/>
        <v/>
      </c>
      <c r="FA22" s="44" t="str">
        <f t="shared" si="69"/>
        <v>"staWHI",</v>
      </c>
      <c r="FB22" s="44" t="str">
        <f t="shared" si="70"/>
        <v/>
      </c>
      <c r="FD22" s="44" t="str">
        <f t="shared" si="71"/>
        <v/>
      </c>
      <c r="FE22" s="44" t="str">
        <f t="shared" si="72"/>
        <v/>
      </c>
      <c r="FF22" s="44" t="str">
        <f t="shared" si="73"/>
        <v/>
      </c>
      <c r="FG22" s="44" t="str">
        <f t="shared" si="74"/>
        <v/>
      </c>
      <c r="FH22" s="44" t="str">
        <f t="shared" si="75"/>
        <v/>
      </c>
      <c r="FI22" s="44" t="str">
        <f t="shared" si="76"/>
        <v/>
      </c>
      <c r="FJ22" s="44" t="str">
        <f t="shared" si="77"/>
        <v/>
      </c>
      <c r="FK22" s="44" t="str">
        <f t="shared" si="78"/>
        <v/>
      </c>
      <c r="FL22" s="44" t="str">
        <f t="shared" si="79"/>
        <v/>
      </c>
      <c r="FM22" s="44" t="str">
        <f t="shared" si="80"/>
        <v/>
      </c>
      <c r="FN22" s="44" t="str">
        <f t="shared" si="81"/>
        <v/>
      </c>
      <c r="FO22" s="44" t="str">
        <f t="shared" si="82"/>
        <v/>
      </c>
      <c r="FP22" s="44" t="str">
        <f t="shared" si="83"/>
        <v/>
      </c>
      <c r="FQ22" s="44" t="str">
        <f t="shared" si="84"/>
        <v>"001WHI",</v>
      </c>
      <c r="FR22" s="44" t="str">
        <f t="shared" si="85"/>
        <v/>
      </c>
      <c r="FS22" s="44" t="str">
        <f t="shared" si="86"/>
        <v>"003BLU",</v>
      </c>
      <c r="FT22" s="44" t="str">
        <f t="shared" si="87"/>
        <v>"myrEQ",</v>
      </c>
      <c r="FU22" s="44" t="str">
        <f t="shared" si="88"/>
        <v/>
      </c>
      <c r="FV22" s="44" t="str">
        <f t="shared" si="89"/>
        <v/>
      </c>
      <c r="FW22" s="44" t="str">
        <f t="shared" si="90"/>
        <v/>
      </c>
      <c r="FY22" s="44" t="str">
        <f t="shared" si="91"/>
        <v/>
      </c>
      <c r="FZ22" s="44" t="str">
        <f t="shared" si="92"/>
        <v/>
      </c>
      <c r="GA22" s="44" t="str">
        <f t="shared" si="93"/>
        <v/>
      </c>
      <c r="GB22" s="44" t="str">
        <f t="shared" si="94"/>
        <v/>
      </c>
      <c r="GE22" s="44" t="str">
        <f t="shared" si="95"/>
        <v/>
      </c>
      <c r="GF22" s="44" t="str">
        <f t="shared" si="138"/>
        <v/>
      </c>
      <c r="GG22" s="44" t="str">
        <f t="shared" si="96"/>
        <v/>
      </c>
      <c r="GH22" s="44" t="str">
        <f t="shared" si="97"/>
        <v/>
      </c>
      <c r="GI22" s="44" t="str">
        <f t="shared" si="98"/>
        <v/>
      </c>
      <c r="GJ22" s="44" t="str">
        <f t="shared" si="99"/>
        <v/>
      </c>
      <c r="GK22" s="44" t="str">
        <f t="shared" si="100"/>
        <v>"HasSta",</v>
      </c>
      <c r="GL22" s="44" t="str">
        <f t="shared" si="101"/>
        <v/>
      </c>
      <c r="GM22" s="44" t="str">
        <f t="shared" si="102"/>
        <v/>
      </c>
      <c r="GN22" s="44" t="str">
        <f t="shared" si="103"/>
        <v>"3+Star",</v>
      </c>
      <c r="GP22" s="44" t="str">
        <f t="shared" si="104"/>
        <v>"State"</v>
      </c>
      <c r="GS22" s="44" t="str">
        <f t="shared" si="105"/>
        <v>["5+Colo","lets05","startS","with_v","year19","year00","dgband","alldia","2Bands","Diagon","Circle","Animal","Plants","HasSun","Unequa","Geogrh","Humans","Ships!","staWHI","001WHI","003BLU","myrEQ","HasSta","3+Star"]</v>
      </c>
      <c r="GT22" s="44" t="str">
        <f t="shared" si="106"/>
        <v>"cl_BLA",</v>
      </c>
      <c r="GU22" s="44" t="str">
        <f t="shared" si="107"/>
        <v>"cl_BLU",</v>
      </c>
      <c r="GV22" s="44" t="str">
        <f t="shared" si="108"/>
        <v>"cl_GRE",</v>
      </c>
      <c r="GW22" s="44" t="str">
        <f t="shared" si="109"/>
        <v>"cl_RED",</v>
      </c>
      <c r="GX22" s="44" t="str">
        <f t="shared" si="110"/>
        <v>"cl_YEL",</v>
      </c>
      <c r="GY22" s="44" t="str">
        <f t="shared" si="111"/>
        <v>"cl_ORA",</v>
      </c>
      <c r="GZ22" s="44" t="str">
        <f t="shared" si="112"/>
        <v>"cl_BRO",</v>
      </c>
      <c r="HA22" s="44" t="str">
        <f t="shared" si="113"/>
        <v>"cl_PUR",</v>
      </c>
      <c r="HB22" s="44" t="str">
        <f t="shared" si="114"/>
        <v>"cl_WHI",</v>
      </c>
      <c r="HC22" s="44" t="str">
        <f t="shared" si="115"/>
        <v>["cl_BLA","cl_BLU","cl_GRE","cl_RED","cl_YEL","cl_ORA","cl_BRO","cl_PUR","cl_WHI"]</v>
      </c>
      <c r="HE22" s="64"/>
      <c r="HF22" s="65" t="str">
        <f t="shared" si="116"/>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links: "https://www.crwflags.com/fotw/flags/ve-r.html"},</v>
      </c>
      <c r="HG22" s="66" t="str">
        <f t="shared" si="117"/>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links: "https://www.crwflags.com/fotw/flags/ve-r.html"},</v>
      </c>
      <c r="HH22" s="44" t="str">
        <f t="shared" si="118"/>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I22" s="44" t="str">
        <f t="shared" si="119"/>
        <v>"\nThe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v>
      </c>
      <c r="HJ22" s="44" t="str">
        <f t="shared" si="120"/>
        <v>"1996, 2002"</v>
      </c>
      <c r="HL22" s="44" t="str">
        <f t="shared" si="121"/>
        <v>"https://www.crwflags.com/fotw/flags/ve-r.html"</v>
      </c>
      <c r="HM22" s="65" t="str">
        <f t="shared" si="122"/>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N22" s="67" t="str">
        <f t="shared" si="123"/>
        <v>{"couname":"[VEN] Sucre","year":"1996, 2002","region":"rgn_South America","Colors":["cl_BLA","cl_BLU","cl_GRE","cl_RED","cl_YEL","cl_ORA","cl_BRO","cl_PUR","cl_WHI"],"Items":["5+Colo","lets05","startS","with_v","year19","year00","dgband","alldia","2Bands","Diagon","Circle","Animal","Plants","HasSun","Unequa","Geogrh","Humans","Ships!","staWHI","001WHI","003BLU","myrEQ","HasSta","3+Star"],"Flag":"https://upload.wikimedia.org/wikipedia/commons/thumb/c/c1/Flag_of_Sucre_State.svg/320px-Flag_of_Sucre_State.svg.png","HDFlag":"https://upload.wikimedia.org/wikipedia/commons/thumb/c/c1/Flag_of_Sucre_State.svg/800px-Flag_of_Sucre_State.svg.png","type":"State", "describe": "\nThe flag was created by Oscar Prieto Ruíz and approved in 1965 by the Legislative Assembly by means of the Law of Flag, Shield, and Hymn of Sucre State, it was ratified by the Legislative Assembly and hoisted for the first time in 1996. The flag consists of a two-color field, serves as a bed for the State's badge on the white half; and for eleven, white, five-pointed stars. \n\nWhite is the color of purity and nobility, as well as the reflection of Sucre's white sands and the production of salt. Light blue stands for bravery and generosity, as well as for the pristine and clear waters of its sea. The fifteen stars represent the fifteen municipalities currently inside Sucre.", "isnew": ".", "links": "https://www.crwflags.com/fotw/flags/ve-r.html"},</v>
      </c>
      <c r="HO22" s="71">
        <v>45610</v>
      </c>
      <c r="HP22" s="44" t="str" cm="1">
        <f t="array" ref="HP22">IF(_xlfn.TEXTJOIN(", ", TRUE, IF(ISNUMBER(SEARCH("BLA", BL22:BT22)), COLUMN(BL22:BT22) - COLUMN(BL22) + 1, ""))&lt;&gt;"","BLA","")</f>
        <v>BLA</v>
      </c>
      <c r="HQ22" s="44" t="str" cm="1">
        <f t="array" ref="HQ22">IF(_xlfn.TEXTJOIN(", ", TRUE, IF(ISNUMBER(SEARCH("BLU", BL22:BT22)), COLUMN(BL22:BT22) - COLUMN(BL22) + 1, ""))&lt;&gt;"","BLU","")</f>
        <v>BLU</v>
      </c>
      <c r="HR22" s="44" t="str" cm="1">
        <f t="array" ref="HR22">IF(_xlfn.TEXTJOIN(", ", TRUE, IF(ISNUMBER(SEARCH("GRE", BL22:BT22)), COLUMN(BL22:BT22) - COLUMN(BL22) + 1, ""))&lt;&gt;"","GRE","")</f>
        <v>GRE</v>
      </c>
      <c r="HS22" s="44" t="str" cm="1">
        <f t="array" ref="HS22">IF(_xlfn.TEXTJOIN(", ", TRUE, IF(ISNUMBER(SEARCH("RED", BL22:BT22)), COLUMN(BL22:BT22) - COLUMN(BL22) + 1, ""))&lt;&gt;"","RED","")</f>
        <v>RED</v>
      </c>
      <c r="HT22" s="44" t="str" cm="1">
        <f t="array" ref="HT22">IF(_xlfn.TEXTJOIN(", ", TRUE, IF(ISNUMBER(SEARCH("YEL", BL22:BT22)), COLUMN(BL22:BT22) - COLUMN(BL22) + 1, ""))&lt;&gt;"","YEL","")</f>
        <v>YEL</v>
      </c>
      <c r="HU22" s="44" t="str" cm="1">
        <f t="array" ref="HU22">IF(_xlfn.TEXTJOIN(", ", TRUE, IF(ISNUMBER(SEARCH("ORA", BL22:BT22)), COLUMN(BL22:BT22) - COLUMN(BL22) + 1, ""))&lt;&gt;"","ORA","")</f>
        <v>ORA</v>
      </c>
      <c r="HV22" s="44" t="str" cm="1">
        <f t="array" ref="HV22">IF(_xlfn.TEXTJOIN(", ", TRUE, IF(ISNUMBER(SEARCH("BRO", BL22:BT22)), COLUMN(BL22:BT22) - COLUMN(BL22) + 1, ""))&lt;&gt;"","BRO","")</f>
        <v>BRO</v>
      </c>
      <c r="HW22" s="44" t="str" cm="1">
        <f t="array" ref="HW22">IF(_xlfn.TEXTJOIN(", ", TRUE, IF(ISNUMBER(SEARCH("PUR", BL22:BT22)), COLUMN(BL22:BT22) - COLUMN(BL22) + 1, ""))&lt;&gt;"","PUR","")</f>
        <v>PUR</v>
      </c>
      <c r="HX22" s="44" t="str" cm="1">
        <f t="array" ref="HX22">IF(_xlfn.TEXTJOIN(", ", TRUE, IF(ISNUMBER(SEARCH("WHI", BL22:BT22)), COLUMN(BL22:BT22) - COLUMN(BL22) + 1, ""))&lt;&gt;"","WHI","")</f>
        <v>WHI</v>
      </c>
      <c r="HY22" s="72"/>
      <c r="HZ22" s="72"/>
      <c r="IA22" s="5"/>
      <c r="IB22" s="5"/>
      <c r="IC22" s="68"/>
      <c r="ID22" s="68"/>
      <c r="IE22" s="68"/>
      <c r="IF22" s="68"/>
      <c r="IG22" s="68"/>
      <c r="IH22" s="68"/>
      <c r="II22" s="68"/>
      <c r="IJ22" s="68"/>
      <c r="IK22" s="68"/>
      <c r="IM22" s="42">
        <f t="shared" si="124"/>
        <v>-9</v>
      </c>
      <c r="IN22" s="69" t="str">
        <f t="shared" si="125"/>
        <v>http://mkweb.bcgsc.ca/color-summarizer/?url=https://upload.wikimedia.org/wikipedia/commons/thumb/c/c1/Flag_of_Sucre_State.svg/320px-Flag_of_Sucre_State.svg.png&amp;precision=low&amp;num_clusters=9&amp;text=1</v>
      </c>
      <c r="IO22" s="44" t="str">
        <f t="shared" si="126"/>
        <v>"black"</v>
      </c>
      <c r="IP22" s="44" t="str">
        <f t="shared" si="127"/>
        <v>"blue"</v>
      </c>
      <c r="IQ22" s="44" t="str">
        <f t="shared" si="128"/>
        <v>"green"</v>
      </c>
      <c r="IR22" s="44" t="str">
        <f t="shared" si="129"/>
        <v>"red"</v>
      </c>
      <c r="IS22" s="44" t="str">
        <f t="shared" si="130"/>
        <v>"yellow"</v>
      </c>
      <c r="IT22" s="44" t="str">
        <f t="shared" si="131"/>
        <v>"orange"</v>
      </c>
      <c r="IU22" s="44" t="str">
        <f t="shared" si="132"/>
        <v>"brown"</v>
      </c>
      <c r="IV22" s="44" t="str">
        <f t="shared" si="133"/>
        <v>"purple"</v>
      </c>
      <c r="IW22" s="44" t="str">
        <f t="shared" si="134"/>
        <v>"white"</v>
      </c>
      <c r="IX22" s="44" t="str">
        <f t="shared" si="135"/>
        <v>{"url":"http://mkweb.bcgsc.ca/color-summarizer/?url=https://upload.wikimedia.org/wikipedia/commons/thumb/c/c1/Flag_of_Sucre_State.svg/320px-Flag_of_Sucre_State.svg.png&amp;precision=low&amp;num_clusters=9&amp;text=1","name":"[VEN] Sucre"},</v>
      </c>
      <c r="IY22" s="44">
        <v>1486</v>
      </c>
    </row>
    <row r="23" spans="1:259" s="44" customFormat="1" ht="38.4" customHeight="1" thickBot="1" x14ac:dyDescent="0.35">
      <c r="A23" s="84" t="s">
        <v>824</v>
      </c>
      <c r="B23" s="83" t="e" vm="122">
        <v>#VALUE!</v>
      </c>
      <c r="C23" s="39">
        <v>2</v>
      </c>
      <c r="D23" s="70" t="s">
        <v>825</v>
      </c>
      <c r="E23" s="40" t="s">
        <v>826</v>
      </c>
      <c r="F23" s="41" t="s">
        <v>163</v>
      </c>
      <c r="G23" s="42">
        <f t="shared" si="0"/>
        <v>1</v>
      </c>
      <c r="H23" s="43"/>
      <c r="I23" s="59" t="s">
        <v>827</v>
      </c>
      <c r="J23" s="44" t="str">
        <f>""</f>
        <v/>
      </c>
      <c r="K23" s="45"/>
      <c r="L23" s="46"/>
      <c r="M23" s="46"/>
      <c r="N23" s="47" t="s">
        <v>177</v>
      </c>
      <c r="O23" s="74">
        <v>1997</v>
      </c>
      <c r="P23" s="48" t="s">
        <v>828</v>
      </c>
      <c r="Q23" s="73">
        <v>1</v>
      </c>
      <c r="R23" s="49" t="s">
        <v>177</v>
      </c>
      <c r="S23" s="50">
        <v>3</v>
      </c>
      <c r="T23" s="51" t="s">
        <v>164</v>
      </c>
      <c r="U23" s="52" t="s">
        <v>164</v>
      </c>
      <c r="V23" s="52" t="s">
        <v>165</v>
      </c>
      <c r="W23" s="52" t="s">
        <v>164</v>
      </c>
      <c r="X23" s="52" t="s">
        <v>165</v>
      </c>
      <c r="Y23" s="52" t="s">
        <v>164</v>
      </c>
      <c r="Z23" s="52" t="s">
        <v>164</v>
      </c>
      <c r="AA23" s="52" t="s">
        <v>165</v>
      </c>
      <c r="AB23" s="52" t="s">
        <v>164</v>
      </c>
      <c r="AC23" s="52" t="s">
        <v>164</v>
      </c>
      <c r="AD23" s="52" t="s">
        <v>164</v>
      </c>
      <c r="AE23" s="52" t="s">
        <v>164</v>
      </c>
      <c r="AF23" s="53" t="s">
        <v>164</v>
      </c>
      <c r="AG23" s="53" t="s">
        <v>165</v>
      </c>
      <c r="AH23" s="53" t="s">
        <v>165</v>
      </c>
      <c r="AI23" s="53" t="s">
        <v>164</v>
      </c>
      <c r="AJ23" s="53" t="s">
        <v>164</v>
      </c>
      <c r="AK23" s="53" t="s">
        <v>164</v>
      </c>
      <c r="AL23" s="53" t="s">
        <v>164</v>
      </c>
      <c r="AM23" s="53" t="s">
        <v>164</v>
      </c>
      <c r="AN23" s="53" t="s">
        <v>164</v>
      </c>
      <c r="AO23" s="53" t="s">
        <v>164</v>
      </c>
      <c r="AP23" s="53" t="s">
        <v>164</v>
      </c>
      <c r="AQ23" s="53" t="s">
        <v>164</v>
      </c>
      <c r="AR23" s="53" t="s">
        <v>164</v>
      </c>
      <c r="AS23" s="53" t="s">
        <v>164</v>
      </c>
      <c r="AT23" s="54">
        <v>4</v>
      </c>
      <c r="AU23" s="53" t="s">
        <v>308</v>
      </c>
      <c r="AV23" s="53" t="str">
        <f t="shared" si="1"/>
        <v>[VEN]State[VEN] Táchira</v>
      </c>
      <c r="AW23" s="53" t="str">
        <f t="shared" si="2"/>
        <v>2[VEN] Táchira</v>
      </c>
      <c r="AX23" s="55"/>
      <c r="AY23" s="55"/>
      <c r="AZ23" s="56" t="s">
        <v>159</v>
      </c>
      <c r="BA23" s="56" t="s">
        <v>234</v>
      </c>
      <c r="BB23" s="56"/>
      <c r="BC23" s="57"/>
      <c r="BD23" s="58" t="s">
        <v>154</v>
      </c>
      <c r="BE23" s="59"/>
      <c r="BF23" s="58" t="s">
        <v>155</v>
      </c>
      <c r="BG23" s="58" t="s">
        <v>151</v>
      </c>
      <c r="BH23" s="58" t="s">
        <v>154</v>
      </c>
      <c r="BI23" s="58"/>
      <c r="BJ23" s="58"/>
      <c r="BK23" s="59"/>
      <c r="BL23" s="58" t="s">
        <v>151</v>
      </c>
      <c r="BM23" s="58" t="s">
        <v>234</v>
      </c>
      <c r="BN23" s="58" t="s">
        <v>153</v>
      </c>
      <c r="BO23" s="58" t="s">
        <v>154</v>
      </c>
      <c r="BP23" s="58" t="s">
        <v>155</v>
      </c>
      <c r="BQ23" s="58" t="s">
        <v>234</v>
      </c>
      <c r="BR23" s="58" t="s">
        <v>234</v>
      </c>
      <c r="BS23" s="58" t="s">
        <v>234</v>
      </c>
      <c r="BT23" s="58" t="s">
        <v>159</v>
      </c>
      <c r="BU23" s="60"/>
      <c r="BV23" s="61"/>
      <c r="BW23" s="61">
        <v>0</v>
      </c>
      <c r="BX23" s="59"/>
      <c r="CB23" s="5"/>
      <c r="CC23" s="5"/>
      <c r="CD23" s="62">
        <v>0</v>
      </c>
      <c r="CE23" s="62">
        <v>0</v>
      </c>
      <c r="CF23" s="62" t="e">
        <v>#REF!</v>
      </c>
      <c r="CG23" s="75" cm="1">
        <f t="array" ref="CG23">SUMPRODUCT(--(LEN(TRIM(BL23:BT23))&gt;0))</f>
        <v>5</v>
      </c>
      <c r="CH23" s="53" t="str">
        <f t="shared" si="3"/>
        <v>n</v>
      </c>
      <c r="CI23" s="53" t="str">
        <f t="shared" si="4"/>
        <v>n</v>
      </c>
      <c r="CJ23" s="53" t="str">
        <f t="shared" si="5"/>
        <v>n</v>
      </c>
      <c r="CK23" s="53" t="str">
        <f t="shared" si="6"/>
        <v>y</v>
      </c>
      <c r="CL23" s="53" t="str">
        <f t="shared" si="7"/>
        <v>n</v>
      </c>
      <c r="CM23" s="53" t="str">
        <f t="shared" si="8"/>
        <v>n</v>
      </c>
      <c r="CN23" s="53" t="str">
        <f t="shared" si="9"/>
        <v>y</v>
      </c>
      <c r="CO23" s="53" t="str">
        <f t="shared" si="10"/>
        <v>n</v>
      </c>
      <c r="CP23" s="53" t="str">
        <f t="shared" si="11"/>
        <v>n</v>
      </c>
      <c r="CQ23" s="53" t="str">
        <f t="shared" si="12"/>
        <v>n</v>
      </c>
      <c r="CR23" s="53" t="str">
        <f t="shared" si="13"/>
        <v>n</v>
      </c>
      <c r="CS23" s="53" t="str">
        <f t="shared" si="14"/>
        <v>y</v>
      </c>
      <c r="CT23" s="38" t="str">
        <f t="shared" si="15"/>
        <v>"[VEN] Táchira"</v>
      </c>
      <c r="CU23" s="63" t="str">
        <f t="shared" si="16"/>
        <v>"rgn_South America"</v>
      </c>
      <c r="CV23" s="44" t="str">
        <f t="shared" si="17"/>
        <v>"https://upload.wikimedia.org/wikipedia/commons/thumb/0/01/Flag_of_T%C3%A1chira.svg/320px-Flag_of_T%C3%A1chira.svg.png"</v>
      </c>
      <c r="CW23" s="44" t="str">
        <f t="shared" si="18"/>
        <v/>
      </c>
      <c r="CX23" s="44" t="str">
        <f t="shared" si="19"/>
        <v/>
      </c>
      <c r="CY23" s="44" t="str">
        <f t="shared" si="20"/>
        <v/>
      </c>
      <c r="CZ23" s="44" t="str">
        <f t="shared" si="21"/>
        <v>"5+Colo",</v>
      </c>
      <c r="DA23" s="44" t="str">
        <f t="shared" si="22"/>
        <v/>
      </c>
      <c r="DB23" s="44" t="str">
        <f t="shared" si="23"/>
        <v/>
      </c>
      <c r="DD23" s="44" t="str">
        <f t="shared" si="136"/>
        <v>"lets07",</v>
      </c>
      <c r="DE23" s="44" t="str">
        <f t="shared" si="137"/>
        <v>"startT",</v>
      </c>
      <c r="DF23" s="44" t="str">
        <f t="shared" si="24"/>
        <v/>
      </c>
      <c r="DG23" s="44" t="str">
        <f t="shared" si="25"/>
        <v/>
      </c>
      <c r="DH23" s="44" t="str">
        <f t="shared" si="26"/>
        <v>"with_v",</v>
      </c>
      <c r="DI23" s="44" t="str">
        <f t="shared" si="27"/>
        <v/>
      </c>
      <c r="DJ23" s="44" t="str">
        <f t="shared" si="28"/>
        <v/>
      </c>
      <c r="DK23" s="44" t="str">
        <f t="shared" si="29"/>
        <v/>
      </c>
      <c r="DL23" s="44" t="str">
        <f t="shared" si="30"/>
        <v/>
      </c>
      <c r="DM23" s="44" t="str" cm="1">
        <f t="array" ref="DM23">IF(CG23=3,CHAR(34) &amp; _xlfn.TEXTJOIN("", TRUE, RIGHT(HP23:HX23, 2)) &amp; CHAR(34) &amp; ",", "")</f>
        <v/>
      </c>
      <c r="DN23" s="44" t="str">
        <f t="shared" si="31"/>
        <v/>
      </c>
      <c r="DO23" s="44" t="str">
        <f t="shared" si="32"/>
        <v>"year19",</v>
      </c>
      <c r="DP23" s="5" t="str">
        <f t="shared" si="33"/>
        <v/>
      </c>
      <c r="DQ23" s="5" t="str">
        <f t="shared" si="34"/>
        <v/>
      </c>
      <c r="DR23" s="5" t="str">
        <f t="shared" si="35"/>
        <v/>
      </c>
      <c r="DS23" s="5" t="str">
        <f t="shared" si="36"/>
        <v/>
      </c>
      <c r="DT23" s="5" t="str">
        <f t="shared" si="37"/>
        <v>"allhor",</v>
      </c>
      <c r="DU23" s="5" t="str">
        <f t="shared" si="38"/>
        <v/>
      </c>
      <c r="DW23" s="44" t="str">
        <f t="shared" si="39"/>
        <v/>
      </c>
      <c r="DX23" s="44" t="str">
        <f t="shared" si="40"/>
        <v/>
      </c>
      <c r="DY23" s="44" t="str">
        <f t="shared" si="41"/>
        <v>"3Bands",</v>
      </c>
      <c r="DZ23" s="44" t="str">
        <f t="shared" si="42"/>
        <v/>
      </c>
      <c r="EA23" s="44" t="str">
        <f t="shared" si="43"/>
        <v/>
      </c>
      <c r="EB23" s="44" t="str">
        <f t="shared" si="44"/>
        <v/>
      </c>
      <c r="EC23" s="44" t="str">
        <f t="shared" si="45"/>
        <v>"Horizo",</v>
      </c>
      <c r="ED23" s="44" t="str">
        <f t="shared" si="46"/>
        <v/>
      </c>
      <c r="EE23" s="44" t="str">
        <f t="shared" si="47"/>
        <v>"Circle",</v>
      </c>
      <c r="EF23" s="44" t="str">
        <f t="shared" si="48"/>
        <v/>
      </c>
      <c r="EG23" s="44" t="str">
        <f t="shared" si="49"/>
        <v/>
      </c>
      <c r="EH23" s="44" t="str">
        <f t="shared" si="50"/>
        <v>"Plants",</v>
      </c>
      <c r="EI23" s="44" t="str">
        <f t="shared" si="51"/>
        <v/>
      </c>
      <c r="EJ23" s="44" t="str">
        <f t="shared" si="52"/>
        <v/>
      </c>
      <c r="EK23" s="44" t="str">
        <f t="shared" si="53"/>
        <v/>
      </c>
      <c r="EL23" s="44" t="str">
        <f t="shared" si="54"/>
        <v/>
      </c>
      <c r="EM23" s="44" t="str">
        <f t="shared" si="55"/>
        <v/>
      </c>
      <c r="EN23" s="44" t="str">
        <f t="shared" si="56"/>
        <v>"Unequa",</v>
      </c>
      <c r="EO23" s="44" t="str">
        <f t="shared" si="57"/>
        <v>"Center",</v>
      </c>
      <c r="EP23" s="44" t="str">
        <f t="shared" si="58"/>
        <v/>
      </c>
      <c r="EQ23" s="44" t="str">
        <f t="shared" si="59"/>
        <v/>
      </c>
      <c r="ER23" s="44" t="str">
        <f t="shared" si="60"/>
        <v/>
      </c>
      <c r="ES23" s="44" t="str">
        <f t="shared" si="61"/>
        <v/>
      </c>
      <c r="ET23" s="44" t="str">
        <f t="shared" si="62"/>
        <v/>
      </c>
      <c r="EU23" s="44" t="str">
        <f t="shared" si="63"/>
        <v/>
      </c>
      <c r="EV23" s="44" t="str">
        <f t="shared" si="64"/>
        <v/>
      </c>
      <c r="EW23" s="44" t="str">
        <f t="shared" si="65"/>
        <v/>
      </c>
      <c r="EX23" s="44" t="str">
        <f t="shared" si="66"/>
        <v/>
      </c>
      <c r="EY23" s="44" t="str">
        <f t="shared" si="67"/>
        <v/>
      </c>
      <c r="EZ23" s="44" t="str">
        <f t="shared" si="68"/>
        <v/>
      </c>
      <c r="FA23" s="44" t="str">
        <f t="shared" si="69"/>
        <v>"staWHI",</v>
      </c>
      <c r="FB23" s="44" t="str">
        <f t="shared" si="70"/>
        <v/>
      </c>
      <c r="FD23" s="44" t="str">
        <f t="shared" si="71"/>
        <v/>
      </c>
      <c r="FE23" s="44" t="str">
        <f t="shared" si="72"/>
        <v>"NO_BLU",</v>
      </c>
      <c r="FF23" s="44" t="str">
        <f t="shared" si="73"/>
        <v/>
      </c>
      <c r="FG23" s="44" t="str">
        <f t="shared" si="74"/>
        <v/>
      </c>
      <c r="FH23" s="44" t="str">
        <f t="shared" si="75"/>
        <v/>
      </c>
      <c r="FI23" s="44" t="str">
        <f t="shared" si="76"/>
        <v/>
      </c>
      <c r="FJ23" s="44" t="str">
        <f t="shared" si="77"/>
        <v/>
      </c>
      <c r="FK23" s="44" t="str">
        <f t="shared" si="78"/>
        <v/>
      </c>
      <c r="FL23" s="44" t="str">
        <f t="shared" si="79"/>
        <v/>
      </c>
      <c r="FM23" s="44" t="str">
        <f t="shared" si="80"/>
        <v/>
      </c>
      <c r="FN23" s="44" t="str">
        <f t="shared" si="81"/>
        <v/>
      </c>
      <c r="FO23" s="44" t="str">
        <f t="shared" si="82"/>
        <v/>
      </c>
      <c r="FP23" s="44" t="str">
        <f t="shared" si="83"/>
        <v/>
      </c>
      <c r="FQ23" s="44" t="str">
        <f t="shared" si="84"/>
        <v>"001YEL",</v>
      </c>
      <c r="FR23" s="44" t="str">
        <f t="shared" si="85"/>
        <v>"002BLA",</v>
      </c>
      <c r="FS23" s="44" t="str">
        <f t="shared" si="86"/>
        <v>"003RED",</v>
      </c>
      <c r="FT23" s="44" t="str">
        <f t="shared" si="87"/>
        <v>"myrRED",</v>
      </c>
      <c r="FU23" s="44" t="str">
        <f t="shared" si="88"/>
        <v/>
      </c>
      <c r="FV23" s="44" t="str">
        <f t="shared" si="89"/>
        <v/>
      </c>
      <c r="FW23" s="44" t="str">
        <f t="shared" si="90"/>
        <v/>
      </c>
      <c r="FY23" s="44" t="str">
        <f t="shared" si="91"/>
        <v/>
      </c>
      <c r="FZ23" s="44" t="str">
        <f t="shared" si="92"/>
        <v/>
      </c>
      <c r="GA23" s="44" t="str">
        <f t="shared" si="93"/>
        <v/>
      </c>
      <c r="GB23" s="44" t="str">
        <f t="shared" si="94"/>
        <v/>
      </c>
      <c r="GE23" s="44" t="str">
        <f t="shared" si="95"/>
        <v/>
      </c>
      <c r="GF23" s="44" t="str">
        <f t="shared" si="138"/>
        <v/>
      </c>
      <c r="GG23" s="44" t="str">
        <f t="shared" si="96"/>
        <v/>
      </c>
      <c r="GH23" s="44" t="str">
        <f t="shared" si="97"/>
        <v/>
      </c>
      <c r="GI23" s="44" t="str">
        <f t="shared" si="98"/>
        <v/>
      </c>
      <c r="GJ23" s="44" t="str">
        <f t="shared" si="99"/>
        <v/>
      </c>
      <c r="GK23" s="44" t="str">
        <f t="shared" si="100"/>
        <v>"HasSta",</v>
      </c>
      <c r="GL23" s="44" t="str">
        <f t="shared" si="101"/>
        <v/>
      </c>
      <c r="GM23" s="44" t="str">
        <f t="shared" si="102"/>
        <v/>
      </c>
      <c r="GN23" s="44" t="str">
        <f t="shared" si="103"/>
        <v>"3+Star",</v>
      </c>
      <c r="GP23" s="44" t="str">
        <f t="shared" si="104"/>
        <v>"State"</v>
      </c>
      <c r="GS23" s="44" t="str">
        <f t="shared" si="105"/>
        <v>["5+Colo","lets07","startT","with_v","year19","allhor","3Bands","Horizo","Circle","Plants","Unequa","Center","staWHI","NO_BLU","001YEL","002BLA","003RED","myrRED","HasSta","3+Star"]</v>
      </c>
      <c r="GT23" s="44" t="str">
        <f t="shared" si="106"/>
        <v>"cl_BLA",</v>
      </c>
      <c r="GU23" s="44" t="str">
        <f t="shared" si="107"/>
        <v/>
      </c>
      <c r="GV23" s="44" t="str">
        <f t="shared" si="108"/>
        <v>"cl_GRE",</v>
      </c>
      <c r="GW23" s="44" t="str">
        <f t="shared" si="109"/>
        <v>"cl_RED",</v>
      </c>
      <c r="GX23" s="44" t="str">
        <f t="shared" si="110"/>
        <v>"cl_YEL",</v>
      </c>
      <c r="GY23" s="44" t="str">
        <f t="shared" si="111"/>
        <v/>
      </c>
      <c r="GZ23" s="44" t="str">
        <f t="shared" si="112"/>
        <v/>
      </c>
      <c r="HA23" s="44" t="str">
        <f t="shared" si="113"/>
        <v/>
      </c>
      <c r="HB23" s="44" t="str">
        <f t="shared" si="114"/>
        <v>"cl_WHI",</v>
      </c>
      <c r="HC23" s="44" t="str">
        <f t="shared" si="115"/>
        <v>["cl_BLA","cl_GRE","cl_RED","cl_YEL","cl_WHI"]</v>
      </c>
      <c r="HE23" s="64"/>
      <c r="HF23" s="65" t="str">
        <f t="shared" si="116"/>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links: "https://www.crwflags.com/fotw/flags/ve-s.html"},</v>
      </c>
      <c r="HG23" s="66" t="str">
        <f t="shared" si="117"/>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links: "https://www.crwflags.com/fotw/flags/ve-s.html"},</v>
      </c>
      <c r="HH23" s="44" t="str">
        <f t="shared" si="118"/>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I23" s="44" t="str">
        <f t="shared" si="119"/>
        <v>"\nIts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v>
      </c>
      <c r="HJ23" s="44" t="str">
        <f t="shared" si="120"/>
        <v>"1997"</v>
      </c>
      <c r="HL23" s="44" t="str">
        <f t="shared" si="121"/>
        <v>"https://www.crwflags.com/fotw/flags/ve-s.html"</v>
      </c>
      <c r="HM23" s="65" t="str">
        <f t="shared" si="122"/>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N23" s="67" t="str">
        <f t="shared" si="123"/>
        <v>{"couname":"[VEN] Táchira","year":"1997","region":"rgn_South America","Colors":["cl_BLA","cl_GRE","cl_RED","cl_YEL","cl_WHI"],"Items":["5+Colo","lets07","startT","with_v","year19","allhor","3Bands","Horizo","Circle","Plants","Unequa","Center","staWHI","NO_BLU","001YEL","002BLA","003RED","myrRED","HasSta","3+Star"],"Flag":"https://upload.wikimedia.org/wikipedia/commons/thumb/0/01/Flag_of_T%C3%A1chira.svg/320px-Flag_of_T%C3%A1chira.svg.png","HDFlag":"https://upload.wikimedia.org/wikipedia/commons/thumb/0/01/Flag_of_T%C3%A1chira.svg/640px-Flag_of_T%C3%A1chira.svg.png","type":"State", "describe": "\nIts Flag consists of three horizontal stripes: the yellow symbolizes the Restorative Liberal Revolution; the black recalls the historical seat of honor of Táchira the first State where take place the first exploitation of Petroleum in Venezuela and the red line represents the Táchira blood spilled in the Independence. At the center of the flag and on the black strip appear four white stars and two crossed branches of fruitful coffee: the stars represent the four Cantons that gave origin to the Táchira Province in 1852 and its white color is the same one that adopted like emblem the TáchiraJoint Holders in 1753. The coffee branches symbolize the important agricultural product of the State.", "isnew": ".", "links": "https://www.crwflags.com/fotw/flags/ve-s.html"},</v>
      </c>
      <c r="HO23" s="71">
        <v>45610</v>
      </c>
      <c r="HP23" s="44" t="str" cm="1">
        <f t="array" ref="HP23">IF(_xlfn.TEXTJOIN(", ", TRUE, IF(ISNUMBER(SEARCH("BLA", BL23:BT23)), COLUMN(BL23:BT23) - COLUMN(BL23) + 1, ""))&lt;&gt;"","BLA","")</f>
        <v>BLA</v>
      </c>
      <c r="HQ23" s="44" t="str" cm="1">
        <f t="array" ref="HQ23">IF(_xlfn.TEXTJOIN(", ", TRUE, IF(ISNUMBER(SEARCH("BLU", BL23:BT23)), COLUMN(BL23:BT23) - COLUMN(BL23) + 1, ""))&lt;&gt;"","BLU","")</f>
        <v/>
      </c>
      <c r="HR23" s="44" t="str" cm="1">
        <f t="array" ref="HR23">IF(_xlfn.TEXTJOIN(", ", TRUE, IF(ISNUMBER(SEARCH("GRE", BL23:BT23)), COLUMN(BL23:BT23) - COLUMN(BL23) + 1, ""))&lt;&gt;"","GRE","")</f>
        <v>GRE</v>
      </c>
      <c r="HS23" s="44" t="str" cm="1">
        <f t="array" ref="HS23">IF(_xlfn.TEXTJOIN(", ", TRUE, IF(ISNUMBER(SEARCH("RED", BL23:BT23)), COLUMN(BL23:BT23) - COLUMN(BL23) + 1, ""))&lt;&gt;"","RED","")</f>
        <v>RED</v>
      </c>
      <c r="HT23" s="44" t="str" cm="1">
        <f t="array" ref="HT23">IF(_xlfn.TEXTJOIN(", ", TRUE, IF(ISNUMBER(SEARCH("YEL", BL23:BT23)), COLUMN(BL23:BT23) - COLUMN(BL23) + 1, ""))&lt;&gt;"","YEL","")</f>
        <v>YEL</v>
      </c>
      <c r="HU23" s="44" t="str" cm="1">
        <f t="array" ref="HU23">IF(_xlfn.TEXTJOIN(", ", TRUE, IF(ISNUMBER(SEARCH("ORA", BL23:BT23)), COLUMN(BL23:BT23) - COLUMN(BL23) + 1, ""))&lt;&gt;"","ORA","")</f>
        <v/>
      </c>
      <c r="HV23" s="44" t="str" cm="1">
        <f t="array" ref="HV23">IF(_xlfn.TEXTJOIN(", ", TRUE, IF(ISNUMBER(SEARCH("BRO", BL23:BT23)), COLUMN(BL23:BT23) - COLUMN(BL23) + 1, ""))&lt;&gt;"","BRO","")</f>
        <v/>
      </c>
      <c r="HW23" s="44" t="str" cm="1">
        <f t="array" ref="HW23">IF(_xlfn.TEXTJOIN(", ", TRUE, IF(ISNUMBER(SEARCH("PUR", BL23:BT23)), COLUMN(BL23:BT23) - COLUMN(BL23) + 1, ""))&lt;&gt;"","PUR","")</f>
        <v/>
      </c>
      <c r="HX23" s="44" t="str" cm="1">
        <f t="array" ref="HX23">IF(_xlfn.TEXTJOIN(", ", TRUE, IF(ISNUMBER(SEARCH("WHI", BL23:BT23)), COLUMN(BL23:BT23) - COLUMN(BL23) + 1, ""))&lt;&gt;"","WHI","")</f>
        <v>WHI</v>
      </c>
      <c r="HY23" s="72"/>
      <c r="HZ23" s="72"/>
      <c r="IA23" s="5"/>
      <c r="IB23" s="5"/>
      <c r="IC23" s="68"/>
      <c r="ID23" s="68"/>
      <c r="IE23" s="68"/>
      <c r="IF23" s="68"/>
      <c r="IG23" s="68"/>
      <c r="IH23" s="68"/>
      <c r="II23" s="68"/>
      <c r="IJ23" s="68"/>
      <c r="IK23" s="68"/>
      <c r="IM23" s="42">
        <f t="shared" si="124"/>
        <v>-5</v>
      </c>
      <c r="IN23" s="69" t="str">
        <f t="shared" si="125"/>
        <v>http://mkweb.bcgsc.ca/color-summarizer/?url=https://upload.wikimedia.org/wikipedia/commons/thumb/0/01/Flag_of_T%C3%A1chira.svg/320px-Flag_of_T%C3%A1chira.svg.png&amp;precision=low&amp;num_clusters=5&amp;text=1</v>
      </c>
      <c r="IO23" s="44" t="str">
        <f t="shared" si="126"/>
        <v>"black"</v>
      </c>
      <c r="IP23" s="44" t="str">
        <f t="shared" si="127"/>
        <v/>
      </c>
      <c r="IQ23" s="44" t="str">
        <f t="shared" si="128"/>
        <v>"green"</v>
      </c>
      <c r="IR23" s="44" t="str">
        <f t="shared" si="129"/>
        <v>"red"</v>
      </c>
      <c r="IS23" s="44" t="str">
        <f t="shared" si="130"/>
        <v>"yellow"</v>
      </c>
      <c r="IT23" s="44" t="str">
        <f t="shared" si="131"/>
        <v/>
      </c>
      <c r="IU23" s="44" t="str">
        <f t="shared" si="132"/>
        <v/>
      </c>
      <c r="IV23" s="44" t="str">
        <f t="shared" si="133"/>
        <v/>
      </c>
      <c r="IW23" s="44" t="str">
        <f t="shared" si="134"/>
        <v>"white"</v>
      </c>
      <c r="IX23" s="44" t="str">
        <f t="shared" si="135"/>
        <v>{"url":"http://mkweb.bcgsc.ca/color-summarizer/?url=https://upload.wikimedia.org/wikipedia/commons/thumb/0/01/Flag_of_T%C3%A1chira.svg/320px-Flag_of_T%C3%A1chira.svg.png&amp;precision=low&amp;num_clusters=5&amp;text=1","name":"[VEN] Táchira"},</v>
      </c>
      <c r="IY23" s="44">
        <v>1487</v>
      </c>
    </row>
    <row r="24" spans="1:259" s="44" customFormat="1" ht="38.4" customHeight="1" thickBot="1" x14ac:dyDescent="0.35">
      <c r="A24" s="84" t="s">
        <v>829</v>
      </c>
      <c r="B24" s="83" t="e" vm="123">
        <v>#VALUE!</v>
      </c>
      <c r="C24" s="39">
        <v>2</v>
      </c>
      <c r="D24" s="70" t="s">
        <v>830</v>
      </c>
      <c r="E24" s="40" t="s">
        <v>831</v>
      </c>
      <c r="F24" s="41" t="s">
        <v>163</v>
      </c>
      <c r="G24" s="42">
        <f t="shared" si="0"/>
        <v>1</v>
      </c>
      <c r="H24" s="43"/>
      <c r="I24" s="59" t="s">
        <v>832</v>
      </c>
      <c r="J24" s="44" t="str">
        <f>""</f>
        <v/>
      </c>
      <c r="K24" s="45"/>
      <c r="L24" s="46"/>
      <c r="M24" s="46"/>
      <c r="N24" s="47" t="s">
        <v>177</v>
      </c>
      <c r="O24" s="74">
        <v>1994</v>
      </c>
      <c r="P24" s="48" t="s">
        <v>833</v>
      </c>
      <c r="Q24" s="73">
        <v>1</v>
      </c>
      <c r="R24" s="49" t="s">
        <v>177</v>
      </c>
      <c r="S24" s="50">
        <v>2</v>
      </c>
      <c r="T24" s="51" t="s">
        <v>165</v>
      </c>
      <c r="U24" s="52" t="s">
        <v>164</v>
      </c>
      <c r="V24" s="52" t="s">
        <v>165</v>
      </c>
      <c r="W24" s="52" t="s">
        <v>164</v>
      </c>
      <c r="X24" s="52" t="s">
        <v>164</v>
      </c>
      <c r="Y24" s="52" t="s">
        <v>165</v>
      </c>
      <c r="Z24" s="52" t="s">
        <v>164</v>
      </c>
      <c r="AA24" s="52" t="s">
        <v>165</v>
      </c>
      <c r="AB24" s="52" t="s">
        <v>164</v>
      </c>
      <c r="AC24" s="52" t="s">
        <v>164</v>
      </c>
      <c r="AD24" s="52" t="s">
        <v>164</v>
      </c>
      <c r="AE24" s="52" t="s">
        <v>164</v>
      </c>
      <c r="AF24" s="53" t="s">
        <v>165</v>
      </c>
      <c r="AG24" s="53" t="s">
        <v>165</v>
      </c>
      <c r="AH24" s="53" t="s">
        <v>164</v>
      </c>
      <c r="AI24" s="53" t="s">
        <v>164</v>
      </c>
      <c r="AJ24" s="53" t="s">
        <v>164</v>
      </c>
      <c r="AK24" s="53" t="s">
        <v>164</v>
      </c>
      <c r="AL24" s="53" t="s">
        <v>164</v>
      </c>
      <c r="AM24" s="53" t="s">
        <v>164</v>
      </c>
      <c r="AN24" s="53" t="s">
        <v>164</v>
      </c>
      <c r="AO24" s="53" t="s">
        <v>164</v>
      </c>
      <c r="AP24" s="53" t="s">
        <v>164</v>
      </c>
      <c r="AQ24" s="53" t="s">
        <v>164</v>
      </c>
      <c r="AR24" s="53" t="s">
        <v>164</v>
      </c>
      <c r="AS24" s="53" t="s">
        <v>164</v>
      </c>
      <c r="AT24" s="54">
        <v>1</v>
      </c>
      <c r="AU24" s="53" t="s">
        <v>308</v>
      </c>
      <c r="AV24" s="53" t="str">
        <f t="shared" si="1"/>
        <v>[VEN]State[VEN] Trujillo</v>
      </c>
      <c r="AW24" s="53" t="str">
        <f t="shared" si="2"/>
        <v>2[VEN] Trujillo</v>
      </c>
      <c r="AX24" s="55"/>
      <c r="AY24" s="55"/>
      <c r="AZ24" s="56" t="s">
        <v>159</v>
      </c>
      <c r="BA24" s="56"/>
      <c r="BB24" s="56"/>
      <c r="BC24" s="57"/>
      <c r="BD24" s="58" t="s">
        <v>159</v>
      </c>
      <c r="BE24" s="59"/>
      <c r="BF24" s="58" t="s">
        <v>154</v>
      </c>
      <c r="BG24" s="58" t="s">
        <v>234</v>
      </c>
      <c r="BH24" s="58" t="s">
        <v>159</v>
      </c>
      <c r="BI24" s="58"/>
      <c r="BJ24" s="58"/>
      <c r="BK24" s="59"/>
      <c r="BL24" s="58" t="s">
        <v>151</v>
      </c>
      <c r="BM24" s="58" t="s">
        <v>234</v>
      </c>
      <c r="BN24" s="58" t="s">
        <v>153</v>
      </c>
      <c r="BO24" s="58" t="s">
        <v>154</v>
      </c>
      <c r="BP24" s="58" t="s">
        <v>234</v>
      </c>
      <c r="BQ24" s="58" t="s">
        <v>234</v>
      </c>
      <c r="BR24" s="58" t="s">
        <v>234</v>
      </c>
      <c r="BS24" s="58" t="s">
        <v>234</v>
      </c>
      <c r="BT24" s="58" t="s">
        <v>159</v>
      </c>
      <c r="BU24" s="60"/>
      <c r="BV24" s="61"/>
      <c r="BW24" s="61">
        <v>0</v>
      </c>
      <c r="BX24" s="59"/>
      <c r="BY24" s="44" t="s">
        <v>164</v>
      </c>
      <c r="CB24" s="5"/>
      <c r="CC24" s="5"/>
      <c r="CD24" s="62">
        <v>0</v>
      </c>
      <c r="CE24" s="62">
        <v>0</v>
      </c>
      <c r="CF24" s="62" t="e">
        <v>#REF!</v>
      </c>
      <c r="CG24" s="75" cm="1">
        <f t="array" ref="CG24">SUMPRODUCT(--(LEN(TRIM(BL24:BT24))&gt;0))</f>
        <v>4</v>
      </c>
      <c r="CH24" s="53" t="str">
        <f t="shared" si="3"/>
        <v>n</v>
      </c>
      <c r="CI24" s="53" t="str">
        <f t="shared" si="4"/>
        <v>n</v>
      </c>
      <c r="CJ24" s="53" t="str">
        <f t="shared" si="5"/>
        <v>y</v>
      </c>
      <c r="CK24" s="53" t="str">
        <f t="shared" si="6"/>
        <v>n</v>
      </c>
      <c r="CL24" s="53" t="str">
        <f t="shared" si="7"/>
        <v>n</v>
      </c>
      <c r="CM24" s="53" t="str">
        <f t="shared" si="8"/>
        <v>y</v>
      </c>
      <c r="CN24" s="53" t="str">
        <f t="shared" si="9"/>
        <v>n</v>
      </c>
      <c r="CO24" s="53" t="str">
        <f t="shared" si="10"/>
        <v>n</v>
      </c>
      <c r="CP24" s="53" t="str">
        <f t="shared" si="11"/>
        <v>n</v>
      </c>
      <c r="CQ24" s="53" t="str">
        <f t="shared" si="12"/>
        <v>y</v>
      </c>
      <c r="CR24" s="53" t="str">
        <f t="shared" si="13"/>
        <v>n</v>
      </c>
      <c r="CS24" s="53" t="str">
        <f t="shared" si="14"/>
        <v>n</v>
      </c>
      <c r="CT24" s="38" t="str">
        <f t="shared" si="15"/>
        <v>"[VEN] Trujillo"</v>
      </c>
      <c r="CU24" s="63" t="str">
        <f t="shared" si="16"/>
        <v>"rgn_South America"</v>
      </c>
      <c r="CV24" s="44" t="str">
        <f t="shared" si="17"/>
        <v>"https://upload.wikimedia.org/wikipedia/commons/thumb/b/b0/Flag_of_Trujillo_State.svg/320px-Flag_of_Trujillo_State.svg.png"</v>
      </c>
      <c r="CW24" s="44" t="str">
        <f t="shared" si="18"/>
        <v/>
      </c>
      <c r="CX24" s="44" t="str">
        <f t="shared" si="19"/>
        <v/>
      </c>
      <c r="CY24" s="44" t="str">
        <f t="shared" si="20"/>
        <v>"4Color",</v>
      </c>
      <c r="CZ24" s="44" t="str">
        <f t="shared" si="21"/>
        <v/>
      </c>
      <c r="DA24" s="44" t="str">
        <f t="shared" si="22"/>
        <v/>
      </c>
      <c r="DB24" s="44" t="str">
        <f t="shared" si="23"/>
        <v/>
      </c>
      <c r="DD24" s="44" t="str">
        <f t="shared" si="136"/>
        <v>"lets08",</v>
      </c>
      <c r="DE24" s="44" t="str">
        <f t="shared" si="137"/>
        <v>"startT",</v>
      </c>
      <c r="DF24" s="44" t="str">
        <f t="shared" si="24"/>
        <v/>
      </c>
      <c r="DG24" s="44" t="str">
        <f t="shared" si="25"/>
        <v/>
      </c>
      <c r="DH24" s="44" t="str">
        <f t="shared" si="26"/>
        <v>"with_v",</v>
      </c>
      <c r="DI24" s="44" t="str">
        <f t="shared" si="27"/>
        <v/>
      </c>
      <c r="DJ24" s="44" t="str">
        <f t="shared" si="28"/>
        <v/>
      </c>
      <c r="DK24" s="44" t="str">
        <f t="shared" si="29"/>
        <v/>
      </c>
      <c r="DL24" s="44" t="str">
        <f t="shared" si="30"/>
        <v/>
      </c>
      <c r="DM24" s="44" t="str" cm="1">
        <f t="array" ref="DM24">IF(CG24=3,CHAR(34) &amp; _xlfn.TEXTJOIN("", TRUE, RIGHT(HP24:HX24, 2)) &amp; CHAR(34) &amp; ",", "")</f>
        <v/>
      </c>
      <c r="DN24" s="44" t="str">
        <f t="shared" si="31"/>
        <v/>
      </c>
      <c r="DO24" s="44" t="str">
        <f t="shared" si="32"/>
        <v>"year19",</v>
      </c>
      <c r="DP24" s="5" t="str">
        <f t="shared" si="33"/>
        <v/>
      </c>
      <c r="DQ24" s="5" t="str">
        <f t="shared" si="34"/>
        <v/>
      </c>
      <c r="DR24" s="5" t="str">
        <f t="shared" si="35"/>
        <v/>
      </c>
      <c r="DS24" s="5" t="str">
        <f t="shared" si="36"/>
        <v/>
      </c>
      <c r="DT24" s="5" t="str">
        <f t="shared" si="37"/>
        <v>"allhor",</v>
      </c>
      <c r="DU24" s="5" t="str">
        <f t="shared" si="38"/>
        <v/>
      </c>
      <c r="DW24" s="44" t="str">
        <f t="shared" si="39"/>
        <v/>
      </c>
      <c r="DX24" s="44" t="str">
        <f t="shared" si="40"/>
        <v>"2Bands",</v>
      </c>
      <c r="DY24" s="44" t="str">
        <f t="shared" si="41"/>
        <v/>
      </c>
      <c r="DZ24" s="44" t="str">
        <f t="shared" si="42"/>
        <v/>
      </c>
      <c r="EA24" s="44" t="str">
        <f t="shared" si="43"/>
        <v>"Diagon",</v>
      </c>
      <c r="EB24" s="44" t="str">
        <f t="shared" si="44"/>
        <v/>
      </c>
      <c r="EC24" s="44" t="str">
        <f t="shared" si="45"/>
        <v>"Horizo",</v>
      </c>
      <c r="ED24" s="44" t="str">
        <f t="shared" si="46"/>
        <v/>
      </c>
      <c r="EE24" s="44" t="str">
        <f t="shared" si="47"/>
        <v/>
      </c>
      <c r="EF24" s="44" t="str">
        <f t="shared" si="48"/>
        <v>"Animal",</v>
      </c>
      <c r="EG24" s="44" t="str">
        <f t="shared" si="49"/>
        <v/>
      </c>
      <c r="EH24" s="44" t="str">
        <f t="shared" si="50"/>
        <v>"Plants",</v>
      </c>
      <c r="EI24" s="44" t="str">
        <f t="shared" si="51"/>
        <v/>
      </c>
      <c r="EJ24" s="44" t="str">
        <f t="shared" si="52"/>
        <v/>
      </c>
      <c r="EK24" s="44" t="str">
        <f t="shared" si="53"/>
        <v/>
      </c>
      <c r="EL24" s="44" t="str">
        <f t="shared" si="54"/>
        <v/>
      </c>
      <c r="EM24" s="44" t="str">
        <f t="shared" si="55"/>
        <v>"Trside",</v>
      </c>
      <c r="EN24" s="44" t="str">
        <f t="shared" si="56"/>
        <v>"Unequa",</v>
      </c>
      <c r="EO24" s="44" t="str">
        <f t="shared" si="57"/>
        <v/>
      </c>
      <c r="EP24" s="44" t="str">
        <f t="shared" si="58"/>
        <v/>
      </c>
      <c r="EQ24" s="44" t="str">
        <f t="shared" si="59"/>
        <v/>
      </c>
      <c r="ER24" s="44" t="str">
        <f t="shared" si="60"/>
        <v/>
      </c>
      <c r="ES24" s="44" t="str">
        <f t="shared" si="61"/>
        <v/>
      </c>
      <c r="ET24" s="44" t="str">
        <f t="shared" si="62"/>
        <v/>
      </c>
      <c r="EU24" s="44" t="str">
        <f t="shared" si="63"/>
        <v/>
      </c>
      <c r="EV24" s="44" t="str">
        <f t="shared" si="64"/>
        <v/>
      </c>
      <c r="EW24" s="44" t="str">
        <f t="shared" si="65"/>
        <v/>
      </c>
      <c r="EX24" s="44" t="str">
        <f t="shared" si="66"/>
        <v/>
      </c>
      <c r="EY24" s="44" t="str">
        <f t="shared" si="67"/>
        <v/>
      </c>
      <c r="EZ24" s="44" t="str">
        <f t="shared" si="68"/>
        <v/>
      </c>
      <c r="FA24" s="44" t="str">
        <f t="shared" si="69"/>
        <v>"staWHI",</v>
      </c>
      <c r="FB24" s="44" t="str">
        <f t="shared" si="70"/>
        <v/>
      </c>
      <c r="FD24" s="44" t="str">
        <f t="shared" si="71"/>
        <v/>
      </c>
      <c r="FE24" s="44" t="str">
        <f t="shared" si="72"/>
        <v>"NO_BLU",</v>
      </c>
      <c r="FF24" s="44" t="str">
        <f t="shared" si="73"/>
        <v/>
      </c>
      <c r="FG24" s="44" t="str">
        <f t="shared" si="74"/>
        <v/>
      </c>
      <c r="FH24" s="44" t="str">
        <f t="shared" si="75"/>
        <v/>
      </c>
      <c r="FI24" s="44" t="str">
        <f t="shared" si="76"/>
        <v>"NO_YEL",</v>
      </c>
      <c r="FJ24" s="44" t="str">
        <f t="shared" si="77"/>
        <v/>
      </c>
      <c r="FK24" s="44" t="str">
        <f t="shared" si="78"/>
        <v/>
      </c>
      <c r="FL24" s="44" t="str">
        <f t="shared" si="79"/>
        <v/>
      </c>
      <c r="FM24" s="44" t="str">
        <f t="shared" si="80"/>
        <v/>
      </c>
      <c r="FN24" s="44" t="str">
        <f t="shared" si="81"/>
        <v/>
      </c>
      <c r="FO24" s="44" t="str">
        <f t="shared" si="82"/>
        <v/>
      </c>
      <c r="FP24" s="44" t="str">
        <f t="shared" si="83"/>
        <v/>
      </c>
      <c r="FQ24" s="44" t="str">
        <f t="shared" si="84"/>
        <v>"001RED",</v>
      </c>
      <c r="FR24" s="44" t="str">
        <f t="shared" si="85"/>
        <v/>
      </c>
      <c r="FS24" s="44" t="str">
        <f t="shared" si="86"/>
        <v>"003WHI",</v>
      </c>
      <c r="FT24" s="44" t="str">
        <f t="shared" si="87"/>
        <v>"myrWHI",</v>
      </c>
      <c r="FU24" s="44" t="str">
        <f t="shared" si="88"/>
        <v/>
      </c>
      <c r="FV24" s="44" t="str">
        <f t="shared" si="89"/>
        <v/>
      </c>
      <c r="FW24" s="44" t="str">
        <f t="shared" si="90"/>
        <v/>
      </c>
      <c r="FY24" s="44" t="str">
        <f t="shared" si="91"/>
        <v/>
      </c>
      <c r="FZ24" s="44" t="str">
        <f t="shared" si="92"/>
        <v/>
      </c>
      <c r="GA24" s="44" t="str">
        <f t="shared" si="93"/>
        <v/>
      </c>
      <c r="GB24" s="44" t="str">
        <f t="shared" si="94"/>
        <v/>
      </c>
      <c r="GE24" s="44" t="str">
        <f t="shared" si="95"/>
        <v/>
      </c>
      <c r="GF24" s="44" t="str">
        <f t="shared" si="138"/>
        <v/>
      </c>
      <c r="GG24" s="44" t="str">
        <f t="shared" si="96"/>
        <v/>
      </c>
      <c r="GH24" s="44" t="str">
        <f t="shared" si="97"/>
        <v/>
      </c>
      <c r="GI24" s="44" t="str">
        <f t="shared" si="98"/>
        <v/>
      </c>
      <c r="GJ24" s="44" t="str">
        <f t="shared" si="99"/>
        <v/>
      </c>
      <c r="GK24" s="44" t="str">
        <f t="shared" si="100"/>
        <v>"HasSta",</v>
      </c>
      <c r="GL24" s="44" t="str">
        <f t="shared" si="101"/>
        <v>"1Stars",</v>
      </c>
      <c r="GM24" s="44" t="str">
        <f t="shared" si="102"/>
        <v/>
      </c>
      <c r="GN24" s="44" t="str">
        <f t="shared" si="103"/>
        <v/>
      </c>
      <c r="GP24" s="44" t="str">
        <f t="shared" si="104"/>
        <v>"State"</v>
      </c>
      <c r="GS24" s="44" t="str">
        <f t="shared" si="105"/>
        <v>["4Color","lets08","startT","with_v","year19","allhor","2Bands","Diagon","Horizo","Animal","Plants","Trside","Unequa","staWHI","NO_BLU","NO_YEL","001RED","003WHI","myrWHI","HasSta","1Stars"]</v>
      </c>
      <c r="GT24" s="44" t="str">
        <f t="shared" si="106"/>
        <v>"cl_BLA",</v>
      </c>
      <c r="GU24" s="44" t="str">
        <f t="shared" si="107"/>
        <v/>
      </c>
      <c r="GV24" s="44" t="str">
        <f t="shared" si="108"/>
        <v>"cl_GRE",</v>
      </c>
      <c r="GW24" s="44" t="str">
        <f t="shared" si="109"/>
        <v>"cl_RED",</v>
      </c>
      <c r="GX24" s="44" t="str">
        <f t="shared" si="110"/>
        <v/>
      </c>
      <c r="GY24" s="44" t="str">
        <f t="shared" si="111"/>
        <v/>
      </c>
      <c r="GZ24" s="44" t="str">
        <f t="shared" si="112"/>
        <v/>
      </c>
      <c r="HA24" s="44" t="str">
        <f t="shared" si="113"/>
        <v/>
      </c>
      <c r="HB24" s="44" t="str">
        <f t="shared" si="114"/>
        <v>"cl_WHI",</v>
      </c>
      <c r="HC24" s="44" t="str">
        <f t="shared" si="115"/>
        <v>["cl_BLA","cl_GRE","cl_RED","cl_WHI"]</v>
      </c>
      <c r="HE24" s="64"/>
      <c r="HF24" s="65" t="str">
        <f t="shared" si="116"/>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links: "https://www.crwflags.com/fotw/flags/ve-t.html"},</v>
      </c>
      <c r="HG24" s="66" t="str">
        <f t="shared" si="117"/>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links: "https://www.crwflags.com/fotw/flags/ve-t.html"},</v>
      </c>
      <c r="HH24" s="44" t="str">
        <f t="shared" si="118"/>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I24" s="44" t="str">
        <f t="shared" si="119"/>
        <v>"\nThe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v>
      </c>
      <c r="HJ24" s="44" t="str">
        <f t="shared" si="120"/>
        <v>"1994"</v>
      </c>
      <c r="HL24" s="44" t="str">
        <f t="shared" si="121"/>
        <v>"https://www.crwflags.com/fotw/flags/ve-t.html"</v>
      </c>
      <c r="HM24" s="65" t="str">
        <f t="shared" si="122"/>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N24" s="67" t="str">
        <f t="shared" si="123"/>
        <v>{"couname":"[VEN] Trujillo","year":"1994","region":"rgn_South America","Colors":["cl_BLA","cl_GRE","cl_RED","cl_WHI"],"Items":["4Color","lets08","startT","with_v","year19","allhor","2Bands","Diagon","Horizo","Animal","Plants","Trside","Unequa","staWHI","NO_BLU","NO_YEL","001RED","003WHI","myrWHI","HasSta","1Stars"],"Flag":"https://upload.wikimedia.org/wikipedia/commons/thumb/b/b0/Flag_of_Trujillo_State.svg/320px-Flag_of_Trujillo_State.svg.png","HDFlag":"https://upload.wikimedia.org/wikipedia/commons/thumb/b/b0/Flag_of_Trujillo_State.svg/800px-Flag_of_Trujillo_State.svg.png","type":"State", "describe": "\nThe red stripe symbolizes the blood leaked by the Trujillians in favor of the consolidation of Venezuela. The white stripe represents the Treaty of Armistice and Regularization of War, realized by Simon Bolívar and the Spanish Field Marshall Pablo Morillo in 1820: a permanent invitation for the search for peace and friendship cultivation founded on justice. The green triangle represents the green of the Andes ground and Trujillo planes, emphasizing the agricultural riches of the state. Its sides suggested the trilogy of architectonical emblems of the Trujillanity: first, the Cathedral Church 'Del Senor Santiago de Nuestra Senora de la Paz' concluded in 1662, see of the veneration of the precious seventeen century's image of the Holiest Virgin under that appellation, blazon of the State and their capital city: holy place where the bishop Lasso de la Vega received Bolívar as a Governor and commended him to the Divine Providence on 1821; second, the National Monument of the Bolivar and Morillo's Interview in the city of Santa Ana and finally, the Votive Monument of Our Lady of the Peace, live petition for the World Wide Peace. The White Star, a symbol of the ancient Province of Trujillo: one of the seven which declared 'in the Name of Almighty God' the Independence of Venezuela in 1811, reminds the Votive Monument of Our Lady of the Peace how the highest of its kind on the World.", "isnew": ".", "links": "https://www.crwflags.com/fotw/flags/ve-t.html"},</v>
      </c>
      <c r="HO24" s="71">
        <v>45610</v>
      </c>
      <c r="HP24" s="44" t="str" cm="1">
        <f t="array" ref="HP24">IF(_xlfn.TEXTJOIN(", ", TRUE, IF(ISNUMBER(SEARCH("BLA", BL24:BT24)), COLUMN(BL24:BT24) - COLUMN(BL24) + 1, ""))&lt;&gt;"","BLA","")</f>
        <v>BLA</v>
      </c>
      <c r="HQ24" s="44" t="str" cm="1">
        <f t="array" ref="HQ24">IF(_xlfn.TEXTJOIN(", ", TRUE, IF(ISNUMBER(SEARCH("BLU", BL24:BT24)), COLUMN(BL24:BT24) - COLUMN(BL24) + 1, ""))&lt;&gt;"","BLU","")</f>
        <v/>
      </c>
      <c r="HR24" s="44" t="str" cm="1">
        <f t="array" ref="HR24">IF(_xlfn.TEXTJOIN(", ", TRUE, IF(ISNUMBER(SEARCH("GRE", BL24:BT24)), COLUMN(BL24:BT24) - COLUMN(BL24) + 1, ""))&lt;&gt;"","GRE","")</f>
        <v>GRE</v>
      </c>
      <c r="HS24" s="44" t="str" cm="1">
        <f t="array" ref="HS24">IF(_xlfn.TEXTJOIN(", ", TRUE, IF(ISNUMBER(SEARCH("RED", BL24:BT24)), COLUMN(BL24:BT24) - COLUMN(BL24) + 1, ""))&lt;&gt;"","RED","")</f>
        <v>RED</v>
      </c>
      <c r="HT24" s="44" t="str" cm="1">
        <f t="array" ref="HT24">IF(_xlfn.TEXTJOIN(", ", TRUE, IF(ISNUMBER(SEARCH("YEL", BL24:BT24)), COLUMN(BL24:BT24) - COLUMN(BL24) + 1, ""))&lt;&gt;"","YEL","")</f>
        <v/>
      </c>
      <c r="HU24" s="44" t="str" cm="1">
        <f t="array" ref="HU24">IF(_xlfn.TEXTJOIN(", ", TRUE, IF(ISNUMBER(SEARCH("ORA", BL24:BT24)), COLUMN(BL24:BT24) - COLUMN(BL24) + 1, ""))&lt;&gt;"","ORA","")</f>
        <v/>
      </c>
      <c r="HV24" s="44" t="str" cm="1">
        <f t="array" ref="HV24">IF(_xlfn.TEXTJOIN(", ", TRUE, IF(ISNUMBER(SEARCH("BRO", BL24:BT24)), COLUMN(BL24:BT24) - COLUMN(BL24) + 1, ""))&lt;&gt;"","BRO","")</f>
        <v/>
      </c>
      <c r="HW24" s="44" t="str" cm="1">
        <f t="array" ref="HW24">IF(_xlfn.TEXTJOIN(", ", TRUE, IF(ISNUMBER(SEARCH("PUR", BL24:BT24)), COLUMN(BL24:BT24) - COLUMN(BL24) + 1, ""))&lt;&gt;"","PUR","")</f>
        <v/>
      </c>
      <c r="HX24" s="44" t="str" cm="1">
        <f t="array" ref="HX24">IF(_xlfn.TEXTJOIN(", ", TRUE, IF(ISNUMBER(SEARCH("WHI", BL24:BT24)), COLUMN(BL24:BT24) - COLUMN(BL24) + 1, ""))&lt;&gt;"","WHI","")</f>
        <v>WHI</v>
      </c>
      <c r="HY24" s="72"/>
      <c r="HZ24" s="72"/>
      <c r="IA24" s="5"/>
      <c r="IB24" s="5"/>
      <c r="IC24" s="68"/>
      <c r="ID24" s="68"/>
      <c r="IE24" s="68"/>
      <c r="IF24" s="68"/>
      <c r="IG24" s="68"/>
      <c r="IH24" s="68"/>
      <c r="II24" s="68"/>
      <c r="IJ24" s="68"/>
      <c r="IK24" s="68"/>
      <c r="IM24" s="42">
        <f t="shared" si="124"/>
        <v>-4</v>
      </c>
      <c r="IN24" s="69" t="str">
        <f t="shared" si="125"/>
        <v>http://mkweb.bcgsc.ca/color-summarizer/?url=https://upload.wikimedia.org/wikipedia/commons/thumb/b/b0/Flag_of_Trujillo_State.svg/320px-Flag_of_Trujillo_State.svg.png&amp;precision=low&amp;num_clusters=4&amp;text=1</v>
      </c>
      <c r="IO24" s="44" t="str">
        <f t="shared" si="126"/>
        <v>"black"</v>
      </c>
      <c r="IP24" s="44" t="str">
        <f t="shared" si="127"/>
        <v/>
      </c>
      <c r="IQ24" s="44" t="str">
        <f t="shared" si="128"/>
        <v>"green"</v>
      </c>
      <c r="IR24" s="44" t="str">
        <f t="shared" si="129"/>
        <v>"red"</v>
      </c>
      <c r="IS24" s="44" t="str">
        <f t="shared" si="130"/>
        <v/>
      </c>
      <c r="IT24" s="44" t="str">
        <f t="shared" si="131"/>
        <v/>
      </c>
      <c r="IU24" s="44" t="str">
        <f t="shared" si="132"/>
        <v/>
      </c>
      <c r="IV24" s="44" t="str">
        <f t="shared" si="133"/>
        <v/>
      </c>
      <c r="IW24" s="44" t="str">
        <f t="shared" si="134"/>
        <v>"white"</v>
      </c>
      <c r="IX24" s="44" t="str">
        <f t="shared" si="135"/>
        <v>{"url":"http://mkweb.bcgsc.ca/color-summarizer/?url=https://upload.wikimedia.org/wikipedia/commons/thumb/b/b0/Flag_of_Trujillo_State.svg/320px-Flag_of_Trujillo_State.svg.png&amp;precision=low&amp;num_clusters=4&amp;text=1","name":"[VEN] Trujillo"},</v>
      </c>
      <c r="IY24" s="44">
        <v>1488</v>
      </c>
    </row>
    <row r="25" spans="1:259" s="44" customFormat="1" ht="38.4" customHeight="1" thickBot="1" x14ac:dyDescent="0.35">
      <c r="A25" s="84" t="s">
        <v>834</v>
      </c>
      <c r="B25" s="83" t="e" vm="124">
        <v>#VALUE!</v>
      </c>
      <c r="C25" s="39">
        <v>2</v>
      </c>
      <c r="D25" s="70" t="s">
        <v>835</v>
      </c>
      <c r="E25" s="40" t="s">
        <v>836</v>
      </c>
      <c r="F25" s="41" t="s">
        <v>163</v>
      </c>
      <c r="G25" s="42">
        <f t="shared" si="0"/>
        <v>1</v>
      </c>
      <c r="H25" s="43"/>
      <c r="I25" s="59" t="s">
        <v>837</v>
      </c>
      <c r="J25" s="44" t="str">
        <f>""</f>
        <v/>
      </c>
      <c r="K25" s="45"/>
      <c r="L25" s="46"/>
      <c r="M25" s="46"/>
      <c r="N25" s="47" t="s">
        <v>177</v>
      </c>
      <c r="O25" s="74">
        <v>1995</v>
      </c>
      <c r="P25" s="48" t="s">
        <v>838</v>
      </c>
      <c r="Q25" s="73">
        <v>1</v>
      </c>
      <c r="R25" s="49" t="s">
        <v>177</v>
      </c>
      <c r="S25" s="50">
        <v>3</v>
      </c>
      <c r="T25" s="51" t="s">
        <v>165</v>
      </c>
      <c r="U25" s="52" t="s">
        <v>164</v>
      </c>
      <c r="V25" s="52" t="s">
        <v>164</v>
      </c>
      <c r="W25" s="52" t="s">
        <v>164</v>
      </c>
      <c r="X25" s="52" t="s">
        <v>165</v>
      </c>
      <c r="Y25" s="52" t="s">
        <v>164</v>
      </c>
      <c r="Z25" s="52" t="s">
        <v>164</v>
      </c>
      <c r="AA25" s="52" t="s">
        <v>164</v>
      </c>
      <c r="AB25" s="52" t="s">
        <v>164</v>
      </c>
      <c r="AC25" s="52" t="s">
        <v>164</v>
      </c>
      <c r="AD25" s="52" t="s">
        <v>165</v>
      </c>
      <c r="AE25" s="52" t="s">
        <v>164</v>
      </c>
      <c r="AF25" s="53" t="s">
        <v>164</v>
      </c>
      <c r="AG25" s="53" t="s">
        <v>164</v>
      </c>
      <c r="AH25" s="53" t="s">
        <v>165</v>
      </c>
      <c r="AI25" s="53" t="s">
        <v>164</v>
      </c>
      <c r="AJ25" s="53" t="s">
        <v>164</v>
      </c>
      <c r="AK25" s="53" t="s">
        <v>164</v>
      </c>
      <c r="AL25" s="53" t="s">
        <v>164</v>
      </c>
      <c r="AM25" s="53" t="s">
        <v>165</v>
      </c>
      <c r="AN25" s="53" t="s">
        <v>164</v>
      </c>
      <c r="AO25" s="53" t="s">
        <v>164</v>
      </c>
      <c r="AP25" s="53" t="s">
        <v>164</v>
      </c>
      <c r="AQ25" s="53" t="s">
        <v>164</v>
      </c>
      <c r="AR25" s="53" t="s">
        <v>164</v>
      </c>
      <c r="AS25" s="53" t="s">
        <v>164</v>
      </c>
      <c r="AT25" s="54">
        <v>0</v>
      </c>
      <c r="AU25" s="53" t="s">
        <v>308</v>
      </c>
      <c r="AV25" s="53" t="str">
        <f t="shared" si="1"/>
        <v>[VEN]State[VEN] Yaracuy</v>
      </c>
      <c r="AW25" s="53" t="str">
        <f t="shared" si="2"/>
        <v>2[VEN] Yaracuy</v>
      </c>
      <c r="AX25" s="55"/>
      <c r="AY25" s="55"/>
      <c r="AZ25" s="56" t="s">
        <v>234</v>
      </c>
      <c r="BA25" s="56" t="s">
        <v>234</v>
      </c>
      <c r="BB25" s="56"/>
      <c r="BC25" s="57"/>
      <c r="BD25" s="58" t="s">
        <v>167</v>
      </c>
      <c r="BE25" s="59"/>
      <c r="BF25" s="58" t="s">
        <v>154</v>
      </c>
      <c r="BG25" s="58" t="s">
        <v>159</v>
      </c>
      <c r="BH25" s="58" t="s">
        <v>152</v>
      </c>
      <c r="BI25" s="58"/>
      <c r="BJ25" s="58"/>
      <c r="BK25" s="59"/>
      <c r="BL25" s="58" t="s">
        <v>151</v>
      </c>
      <c r="BM25" s="58" t="s">
        <v>152</v>
      </c>
      <c r="BN25" s="58" t="s">
        <v>153</v>
      </c>
      <c r="BO25" s="58" t="s">
        <v>154</v>
      </c>
      <c r="BP25" s="58" t="s">
        <v>155</v>
      </c>
      <c r="BQ25" s="58" t="s">
        <v>234</v>
      </c>
      <c r="BR25" s="58" t="s">
        <v>157</v>
      </c>
      <c r="BS25" s="58" t="s">
        <v>234</v>
      </c>
      <c r="BT25" s="58" t="s">
        <v>159</v>
      </c>
      <c r="BU25" s="60"/>
      <c r="BV25" s="61"/>
      <c r="BW25" s="61">
        <v>0</v>
      </c>
      <c r="BX25" s="59"/>
      <c r="BY25" s="44" t="s">
        <v>165</v>
      </c>
      <c r="CB25" s="5"/>
      <c r="CC25" s="5"/>
      <c r="CD25" s="62">
        <v>0</v>
      </c>
      <c r="CE25" s="62">
        <v>0</v>
      </c>
      <c r="CF25" s="62" t="e">
        <v>#REF!</v>
      </c>
      <c r="CG25" s="75" cm="1">
        <f t="array" ref="CG25">SUMPRODUCT(--(LEN(TRIM(BL25:BT25))&gt;0))</f>
        <v>7</v>
      </c>
      <c r="CH25" s="53" t="str">
        <f t="shared" si="3"/>
        <v>n</v>
      </c>
      <c r="CI25" s="53" t="str">
        <f t="shared" si="4"/>
        <v>n</v>
      </c>
      <c r="CJ25" s="53" t="str">
        <f t="shared" si="5"/>
        <v>n</v>
      </c>
      <c r="CK25" s="53" t="str">
        <f t="shared" si="6"/>
        <v>y</v>
      </c>
      <c r="CL25" s="53" t="str">
        <f t="shared" si="7"/>
        <v>n</v>
      </c>
      <c r="CM25" s="53" t="str">
        <f t="shared" si="8"/>
        <v>n</v>
      </c>
      <c r="CN25" s="53" t="str">
        <f t="shared" si="9"/>
        <v>y</v>
      </c>
      <c r="CO25" s="53" t="str">
        <f t="shared" si="10"/>
        <v>n</v>
      </c>
      <c r="CP25" s="53" t="str">
        <f t="shared" si="11"/>
        <v>y</v>
      </c>
      <c r="CQ25" s="53" t="str">
        <f t="shared" si="12"/>
        <v>n</v>
      </c>
      <c r="CR25" s="53" t="str">
        <f t="shared" si="13"/>
        <v>n</v>
      </c>
      <c r="CS25" s="53" t="str">
        <f t="shared" si="14"/>
        <v>n</v>
      </c>
      <c r="CT25" s="38" t="str">
        <f t="shared" si="15"/>
        <v>"[VEN] Yaracuy"</v>
      </c>
      <c r="CU25" s="63" t="str">
        <f t="shared" si="16"/>
        <v>"rgn_South America"</v>
      </c>
      <c r="CV25" s="44" t="str">
        <f t="shared" si="17"/>
        <v>"https://upload.wikimedia.org/wikipedia/commons/thumb/1/15/Flag_of_Yaracuy_State.svg/320px-Flag_of_Yaracuy_State.svg.png"</v>
      </c>
      <c r="CW25" s="44" t="str">
        <f t="shared" si="18"/>
        <v/>
      </c>
      <c r="CX25" s="44" t="str">
        <f t="shared" si="19"/>
        <v/>
      </c>
      <c r="CY25" s="44" t="str">
        <f t="shared" si="20"/>
        <v/>
      </c>
      <c r="CZ25" s="44" t="str">
        <f t="shared" si="21"/>
        <v>"5+Colo",</v>
      </c>
      <c r="DA25" s="44" t="str">
        <f t="shared" si="22"/>
        <v/>
      </c>
      <c r="DB25" s="44" t="str">
        <f t="shared" si="23"/>
        <v/>
      </c>
      <c r="DD25" s="44" t="str">
        <f t="shared" si="136"/>
        <v>"lets07",</v>
      </c>
      <c r="DE25" s="44" t="str">
        <f t="shared" si="137"/>
        <v>"startY",</v>
      </c>
      <c r="DF25" s="44" t="str">
        <f t="shared" si="24"/>
        <v/>
      </c>
      <c r="DG25" s="44" t="str">
        <f t="shared" si="25"/>
        <v/>
      </c>
      <c r="DH25" s="44" t="str">
        <f t="shared" si="26"/>
        <v>"with_v",</v>
      </c>
      <c r="DI25" s="44" t="str">
        <f t="shared" si="27"/>
        <v/>
      </c>
      <c r="DJ25" s="44" t="str">
        <f t="shared" si="28"/>
        <v>"with_y",</v>
      </c>
      <c r="DK25" s="44" t="str">
        <f t="shared" si="29"/>
        <v/>
      </c>
      <c r="DL25" s="44" t="str">
        <f t="shared" si="30"/>
        <v/>
      </c>
      <c r="DM25" s="44" t="str" cm="1">
        <f t="array" ref="DM25">IF(CG25=3,CHAR(34) &amp; _xlfn.TEXTJOIN("", TRUE, RIGHT(HP25:HX25, 2)) &amp; CHAR(34) &amp; ",", "")</f>
        <v/>
      </c>
      <c r="DN25" s="44" t="str">
        <f t="shared" si="31"/>
        <v/>
      </c>
      <c r="DO25" s="44" t="str">
        <f t="shared" si="32"/>
        <v>"year19",</v>
      </c>
      <c r="DP25" s="5" t="str">
        <f t="shared" si="33"/>
        <v/>
      </c>
      <c r="DQ25" s="5" t="str">
        <f t="shared" si="34"/>
        <v/>
      </c>
      <c r="DR25" s="5" t="str">
        <f t="shared" si="35"/>
        <v>"dgband",</v>
      </c>
      <c r="DS25" s="5" t="str">
        <f t="shared" si="36"/>
        <v/>
      </c>
      <c r="DT25" s="5" t="str">
        <f t="shared" si="37"/>
        <v/>
      </c>
      <c r="DU25" s="5" t="str">
        <f t="shared" si="38"/>
        <v>"alldia",</v>
      </c>
      <c r="DW25" s="44" t="str">
        <f t="shared" si="39"/>
        <v/>
      </c>
      <c r="DX25" s="44" t="str">
        <f t="shared" si="40"/>
        <v/>
      </c>
      <c r="DY25" s="44" t="str">
        <f t="shared" si="41"/>
        <v>"3Bands",</v>
      </c>
      <c r="DZ25" s="44" t="str">
        <f t="shared" si="42"/>
        <v/>
      </c>
      <c r="EA25" s="44" t="str">
        <f t="shared" si="43"/>
        <v>"Diagon",</v>
      </c>
      <c r="EB25" s="44" t="str">
        <f t="shared" si="44"/>
        <v/>
      </c>
      <c r="EC25" s="44" t="str">
        <f t="shared" si="45"/>
        <v/>
      </c>
      <c r="ED25" s="44" t="str">
        <f t="shared" si="46"/>
        <v/>
      </c>
      <c r="EE25" s="44" t="str">
        <f t="shared" si="47"/>
        <v>"Circle",</v>
      </c>
      <c r="EF25" s="44" t="str">
        <f t="shared" si="48"/>
        <v/>
      </c>
      <c r="EG25" s="44" t="str">
        <f t="shared" si="49"/>
        <v/>
      </c>
      <c r="EH25" s="44" t="str">
        <f t="shared" si="50"/>
        <v/>
      </c>
      <c r="EI25" s="44" t="str">
        <f t="shared" si="51"/>
        <v/>
      </c>
      <c r="EJ25" s="44" t="str">
        <f t="shared" si="52"/>
        <v/>
      </c>
      <c r="EK25" s="44" t="str">
        <f t="shared" si="53"/>
        <v>"HasSun",</v>
      </c>
      <c r="EL25" s="44" t="str">
        <f t="shared" si="54"/>
        <v/>
      </c>
      <c r="EM25" s="44" t="str">
        <f t="shared" si="55"/>
        <v/>
      </c>
      <c r="EN25" s="44" t="str">
        <f t="shared" si="56"/>
        <v/>
      </c>
      <c r="EO25" s="44" t="str">
        <f t="shared" si="57"/>
        <v>"Center",</v>
      </c>
      <c r="EP25" s="44" t="str">
        <f t="shared" si="58"/>
        <v/>
      </c>
      <c r="EQ25" s="44" t="str">
        <f t="shared" si="59"/>
        <v/>
      </c>
      <c r="ER25" s="44" t="str">
        <f t="shared" si="60"/>
        <v/>
      </c>
      <c r="ES25" s="44" t="str">
        <f t="shared" si="61"/>
        <v/>
      </c>
      <c r="ET25" s="44" t="str">
        <f t="shared" si="62"/>
        <v>"Geogrh",</v>
      </c>
      <c r="EU25" s="44" t="str">
        <f t="shared" si="63"/>
        <v/>
      </c>
      <c r="EV25" s="44" t="str">
        <f t="shared" si="64"/>
        <v/>
      </c>
      <c r="EW25" s="44" t="str">
        <f t="shared" si="65"/>
        <v/>
      </c>
      <c r="EX25" s="44" t="str">
        <f t="shared" si="66"/>
        <v/>
      </c>
      <c r="EY25" s="44" t="str">
        <f t="shared" si="67"/>
        <v/>
      </c>
      <c r="EZ25" s="44" t="str">
        <f t="shared" si="68"/>
        <v/>
      </c>
      <c r="FA25" s="44" t="str">
        <f t="shared" si="69"/>
        <v/>
      </c>
      <c r="FB25" s="44" t="str">
        <f t="shared" si="70"/>
        <v/>
      </c>
      <c r="FD25" s="44" t="str">
        <f t="shared" si="71"/>
        <v/>
      </c>
      <c r="FE25" s="44" t="str">
        <f t="shared" si="72"/>
        <v/>
      </c>
      <c r="FF25" s="44" t="str">
        <f t="shared" si="73"/>
        <v/>
      </c>
      <c r="FG25" s="44" t="str">
        <f t="shared" si="74"/>
        <v/>
      </c>
      <c r="FH25" s="44" t="str">
        <f t="shared" si="75"/>
        <v/>
      </c>
      <c r="FI25" s="44" t="str">
        <f t="shared" si="76"/>
        <v/>
      </c>
      <c r="FJ25" s="44" t="str">
        <f t="shared" si="77"/>
        <v/>
      </c>
      <c r="FK25" s="44" t="str">
        <f t="shared" si="78"/>
        <v/>
      </c>
      <c r="FL25" s="44" t="str">
        <f t="shared" si="79"/>
        <v/>
      </c>
      <c r="FM25" s="44" t="str">
        <f t="shared" si="80"/>
        <v/>
      </c>
      <c r="FN25" s="44" t="str">
        <f t="shared" si="81"/>
        <v/>
      </c>
      <c r="FO25" s="44" t="str">
        <f t="shared" si="82"/>
        <v/>
      </c>
      <c r="FP25" s="44" t="str">
        <f t="shared" si="83"/>
        <v/>
      </c>
      <c r="FQ25" s="44" t="str">
        <f t="shared" si="84"/>
        <v>"001RED",</v>
      </c>
      <c r="FR25" s="44" t="str">
        <f t="shared" si="85"/>
        <v>"002WHI",</v>
      </c>
      <c r="FS25" s="44" t="str">
        <f t="shared" si="86"/>
        <v>"003BLU",</v>
      </c>
      <c r="FT25" s="44" t="str">
        <f t="shared" si="87"/>
        <v>"myrEQ",</v>
      </c>
      <c r="FU25" s="44" t="str">
        <f t="shared" si="88"/>
        <v/>
      </c>
      <c r="FV25" s="44" t="str">
        <f t="shared" si="89"/>
        <v/>
      </c>
      <c r="FW25" s="44" t="str">
        <f t="shared" si="90"/>
        <v/>
      </c>
      <c r="FY25" s="44" t="str">
        <f t="shared" si="91"/>
        <v/>
      </c>
      <c r="FZ25" s="44" t="str">
        <f t="shared" si="92"/>
        <v/>
      </c>
      <c r="GA25" s="44" t="str">
        <f t="shared" si="93"/>
        <v/>
      </c>
      <c r="GB25" s="44" t="str">
        <f t="shared" si="94"/>
        <v/>
      </c>
      <c r="GE25" s="44" t="str">
        <f t="shared" si="95"/>
        <v/>
      </c>
      <c r="GF25" s="44" t="str">
        <f t="shared" si="138"/>
        <v/>
      </c>
      <c r="GG25" s="44" t="str">
        <f t="shared" si="96"/>
        <v/>
      </c>
      <c r="GH25" s="44" t="str">
        <f t="shared" si="97"/>
        <v/>
      </c>
      <c r="GI25" s="44" t="str">
        <f t="shared" si="98"/>
        <v/>
      </c>
      <c r="GJ25" s="44" t="str">
        <f t="shared" si="99"/>
        <v>"NoStar",</v>
      </c>
      <c r="GK25" s="44" t="str">
        <f t="shared" si="100"/>
        <v/>
      </c>
      <c r="GL25" s="44" t="str">
        <f t="shared" si="101"/>
        <v/>
      </c>
      <c r="GM25" s="44" t="str">
        <f t="shared" si="102"/>
        <v/>
      </c>
      <c r="GN25" s="44" t="str">
        <f t="shared" si="103"/>
        <v/>
      </c>
      <c r="GP25" s="44" t="str">
        <f t="shared" si="104"/>
        <v>"State"</v>
      </c>
      <c r="GS25" s="44" t="str">
        <f t="shared" si="105"/>
        <v>["5+Colo","lets07","startY","with_v","with_y","year19","dgband","alldia","3Bands","Diagon","Circle","HasSun","Center","Geogrh","001RED","002WHI","003BLU","myrEQ","NoStar"]</v>
      </c>
      <c r="GT25" s="44" t="str">
        <f t="shared" si="106"/>
        <v>"cl_BLA",</v>
      </c>
      <c r="GU25" s="44" t="str">
        <f t="shared" si="107"/>
        <v>"cl_BLU",</v>
      </c>
      <c r="GV25" s="44" t="str">
        <f t="shared" si="108"/>
        <v>"cl_GRE",</v>
      </c>
      <c r="GW25" s="44" t="str">
        <f t="shared" si="109"/>
        <v>"cl_RED",</v>
      </c>
      <c r="GX25" s="44" t="str">
        <f t="shared" si="110"/>
        <v>"cl_YEL",</v>
      </c>
      <c r="GY25" s="44" t="str">
        <f t="shared" si="111"/>
        <v/>
      </c>
      <c r="GZ25" s="44" t="str">
        <f t="shared" si="112"/>
        <v>"cl_BRO",</v>
      </c>
      <c r="HA25" s="44" t="str">
        <f t="shared" si="113"/>
        <v/>
      </c>
      <c r="HB25" s="44" t="str">
        <f t="shared" si="114"/>
        <v>"cl_WHI",</v>
      </c>
      <c r="HC25" s="44" t="str">
        <f t="shared" si="115"/>
        <v>["cl_BLA","cl_BLU","cl_GRE","cl_RED","cl_YEL","cl_BRO","cl_WHI"]</v>
      </c>
      <c r="HE25" s="64"/>
      <c r="HF25" s="65" t="str">
        <f t="shared" si="116"/>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links: "https://www.crwflags.com/fotw/flags/ve-u.html"},</v>
      </c>
      <c r="HG25" s="66" t="str">
        <f t="shared" si="117"/>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links: "https://www.crwflags.com/fotw/flags/ve-u.html"},</v>
      </c>
      <c r="HH25" s="44" t="str">
        <f t="shared" si="118"/>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I25" s="44" t="str">
        <f t="shared" si="119"/>
        <v>"\nThe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v>
      </c>
      <c r="HJ25" s="44" t="str">
        <f t="shared" si="120"/>
        <v>"1995"</v>
      </c>
      <c r="HL25" s="44" t="str">
        <f t="shared" si="121"/>
        <v>"https://www.crwflags.com/fotw/flags/ve-u.html"</v>
      </c>
      <c r="HM25" s="65" t="str">
        <f t="shared" si="122"/>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N25" s="67" t="str">
        <f t="shared" si="123"/>
        <v>{"couname":"[VEN] Yaracuy","year":"1995","region":"rgn_South America","Colors":["cl_BLA","cl_BLU","cl_GRE","cl_RED","cl_YEL","cl_BRO","cl_WHI"],"Items":["5+Colo","lets07","startY","with_v","with_y","year19","dgband","alldia","3Bands","Diagon","Circle","HasSun","Center","Geogrh","001RED","002WHI","003BLU","myrEQ","NoStar"],"Flag":"https://upload.wikimedia.org/wikipedia/commons/thumb/1/15/Flag_of_Yaracuy_State.svg/320px-Flag_of_Yaracuy_State.svg.png","HDFlag":"https://upload.wikimedia.org/wikipedia/commons/thumb/1/15/Flag_of_Yaracuy_State.svg/640px-Flag_of_Yaracuy_State.svg.png","type":"State", "describe": "\nThe red band symbolises the indomitable spirit of the natives who first populated this land and who struggled against the Spanish invaders; and of that spirit of the men who fought for autonomy which made it possible for them to be Yaracuy Province, back in 1855. The blue band, together with the colours yellow and red, symbolise the people's respect towards the national flag and the water resources available in the nation. The inner circle with the colours yellow, blue and green: meaning the sun, the sky and the land, is a trilogy which conjugates the natural riches of the state and projects to the country and the whole world its potential privileges and virtues. In this circle stands out the yellow colour of the sun, which represents the riches of the land and the resources deriving from it; the brown-coloured mountains, with the green fields, symbolize the agricultural and vegetal richness that we have inherited since the beginning of time.", "isnew": ".", "links": "https://www.crwflags.com/fotw/flags/ve-u.html"},</v>
      </c>
      <c r="HO25" s="71">
        <v>45610</v>
      </c>
      <c r="HP25" s="44" t="str" cm="1">
        <f t="array" ref="HP25">IF(_xlfn.TEXTJOIN(", ", TRUE, IF(ISNUMBER(SEARCH("BLA", BL25:BT25)), COLUMN(BL25:BT25) - COLUMN(BL25) + 1, ""))&lt;&gt;"","BLA","")</f>
        <v>BLA</v>
      </c>
      <c r="HQ25" s="44" t="str" cm="1">
        <f t="array" ref="HQ25">IF(_xlfn.TEXTJOIN(", ", TRUE, IF(ISNUMBER(SEARCH("BLU", BL25:BT25)), COLUMN(BL25:BT25) - COLUMN(BL25) + 1, ""))&lt;&gt;"","BLU","")</f>
        <v>BLU</v>
      </c>
      <c r="HR25" s="44" t="str" cm="1">
        <f t="array" ref="HR25">IF(_xlfn.TEXTJOIN(", ", TRUE, IF(ISNUMBER(SEARCH("GRE", BL25:BT25)), COLUMN(BL25:BT25) - COLUMN(BL25) + 1, ""))&lt;&gt;"","GRE","")</f>
        <v>GRE</v>
      </c>
      <c r="HS25" s="44" t="str" cm="1">
        <f t="array" ref="HS25">IF(_xlfn.TEXTJOIN(", ", TRUE, IF(ISNUMBER(SEARCH("RED", BL25:BT25)), COLUMN(BL25:BT25) - COLUMN(BL25) + 1, ""))&lt;&gt;"","RED","")</f>
        <v>RED</v>
      </c>
      <c r="HT25" s="44" t="str" cm="1">
        <f t="array" ref="HT25">IF(_xlfn.TEXTJOIN(", ", TRUE, IF(ISNUMBER(SEARCH("YEL", BL25:BT25)), COLUMN(BL25:BT25) - COLUMN(BL25) + 1, ""))&lt;&gt;"","YEL","")</f>
        <v>YEL</v>
      </c>
      <c r="HU25" s="44" t="str" cm="1">
        <f t="array" ref="HU25">IF(_xlfn.TEXTJOIN(", ", TRUE, IF(ISNUMBER(SEARCH("ORA", BL25:BT25)), COLUMN(BL25:BT25) - COLUMN(BL25) + 1, ""))&lt;&gt;"","ORA","")</f>
        <v/>
      </c>
      <c r="HV25" s="44" t="str" cm="1">
        <f t="array" ref="HV25">IF(_xlfn.TEXTJOIN(", ", TRUE, IF(ISNUMBER(SEARCH("BRO", BL25:BT25)), COLUMN(BL25:BT25) - COLUMN(BL25) + 1, ""))&lt;&gt;"","BRO","")</f>
        <v>BRO</v>
      </c>
      <c r="HW25" s="44" t="str" cm="1">
        <f t="array" ref="HW25">IF(_xlfn.TEXTJOIN(", ", TRUE, IF(ISNUMBER(SEARCH("PUR", BL25:BT25)), COLUMN(BL25:BT25) - COLUMN(BL25) + 1, ""))&lt;&gt;"","PUR","")</f>
        <v/>
      </c>
      <c r="HX25" s="44" t="str" cm="1">
        <f t="array" ref="HX25">IF(_xlfn.TEXTJOIN(", ", TRUE, IF(ISNUMBER(SEARCH("WHI", BL25:BT25)), COLUMN(BL25:BT25) - COLUMN(BL25) + 1, ""))&lt;&gt;"","WHI","")</f>
        <v>WHI</v>
      </c>
      <c r="HY25" s="72"/>
      <c r="HZ25" s="72"/>
      <c r="IA25" s="5"/>
      <c r="IB25" s="5"/>
      <c r="IC25" s="68"/>
      <c r="ID25" s="68"/>
      <c r="IE25" s="68"/>
      <c r="IF25" s="68"/>
      <c r="IG25" s="68"/>
      <c r="IH25" s="68"/>
      <c r="II25" s="68"/>
      <c r="IJ25" s="68"/>
      <c r="IK25" s="68"/>
      <c r="IM25" s="42">
        <f t="shared" si="124"/>
        <v>-7</v>
      </c>
      <c r="IN25" s="69" t="str">
        <f t="shared" si="125"/>
        <v>http://mkweb.bcgsc.ca/color-summarizer/?url=https://upload.wikimedia.org/wikipedia/commons/thumb/1/15/Flag_of_Yaracuy_State.svg/320px-Flag_of_Yaracuy_State.svg.png&amp;precision=low&amp;num_clusters=7&amp;text=1</v>
      </c>
      <c r="IO25" s="44" t="str">
        <f t="shared" si="126"/>
        <v>"black"</v>
      </c>
      <c r="IP25" s="44" t="str">
        <f t="shared" si="127"/>
        <v>"blue"</v>
      </c>
      <c r="IQ25" s="44" t="str">
        <f t="shared" si="128"/>
        <v>"green"</v>
      </c>
      <c r="IR25" s="44" t="str">
        <f t="shared" si="129"/>
        <v>"red"</v>
      </c>
      <c r="IS25" s="44" t="str">
        <f t="shared" si="130"/>
        <v>"yellow"</v>
      </c>
      <c r="IT25" s="44" t="str">
        <f t="shared" si="131"/>
        <v/>
      </c>
      <c r="IU25" s="44" t="str">
        <f t="shared" si="132"/>
        <v>"brown"</v>
      </c>
      <c r="IV25" s="44" t="str">
        <f t="shared" si="133"/>
        <v/>
      </c>
      <c r="IW25" s="44" t="str">
        <f t="shared" si="134"/>
        <v>"white"</v>
      </c>
      <c r="IX25" s="44" t="str">
        <f t="shared" si="135"/>
        <v>{"url":"http://mkweb.bcgsc.ca/color-summarizer/?url=https://upload.wikimedia.org/wikipedia/commons/thumb/1/15/Flag_of_Yaracuy_State.svg/320px-Flag_of_Yaracuy_State.svg.png&amp;precision=low&amp;num_clusters=7&amp;text=1","name":"[VEN] Yaracuy"},</v>
      </c>
      <c r="IY25" s="44">
        <v>1489</v>
      </c>
    </row>
    <row r="26" spans="1:259" s="44" customFormat="1" ht="38.4" customHeight="1" thickBot="1" x14ac:dyDescent="0.35">
      <c r="A26" s="84" t="s">
        <v>839</v>
      </c>
      <c r="B26" s="83" t="e" vm="125">
        <v>#VALUE!</v>
      </c>
      <c r="C26" s="39">
        <v>2</v>
      </c>
      <c r="D26" s="70" t="s">
        <v>840</v>
      </c>
      <c r="E26" s="40" t="s">
        <v>841</v>
      </c>
      <c r="F26" s="41" t="s">
        <v>163</v>
      </c>
      <c r="G26" s="42">
        <f t="shared" si="0"/>
        <v>1</v>
      </c>
      <c r="H26" s="43"/>
      <c r="I26" s="59" t="s">
        <v>842</v>
      </c>
      <c r="J26" s="44" t="str">
        <f>""</f>
        <v/>
      </c>
      <c r="K26" s="45"/>
      <c r="L26" s="46"/>
      <c r="M26" s="46"/>
      <c r="N26" s="47" t="s">
        <v>177</v>
      </c>
      <c r="O26" s="74">
        <v>1991</v>
      </c>
      <c r="P26" s="48" t="s">
        <v>843</v>
      </c>
      <c r="Q26" s="73">
        <v>1</v>
      </c>
      <c r="R26" s="49" t="s">
        <v>177</v>
      </c>
      <c r="S26" s="50">
        <v>2</v>
      </c>
      <c r="T26" s="51" t="s">
        <v>164</v>
      </c>
      <c r="U26" s="52" t="s">
        <v>164</v>
      </c>
      <c r="V26" s="52" t="s">
        <v>165</v>
      </c>
      <c r="W26" s="52" t="s">
        <v>164</v>
      </c>
      <c r="X26" s="52" t="s">
        <v>165</v>
      </c>
      <c r="Y26" s="52" t="s">
        <v>164</v>
      </c>
      <c r="Z26" s="52" t="s">
        <v>164</v>
      </c>
      <c r="AA26" s="52" t="s">
        <v>164</v>
      </c>
      <c r="AB26" s="52" t="s">
        <v>164</v>
      </c>
      <c r="AC26" s="52" t="s">
        <v>164</v>
      </c>
      <c r="AD26" s="52" t="s">
        <v>165</v>
      </c>
      <c r="AE26" s="52" t="s">
        <v>164</v>
      </c>
      <c r="AF26" s="53" t="s">
        <v>164</v>
      </c>
      <c r="AG26" s="53" t="s">
        <v>165</v>
      </c>
      <c r="AH26" s="53" t="s">
        <v>165</v>
      </c>
      <c r="AI26" s="53" t="s">
        <v>164</v>
      </c>
      <c r="AJ26" s="53" t="s">
        <v>164</v>
      </c>
      <c r="AK26" s="53" t="s">
        <v>164</v>
      </c>
      <c r="AL26" s="53" t="s">
        <v>164</v>
      </c>
      <c r="AM26" s="53" t="s">
        <v>164</v>
      </c>
      <c r="AN26" s="53" t="s">
        <v>164</v>
      </c>
      <c r="AO26" s="53" t="s">
        <v>164</v>
      </c>
      <c r="AP26" s="53" t="s">
        <v>164</v>
      </c>
      <c r="AQ26" s="53" t="s">
        <v>164</v>
      </c>
      <c r="AR26" s="53" t="s">
        <v>164</v>
      </c>
      <c r="AS26" s="53" t="s">
        <v>164</v>
      </c>
      <c r="AT26" s="54">
        <v>0</v>
      </c>
      <c r="AU26" s="53" t="s">
        <v>308</v>
      </c>
      <c r="AV26" s="53" t="str">
        <f t="shared" si="1"/>
        <v>[VEN]State[VEN] Zulia</v>
      </c>
      <c r="AW26" s="53" t="str">
        <f t="shared" si="2"/>
        <v>2[VEN] Zulia</v>
      </c>
      <c r="AX26" s="55"/>
      <c r="AY26" s="55"/>
      <c r="AZ26" s="56" t="s">
        <v>234</v>
      </c>
      <c r="BA26" s="56" t="s">
        <v>234</v>
      </c>
      <c r="BB26" s="56"/>
      <c r="BC26" s="57"/>
      <c r="BD26" s="58" t="s">
        <v>167</v>
      </c>
      <c r="BE26" s="59"/>
      <c r="BF26" s="58" t="s">
        <v>152</v>
      </c>
      <c r="BG26" s="58" t="s">
        <v>234</v>
      </c>
      <c r="BH26" s="58" t="s">
        <v>151</v>
      </c>
      <c r="BI26" s="58"/>
      <c r="BJ26" s="58"/>
      <c r="BK26" s="59"/>
      <c r="BL26" s="58" t="s">
        <v>151</v>
      </c>
      <c r="BM26" s="58" t="s">
        <v>152</v>
      </c>
      <c r="BN26" s="58" t="s">
        <v>234</v>
      </c>
      <c r="BO26" s="58" t="s">
        <v>234</v>
      </c>
      <c r="BP26" s="58" t="s">
        <v>155</v>
      </c>
      <c r="BQ26" s="58" t="s">
        <v>234</v>
      </c>
      <c r="BR26" s="58" t="s">
        <v>234</v>
      </c>
      <c r="BS26" s="58" t="s">
        <v>234</v>
      </c>
      <c r="BT26" s="58" t="s">
        <v>159</v>
      </c>
      <c r="BU26" s="60"/>
      <c r="BV26" s="61"/>
      <c r="BW26" s="61">
        <v>0</v>
      </c>
      <c r="BX26" s="59"/>
      <c r="CB26" s="5"/>
      <c r="CC26" s="5"/>
      <c r="CD26" s="62">
        <v>0</v>
      </c>
      <c r="CE26" s="62">
        <v>0</v>
      </c>
      <c r="CF26" s="62" t="e">
        <v>#REF!</v>
      </c>
      <c r="CG26" s="75" cm="1">
        <f t="array" ref="CG26">SUMPRODUCT(--(LEN(TRIM(BL26:BT26))&gt;0))</f>
        <v>4</v>
      </c>
      <c r="CH26" s="53" t="str">
        <f t="shared" si="3"/>
        <v>n</v>
      </c>
      <c r="CI26" s="53" t="str">
        <f t="shared" si="4"/>
        <v>n</v>
      </c>
      <c r="CJ26" s="53" t="str">
        <f t="shared" si="5"/>
        <v>y</v>
      </c>
      <c r="CK26" s="53" t="str">
        <f t="shared" si="6"/>
        <v>n</v>
      </c>
      <c r="CL26" s="53" t="str">
        <f t="shared" si="7"/>
        <v>n</v>
      </c>
      <c r="CM26" s="53" t="str">
        <f t="shared" si="8"/>
        <v>y</v>
      </c>
      <c r="CN26" s="53" t="str">
        <f t="shared" si="9"/>
        <v>n</v>
      </c>
      <c r="CO26" s="53" t="str">
        <f t="shared" si="10"/>
        <v>n</v>
      </c>
      <c r="CP26" s="53" t="str">
        <f t="shared" si="11"/>
        <v>y</v>
      </c>
      <c r="CQ26" s="53" t="str">
        <f t="shared" si="12"/>
        <v>n</v>
      </c>
      <c r="CR26" s="53" t="str">
        <f t="shared" si="13"/>
        <v>n</v>
      </c>
      <c r="CS26" s="53" t="str">
        <f t="shared" si="14"/>
        <v>n</v>
      </c>
      <c r="CT26" s="38" t="str">
        <f t="shared" si="15"/>
        <v>"[VEN] Zulia"</v>
      </c>
      <c r="CU26" s="63" t="str">
        <f t="shared" si="16"/>
        <v>"rgn_South America"</v>
      </c>
      <c r="CV26" s="44" t="str">
        <f t="shared" si="17"/>
        <v>"https://upload.wikimedia.org/wikipedia/commons/thumb/c/c6/Flag_of_Zulia_State.svg/640px-Flag_of_Zulia_State.svg.png"</v>
      </c>
      <c r="CW26" s="44" t="str">
        <f t="shared" si="18"/>
        <v/>
      </c>
      <c r="CX26" s="44" t="str">
        <f t="shared" si="19"/>
        <v/>
      </c>
      <c r="CY26" s="44" t="str">
        <f t="shared" si="20"/>
        <v>"4Color",</v>
      </c>
      <c r="CZ26" s="44" t="str">
        <f t="shared" si="21"/>
        <v/>
      </c>
      <c r="DA26" s="44" t="str">
        <f t="shared" si="22"/>
        <v/>
      </c>
      <c r="DB26" s="44" t="str">
        <f t="shared" si="23"/>
        <v/>
      </c>
      <c r="DD26" s="44" t="str">
        <f t="shared" si="136"/>
        <v>"lets05",</v>
      </c>
      <c r="DE26" s="44" t="str">
        <f t="shared" si="137"/>
        <v>"startZ",</v>
      </c>
      <c r="DF26" s="44" t="str">
        <f t="shared" si="24"/>
        <v/>
      </c>
      <c r="DG26" s="44" t="str">
        <f t="shared" si="25"/>
        <v/>
      </c>
      <c r="DH26" s="44" t="str">
        <f t="shared" si="26"/>
        <v>"with_v",</v>
      </c>
      <c r="DI26" s="44" t="str">
        <f t="shared" si="27"/>
        <v/>
      </c>
      <c r="DJ26" s="44" t="str">
        <f t="shared" si="28"/>
        <v/>
      </c>
      <c r="DK26" s="44" t="str">
        <f t="shared" si="29"/>
        <v>"with_z",</v>
      </c>
      <c r="DL26" s="44" t="str">
        <f t="shared" si="30"/>
        <v/>
      </c>
      <c r="DM26" s="44" t="str" cm="1">
        <f t="array" ref="DM26">IF(CG26=3,CHAR(34) &amp; _xlfn.TEXTJOIN("", TRUE, RIGHT(HP26:HX26, 2)) &amp; CHAR(34) &amp; ",", "")</f>
        <v/>
      </c>
      <c r="DN26" s="44" t="str">
        <f t="shared" si="31"/>
        <v/>
      </c>
      <c r="DO26" s="44" t="str">
        <f t="shared" si="32"/>
        <v>"year19",</v>
      </c>
      <c r="DP26" s="5" t="str">
        <f t="shared" si="33"/>
        <v/>
      </c>
      <c r="DQ26" s="5" t="str">
        <f t="shared" si="34"/>
        <v/>
      </c>
      <c r="DR26" s="5" t="str">
        <f t="shared" si="35"/>
        <v/>
      </c>
      <c r="DS26" s="5" t="str">
        <f t="shared" si="36"/>
        <v/>
      </c>
      <c r="DT26" s="5" t="str">
        <f t="shared" si="37"/>
        <v>"allhor",</v>
      </c>
      <c r="DU26" s="5" t="str">
        <f t="shared" si="38"/>
        <v/>
      </c>
      <c r="DW26" s="44" t="str">
        <f t="shared" si="39"/>
        <v/>
      </c>
      <c r="DX26" s="44" t="str">
        <f t="shared" si="40"/>
        <v>"2Bands",</v>
      </c>
      <c r="DY26" s="44" t="str">
        <f t="shared" si="41"/>
        <v/>
      </c>
      <c r="DZ26" s="44" t="str">
        <f t="shared" si="42"/>
        <v/>
      </c>
      <c r="EA26" s="44" t="str">
        <f t="shared" si="43"/>
        <v/>
      </c>
      <c r="EB26" s="44" t="str">
        <f t="shared" si="44"/>
        <v/>
      </c>
      <c r="EC26" s="44" t="str">
        <f t="shared" si="45"/>
        <v>"Horizo",</v>
      </c>
      <c r="ED26" s="44" t="str">
        <f t="shared" si="46"/>
        <v/>
      </c>
      <c r="EE26" s="44" t="str">
        <f t="shared" si="47"/>
        <v>"Circle",</v>
      </c>
      <c r="EF26" s="44" t="str">
        <f t="shared" si="48"/>
        <v/>
      </c>
      <c r="EG26" s="44" t="str">
        <f t="shared" si="49"/>
        <v/>
      </c>
      <c r="EH26" s="44" t="str">
        <f t="shared" si="50"/>
        <v/>
      </c>
      <c r="EI26" s="44" t="str">
        <f t="shared" si="51"/>
        <v/>
      </c>
      <c r="EJ26" s="44" t="str">
        <f t="shared" si="52"/>
        <v/>
      </c>
      <c r="EK26" s="44" t="str">
        <f t="shared" si="53"/>
        <v>"HasSun",</v>
      </c>
      <c r="EL26" s="44" t="str">
        <f t="shared" si="54"/>
        <v/>
      </c>
      <c r="EM26" s="44" t="str">
        <f t="shared" si="55"/>
        <v/>
      </c>
      <c r="EN26" s="44" t="str">
        <f t="shared" si="56"/>
        <v>"Unequa",</v>
      </c>
      <c r="EO26" s="44" t="str">
        <f t="shared" si="57"/>
        <v>"Center",</v>
      </c>
      <c r="EP26" s="44" t="str">
        <f t="shared" si="58"/>
        <v/>
      </c>
      <c r="EQ26" s="44" t="str">
        <f t="shared" si="59"/>
        <v/>
      </c>
      <c r="ER26" s="44" t="str">
        <f t="shared" si="60"/>
        <v/>
      </c>
      <c r="ES26" s="44" t="str">
        <f t="shared" si="61"/>
        <v/>
      </c>
      <c r="ET26" s="44" t="str">
        <f t="shared" si="62"/>
        <v/>
      </c>
      <c r="EU26" s="44" t="str">
        <f t="shared" si="63"/>
        <v/>
      </c>
      <c r="EV26" s="44" t="str">
        <f t="shared" si="64"/>
        <v/>
      </c>
      <c r="EW26" s="44" t="str">
        <f t="shared" si="65"/>
        <v/>
      </c>
      <c r="EX26" s="44" t="str">
        <f t="shared" si="66"/>
        <v/>
      </c>
      <c r="EY26" s="44" t="str">
        <f t="shared" si="67"/>
        <v/>
      </c>
      <c r="EZ26" s="44" t="str">
        <f t="shared" si="68"/>
        <v/>
      </c>
      <c r="FA26" s="44" t="str">
        <f t="shared" si="69"/>
        <v/>
      </c>
      <c r="FB26" s="44" t="str">
        <f t="shared" si="70"/>
        <v/>
      </c>
      <c r="FD26" s="44" t="str">
        <f t="shared" si="71"/>
        <v/>
      </c>
      <c r="FE26" s="44" t="str">
        <f t="shared" si="72"/>
        <v/>
      </c>
      <c r="FF26" s="44" t="str">
        <f t="shared" si="73"/>
        <v/>
      </c>
      <c r="FG26" s="44" t="str">
        <f t="shared" si="74"/>
        <v>"NO_RED",</v>
      </c>
      <c r="FH26" s="44" t="str">
        <f t="shared" si="75"/>
        <v>"NO_GRE",</v>
      </c>
      <c r="FI26" s="44" t="str">
        <f t="shared" si="76"/>
        <v/>
      </c>
      <c r="FJ26" s="44" t="str">
        <f t="shared" si="77"/>
        <v/>
      </c>
      <c r="FK26" s="44" t="str">
        <f t="shared" si="78"/>
        <v/>
      </c>
      <c r="FL26" s="44" t="str">
        <f t="shared" si="79"/>
        <v/>
      </c>
      <c r="FM26" s="44" t="str">
        <f t="shared" si="80"/>
        <v/>
      </c>
      <c r="FN26" s="44" t="str">
        <f t="shared" si="81"/>
        <v/>
      </c>
      <c r="FO26" s="44" t="str">
        <f t="shared" si="82"/>
        <v/>
      </c>
      <c r="FP26" s="44" t="str">
        <f t="shared" si="83"/>
        <v/>
      </c>
      <c r="FQ26" s="44" t="str">
        <f t="shared" si="84"/>
        <v>"001BLU",</v>
      </c>
      <c r="FR26" s="44" t="str">
        <f t="shared" si="85"/>
        <v/>
      </c>
      <c r="FS26" s="44" t="str">
        <f t="shared" si="86"/>
        <v>"003BLA",</v>
      </c>
      <c r="FT26" s="44" t="str">
        <f t="shared" si="87"/>
        <v>"myrEQ",</v>
      </c>
      <c r="FU26" s="44" t="str">
        <f t="shared" si="88"/>
        <v/>
      </c>
      <c r="FV26" s="44" t="str">
        <f t="shared" si="89"/>
        <v/>
      </c>
      <c r="FW26" s="44" t="str">
        <f t="shared" si="90"/>
        <v/>
      </c>
      <c r="FY26" s="44" t="str">
        <f t="shared" si="91"/>
        <v/>
      </c>
      <c r="FZ26" s="44" t="str">
        <f t="shared" si="92"/>
        <v/>
      </c>
      <c r="GA26" s="44" t="str">
        <f t="shared" si="93"/>
        <v/>
      </c>
      <c r="GB26" s="44" t="str">
        <f t="shared" si="94"/>
        <v/>
      </c>
      <c r="GE26" s="44" t="str">
        <f t="shared" si="95"/>
        <v/>
      </c>
      <c r="GF26" s="44" t="str">
        <f t="shared" si="138"/>
        <v/>
      </c>
      <c r="GG26" s="44" t="str">
        <f t="shared" si="96"/>
        <v/>
      </c>
      <c r="GH26" s="44" t="str">
        <f t="shared" si="97"/>
        <v/>
      </c>
      <c r="GI26" s="44" t="str">
        <f t="shared" si="98"/>
        <v/>
      </c>
      <c r="GJ26" s="44" t="str">
        <f t="shared" si="99"/>
        <v>"NoStar",</v>
      </c>
      <c r="GK26" s="44" t="str">
        <f t="shared" si="100"/>
        <v/>
      </c>
      <c r="GL26" s="44" t="str">
        <f t="shared" si="101"/>
        <v/>
      </c>
      <c r="GM26" s="44" t="str">
        <f t="shared" si="102"/>
        <v/>
      </c>
      <c r="GN26" s="44" t="str">
        <f t="shared" si="103"/>
        <v/>
      </c>
      <c r="GP26" s="44" t="str">
        <f t="shared" si="104"/>
        <v>"State"</v>
      </c>
      <c r="GS26" s="44" t="str">
        <f t="shared" si="105"/>
        <v>["4Color","lets05","startZ","with_v","with_z","year19","allhor","2Bands","Horizo","Circle","HasSun","Unequa","Center","NO_RED","NO_GRE","001BLU","003BLA","myrEQ","NoStar"]</v>
      </c>
      <c r="GT26" s="44" t="str">
        <f t="shared" si="106"/>
        <v>"cl_BLA",</v>
      </c>
      <c r="GU26" s="44" t="str">
        <f t="shared" si="107"/>
        <v>"cl_BLU",</v>
      </c>
      <c r="GV26" s="44" t="str">
        <f t="shared" si="108"/>
        <v/>
      </c>
      <c r="GW26" s="44" t="str">
        <f t="shared" si="109"/>
        <v/>
      </c>
      <c r="GX26" s="44" t="str">
        <f t="shared" si="110"/>
        <v>"cl_YEL",</v>
      </c>
      <c r="GY26" s="44" t="str">
        <f t="shared" si="111"/>
        <v/>
      </c>
      <c r="GZ26" s="44" t="str">
        <f t="shared" si="112"/>
        <v/>
      </c>
      <c r="HA26" s="44" t="str">
        <f t="shared" si="113"/>
        <v/>
      </c>
      <c r="HB26" s="44" t="str">
        <f t="shared" si="114"/>
        <v>"cl_WHI",</v>
      </c>
      <c r="HC26" s="44" t="str">
        <f t="shared" si="115"/>
        <v>["cl_BLA","cl_BLU","cl_YEL","cl_WHI"]</v>
      </c>
      <c r="HE26" s="64"/>
      <c r="HF26" s="65" t="str">
        <f t="shared" si="116"/>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links: "https://en.wikipedia.org/wiki/Zulia"},</v>
      </c>
      <c r="HG26" s="66" t="str">
        <f t="shared" si="117"/>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links: "https://en.wikipedia.org/wiki/Zulia"},</v>
      </c>
      <c r="HH26" s="44" t="str">
        <f t="shared" si="118"/>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I26" s="44" t="str">
        <f t="shared" si="119"/>
        <v>"\nThe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v>
      </c>
      <c r="HJ26" s="44" t="str">
        <f t="shared" si="120"/>
        <v>"1991"</v>
      </c>
      <c r="HL26" s="44" t="str">
        <f t="shared" si="121"/>
        <v>"https://en.wikipedia.org/wiki/Zulia"</v>
      </c>
      <c r="HM26" s="65" t="str">
        <f t="shared" si="122"/>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N26" s="67" t="str">
        <f t="shared" si="123"/>
        <v>{"couname":"[VEN] Zulia","year":"1991","region":"rgn_South America","Colors":["cl_BLA","cl_BLU","cl_YEL","cl_WHI"],"Items":["4Color","lets05","startZ","with_v","with_z","year19","allhor","2Bands","Horizo","Circle","HasSun","Unequa","Center","NO_RED","NO_GRE","001BLU","003BLA","myrEQ","NoStar"],"Flag":"https://upload.wikimedia.org/wikipedia/commons/thumb/c/c6/Flag_of_Zulia_State.svg/640px-Flag_of_Zulia_State.svg.png","HDFlag":"https://upload.wikimedia.org/wikipedia/commons/thumb/c/c6/Flag_of_Zulia_State.svg/2560px-Flag_of_Zulia_State.svg.png","type":"State", "describe": "\nThe flag of the state of Zulia was created by Jose' Antonio Urdaneta. It was officially adopted at January 23rd, 1991. The color blue represents the hydrography, the lake, the gulf, rivers; the color black represents the oil; the sun, represents Zulian heat (warmth ?), hospitality and wealth. The lightning represents the Catatumbo ray, guide of the Zulian citizen.", "isnew": ".", "links": "https://en.wikipedia.org/wiki/Zulia"},</v>
      </c>
      <c r="HO26" s="71">
        <v>45610</v>
      </c>
      <c r="HP26" s="44" t="str" cm="1">
        <f t="array" ref="HP26">IF(_xlfn.TEXTJOIN(", ", TRUE, IF(ISNUMBER(SEARCH("BLA", BL26:BT26)), COLUMN(BL26:BT26) - COLUMN(BL26) + 1, ""))&lt;&gt;"","BLA","")</f>
        <v>BLA</v>
      </c>
      <c r="HQ26" s="44" t="str" cm="1">
        <f t="array" ref="HQ26">IF(_xlfn.TEXTJOIN(", ", TRUE, IF(ISNUMBER(SEARCH("BLU", BL26:BT26)), COLUMN(BL26:BT26) - COLUMN(BL26) + 1, ""))&lt;&gt;"","BLU","")</f>
        <v>BLU</v>
      </c>
      <c r="HR26" s="44" t="str" cm="1">
        <f t="array" ref="HR26">IF(_xlfn.TEXTJOIN(", ", TRUE, IF(ISNUMBER(SEARCH("GRE", BL26:BT26)), COLUMN(BL26:BT26) - COLUMN(BL26) + 1, ""))&lt;&gt;"","GRE","")</f>
        <v/>
      </c>
      <c r="HS26" s="44" t="str" cm="1">
        <f t="array" ref="HS26">IF(_xlfn.TEXTJOIN(", ", TRUE, IF(ISNUMBER(SEARCH("RED", BL26:BT26)), COLUMN(BL26:BT26) - COLUMN(BL26) + 1, ""))&lt;&gt;"","RED","")</f>
        <v/>
      </c>
      <c r="HT26" s="44" t="str" cm="1">
        <f t="array" ref="HT26">IF(_xlfn.TEXTJOIN(", ", TRUE, IF(ISNUMBER(SEARCH("YEL", BL26:BT26)), COLUMN(BL26:BT26) - COLUMN(BL26) + 1, ""))&lt;&gt;"","YEL","")</f>
        <v>YEL</v>
      </c>
      <c r="HU26" s="44" t="str" cm="1">
        <f t="array" ref="HU26">IF(_xlfn.TEXTJOIN(", ", TRUE, IF(ISNUMBER(SEARCH("ORA", BL26:BT26)), COLUMN(BL26:BT26) - COLUMN(BL26) + 1, ""))&lt;&gt;"","ORA","")</f>
        <v/>
      </c>
      <c r="HV26" s="44" t="str" cm="1">
        <f t="array" ref="HV26">IF(_xlfn.TEXTJOIN(", ", TRUE, IF(ISNUMBER(SEARCH("BRO", BL26:BT26)), COLUMN(BL26:BT26) - COLUMN(BL26) + 1, ""))&lt;&gt;"","BRO","")</f>
        <v/>
      </c>
      <c r="HW26" s="44" t="str" cm="1">
        <f t="array" ref="HW26">IF(_xlfn.TEXTJOIN(", ", TRUE, IF(ISNUMBER(SEARCH("PUR", BL26:BT26)), COLUMN(BL26:BT26) - COLUMN(BL26) + 1, ""))&lt;&gt;"","PUR","")</f>
        <v/>
      </c>
      <c r="HX26" s="44" t="str" cm="1">
        <f t="array" ref="HX26">IF(_xlfn.TEXTJOIN(", ", TRUE, IF(ISNUMBER(SEARCH("WHI", BL26:BT26)), COLUMN(BL26:BT26) - COLUMN(BL26) + 1, ""))&lt;&gt;"","WHI","")</f>
        <v>WHI</v>
      </c>
      <c r="HY26" s="72"/>
      <c r="HZ26" s="72"/>
      <c r="IA26" s="5"/>
      <c r="IB26" s="5"/>
      <c r="IC26" s="68"/>
      <c r="ID26" s="68"/>
      <c r="IE26" s="68"/>
      <c r="IF26" s="68"/>
      <c r="IG26" s="68"/>
      <c r="IH26" s="68"/>
      <c r="II26" s="68"/>
      <c r="IJ26" s="68"/>
      <c r="IK26" s="68"/>
      <c r="IM26" s="42">
        <f t="shared" si="124"/>
        <v>-4</v>
      </c>
      <c r="IN26" s="69" t="str">
        <f t="shared" si="125"/>
        <v>http://mkweb.bcgsc.ca/color-summarizer/?url=https://upload.wikimedia.org/wikipedia/commons/thumb/c/c6/Flag_of_Zulia_State.svg/640px-Flag_of_Zulia_State.svg.png&amp;precision=low&amp;num_clusters=4&amp;text=1</v>
      </c>
      <c r="IO26" s="44" t="str">
        <f t="shared" si="126"/>
        <v>"black"</v>
      </c>
      <c r="IP26" s="44" t="str">
        <f t="shared" si="127"/>
        <v>"blue"</v>
      </c>
      <c r="IQ26" s="44" t="str">
        <f t="shared" si="128"/>
        <v/>
      </c>
      <c r="IR26" s="44" t="str">
        <f t="shared" si="129"/>
        <v/>
      </c>
      <c r="IS26" s="44" t="str">
        <f t="shared" si="130"/>
        <v>"yellow"</v>
      </c>
      <c r="IT26" s="44" t="str">
        <f t="shared" si="131"/>
        <v/>
      </c>
      <c r="IU26" s="44" t="str">
        <f t="shared" si="132"/>
        <v/>
      </c>
      <c r="IV26" s="44" t="str">
        <f t="shared" si="133"/>
        <v/>
      </c>
      <c r="IW26" s="44" t="str">
        <f t="shared" si="134"/>
        <v>"white"</v>
      </c>
      <c r="IX26" s="44" t="str">
        <f t="shared" si="135"/>
        <v>{"url":"http://mkweb.bcgsc.ca/color-summarizer/?url=https://upload.wikimedia.org/wikipedia/commons/thumb/c/c6/Flag_of_Zulia_State.svg/640px-Flag_of_Zulia_State.svg.png&amp;precision=low&amp;num_clusters=4&amp;text=1","name":"[VEN] Zulia"},</v>
      </c>
      <c r="IY26" s="44">
        <v>1490</v>
      </c>
    </row>
  </sheetData>
  <autoFilter ref="A1:IY26" xr:uid="{A1051193-A95B-4CFB-A73C-F0184620C81F}">
    <sortState xmlns:xlrd2="http://schemas.microsoft.com/office/spreadsheetml/2017/richdata2" ref="A2:IY26">
      <sortCondition ref="AW1:AW26"/>
    </sortState>
  </autoFilter>
  <conditionalFormatting sqref="H1 CW1:GS1 IA1:IB1">
    <cfRule type="cellIs" dxfId="68" priority="77" operator="greaterThan">
      <formula>0</formula>
    </cfRule>
  </conditionalFormatting>
  <conditionalFormatting sqref="H1:H1048576">
    <cfRule type="cellIs" dxfId="67" priority="17" stopIfTrue="1" operator="notEqual">
      <formula>""</formula>
    </cfRule>
  </conditionalFormatting>
  <conditionalFormatting sqref="R2:R26 CU2:CU26">
    <cfRule type="cellIs" dxfId="66" priority="19" operator="greaterThan">
      <formula>0</formula>
    </cfRule>
  </conditionalFormatting>
  <conditionalFormatting sqref="T2:AS26 CH2:CS26">
    <cfRule type="cellIs" dxfId="65" priority="14" stopIfTrue="1" operator="equal">
      <formula>"n"</formula>
    </cfRule>
    <cfRule type="cellIs" dxfId="64" priority="15" stopIfTrue="1" operator="equal">
      <formula>"y"</formula>
    </cfRule>
    <cfRule type="cellIs" dxfId="63" priority="16" operator="greaterThan">
      <formula>0</formula>
    </cfRule>
  </conditionalFormatting>
  <conditionalFormatting sqref="T1:BK1">
    <cfRule type="cellIs" dxfId="62" priority="80" operator="greaterThan">
      <formula>0</formula>
    </cfRule>
  </conditionalFormatting>
  <conditionalFormatting sqref="AZ2:BB26">
    <cfRule type="expression" dxfId="61" priority="13">
      <formula>$AT2=0</formula>
    </cfRule>
  </conditionalFormatting>
  <conditionalFormatting sqref="AZ2:BU26">
    <cfRule type="cellIs" dxfId="60" priority="55" operator="equal">
      <formula>"PIN"</formula>
    </cfRule>
    <cfRule type="cellIs" dxfId="59" priority="56" operator="equal">
      <formula>"ORA"</formula>
    </cfRule>
    <cfRule type="cellIs" dxfId="58" priority="57" operator="equal">
      <formula>"GRA"</formula>
    </cfRule>
    <cfRule type="cellIs" dxfId="57" priority="58" operator="equal">
      <formula>"PUR"</formula>
    </cfRule>
    <cfRule type="cellIs" dxfId="56" priority="59" operator="equal">
      <formula>"BRO"</formula>
    </cfRule>
    <cfRule type="cellIs" dxfId="55" priority="60" operator="equal">
      <formula>"YEL"</formula>
    </cfRule>
    <cfRule type="cellIs" dxfId="54" priority="61" operator="equal">
      <formula>"BLU"</formula>
    </cfRule>
    <cfRule type="cellIs" dxfId="53" priority="62" operator="equal">
      <formula>"WHI"</formula>
    </cfRule>
    <cfRule type="cellIs" dxfId="52" priority="63" operator="equal">
      <formula>"GRE"</formula>
    </cfRule>
    <cfRule type="cellIs" dxfId="51" priority="64" operator="equal">
      <formula>"RED"</formula>
    </cfRule>
    <cfRule type="cellIs" dxfId="50" priority="65" operator="equal">
      <formula>"BLA"</formula>
    </cfRule>
  </conditionalFormatting>
  <conditionalFormatting sqref="BV1:BW1 BV27:BW1048576 BV2:BV26">
    <cfRule type="cellIs" dxfId="49" priority="79" operator="equal">
      <formula>"nc"</formula>
    </cfRule>
  </conditionalFormatting>
  <conditionalFormatting sqref="BX2:CA26 CD2:CF26">
    <cfRule type="cellIs" dxfId="48" priority="18" operator="equal">
      <formula>"y"</formula>
    </cfRule>
    <cfRule type="cellIs" dxfId="47" priority="66" operator="equal">
      <formula>"PIN"</formula>
    </cfRule>
    <cfRule type="cellIs" dxfId="46" priority="67" operator="equal">
      <formula>"ORA"</formula>
    </cfRule>
    <cfRule type="cellIs" dxfId="45" priority="68" operator="equal">
      <formula>"GRA"</formula>
    </cfRule>
    <cfRule type="cellIs" dxfId="44" priority="69" operator="equal">
      <formula>"PUR"</formula>
    </cfRule>
    <cfRule type="cellIs" dxfId="43" priority="70" operator="equal">
      <formula>"BRO"</formula>
    </cfRule>
    <cfRule type="cellIs" dxfId="42" priority="71" operator="equal">
      <formula>"YEL"</formula>
    </cfRule>
    <cfRule type="cellIs" dxfId="41" priority="72" operator="equal">
      <formula>"BLU"</formula>
    </cfRule>
    <cfRule type="cellIs" dxfId="40" priority="73" operator="equal">
      <formula>"WHI"</formula>
    </cfRule>
    <cfRule type="cellIs" dxfId="39" priority="74" operator="equal">
      <formula>"GRE"</formula>
    </cfRule>
    <cfRule type="cellIs" dxfId="38" priority="75" operator="equal">
      <formula>"RED"</formula>
    </cfRule>
    <cfRule type="cellIs" dxfId="37" priority="76" operator="equal">
      <formula>"BLA"</formula>
    </cfRule>
  </conditionalFormatting>
  <conditionalFormatting sqref="BZ2:CA26 CD2:CF26">
    <cfRule type="cellIs" dxfId="36" priority="20" operator="greaterThan">
      <formula>0</formula>
    </cfRule>
  </conditionalFormatting>
  <conditionalFormatting sqref="HF1:HG1">
    <cfRule type="cellIs" dxfId="35" priority="81" operator="greaterThan">
      <formula>0</formula>
    </cfRule>
  </conditionalFormatting>
  <conditionalFormatting sqref="HK1">
    <cfRule type="cellIs" dxfId="34" priority="78" operator="greaterThan">
      <formula>0</formula>
    </cfRule>
  </conditionalFormatting>
  <conditionalFormatting sqref="HP1:HX1">
    <cfRule type="cellIs" dxfId="33" priority="32" operator="equal">
      <formula>"PIN"</formula>
    </cfRule>
    <cfRule type="cellIs" dxfId="32" priority="33" operator="equal">
      <formula>"ORA"</formula>
    </cfRule>
    <cfRule type="cellIs" dxfId="31" priority="34" operator="equal">
      <formula>"GRA"</formula>
    </cfRule>
    <cfRule type="cellIs" dxfId="30" priority="35" operator="equal">
      <formula>"PUR"</formula>
    </cfRule>
    <cfRule type="cellIs" dxfId="29" priority="36" operator="equal">
      <formula>"BRO"</formula>
    </cfRule>
    <cfRule type="cellIs" dxfId="28" priority="37" operator="equal">
      <formula>"YEL"</formula>
    </cfRule>
    <cfRule type="cellIs" dxfId="27" priority="38" operator="equal">
      <formula>"BLU"</formula>
    </cfRule>
    <cfRule type="cellIs" dxfId="26" priority="39" operator="equal">
      <formula>"WHI"</formula>
    </cfRule>
    <cfRule type="cellIs" dxfId="25" priority="40" operator="equal">
      <formula>"GRE"</formula>
    </cfRule>
    <cfRule type="cellIs" dxfId="24" priority="41" operator="equal">
      <formula>"RED"</formula>
    </cfRule>
    <cfRule type="cellIs" dxfId="23" priority="42" operator="equal">
      <formula>"BLA"</formula>
    </cfRule>
  </conditionalFormatting>
  <conditionalFormatting sqref="IC1:IK1">
    <cfRule type="cellIs" dxfId="22" priority="44" operator="equal">
      <formula>"PIN"</formula>
    </cfRule>
    <cfRule type="cellIs" dxfId="21" priority="45" operator="equal">
      <formula>"ORA"</formula>
    </cfRule>
    <cfRule type="cellIs" dxfId="20" priority="46" operator="equal">
      <formula>"GRA"</formula>
    </cfRule>
    <cfRule type="cellIs" dxfId="19" priority="47" operator="equal">
      <formula>"PUR"</formula>
    </cfRule>
    <cfRule type="cellIs" dxfId="18" priority="48" operator="equal">
      <formula>"BRO"</formula>
    </cfRule>
    <cfRule type="cellIs" dxfId="17" priority="49" operator="equal">
      <formula>"YEL"</formula>
    </cfRule>
    <cfRule type="cellIs" dxfId="16" priority="50" operator="equal">
      <formula>"BLU"</formula>
    </cfRule>
    <cfRule type="cellIs" dxfId="15" priority="51" operator="equal">
      <formula>"WHI"</formula>
    </cfRule>
    <cfRule type="cellIs" dxfId="14" priority="52" operator="equal">
      <formula>"GRE"</formula>
    </cfRule>
    <cfRule type="cellIs" dxfId="13" priority="53" operator="equal">
      <formula>"RED"</formula>
    </cfRule>
    <cfRule type="cellIs" dxfId="12" priority="54" operator="equal">
      <formula>"BLA"</formula>
    </cfRule>
  </conditionalFormatting>
  <conditionalFormatting sqref="IC2:IK26">
    <cfRule type="expression" dxfId="11" priority="43">
      <formula>$IL2&gt;0</formula>
    </cfRule>
  </conditionalFormatting>
  <conditionalFormatting sqref="IO1:IW1">
    <cfRule type="cellIs" dxfId="10" priority="21" operator="equal">
      <formula>"PIN"</formula>
    </cfRule>
    <cfRule type="cellIs" dxfId="9" priority="22" operator="equal">
      <formula>"ORA"</formula>
    </cfRule>
    <cfRule type="cellIs" dxfId="8" priority="23" operator="equal">
      <formula>"GRA"</formula>
    </cfRule>
    <cfRule type="cellIs" dxfId="7" priority="24" operator="equal">
      <formula>"PUR"</formula>
    </cfRule>
    <cfRule type="cellIs" dxfId="6" priority="25" operator="equal">
      <formula>"BRO"</formula>
    </cfRule>
    <cfRule type="cellIs" dxfId="5" priority="26" operator="equal">
      <formula>"YEL"</formula>
    </cfRule>
    <cfRule type="cellIs" dxfId="4" priority="27" operator="equal">
      <formula>"BLU"</formula>
    </cfRule>
    <cfRule type="cellIs" dxfId="3" priority="28" operator="equal">
      <formula>"WHI"</formula>
    </cfRule>
    <cfRule type="cellIs" dxfId="2" priority="29" operator="equal">
      <formula>"GRE"</formula>
    </cfRule>
    <cfRule type="cellIs" dxfId="1" priority="30" operator="equal">
      <formula>"RED"</formula>
    </cfRule>
    <cfRule type="cellIs" dxfId="0" priority="31" operator="equal">
      <formula>"BLA"</formula>
    </cfRule>
  </conditionalFormatting>
  <conditionalFormatting sqref="J2:J26">
    <cfRule type="colorScale" priority="1093">
      <colorScale>
        <cfvo type="min"/>
        <cfvo type="percentile" val="50"/>
        <cfvo type="max"/>
        <color rgb="FFF8696B"/>
        <color rgb="FFFFEB84"/>
        <color rgb="FF63BE7B"/>
      </colorScale>
    </cfRule>
  </conditionalFormatting>
  <conditionalFormatting sqref="S2:S26">
    <cfRule type="colorScale" priority="1095">
      <colorScale>
        <cfvo type="min"/>
        <cfvo type="max"/>
        <color rgb="FFFCFCFF"/>
        <color rgb="FF754BFB"/>
      </colorScale>
    </cfRule>
  </conditionalFormatting>
  <conditionalFormatting sqref="AT2:AT26">
    <cfRule type="colorScale" priority="1097">
      <colorScale>
        <cfvo type="min"/>
        <cfvo type="max"/>
        <color rgb="FFFCFCFF"/>
        <color theme="8" tint="0.39997558519241921"/>
      </colorScale>
    </cfRule>
  </conditionalFormatting>
  <conditionalFormatting sqref="CG2:CG26">
    <cfRule type="colorScale" priority="1099">
      <colorScale>
        <cfvo type="min"/>
        <cfvo type="max"/>
        <color rgb="FFFCFCFF"/>
        <color rgb="FF63BE7B"/>
      </colorScale>
    </cfRule>
  </conditionalFormatting>
  <hyperlinks>
    <hyperlink ref="A2" r:id="rId1" display="https://fbref.com/en/country/VEN/Venezuela-Football" xr:uid="{D66D99AB-81C5-40AC-8B72-246C6D563642}"/>
    <hyperlink ref="E2" r:id="rId2" xr:uid="{B14C9526-8CC2-4C86-9711-C2814CB30A5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InsertImagesFromSelectedRange">
                <anchor moveWithCells="1" sizeWithCells="1">
                  <from>
                    <xdr:col>0</xdr:col>
                    <xdr:colOff>3368040</xdr:colOff>
                    <xdr:row>0</xdr:row>
                    <xdr:rowOff>0</xdr:rowOff>
                  </from>
                  <to>
                    <xdr:col>2</xdr:col>
                    <xdr:colOff>0</xdr:colOff>
                    <xdr:row>0</xdr:row>
                    <xdr:rowOff>373380</xdr:rowOff>
                  </to>
                </anchor>
              </controlPr>
            </control>
          </mc:Choice>
        </mc:AlternateContent>
        <mc:AlternateContent xmlns:mc="http://schemas.openxmlformats.org/markup-compatibility/2006">
          <mc:Choice Requires="x14">
            <control shapeId="8194" r:id="rId7" name="Button 2">
              <controlPr defaultSize="0" print="0" autoFill="0" autoPict="0" macro="[0]!ReplaceLineBreaksWithNewLineManualRange">
                <anchor moveWithCells="1" sizeWithCells="1">
                  <from>
                    <xdr:col>8</xdr:col>
                    <xdr:colOff>15240</xdr:colOff>
                    <xdr:row>0</xdr:row>
                    <xdr:rowOff>45720</xdr:rowOff>
                  </from>
                  <to>
                    <xdr:col>8</xdr:col>
                    <xdr:colOff>693420</xdr:colOff>
                    <xdr:row>0</xdr:row>
                    <xdr:rowOff>403860</xdr:rowOff>
                  </to>
                </anchor>
              </controlPr>
            </control>
          </mc:Choice>
        </mc:AlternateContent>
        <mc:AlternateContent xmlns:mc="http://schemas.openxmlformats.org/markup-compatibility/2006">
          <mc:Choice Requires="x14">
            <control shapeId="8195" r:id="rId8" name="Button 3">
              <controlPr defaultSize="0" print="0" autoFill="0" autoPict="0" macro="[0]!GoToSheet">
                <anchor moveWithCells="1" sizeWithCells="1">
                  <from>
                    <xdr:col>0</xdr:col>
                    <xdr:colOff>0</xdr:colOff>
                    <xdr:row>0</xdr:row>
                    <xdr:rowOff>60960</xdr:rowOff>
                  </from>
                  <to>
                    <xdr:col>0</xdr:col>
                    <xdr:colOff>624840</xdr:colOff>
                    <xdr:row>0</xdr:row>
                    <xdr:rowOff>365760</xdr:rowOff>
                  </to>
                </anchor>
              </controlPr>
            </control>
          </mc:Choice>
        </mc:AlternateContent>
      </controls>
    </mc:Choice>
  </mc:AlternateContent>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Divs</vt:lpstr>
      <vt:lpstr>ARG</vt:lpstr>
      <vt:lpstr>BOL</vt:lpstr>
      <vt:lpstr>BRA</vt:lpstr>
      <vt:lpstr>CHL</vt:lpstr>
      <vt:lpstr>COL</vt:lpstr>
      <vt:lpstr>ECU</vt:lpstr>
      <vt:lpstr>FLK</vt:lpstr>
      <vt:lpstr>GUF</vt:lpstr>
      <vt:lpstr>GUY</vt:lpstr>
      <vt:lpstr>PER</vt:lpstr>
      <vt:lpstr>PRY</vt:lpstr>
      <vt:lpstr>SUR</vt:lpstr>
      <vt:lpstr>URU</vt:lpstr>
      <vt:lpstr>VEN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 J</dc:creator>
  <cp:lastModifiedBy>Juan Castillo</cp:lastModifiedBy>
  <dcterms:created xsi:type="dcterms:W3CDTF">2024-12-29T17:31:16Z</dcterms:created>
  <dcterms:modified xsi:type="dcterms:W3CDTF">2024-12-30T11:10:39Z</dcterms:modified>
</cp:coreProperties>
</file>